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Classifica" sheetId="6" state="visible" r:id="rId6"/>
    <sheet xmlns:r="http://schemas.openxmlformats.org/officeDocument/2006/relationships" name="Playoff" sheetId="7" state="visible" r:id="rId7"/>
    <sheet xmlns:r="http://schemas.openxmlformats.org/officeDocument/2006/relationships" name="Classifica Finale" sheetId="8" state="visible" r:id="rId8"/>
    <sheet xmlns:r="http://schemas.openxmlformats.org/officeDocument/2006/relationships" name="DESIGNAZIONI" sheetId="9" state="visible" r:id="rId9"/>
    <sheet xmlns:r="http://schemas.openxmlformats.org/officeDocument/2006/relationships" name="Arbitri" sheetId="10" state="visible" r:id="rId10"/>
    <sheet xmlns:r="http://schemas.openxmlformats.org/officeDocument/2006/relationships" name="UdC" sheetId="11" state="visible" r:id="rId11"/>
    <sheet xmlns:r="http://schemas.openxmlformats.org/officeDocument/2006/relationships" name="MEMO" sheetId="12" state="visible" r:id="rId12"/>
    <sheet xmlns:r="http://schemas.openxmlformats.org/officeDocument/2006/relationships" name="Calendario.ics" sheetId="13" state="visible" r:id="rId13"/>
    <sheet xmlns:r="http://schemas.openxmlformats.org/officeDocument/2006/relationships" name="Dati" sheetId="14" state="hidden" r:id="rId14"/>
    <sheet xmlns:r="http://schemas.openxmlformats.org/officeDocument/2006/relationships" name="REGOLAMENTO" sheetId="15" state="visible" r:id="rId15"/>
  </sheets>
  <definedNames>
    <definedName name="constNomeCampionato">Campionato!$D$2</definedName>
    <definedName name="constGironi">Campionato!$D$5</definedName>
    <definedName name="constNomiGironi">Campionato!$D$11</definedName>
    <definedName name="constLogo1">Campionato!$D$3</definedName>
    <definedName name="constLogo2">Campionato!$D$4</definedName>
    <definedName name="constSezioneCampionato">Campionato!$D$5</definedName>
    <definedName name="constStagionaCampionato">Campionato!$D$6</definedName>
    <definedName name="constPuntiVittoria">Campionato!$D$7</definedName>
    <definedName name="constPuntiSconfitta">Campionato!$D$8</definedName>
    <definedName name="constPuntiForfait">Campionato!$D$9</definedName>
    <definedName name="constPunteggioForfait">Campionato!$D$10</definedName>
    <definedName name="areaNomiSquadre">Campionato!$B$14:$C$93</definedName>
    <definedName name="areaNomiBreviSquadre">Campionato!$B$14:$H$93</definedName>
    <definedName name="areaCoefficienteSquadre">Campionato!$I$14:$I$93</definedName>
    <definedName name="areaCercaPuntiClassificaSquadra">Campionato!$H$14:$J$93</definedName>
    <definedName name="areaCercaDatiPerPosizioneSquadre">Campionato!$G$14:$W$93</definedName>
    <definedName name="areaCampiSquadre">Campionato!$B$97:$D$185</definedName>
    <definedName name="ARBITRI">Arbitri!$D$5:$D$304</definedName>
    <definedName name="UDC">UdC!$D$5:$D$304</definedName>
    <definedName name="_xlnm.Print_Area" localSheetId="0">'Campionato'!$A$1:$E$188</definedName>
    <definedName name="areaSquadraACalendario" localSheetId="1">'Calendario A'!$M$8:$M$615</definedName>
    <definedName name="areaVintaACalendario" localSheetId="1">'Calendario A'!$N$8:$N$615</definedName>
    <definedName name="areaForfaitACalendario" localSheetId="1">'Calendario A'!$O$8:$O$615</definedName>
    <definedName name="areaPersaACalendario" localSheetId="1">'Calendario A'!$P$8:$P$615</definedName>
    <definedName name="areaPuntiFattiACalendario" localSheetId="1">'Calendario A'!$Q$8:$Q$615</definedName>
    <definedName name="areaPuntiSubitiACalendario" localSheetId="1">'Calendario A'!$R$8:$R$615</definedName>
    <definedName name="areaDifferenzaPuntiACalendario" localSheetId="1">'Calendario A'!$S$8:$S$615</definedName>
    <definedName name="areaSquadraBCalendario" localSheetId="1">'Calendario A'!$T$8:$T$615</definedName>
    <definedName name="areaVintaBCalendario" localSheetId="1">'Calendario A'!$U$8:$U$615</definedName>
    <definedName name="areaForfaitBCalendario" localSheetId="1">'Calendario A'!$V$8:$V$615</definedName>
    <definedName name="areaPersaBCalendario" localSheetId="1">'Calendario A'!$W$8:$W$615</definedName>
    <definedName name="areaPuntiFattiBCalendario" localSheetId="1">'Calendario A'!$X$8:$X$615</definedName>
    <definedName name="areaPuntiSubitiBCalendario" localSheetId="1">'Calendario A'!$Y$8:$Y$615</definedName>
    <definedName name="areaDifferenzaPuntiBCalendario" localSheetId="1">'Calendario A'!$Z$8:$Z$615</definedName>
    <definedName name="_xlnm.Print_Titles" localSheetId="1">'Calendario A'!$1:$3</definedName>
    <definedName name="_xlnm.Print_Area" localSheetId="1">'Calendario A'!$A$1:$L$617</definedName>
    <definedName name="areaSquadraACalendario" localSheetId="2">'Calendario B'!$M$8:$M$615</definedName>
    <definedName name="areaVintaACalendario" localSheetId="2">'Calendario B'!$N$8:$N$615</definedName>
    <definedName name="areaForfaitACalendario" localSheetId="2">'Calendario B'!$O$8:$O$615</definedName>
    <definedName name="areaPersaACalendario" localSheetId="2">'Calendario B'!$P$8:$P$615</definedName>
    <definedName name="areaPuntiFattiACalendario" localSheetId="2">'Calendario B'!$Q$8:$Q$615</definedName>
    <definedName name="areaPuntiSubitiACalendario" localSheetId="2">'Calendario B'!$R$8:$R$615</definedName>
    <definedName name="areaDifferenzaPuntiACalendario" localSheetId="2">'Calendario B'!$S$8:$S$615</definedName>
    <definedName name="areaSquadraBCalendario" localSheetId="2">'Calendario B'!$T$8:$T$615</definedName>
    <definedName name="areaVintaBCalendario" localSheetId="2">'Calendario B'!$U$8:$U$615</definedName>
    <definedName name="areaForfaitBCalendario" localSheetId="2">'Calendario B'!$V$8:$V$615</definedName>
    <definedName name="areaPersaBCalendario" localSheetId="2">'Calendario B'!$W$8:$W$615</definedName>
    <definedName name="areaPuntiFattiBCalendario" localSheetId="2">'Calendario B'!$X$8:$X$615</definedName>
    <definedName name="areaPuntiSubitiBCalendario" localSheetId="2">'Calendario B'!$Y$8:$Y$615</definedName>
    <definedName name="areaDifferenzaPuntiBCalendario" localSheetId="2">'Calendario B'!$Z$8:$Z$615</definedName>
    <definedName name="_xlnm.Print_Titles" localSheetId="2">'Calendario B'!$1:$3</definedName>
    <definedName name="_xlnm.Print_Area" localSheetId="2">'Calendario B'!$A$1:$L$617</definedName>
    <definedName name="areaSquadraACalendario" localSheetId="3">'Calendario C'!$M$8:$M$615</definedName>
    <definedName name="areaVintaACalendario" localSheetId="3">'Calendario C'!$N$8:$N$615</definedName>
    <definedName name="areaForfaitACalendario" localSheetId="3">'Calendario C'!$O$8:$O$615</definedName>
    <definedName name="areaPersaACalendario" localSheetId="3">'Calendario C'!$P$8:$P$615</definedName>
    <definedName name="areaPuntiFattiACalendario" localSheetId="3">'Calendario C'!$Q$8:$Q$615</definedName>
    <definedName name="areaPuntiSubitiACalendario" localSheetId="3">'Calendario C'!$R$8:$R$615</definedName>
    <definedName name="areaDifferenzaPuntiACalendario" localSheetId="3">'Calendario C'!$S$8:$S$615</definedName>
    <definedName name="areaSquadraBCalendario" localSheetId="3">'Calendario C'!$T$8:$T$615</definedName>
    <definedName name="areaVintaBCalendario" localSheetId="3">'Calendario C'!$U$8:$U$615</definedName>
    <definedName name="areaForfaitBCalendario" localSheetId="3">'Calendario C'!$V$8:$V$615</definedName>
    <definedName name="areaPersaBCalendario" localSheetId="3">'Calendario C'!$W$8:$W$615</definedName>
    <definedName name="areaPuntiFattiBCalendario" localSheetId="3">'Calendario C'!$X$8:$X$615</definedName>
    <definedName name="areaPuntiSubitiBCalendario" localSheetId="3">'Calendario C'!$Y$8:$Y$615</definedName>
    <definedName name="areaDifferenzaPuntiBCalendario" localSheetId="3">'Calendario C'!$Z$8:$Z$615</definedName>
    <definedName name="_xlnm.Print_Titles" localSheetId="3">'Calendario C'!$1:$3</definedName>
    <definedName name="_xlnm.Print_Area" localSheetId="3">'Calendario C'!$A$1:$L$617</definedName>
    <definedName name="areaSquadraACalendario" localSheetId="4">'Calendario D'!$M$8:$M$615</definedName>
    <definedName name="areaVintaACalendario" localSheetId="4">'Calendario D'!$N$8:$N$615</definedName>
    <definedName name="areaForfaitACalendario" localSheetId="4">'Calendario D'!$O$8:$O$615</definedName>
    <definedName name="areaPersaACalendario" localSheetId="4">'Calendario D'!$P$8:$P$615</definedName>
    <definedName name="areaPuntiFattiACalendario" localSheetId="4">'Calendario D'!$Q$8:$Q$615</definedName>
    <definedName name="areaPuntiSubitiACalendario" localSheetId="4">'Calendario D'!$R$8:$R$615</definedName>
    <definedName name="areaDifferenzaPuntiACalendario" localSheetId="4">'Calendario D'!$S$8:$S$615</definedName>
    <definedName name="areaSquadraBCalendario" localSheetId="4">'Calendario D'!$T$8:$T$615</definedName>
    <definedName name="areaVintaBCalendario" localSheetId="4">'Calendario D'!$U$8:$U$615</definedName>
    <definedName name="areaForfaitBCalendario" localSheetId="4">'Calendario D'!$V$8:$V$615</definedName>
    <definedName name="areaPersaBCalendario" localSheetId="4">'Calendario D'!$W$8:$W$615</definedName>
    <definedName name="areaPuntiFattiBCalendario" localSheetId="4">'Calendario D'!$X$8:$X$615</definedName>
    <definedName name="areaPuntiSubitiBCalendario" localSheetId="4">'Calendario D'!$Y$8:$Y$615</definedName>
    <definedName name="areaDifferenzaPuntiBCalendario" localSheetId="4">'Calendario D'!$Z$8:$Z$615</definedName>
    <definedName name="_xlnm.Print_Titles" localSheetId="4">'Calendario D'!$1:$3</definedName>
    <definedName name="_xlnm.Print_Area" localSheetId="4">'Calendario D'!$A$1:$L$617</definedName>
    <definedName name="_xlnm.Print_Titles" localSheetId="5">'Classifica'!$1:$3</definedName>
    <definedName name="_xlnm.Print_Area" localSheetId="5">'Classifica'!$A$1:$M$104</definedName>
    <definedName name="areaSquadraACalendario" localSheetId="6">Playoff!$M$8:$M$63</definedName>
    <definedName name="areaVintaACalendario" localSheetId="6">Playoff!$N$8:$N$63</definedName>
    <definedName name="areaForfaitACalendario" localSheetId="6">Playoff!$O$8:$O$63</definedName>
    <definedName name="areaPersaACalendario" localSheetId="6">Playoff!$P$8:$P$63</definedName>
    <definedName name="areaPuntiFattiACalendario" localSheetId="6">Playoff!$Q$8:$Q$63</definedName>
    <definedName name="areaPuntiSubitiACalendario" localSheetId="6">Playoff!$R$8:$R$63</definedName>
    <definedName name="areaDifferenzaPuntiACalendario" localSheetId="6">Playoff!$S$8:$S$63</definedName>
    <definedName name="areaSquadraBCalendario" localSheetId="6">Playoff!$T$8:$T$63</definedName>
    <definedName name="areaVintaBCalendario" localSheetId="6">Playoff!$U$8:$U$63</definedName>
    <definedName name="areaForfaitBCalendario" localSheetId="6">Playoff!$V$8:$V$63</definedName>
    <definedName name="areaPersaBCalendario" localSheetId="6">Playoff!$W$8:$W$63</definedName>
    <definedName name="areaPuntiFattiBCalendario" localSheetId="6">Playoff!$X$8:$X$63</definedName>
    <definedName name="areaPuntiSubitiBCalendario" localSheetId="6">Playoff!$Y$8:$Y$63</definedName>
    <definedName name="areaDifferenzaPuntiBCalendario" localSheetId="6">Playoff!$Z$8:$Z$63</definedName>
    <definedName name="_xlnm.Print_Titles" localSheetId="6">'Playoff'!$1:$3</definedName>
    <definedName name="_xlnm.Print_Area" localSheetId="6">'Playoff'!$A$1:$L$68</definedName>
    <definedName name="_xlnm.Print_Titles" localSheetId="7">'Classifica Finale'!$1:$6</definedName>
    <definedName name="_xlnm.Print_Area" localSheetId="7">'Classifica Finale'!$A$1:$E$88</definedName>
    <definedName name="_xlnm.Print_Titles" localSheetId="8">'DESIGNAZIONI'!$1:$3</definedName>
    <definedName name="_xlnm.Print_Area" localSheetId="8">'DESIGNAZIONI'!$A$1:$R$2626</definedName>
    <definedName name="_xlnm.Print_Titles" localSheetId="9">'Arbitri'!$1:$4</definedName>
    <definedName name="_xlnm.Print_Area" localSheetId="9">'Arbitri'!$A$1:$O$104</definedName>
    <definedName name="_xlnm.Print_Titles" localSheetId="10">'UdC'!$1:$4</definedName>
    <definedName name="_xlnm.Print_Area" localSheetId="10">'UdC'!$A$1:$O$104</definedName>
    <definedName name="_xlnm.Print_Area" localSheetId="12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8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inlineStr">
        <is>
          <t>Campionato Baskin Demo - ESEMPIO 80 Squadre</t>
        </is>
      </c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</t>
        </is>
      </c>
    </row>
    <row r="6">
      <c r="B6" s="3" t="inlineStr">
        <is>
          <t>Stagione</t>
        </is>
      </c>
      <c r="D6" s="5" t="inlineStr">
        <is>
          <t>2026/2027</t>
        </is>
      </c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inlineStr">
        <is>
          <t>Gold,Silver,Bronze,Platinum</t>
        </is>
      </c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inlineStr">
        <is>
          <t>Anaconde Audaci-Anacondeopoli AA</t>
        </is>
      </c>
      <c r="D14" s="14" t="n"/>
      <c r="E14" s="15" t="inlineStr">
        <is>
          <t>A</t>
        </is>
      </c>
      <c r="G14" s="16">
        <f>IF($C14="","",$E14&amp;(COUNTIFS(I$14:I$93,"&gt;"&amp;I14,E$14:E$93,"="&amp;E14,C$14:C$93,"&lt;&gt;")+COUNTIFS(I$14:I$93,"="&amp;I14,H$14:H$93,"&lt;="&amp;H14,E$14:E$93,"="&amp;E14,C$14:C$93,"&lt;&gt;")))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L14*constPuntiVittoria+M14*constPuntiSconfitta+N14*constPuntiForfait+IF(D14="",0,D14)</f>
        <v/>
      </c>
      <c r="K14" s="12">
        <f>SUM(L14:N14)</f>
        <v/>
      </c>
      <c r="L14" s="12">
        <f>IF($H14="",0,SUMIF(Dati!$A$2:$A$761,$H14,Dati!$B$2:$B$761)+SUMIF(Dati!$H$2:$H$761,$H14,Dati!$I$2:$I$761))</f>
        <v/>
      </c>
      <c r="M14" s="12">
        <f>IF($H14="",0,SUMIF(Dati!$A$2:$A$761,$H14,Dati!$D$2:$D$761)+SUMIF(Dati!$H$2:$H$761,$H14,Dati!$K$2:$K$761))</f>
        <v/>
      </c>
      <c r="N14" s="12">
        <f>IF($H14="",0,SUMIF(Dati!$A$2:$A$761,$H14,Dati!$C$2:$C$761)+SUMIF(Dati!$H$2:$H$761,$H14,Dati!$J$2:$J$761))</f>
        <v/>
      </c>
      <c r="O14" s="12">
        <f>IF($H14="",0,SUMIF(Dati!$A$2:$A$761,$H14,Dati!$E$2:$E$761)+SUMIF(Dati!$H$2:$H$761,$H14,Dati!$L$2:$L$761))</f>
        <v/>
      </c>
      <c r="P14" s="12">
        <f>IF($H14="",0,SUMIF(Dati!$A$2:$A$761,$H14,Dati!$F$2:$F$761)+SUMIF(Dati!$H$2:$H$761,$H14,Dati!$M$2:$M$761))</f>
        <v/>
      </c>
      <c r="Q14" s="12">
        <f>IF($H14="",0,SUMIF(Dati!$A$2:$A$761,$H14,Dati!$G$2:$G$761)+SUMIF(Dati!$H$2:$H$761,$H14,Dati!$N$2:$N$761))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IF(COUNTIFS($E$14:$E$93,$E14,$J$14:$J$93,$J14,$C$14:$C$93,"&lt;&gt;")&lt;=1,"-",SUM(AU14:BN14)&amp;"-"&amp;SUM(BQ14:CJ14))</f>
        <v/>
      </c>
      <c r="V14" s="18">
        <f>IF(COUNTIFS($E$14:$E$93,$E14,$J$14:$J$93,$J14,$C$14:$C$93,"&lt;&gt;",$ED$14:$ED$93,$ED14)&lt;=1,"-",IF(SUM(DI14:EB14)=0,0,ROUND(SUM(CM14:DF14)/SUM(DI14:EB14),3)))</f>
        <v/>
      </c>
      <c r="W14" s="18">
        <f>IF(COUNTIFS($E$14:$E$93,$E14,$J$14:$J$93,$J14,$C$14:$C$93,"&lt;&gt;",$ED$14:$ED$93,$ED14,$V$14:$V$93,$V14)&lt;=1,"-",IF(P14=0,0,ROUND(O14/P14,3)))</f>
        <v/>
      </c>
      <c r="X14" s="19">
        <f>IF($C14="","",$E14&amp;"#"&amp;COUNTIFS($E$14:$E14,$E14,$C$14:$C14,"&lt;&gt;"))</f>
        <v/>
      </c>
      <c r="Y14" s="20">
        <f>IFERROR(INDEX($H$14:$H$93,MATCH($E14&amp;"#1",$X$14:$X$93,0)),"")</f>
        <v/>
      </c>
      <c r="Z14" s="20">
        <f>IFERROR(INDEX($H$14:$H$93,MATCH($E14&amp;"#2",$X$14:$X$93,0)),"")</f>
        <v/>
      </c>
      <c r="AA14" s="20">
        <f>IFERROR(INDEX($H$14:$H$93,MATCH($E14&amp;"#3",$X$14:$X$93,0)),"")</f>
        <v/>
      </c>
      <c r="AB14" s="20">
        <f>IFERROR(INDEX($H$14:$H$93,MATCH($E14&amp;"#4",$X$14:$X$93,0)),"")</f>
        <v/>
      </c>
      <c r="AC14" s="20">
        <f>IFERROR(INDEX($H$14:$H$93,MATCH($E14&amp;"#5",$X$14:$X$93,0)),"")</f>
        <v/>
      </c>
      <c r="AD14" s="20">
        <f>IFERROR(INDEX($H$14:$H$93,MATCH($E14&amp;"#6",$X$14:$X$93,0)),"")</f>
        <v/>
      </c>
      <c r="AE14" s="20">
        <f>IFERROR(INDEX($H$14:$H$93,MATCH($E14&amp;"#7",$X$14:$X$93,0)),"")</f>
        <v/>
      </c>
      <c r="AF14" s="20">
        <f>IFERROR(INDEX($H$14:$H$93,MATCH($E14&amp;"#8",$X$14:$X$93,0)),"")</f>
        <v/>
      </c>
      <c r="AG14" s="20">
        <f>IFERROR(INDEX($H$14:$H$93,MATCH($E14&amp;"#9",$X$14:$X$93,0)),"")</f>
        <v/>
      </c>
      <c r="AH14" s="20">
        <f>IFERROR(INDEX($H$14:$H$93,MATCH($E14&amp;"#10",$X$14:$X$93,0)),"")</f>
        <v/>
      </c>
      <c r="AI14" s="20">
        <f>IFERROR(INDEX($H$14:$H$93,MATCH($E14&amp;"#11",$X$14:$X$93,0)),"")</f>
        <v/>
      </c>
      <c r="AJ14" s="20">
        <f>IFERROR(INDEX($H$14:$H$93,MATCH($E14&amp;"#12",$X$14:$X$93,0)),"")</f>
        <v/>
      </c>
      <c r="AK14" s="20">
        <f>IFERROR(INDEX($H$14:$H$93,MATCH($E14&amp;"#13",$X$14:$X$93,0)),"")</f>
        <v/>
      </c>
      <c r="AL14" s="20">
        <f>IFERROR(INDEX($H$14:$H$93,MATCH($E14&amp;"#14",$X$14:$X$93,0)),"")</f>
        <v/>
      </c>
      <c r="AM14" s="20">
        <f>IFERROR(INDEX($H$14:$H$93,MATCH($E14&amp;"#15",$X$14:$X$93,0)),"")</f>
        <v/>
      </c>
      <c r="AN14" s="20">
        <f>IFERROR(INDEX($H$14:$H$93,MATCH($E14&amp;"#16",$X$14:$X$93,0)),"")</f>
        <v/>
      </c>
      <c r="AO14" s="20">
        <f>IFERROR(INDEX($H$14:$H$93,MATCH($E14&amp;"#17",$X$14:$X$93,0)),"")</f>
        <v/>
      </c>
      <c r="AP14" s="20">
        <f>IFERROR(INDEX($H$14:$H$93,MATCH($E14&amp;"#18",$X$14:$X$93,0)),"")</f>
        <v/>
      </c>
      <c r="AQ14" s="20">
        <f>IFERROR(INDEX($H$14:$H$93,MATCH($E14&amp;"#19",$X$14:$X$93,0)),"")</f>
        <v/>
      </c>
      <c r="AR14" s="20">
        <f>IFERROR(INDEX($H$14:$H$93,MATCH($E14&amp;"#20",$X$14:$X$93,0)),"")</f>
        <v/>
      </c>
      <c r="AT14" s="21">
        <f>$C14</f>
        <v/>
      </c>
      <c r="AU14" s="22">
        <f>IF(AND($H14&lt;&gt;"",$Y14&lt;&gt;"",$H14&lt;&gt;$Y14,IFERROR(VLOOKUP($H14,areaCercaPuntiClassificaSquadra,3,FALSE),-1)=IFERROR(VLOOKUP($Y14,areaCercaPuntiClassificaSquadra,3,FALSE),-2)),SUMIFS(Dati!$B$2:$B$761,Dati!$A$2:$A$761,$H14,Dati!$H$2:$H$761,$Y14)+SUMIFS(Dati!$I$2:$I$761,Dati!$H$2:$H$761,$H14,Dati!$A$2:$A$761,$Y14),"-")</f>
        <v/>
      </c>
      <c r="AV14" s="22">
        <f>IF(AND($H14&lt;&gt;"",$Z14&lt;&gt;"",$H14&lt;&gt;$Z14,IFERROR(VLOOKUP($H14,areaCercaPuntiClassificaSquadra,3,FALSE),-1)=IFERROR(VLOOKUP($Z14,areaCercaPuntiClassificaSquadra,3,FALSE),-2)),SUMIFS(Dati!$B$2:$B$761,Dati!$A$2:$A$761,$H14,Dati!$H$2:$H$761,$Z14)+SUMIFS(Dati!$I$2:$I$761,Dati!$H$2:$H$761,$H14,Dati!$A$2:$A$761,$Z14),"-")</f>
        <v/>
      </c>
      <c r="AW14" s="22">
        <f>IF(AND($H14&lt;&gt;"",$AA14&lt;&gt;"",$H14&lt;&gt;$AA14,IFERROR(VLOOKUP($H14,areaCercaPuntiClassificaSquadra,3,FALSE),-1)=IFERROR(VLOOKUP($AA14,areaCercaPuntiClassificaSquadra,3,FALSE),-2)),SUMIFS(Dati!$B$2:$B$761,Dati!$A$2:$A$761,$H14,Dati!$H$2:$H$761,$AA14)+SUMIFS(Dati!$I$2:$I$761,Dati!$H$2:$H$761,$H14,Dati!$A$2:$A$761,$AA14),"-")</f>
        <v/>
      </c>
      <c r="AX14" s="22">
        <f>IF(AND($H14&lt;&gt;"",$AB14&lt;&gt;"",$H14&lt;&gt;$AB14,IFERROR(VLOOKUP($H14,areaCercaPuntiClassificaSquadra,3,FALSE),-1)=IFERROR(VLOOKUP($AB14,areaCercaPuntiClassificaSquadra,3,FALSE),-2)),SUMIFS(Dati!$B$2:$B$761,Dati!$A$2:$A$761,$H14,Dati!$H$2:$H$761,$AB14)+SUMIFS(Dati!$I$2:$I$761,Dati!$H$2:$H$761,$H14,Dati!$A$2:$A$761,$AB14),"-")</f>
        <v/>
      </c>
      <c r="AY14" s="22">
        <f>IF(AND($H14&lt;&gt;"",$AC14&lt;&gt;"",$H14&lt;&gt;$AC14,IFERROR(VLOOKUP($H14,areaCercaPuntiClassificaSquadra,3,FALSE),-1)=IFERROR(VLOOKUP($AC14,areaCercaPuntiClassificaSquadra,3,FALSE),-2)),SUMIFS(Dati!$B$2:$B$761,Dati!$A$2:$A$761,$H14,Dati!$H$2:$H$761,$AC14)+SUMIFS(Dati!$I$2:$I$761,Dati!$H$2:$H$761,$H14,Dati!$A$2:$A$761,$AC14),"-")</f>
        <v/>
      </c>
      <c r="AZ14" s="22">
        <f>IF(AND($H14&lt;&gt;"",$AD14&lt;&gt;"",$H14&lt;&gt;$AD14,IFERROR(VLOOKUP($H14,areaCercaPuntiClassificaSquadra,3,FALSE),-1)=IFERROR(VLOOKUP($AD14,areaCercaPuntiClassificaSquadra,3,FALSE),-2)),SUMIFS(Dati!$B$2:$B$761,Dati!$A$2:$A$761,$H14,Dati!$H$2:$H$761,$AD14)+SUMIFS(Dati!$I$2:$I$761,Dati!$H$2:$H$761,$H14,Dati!$A$2:$A$761,$AD14),"-")</f>
        <v/>
      </c>
      <c r="BA14" s="22">
        <f>IF(AND($H14&lt;&gt;"",$AE14&lt;&gt;"",$H14&lt;&gt;$AE14,IFERROR(VLOOKUP($H14,areaCercaPuntiClassificaSquadra,3,FALSE),-1)=IFERROR(VLOOKUP($AE14,areaCercaPuntiClassificaSquadra,3,FALSE),-2)),SUMIFS(Dati!$B$2:$B$761,Dati!$A$2:$A$761,$H14,Dati!$H$2:$H$761,$AE14)+SUMIFS(Dati!$I$2:$I$761,Dati!$H$2:$H$761,$H14,Dati!$A$2:$A$761,$AE14),"-")</f>
        <v/>
      </c>
      <c r="BB14" s="22">
        <f>IF(AND($H14&lt;&gt;"",$AF14&lt;&gt;"",$H14&lt;&gt;$AF14,IFERROR(VLOOKUP($H14,areaCercaPuntiClassificaSquadra,3,FALSE),-1)=IFERROR(VLOOKUP($AF14,areaCercaPuntiClassificaSquadra,3,FALSE),-2)),SUMIFS(Dati!$B$2:$B$761,Dati!$A$2:$A$761,$H14,Dati!$H$2:$H$761,$AF14)+SUMIFS(Dati!$I$2:$I$761,Dati!$H$2:$H$761,$H14,Dati!$A$2:$A$761,$AF14),"-")</f>
        <v/>
      </c>
      <c r="BC14" s="22">
        <f>IF(AND($H14&lt;&gt;"",$AG14&lt;&gt;"",$H14&lt;&gt;$AG14,IFERROR(VLOOKUP($H14,areaCercaPuntiClassificaSquadra,3,FALSE),-1)=IFERROR(VLOOKUP($AG14,areaCercaPuntiClassificaSquadra,3,FALSE),-2)),SUMIFS(Dati!$B$2:$B$761,Dati!$A$2:$A$761,$H14,Dati!$H$2:$H$761,$AG14)+SUMIFS(Dati!$I$2:$I$761,Dati!$H$2:$H$761,$H14,Dati!$A$2:$A$761,$AG14),"-")</f>
        <v/>
      </c>
      <c r="BD14" s="22">
        <f>IF(AND($H14&lt;&gt;"",$AH14&lt;&gt;"",$H14&lt;&gt;$AH14,IFERROR(VLOOKUP($H14,areaCercaPuntiClassificaSquadra,3,FALSE),-1)=IFERROR(VLOOKUP($AH14,areaCercaPuntiClassificaSquadra,3,FALSE),-2)),SUMIFS(Dati!$B$2:$B$761,Dati!$A$2:$A$761,$H14,Dati!$H$2:$H$761,$AH14)+SUMIFS(Dati!$I$2:$I$761,Dati!$H$2:$H$761,$H14,Dati!$A$2:$A$761,$AH14),"-")</f>
        <v/>
      </c>
      <c r="BE14" s="22">
        <f>IF(AND($H14&lt;&gt;"",$AI14&lt;&gt;"",$H14&lt;&gt;$AI14,IFERROR(VLOOKUP($H14,areaCercaPuntiClassificaSquadra,3,FALSE),-1)=IFERROR(VLOOKUP($AI14,areaCercaPuntiClassificaSquadra,3,FALSE),-2)),SUMIFS(Dati!$B$2:$B$761,Dati!$A$2:$A$761,$H14,Dati!$H$2:$H$761,$AI14)+SUMIFS(Dati!$I$2:$I$761,Dati!$H$2:$H$761,$H14,Dati!$A$2:$A$761,$AI14),"-")</f>
        <v/>
      </c>
      <c r="BF14" s="22">
        <f>IF(AND($H14&lt;&gt;"",$AJ14&lt;&gt;"",$H14&lt;&gt;$AJ14,IFERROR(VLOOKUP($H14,areaCercaPuntiClassificaSquadra,3,FALSE),-1)=IFERROR(VLOOKUP($AJ14,areaCercaPuntiClassificaSquadra,3,FALSE),-2)),SUMIFS(Dati!$B$2:$B$761,Dati!$A$2:$A$761,$H14,Dati!$H$2:$H$761,$AJ14)+SUMIFS(Dati!$I$2:$I$761,Dati!$H$2:$H$761,$H14,Dati!$A$2:$A$761,$AJ14),"-")</f>
        <v/>
      </c>
      <c r="BG14" s="22">
        <f>IF(AND($H14&lt;&gt;"",$AK14&lt;&gt;"",$H14&lt;&gt;$AK14,IFERROR(VLOOKUP($H14,areaCercaPuntiClassificaSquadra,3,FALSE),-1)=IFERROR(VLOOKUP($AK14,areaCercaPuntiClassificaSquadra,3,FALSE),-2)),SUMIFS(Dati!$B$2:$B$761,Dati!$A$2:$A$761,$H14,Dati!$H$2:$H$761,$AK14)+SUMIFS(Dati!$I$2:$I$761,Dati!$H$2:$H$761,$H14,Dati!$A$2:$A$761,$AK14),"-")</f>
        <v/>
      </c>
      <c r="BH14" s="22">
        <f>IF(AND($H14&lt;&gt;"",$AL14&lt;&gt;"",$H14&lt;&gt;$AL14,IFERROR(VLOOKUP($H14,areaCercaPuntiClassificaSquadra,3,FALSE),-1)=IFERROR(VLOOKUP($AL14,areaCercaPuntiClassificaSquadra,3,FALSE),-2)),SUMIFS(Dati!$B$2:$B$761,Dati!$A$2:$A$761,$H14,Dati!$H$2:$H$761,$AL14)+SUMIFS(Dati!$I$2:$I$761,Dati!$H$2:$H$761,$H14,Dati!$A$2:$A$761,$AL14),"-")</f>
        <v/>
      </c>
      <c r="BI14" s="22">
        <f>IF(AND($H14&lt;&gt;"",$AM14&lt;&gt;"",$H14&lt;&gt;$AM14,IFERROR(VLOOKUP($H14,areaCercaPuntiClassificaSquadra,3,FALSE),-1)=IFERROR(VLOOKUP($AM14,areaCercaPuntiClassificaSquadra,3,FALSE),-2)),SUMIFS(Dati!$B$2:$B$761,Dati!$A$2:$A$761,$H14,Dati!$H$2:$H$761,$AM14)+SUMIFS(Dati!$I$2:$I$761,Dati!$H$2:$H$761,$H14,Dati!$A$2:$A$761,$AM14),"-")</f>
        <v/>
      </c>
      <c r="BJ14" s="22">
        <f>IF(AND($H14&lt;&gt;"",$AN14&lt;&gt;"",$H14&lt;&gt;$AN14,IFERROR(VLOOKUP($H14,areaCercaPuntiClassificaSquadra,3,FALSE),-1)=IFERROR(VLOOKUP($AN14,areaCercaPuntiClassificaSquadra,3,FALSE),-2)),SUMIFS(Dati!$B$2:$B$761,Dati!$A$2:$A$761,$H14,Dati!$H$2:$H$761,$AN14)+SUMIFS(Dati!$I$2:$I$761,Dati!$H$2:$H$761,$H14,Dati!$A$2:$A$761,$AN14),"-")</f>
        <v/>
      </c>
      <c r="BK14" s="22">
        <f>IF(AND($H14&lt;&gt;"",$AO14&lt;&gt;"",$H14&lt;&gt;$AO14,IFERROR(VLOOKUP($H14,areaCercaPuntiClassificaSquadra,3,FALSE),-1)=IFERROR(VLOOKUP($AO14,areaCercaPuntiClassificaSquadra,3,FALSE),-2)),SUMIFS(Dati!$B$2:$B$761,Dati!$A$2:$A$761,$H14,Dati!$H$2:$H$761,$AO14)+SUMIFS(Dati!$I$2:$I$761,Dati!$H$2:$H$761,$H14,Dati!$A$2:$A$761,$AO14),"-")</f>
        <v/>
      </c>
      <c r="BL14" s="22">
        <f>IF(AND($H14&lt;&gt;"",$AP14&lt;&gt;"",$H14&lt;&gt;$AP14,IFERROR(VLOOKUP($H14,areaCercaPuntiClassificaSquadra,3,FALSE),-1)=IFERROR(VLOOKUP($AP14,areaCercaPuntiClassificaSquadra,3,FALSE),-2)),SUMIFS(Dati!$B$2:$B$761,Dati!$A$2:$A$761,$H14,Dati!$H$2:$H$761,$AP14)+SUMIFS(Dati!$I$2:$I$761,Dati!$H$2:$H$761,$H14,Dati!$A$2:$A$761,$AP14),"-")</f>
        <v/>
      </c>
      <c r="BM14" s="22">
        <f>IF(AND($H14&lt;&gt;"",$AQ14&lt;&gt;"",$H14&lt;&gt;$AQ14,IFERROR(VLOOKUP($H14,areaCercaPuntiClassificaSquadra,3,FALSE),-1)=IFERROR(VLOOKUP($AQ14,areaCercaPuntiClassificaSquadra,3,FALSE),-2)),SUMIFS(Dati!$B$2:$B$761,Dati!$A$2:$A$761,$H14,Dati!$H$2:$H$761,$AQ14)+SUMIFS(Dati!$I$2:$I$761,Dati!$H$2:$H$761,$H14,Dati!$A$2:$A$761,$AQ14),"-")</f>
        <v/>
      </c>
      <c r="BN14" s="22">
        <f>IF(AND($H14&lt;&gt;"",$AR14&lt;&gt;"",$H14&lt;&gt;$AR14,IFERROR(VLOOKUP($H14,areaCercaPuntiClassificaSquadra,3,FALSE),-1)=IFERROR(VLOOKUP($AR14,areaCercaPuntiClassificaSquadra,3,FALSE),-2)),SUMIFS(Dati!$B$2:$B$761,Dati!$A$2:$A$761,$H14,Dati!$H$2:$H$761,$AR14)+SUMIFS(Dati!$I$2:$I$761,Dati!$H$2:$H$761,$H14,Dati!$A$2:$A$761,$AR14),"-")</f>
        <v/>
      </c>
      <c r="BP14" s="21">
        <f>$C14</f>
        <v/>
      </c>
      <c r="BQ14" s="22">
        <f>IF(AND($H14&lt;&gt;"",$Y14&lt;&gt;"",$H14&lt;&gt;$Y14,IFERROR(VLOOKUP($H14,areaCercaPuntiClassificaSquadra,3,FALSE),-1)=IFERROR(VLOOKUP($Y14,areaCercaPuntiClassificaSquadra,3,FALSE),-2)),SUMIFS(Dati!$D$2:$D$761,Dati!$A$2:$A$761,$H14,Dati!$H$2:$H$761,$Y14)+SUMIFS(Dati!$K$2:$K$761,Dati!$H$2:$H$761,$H14,Dati!$A$2:$A$761,$Y14)+SUMIFS(Dati!$C$2:$C$761,Dati!$A$2:$A$761,$H14,Dati!$H$2:$H$761,$Y14)+SUMIFS(Dati!$J$2:$J$761,Dati!$H$2:$H$761,$H14,Dati!$A$2:$A$761,$Y14),"-")</f>
        <v/>
      </c>
      <c r="BR14" s="22">
        <f>IF(AND($H14&lt;&gt;"",$Z14&lt;&gt;"",$H14&lt;&gt;$Z14,IFERROR(VLOOKUP($H14,areaCercaPuntiClassificaSquadra,3,FALSE),-1)=IFERROR(VLOOKUP($Z14,areaCercaPuntiClassificaSquadra,3,FALSE),-2)),SUMIFS(Dati!$D$2:$D$761,Dati!$A$2:$A$761,$H14,Dati!$H$2:$H$761,$Z14)+SUMIFS(Dati!$K$2:$K$761,Dati!$H$2:$H$761,$H14,Dati!$A$2:$A$761,$Z14)+SUMIFS(Dati!$C$2:$C$761,Dati!$A$2:$A$761,$H14,Dati!$H$2:$H$761,$Z14)+SUMIFS(Dati!$J$2:$J$761,Dati!$H$2:$H$761,$H14,Dati!$A$2:$A$761,$Z14),"-")</f>
        <v/>
      </c>
      <c r="BS14" s="22">
        <f>IF(AND($H14&lt;&gt;"",$AA14&lt;&gt;"",$H14&lt;&gt;$AA14,IFERROR(VLOOKUP($H14,areaCercaPuntiClassificaSquadra,3,FALSE),-1)=IFERROR(VLOOKUP($AA14,areaCercaPuntiClassificaSquadra,3,FALSE),-2)),SUMIFS(Dati!$D$2:$D$761,Dati!$A$2:$A$761,$H14,Dati!$H$2:$H$761,$AA14)+SUMIFS(Dati!$K$2:$K$761,Dati!$H$2:$H$761,$H14,Dati!$A$2:$A$761,$AA14)+SUMIFS(Dati!$C$2:$C$761,Dati!$A$2:$A$761,$H14,Dati!$H$2:$H$761,$AA14)+SUMIFS(Dati!$J$2:$J$761,Dati!$H$2:$H$761,$H14,Dati!$A$2:$A$761,$AA14),"-")</f>
        <v/>
      </c>
      <c r="BT14" s="22">
        <f>IF(AND($H14&lt;&gt;"",$AB14&lt;&gt;"",$H14&lt;&gt;$AB14,IFERROR(VLOOKUP($H14,areaCercaPuntiClassificaSquadra,3,FALSE),-1)=IFERROR(VLOOKUP($AB14,areaCercaPuntiClassificaSquadra,3,FALSE),-2)),SUMIFS(Dati!$D$2:$D$761,Dati!$A$2:$A$761,$H14,Dati!$H$2:$H$761,$AB14)+SUMIFS(Dati!$K$2:$K$761,Dati!$H$2:$H$761,$H14,Dati!$A$2:$A$761,$AB14)+SUMIFS(Dati!$C$2:$C$761,Dati!$A$2:$A$761,$H14,Dati!$H$2:$H$761,$AB14)+SUMIFS(Dati!$J$2:$J$761,Dati!$H$2:$H$761,$H14,Dati!$A$2:$A$761,$AB14),"-")</f>
        <v/>
      </c>
      <c r="BU14" s="22">
        <f>IF(AND($H14&lt;&gt;"",$AC14&lt;&gt;"",$H14&lt;&gt;$AC14,IFERROR(VLOOKUP($H14,areaCercaPuntiClassificaSquadra,3,FALSE),-1)=IFERROR(VLOOKUP($AC14,areaCercaPuntiClassificaSquadra,3,FALSE),-2)),SUMIFS(Dati!$D$2:$D$761,Dati!$A$2:$A$761,$H14,Dati!$H$2:$H$761,$AC14)+SUMIFS(Dati!$K$2:$K$761,Dati!$H$2:$H$761,$H14,Dati!$A$2:$A$761,$AC14)+SUMIFS(Dati!$C$2:$C$761,Dati!$A$2:$A$761,$H14,Dati!$H$2:$H$761,$AC14)+SUMIFS(Dati!$J$2:$J$761,Dati!$H$2:$H$761,$H14,Dati!$A$2:$A$761,$AC14),"-")</f>
        <v/>
      </c>
      <c r="BV14" s="22">
        <f>IF(AND($H14&lt;&gt;"",$AD14&lt;&gt;"",$H14&lt;&gt;$AD14,IFERROR(VLOOKUP($H14,areaCercaPuntiClassificaSquadra,3,FALSE),-1)=IFERROR(VLOOKUP($AD14,areaCercaPuntiClassificaSquadra,3,FALSE),-2)),SUMIFS(Dati!$D$2:$D$761,Dati!$A$2:$A$761,$H14,Dati!$H$2:$H$761,$AD14)+SUMIFS(Dati!$K$2:$K$761,Dati!$H$2:$H$761,$H14,Dati!$A$2:$A$761,$AD14)+SUMIFS(Dati!$C$2:$C$761,Dati!$A$2:$A$761,$H14,Dati!$H$2:$H$761,$AD14)+SUMIFS(Dati!$J$2:$J$761,Dati!$H$2:$H$761,$H14,Dati!$A$2:$A$761,$AD14),"-")</f>
        <v/>
      </c>
      <c r="BW14" s="22">
        <f>IF(AND($H14&lt;&gt;"",$AE14&lt;&gt;"",$H14&lt;&gt;$AE14,IFERROR(VLOOKUP($H14,areaCercaPuntiClassificaSquadra,3,FALSE),-1)=IFERROR(VLOOKUP($AE14,areaCercaPuntiClassificaSquadra,3,FALSE),-2)),SUMIFS(Dati!$D$2:$D$761,Dati!$A$2:$A$761,$H14,Dati!$H$2:$H$761,$AE14)+SUMIFS(Dati!$K$2:$K$761,Dati!$H$2:$H$761,$H14,Dati!$A$2:$A$761,$AE14)+SUMIFS(Dati!$C$2:$C$761,Dati!$A$2:$A$761,$H14,Dati!$H$2:$H$761,$AE14)+SUMIFS(Dati!$J$2:$J$761,Dati!$H$2:$H$761,$H14,Dati!$A$2:$A$761,$AE14),"-")</f>
        <v/>
      </c>
      <c r="BX14" s="22">
        <f>IF(AND($H14&lt;&gt;"",$AF14&lt;&gt;"",$H14&lt;&gt;$AF14,IFERROR(VLOOKUP($H14,areaCercaPuntiClassificaSquadra,3,FALSE),-1)=IFERROR(VLOOKUP($AF14,areaCercaPuntiClassificaSquadra,3,FALSE),-2)),SUMIFS(Dati!$D$2:$D$761,Dati!$A$2:$A$761,$H14,Dati!$H$2:$H$761,$AF14)+SUMIFS(Dati!$K$2:$K$761,Dati!$H$2:$H$761,$H14,Dati!$A$2:$A$761,$AF14)+SUMIFS(Dati!$C$2:$C$761,Dati!$A$2:$A$761,$H14,Dati!$H$2:$H$761,$AF14)+SUMIFS(Dati!$J$2:$J$761,Dati!$H$2:$H$761,$H14,Dati!$A$2:$A$761,$AF14),"-")</f>
        <v/>
      </c>
      <c r="BY14" s="22">
        <f>IF(AND($H14&lt;&gt;"",$AG14&lt;&gt;"",$H14&lt;&gt;$AG14,IFERROR(VLOOKUP($H14,areaCercaPuntiClassificaSquadra,3,FALSE),-1)=IFERROR(VLOOKUP($AG14,areaCercaPuntiClassificaSquadra,3,FALSE),-2)),SUMIFS(Dati!$D$2:$D$761,Dati!$A$2:$A$761,$H14,Dati!$H$2:$H$761,$AG14)+SUMIFS(Dati!$K$2:$K$761,Dati!$H$2:$H$761,$H14,Dati!$A$2:$A$761,$AG14)+SUMIFS(Dati!$C$2:$C$761,Dati!$A$2:$A$761,$H14,Dati!$H$2:$H$761,$AG14)+SUMIFS(Dati!$J$2:$J$761,Dati!$H$2:$H$761,$H14,Dati!$A$2:$A$761,$AG14),"-")</f>
        <v/>
      </c>
      <c r="BZ14" s="22">
        <f>IF(AND($H14&lt;&gt;"",$AH14&lt;&gt;"",$H14&lt;&gt;$AH14,IFERROR(VLOOKUP($H14,areaCercaPuntiClassificaSquadra,3,FALSE),-1)=IFERROR(VLOOKUP($AH14,areaCercaPuntiClassificaSquadra,3,FALSE),-2)),SUMIFS(Dati!$D$2:$D$761,Dati!$A$2:$A$761,$H14,Dati!$H$2:$H$761,$AH14)+SUMIFS(Dati!$K$2:$K$761,Dati!$H$2:$H$761,$H14,Dati!$A$2:$A$761,$AH14)+SUMIFS(Dati!$C$2:$C$761,Dati!$A$2:$A$761,$H14,Dati!$H$2:$H$761,$AH14)+SUMIFS(Dati!$J$2:$J$761,Dati!$H$2:$H$761,$H14,Dati!$A$2:$A$761,$AH14),"-")</f>
        <v/>
      </c>
      <c r="CA14" s="22">
        <f>IF(AND($H14&lt;&gt;"",$AI14&lt;&gt;"",$H14&lt;&gt;$AI14,IFERROR(VLOOKUP($H14,areaCercaPuntiClassificaSquadra,3,FALSE),-1)=IFERROR(VLOOKUP($AI14,areaCercaPuntiClassificaSquadra,3,FALSE),-2)),SUMIFS(Dati!$D$2:$D$761,Dati!$A$2:$A$761,$H14,Dati!$H$2:$H$761,$AI14)+SUMIFS(Dati!$K$2:$K$761,Dati!$H$2:$H$761,$H14,Dati!$A$2:$A$761,$AI14)+SUMIFS(Dati!$C$2:$C$761,Dati!$A$2:$A$761,$H14,Dati!$H$2:$H$761,$AI14)+SUMIFS(Dati!$J$2:$J$761,Dati!$H$2:$H$761,$H14,Dati!$A$2:$A$761,$AI14),"-")</f>
        <v/>
      </c>
      <c r="CB14" s="22">
        <f>IF(AND($H14&lt;&gt;"",$AJ14&lt;&gt;"",$H14&lt;&gt;$AJ14,IFERROR(VLOOKUP($H14,areaCercaPuntiClassificaSquadra,3,FALSE),-1)=IFERROR(VLOOKUP($AJ14,areaCercaPuntiClassificaSquadra,3,FALSE),-2)),SUMIFS(Dati!$D$2:$D$761,Dati!$A$2:$A$761,$H14,Dati!$H$2:$H$761,$AJ14)+SUMIFS(Dati!$K$2:$K$761,Dati!$H$2:$H$761,$H14,Dati!$A$2:$A$761,$AJ14)+SUMIFS(Dati!$C$2:$C$761,Dati!$A$2:$A$761,$H14,Dati!$H$2:$H$761,$AJ14)+SUMIFS(Dati!$J$2:$J$761,Dati!$H$2:$H$761,$H14,Dati!$A$2:$A$761,$AJ14),"-")</f>
        <v/>
      </c>
      <c r="CC14" s="22">
        <f>IF(AND($H14&lt;&gt;"",$AK14&lt;&gt;"",$H14&lt;&gt;$AK14,IFERROR(VLOOKUP($H14,areaCercaPuntiClassificaSquadra,3,FALSE),-1)=IFERROR(VLOOKUP($AK14,areaCercaPuntiClassificaSquadra,3,FALSE),-2)),SUMIFS(Dati!$D$2:$D$761,Dati!$A$2:$A$761,$H14,Dati!$H$2:$H$761,$AK14)+SUMIFS(Dati!$K$2:$K$761,Dati!$H$2:$H$761,$H14,Dati!$A$2:$A$761,$AK14)+SUMIFS(Dati!$C$2:$C$761,Dati!$A$2:$A$761,$H14,Dati!$H$2:$H$761,$AK14)+SUMIFS(Dati!$J$2:$J$761,Dati!$H$2:$H$761,$H14,Dati!$A$2:$A$761,$AK14),"-")</f>
        <v/>
      </c>
      <c r="CD14" s="22">
        <f>IF(AND($H14&lt;&gt;"",$AL14&lt;&gt;"",$H14&lt;&gt;$AL14,IFERROR(VLOOKUP($H14,areaCercaPuntiClassificaSquadra,3,FALSE),-1)=IFERROR(VLOOKUP($AL14,areaCercaPuntiClassificaSquadra,3,FALSE),-2)),SUMIFS(Dati!$D$2:$D$761,Dati!$A$2:$A$761,$H14,Dati!$H$2:$H$761,$AL14)+SUMIFS(Dati!$K$2:$K$761,Dati!$H$2:$H$761,$H14,Dati!$A$2:$A$761,$AL14)+SUMIFS(Dati!$C$2:$C$761,Dati!$A$2:$A$761,$H14,Dati!$H$2:$H$761,$AL14)+SUMIFS(Dati!$J$2:$J$761,Dati!$H$2:$H$761,$H14,Dati!$A$2:$A$761,$AL14),"-")</f>
        <v/>
      </c>
      <c r="CE14" s="22">
        <f>IF(AND($H14&lt;&gt;"",$AM14&lt;&gt;"",$H14&lt;&gt;$AM14,IFERROR(VLOOKUP($H14,areaCercaPuntiClassificaSquadra,3,FALSE),-1)=IFERROR(VLOOKUP($AM14,areaCercaPuntiClassificaSquadra,3,FALSE),-2)),SUMIFS(Dati!$D$2:$D$761,Dati!$A$2:$A$761,$H14,Dati!$H$2:$H$761,$AM14)+SUMIFS(Dati!$K$2:$K$761,Dati!$H$2:$H$761,$H14,Dati!$A$2:$A$761,$AM14)+SUMIFS(Dati!$C$2:$C$761,Dati!$A$2:$A$761,$H14,Dati!$H$2:$H$761,$AM14)+SUMIFS(Dati!$J$2:$J$761,Dati!$H$2:$H$761,$H14,Dati!$A$2:$A$761,$AM14),"-")</f>
        <v/>
      </c>
      <c r="CF14" s="22">
        <f>IF(AND($H14&lt;&gt;"",$AN14&lt;&gt;"",$H14&lt;&gt;$AN14,IFERROR(VLOOKUP($H14,areaCercaPuntiClassificaSquadra,3,FALSE),-1)=IFERROR(VLOOKUP($AN14,areaCercaPuntiClassificaSquadra,3,FALSE),-2)),SUMIFS(Dati!$D$2:$D$761,Dati!$A$2:$A$761,$H14,Dati!$H$2:$H$761,$AN14)+SUMIFS(Dati!$K$2:$K$761,Dati!$H$2:$H$761,$H14,Dati!$A$2:$A$761,$AN14)+SUMIFS(Dati!$C$2:$C$761,Dati!$A$2:$A$761,$H14,Dati!$H$2:$H$761,$AN14)+SUMIFS(Dati!$J$2:$J$761,Dati!$H$2:$H$761,$H14,Dati!$A$2:$A$761,$AN14),"-")</f>
        <v/>
      </c>
      <c r="CG14" s="22">
        <f>IF(AND($H14&lt;&gt;"",$AO14&lt;&gt;"",$H14&lt;&gt;$AO14,IFERROR(VLOOKUP($H14,areaCercaPuntiClassificaSquadra,3,FALSE),-1)=IFERROR(VLOOKUP($AO14,areaCercaPuntiClassificaSquadra,3,FALSE),-2)),SUMIFS(Dati!$D$2:$D$761,Dati!$A$2:$A$761,$H14,Dati!$H$2:$H$761,$AO14)+SUMIFS(Dati!$K$2:$K$761,Dati!$H$2:$H$761,$H14,Dati!$A$2:$A$761,$AO14)+SUMIFS(Dati!$C$2:$C$761,Dati!$A$2:$A$761,$H14,Dati!$H$2:$H$761,$AO14)+SUMIFS(Dati!$J$2:$J$761,Dati!$H$2:$H$761,$H14,Dati!$A$2:$A$761,$AO14),"-")</f>
        <v/>
      </c>
      <c r="CH14" s="22">
        <f>IF(AND($H14&lt;&gt;"",$AP14&lt;&gt;"",$H14&lt;&gt;$AP14,IFERROR(VLOOKUP($H14,areaCercaPuntiClassificaSquadra,3,FALSE),-1)=IFERROR(VLOOKUP($AP14,areaCercaPuntiClassificaSquadra,3,FALSE),-2)),SUMIFS(Dati!$D$2:$D$761,Dati!$A$2:$A$761,$H14,Dati!$H$2:$H$761,$AP14)+SUMIFS(Dati!$K$2:$K$761,Dati!$H$2:$H$761,$H14,Dati!$A$2:$A$761,$AP14)+SUMIFS(Dati!$C$2:$C$761,Dati!$A$2:$A$761,$H14,Dati!$H$2:$H$761,$AP14)+SUMIFS(Dati!$J$2:$J$761,Dati!$H$2:$H$761,$H14,Dati!$A$2:$A$761,$AP14),"-")</f>
        <v/>
      </c>
      <c r="CI14" s="22">
        <f>IF(AND($H14&lt;&gt;"",$AQ14&lt;&gt;"",$H14&lt;&gt;$AQ14,IFERROR(VLOOKUP($H14,areaCercaPuntiClassificaSquadra,3,FALSE),-1)=IFERROR(VLOOKUP($AQ14,areaCercaPuntiClassificaSquadra,3,FALSE),-2)),SUMIFS(Dati!$D$2:$D$761,Dati!$A$2:$A$761,$H14,Dati!$H$2:$H$761,$AQ14)+SUMIFS(Dati!$K$2:$K$761,Dati!$H$2:$H$761,$H14,Dati!$A$2:$A$761,$AQ14)+SUMIFS(Dati!$C$2:$C$761,Dati!$A$2:$A$761,$H14,Dati!$H$2:$H$761,$AQ14)+SUMIFS(Dati!$J$2:$J$761,Dati!$H$2:$H$761,$H14,Dati!$A$2:$A$761,$AQ14),"-")</f>
        <v/>
      </c>
      <c r="CJ14" s="22">
        <f>IF(AND($H14&lt;&gt;"",$AR14&lt;&gt;"",$H14&lt;&gt;$AR14,IFERROR(VLOOKUP($H14,areaCercaPuntiClassificaSquadra,3,FALSE),-1)=IFERROR(VLOOKUP($AR14,areaCercaPuntiClassificaSquadra,3,FALSE),-2)),SUMIFS(Dati!$D$2:$D$761,Dati!$A$2:$A$761,$H14,Dati!$H$2:$H$761,$AR14)+SUMIFS(Dati!$K$2:$K$761,Dati!$H$2:$H$761,$H14,Dati!$A$2:$A$761,$AR14)+SUMIFS(Dati!$C$2:$C$761,Dati!$A$2:$A$761,$H14,Dati!$H$2:$H$761,$AR14)+SUMIFS(Dati!$J$2:$J$761,Dati!$H$2:$H$761,$H14,Dati!$A$2:$A$761,$AR14),"-")</f>
        <v/>
      </c>
      <c r="CL14" s="21">
        <f>$C14</f>
        <v/>
      </c>
      <c r="CM14" s="22">
        <f>IF(AND($H14&lt;&gt;"",$Y14&lt;&gt;"",$H14&lt;&gt;$Y14,IFERROR(VLOOKUP($H14,areaCercaPuntiClassificaSquadra,3,FALSE),-1)=IFERROR(VLOOKUP($Y14,areaCercaPuntiClassificaSquadra,3,FALSE),-2)),SUMIFS(Dati!$E$2:$E$761,Dati!$A$2:$A$761,$H14,Dati!$H$2:$H$761,$Y14)+SUMIFS(Dati!$L$2:$L$761,Dati!$H$2:$H$761,$H14,Dati!$A$2:$A$761,$Y14),"-")</f>
        <v/>
      </c>
      <c r="CN14" s="22">
        <f>IF(AND($H14&lt;&gt;"",$Z14&lt;&gt;"",$H14&lt;&gt;$Z14,IFERROR(VLOOKUP($H14,areaCercaPuntiClassificaSquadra,3,FALSE),-1)=IFERROR(VLOOKUP($Z14,areaCercaPuntiClassificaSquadra,3,FALSE),-2)),SUMIFS(Dati!$E$2:$E$761,Dati!$A$2:$A$761,$H14,Dati!$H$2:$H$761,$Z14)+SUMIFS(Dati!$L$2:$L$761,Dati!$H$2:$H$761,$H14,Dati!$A$2:$A$761,$Z14),"-")</f>
        <v/>
      </c>
      <c r="CO14" s="22">
        <f>IF(AND($H14&lt;&gt;"",$AA14&lt;&gt;"",$H14&lt;&gt;$AA14,IFERROR(VLOOKUP($H14,areaCercaPuntiClassificaSquadra,3,FALSE),-1)=IFERROR(VLOOKUP($AA14,areaCercaPuntiClassificaSquadra,3,FALSE),-2)),SUMIFS(Dati!$E$2:$E$761,Dati!$A$2:$A$761,$H14,Dati!$H$2:$H$761,$AA14)+SUMIFS(Dati!$L$2:$L$761,Dati!$H$2:$H$761,$H14,Dati!$A$2:$A$761,$AA14),"-")</f>
        <v/>
      </c>
      <c r="CP14" s="22">
        <f>IF(AND($H14&lt;&gt;"",$AB14&lt;&gt;"",$H14&lt;&gt;$AB14,IFERROR(VLOOKUP($H14,areaCercaPuntiClassificaSquadra,3,FALSE),-1)=IFERROR(VLOOKUP($AB14,areaCercaPuntiClassificaSquadra,3,FALSE),-2)),SUMIFS(Dati!$E$2:$E$761,Dati!$A$2:$A$761,$H14,Dati!$H$2:$H$761,$AB14)+SUMIFS(Dati!$L$2:$L$761,Dati!$H$2:$H$761,$H14,Dati!$A$2:$A$761,$AB14),"-")</f>
        <v/>
      </c>
      <c r="CQ14" s="22">
        <f>IF(AND($H14&lt;&gt;"",$AC14&lt;&gt;"",$H14&lt;&gt;$AC14,IFERROR(VLOOKUP($H14,areaCercaPuntiClassificaSquadra,3,FALSE),-1)=IFERROR(VLOOKUP($AC14,areaCercaPuntiClassificaSquadra,3,FALSE),-2)),SUMIFS(Dati!$E$2:$E$761,Dati!$A$2:$A$761,$H14,Dati!$H$2:$H$761,$AC14)+SUMIFS(Dati!$L$2:$L$761,Dati!$H$2:$H$761,$H14,Dati!$A$2:$A$761,$AC14),"-")</f>
        <v/>
      </c>
      <c r="CR14" s="22">
        <f>IF(AND($H14&lt;&gt;"",$AD14&lt;&gt;"",$H14&lt;&gt;$AD14,IFERROR(VLOOKUP($H14,areaCercaPuntiClassificaSquadra,3,FALSE),-1)=IFERROR(VLOOKUP($AD14,areaCercaPuntiClassificaSquadra,3,FALSE),-2)),SUMIFS(Dati!$E$2:$E$761,Dati!$A$2:$A$761,$H14,Dati!$H$2:$H$761,$AD14)+SUMIFS(Dati!$L$2:$L$761,Dati!$H$2:$H$761,$H14,Dati!$A$2:$A$761,$AD14),"-")</f>
        <v/>
      </c>
      <c r="CS14" s="22">
        <f>IF(AND($H14&lt;&gt;"",$AE14&lt;&gt;"",$H14&lt;&gt;$AE14,IFERROR(VLOOKUP($H14,areaCercaPuntiClassificaSquadra,3,FALSE),-1)=IFERROR(VLOOKUP($AE14,areaCercaPuntiClassificaSquadra,3,FALSE),-2)),SUMIFS(Dati!$E$2:$E$761,Dati!$A$2:$A$761,$H14,Dati!$H$2:$H$761,$AE14)+SUMIFS(Dati!$L$2:$L$761,Dati!$H$2:$H$761,$H14,Dati!$A$2:$A$761,$AE14),"-")</f>
        <v/>
      </c>
      <c r="CT14" s="22">
        <f>IF(AND($H14&lt;&gt;"",$AF14&lt;&gt;"",$H14&lt;&gt;$AF14,IFERROR(VLOOKUP($H14,areaCercaPuntiClassificaSquadra,3,FALSE),-1)=IFERROR(VLOOKUP($AF14,areaCercaPuntiClassificaSquadra,3,FALSE),-2)),SUMIFS(Dati!$E$2:$E$761,Dati!$A$2:$A$761,$H14,Dati!$H$2:$H$761,$AF14)+SUMIFS(Dati!$L$2:$L$761,Dati!$H$2:$H$761,$H14,Dati!$A$2:$A$761,$AF14),"-")</f>
        <v/>
      </c>
      <c r="CU14" s="22">
        <f>IF(AND($H14&lt;&gt;"",$AG14&lt;&gt;"",$H14&lt;&gt;$AG14,IFERROR(VLOOKUP($H14,areaCercaPuntiClassificaSquadra,3,FALSE),-1)=IFERROR(VLOOKUP($AG14,areaCercaPuntiClassificaSquadra,3,FALSE),-2)),SUMIFS(Dati!$E$2:$E$761,Dati!$A$2:$A$761,$H14,Dati!$H$2:$H$761,$AG14)+SUMIFS(Dati!$L$2:$L$761,Dati!$H$2:$H$761,$H14,Dati!$A$2:$A$761,$AG14),"-")</f>
        <v/>
      </c>
      <c r="CV14" s="22">
        <f>IF(AND($H14&lt;&gt;"",$AH14&lt;&gt;"",$H14&lt;&gt;$AH14,IFERROR(VLOOKUP($H14,areaCercaPuntiClassificaSquadra,3,FALSE),-1)=IFERROR(VLOOKUP($AH14,areaCercaPuntiClassificaSquadra,3,FALSE),-2)),SUMIFS(Dati!$E$2:$E$761,Dati!$A$2:$A$761,$H14,Dati!$H$2:$H$761,$AH14)+SUMIFS(Dati!$L$2:$L$761,Dati!$H$2:$H$761,$H14,Dati!$A$2:$A$761,$AH14),"-")</f>
        <v/>
      </c>
      <c r="CW14" s="22">
        <f>IF(AND($H14&lt;&gt;"",$AI14&lt;&gt;"",$H14&lt;&gt;$AI14,IFERROR(VLOOKUP($H14,areaCercaPuntiClassificaSquadra,3,FALSE),-1)=IFERROR(VLOOKUP($AI14,areaCercaPuntiClassificaSquadra,3,FALSE),-2)),SUMIFS(Dati!$E$2:$E$761,Dati!$A$2:$A$761,$H14,Dati!$H$2:$H$761,$AI14)+SUMIFS(Dati!$L$2:$L$761,Dati!$H$2:$H$761,$H14,Dati!$A$2:$A$761,$AI14),"-")</f>
        <v/>
      </c>
      <c r="CX14" s="22">
        <f>IF(AND($H14&lt;&gt;"",$AJ14&lt;&gt;"",$H14&lt;&gt;$AJ14,IFERROR(VLOOKUP($H14,areaCercaPuntiClassificaSquadra,3,FALSE),-1)=IFERROR(VLOOKUP($AJ14,areaCercaPuntiClassificaSquadra,3,FALSE),-2)),SUMIFS(Dati!$E$2:$E$761,Dati!$A$2:$A$761,$H14,Dati!$H$2:$H$761,$AJ14)+SUMIFS(Dati!$L$2:$L$761,Dati!$H$2:$H$761,$H14,Dati!$A$2:$A$761,$AJ14),"-")</f>
        <v/>
      </c>
      <c r="CY14" s="22">
        <f>IF(AND($H14&lt;&gt;"",$AK14&lt;&gt;"",$H14&lt;&gt;$AK14,IFERROR(VLOOKUP($H14,areaCercaPuntiClassificaSquadra,3,FALSE),-1)=IFERROR(VLOOKUP($AK14,areaCercaPuntiClassificaSquadra,3,FALSE),-2)),SUMIFS(Dati!$E$2:$E$761,Dati!$A$2:$A$761,$H14,Dati!$H$2:$H$761,$AK14)+SUMIFS(Dati!$L$2:$L$761,Dati!$H$2:$H$761,$H14,Dati!$A$2:$A$761,$AK14),"-")</f>
        <v/>
      </c>
      <c r="CZ14" s="22">
        <f>IF(AND($H14&lt;&gt;"",$AL14&lt;&gt;"",$H14&lt;&gt;$AL14,IFERROR(VLOOKUP($H14,areaCercaPuntiClassificaSquadra,3,FALSE),-1)=IFERROR(VLOOKUP($AL14,areaCercaPuntiClassificaSquadra,3,FALSE),-2)),SUMIFS(Dati!$E$2:$E$761,Dati!$A$2:$A$761,$H14,Dati!$H$2:$H$761,$AL14)+SUMIFS(Dati!$L$2:$L$761,Dati!$H$2:$H$761,$H14,Dati!$A$2:$A$761,$AL14),"-")</f>
        <v/>
      </c>
      <c r="DA14" s="22">
        <f>IF(AND($H14&lt;&gt;"",$AM14&lt;&gt;"",$H14&lt;&gt;$AM14,IFERROR(VLOOKUP($H14,areaCercaPuntiClassificaSquadra,3,FALSE),-1)=IFERROR(VLOOKUP($AM14,areaCercaPuntiClassificaSquadra,3,FALSE),-2)),SUMIFS(Dati!$E$2:$E$761,Dati!$A$2:$A$761,$H14,Dati!$H$2:$H$761,$AM14)+SUMIFS(Dati!$L$2:$L$761,Dati!$H$2:$H$761,$H14,Dati!$A$2:$A$761,$AM14),"-")</f>
        <v/>
      </c>
      <c r="DB14" s="22">
        <f>IF(AND($H14&lt;&gt;"",$AN14&lt;&gt;"",$H14&lt;&gt;$AN14,IFERROR(VLOOKUP($H14,areaCercaPuntiClassificaSquadra,3,FALSE),-1)=IFERROR(VLOOKUP($AN14,areaCercaPuntiClassificaSquadra,3,FALSE),-2)),SUMIFS(Dati!$E$2:$E$761,Dati!$A$2:$A$761,$H14,Dati!$H$2:$H$761,$AN14)+SUMIFS(Dati!$L$2:$L$761,Dati!$H$2:$H$761,$H14,Dati!$A$2:$A$761,$AN14),"-")</f>
        <v/>
      </c>
      <c r="DC14" s="22">
        <f>IF(AND($H14&lt;&gt;"",$AO14&lt;&gt;"",$H14&lt;&gt;$AO14,IFERROR(VLOOKUP($H14,areaCercaPuntiClassificaSquadra,3,FALSE),-1)=IFERROR(VLOOKUP($AO14,areaCercaPuntiClassificaSquadra,3,FALSE),-2)),SUMIFS(Dati!$E$2:$E$761,Dati!$A$2:$A$761,$H14,Dati!$H$2:$H$761,$AO14)+SUMIFS(Dati!$L$2:$L$761,Dati!$H$2:$H$761,$H14,Dati!$A$2:$A$761,$AO14),"-")</f>
        <v/>
      </c>
      <c r="DD14" s="22">
        <f>IF(AND($H14&lt;&gt;"",$AP14&lt;&gt;"",$H14&lt;&gt;$AP14,IFERROR(VLOOKUP($H14,areaCercaPuntiClassificaSquadra,3,FALSE),-1)=IFERROR(VLOOKUP($AP14,areaCercaPuntiClassificaSquadra,3,FALSE),-2)),SUMIFS(Dati!$E$2:$E$761,Dati!$A$2:$A$761,$H14,Dati!$H$2:$H$761,$AP14)+SUMIFS(Dati!$L$2:$L$761,Dati!$H$2:$H$761,$H14,Dati!$A$2:$A$761,$AP14),"-")</f>
        <v/>
      </c>
      <c r="DE14" s="22">
        <f>IF(AND($H14&lt;&gt;"",$AQ14&lt;&gt;"",$H14&lt;&gt;$AQ14,IFERROR(VLOOKUP($H14,areaCercaPuntiClassificaSquadra,3,FALSE),-1)=IFERROR(VLOOKUP($AQ14,areaCercaPuntiClassificaSquadra,3,FALSE),-2)),SUMIFS(Dati!$E$2:$E$761,Dati!$A$2:$A$761,$H14,Dati!$H$2:$H$761,$AQ14)+SUMIFS(Dati!$L$2:$L$761,Dati!$H$2:$H$761,$H14,Dati!$A$2:$A$761,$AQ14),"-")</f>
        <v/>
      </c>
      <c r="DF14" s="22">
        <f>IF(AND($H14&lt;&gt;"",$AR14&lt;&gt;"",$H14&lt;&gt;$AR14,IFERROR(VLOOKUP($H14,areaCercaPuntiClassificaSquadra,3,FALSE),-1)=IFERROR(VLOOKUP($AR14,areaCercaPuntiClassificaSquadra,3,FALSE),-2)),SUMIFS(Dati!$E$2:$E$761,Dati!$A$2:$A$761,$H14,Dati!$H$2:$H$761,$AR14)+SUMIFS(Dati!$L$2:$L$761,Dati!$H$2:$H$761,$H14,Dati!$A$2:$A$761,$AR14),"-")</f>
        <v/>
      </c>
      <c r="DH14" s="21">
        <f>$C14</f>
        <v/>
      </c>
      <c r="DI14" s="22">
        <f>IF(AND($H14&lt;&gt;"",$Y14&lt;&gt;"",$H14&lt;&gt;$Y14,IFERROR(VLOOKUP($H14,areaCercaPuntiClassificaSquadra,3,FALSE),-1)=IFERROR(VLOOKUP($Y14,areaCercaPuntiClassificaSquadra,3,FALSE),-2)),SUMIFS(Dati!$F$2:$F$761,Dati!$A$2:$A$761,$H14,Dati!$H$2:$H$761,$Y14)+SUMIFS(Dati!$M$2:$M$761,Dati!$H$2:$H$761,$H14,Dati!$A$2:$A$761,$Y14),"-")</f>
        <v/>
      </c>
      <c r="DJ14" s="22">
        <f>IF(AND($H14&lt;&gt;"",$Z14&lt;&gt;"",$H14&lt;&gt;$Z14,IFERROR(VLOOKUP($H14,areaCercaPuntiClassificaSquadra,3,FALSE),-1)=IFERROR(VLOOKUP($Z14,areaCercaPuntiClassificaSquadra,3,FALSE),-2)),SUMIFS(Dati!$F$2:$F$761,Dati!$A$2:$A$761,$H14,Dati!$H$2:$H$761,$Z14)+SUMIFS(Dati!$M$2:$M$761,Dati!$H$2:$H$761,$H14,Dati!$A$2:$A$761,$Z14),"-")</f>
        <v/>
      </c>
      <c r="DK14" s="22">
        <f>IF(AND($H14&lt;&gt;"",$AA14&lt;&gt;"",$H14&lt;&gt;$AA14,IFERROR(VLOOKUP($H14,areaCercaPuntiClassificaSquadra,3,FALSE),-1)=IFERROR(VLOOKUP($AA14,areaCercaPuntiClassificaSquadra,3,FALSE),-2)),SUMIFS(Dati!$F$2:$F$761,Dati!$A$2:$A$761,$H14,Dati!$H$2:$H$761,$AA14)+SUMIFS(Dati!$M$2:$M$761,Dati!$H$2:$H$761,$H14,Dati!$A$2:$A$761,$AA14),"-")</f>
        <v/>
      </c>
      <c r="DL14" s="22">
        <f>IF(AND($H14&lt;&gt;"",$AB14&lt;&gt;"",$H14&lt;&gt;$AB14,IFERROR(VLOOKUP($H14,areaCercaPuntiClassificaSquadra,3,FALSE),-1)=IFERROR(VLOOKUP($AB14,areaCercaPuntiClassificaSquadra,3,FALSE),-2)),SUMIFS(Dati!$F$2:$F$761,Dati!$A$2:$A$761,$H14,Dati!$H$2:$H$761,$AB14)+SUMIFS(Dati!$M$2:$M$761,Dati!$H$2:$H$761,$H14,Dati!$A$2:$A$761,$AB14),"-")</f>
        <v/>
      </c>
      <c r="DM14" s="22">
        <f>IF(AND($H14&lt;&gt;"",$AC14&lt;&gt;"",$H14&lt;&gt;$AC14,IFERROR(VLOOKUP($H14,areaCercaPuntiClassificaSquadra,3,FALSE),-1)=IFERROR(VLOOKUP($AC14,areaCercaPuntiClassificaSquadra,3,FALSE),-2)),SUMIFS(Dati!$F$2:$F$761,Dati!$A$2:$A$761,$H14,Dati!$H$2:$H$761,$AC14)+SUMIFS(Dati!$M$2:$M$761,Dati!$H$2:$H$761,$H14,Dati!$A$2:$A$761,$AC14),"-")</f>
        <v/>
      </c>
      <c r="DN14" s="22">
        <f>IF(AND($H14&lt;&gt;"",$AD14&lt;&gt;"",$H14&lt;&gt;$AD14,IFERROR(VLOOKUP($H14,areaCercaPuntiClassificaSquadra,3,FALSE),-1)=IFERROR(VLOOKUP($AD14,areaCercaPuntiClassificaSquadra,3,FALSE),-2)),SUMIFS(Dati!$F$2:$F$761,Dati!$A$2:$A$761,$H14,Dati!$H$2:$H$761,$AD14)+SUMIFS(Dati!$M$2:$M$761,Dati!$H$2:$H$761,$H14,Dati!$A$2:$A$761,$AD14),"-")</f>
        <v/>
      </c>
      <c r="DO14" s="22">
        <f>IF(AND($H14&lt;&gt;"",$AE14&lt;&gt;"",$H14&lt;&gt;$AE14,IFERROR(VLOOKUP($H14,areaCercaPuntiClassificaSquadra,3,FALSE),-1)=IFERROR(VLOOKUP($AE14,areaCercaPuntiClassificaSquadra,3,FALSE),-2)),SUMIFS(Dati!$F$2:$F$761,Dati!$A$2:$A$761,$H14,Dati!$H$2:$H$761,$AE14)+SUMIFS(Dati!$M$2:$M$761,Dati!$H$2:$H$761,$H14,Dati!$A$2:$A$761,$AE14),"-")</f>
        <v/>
      </c>
      <c r="DP14" s="22">
        <f>IF(AND($H14&lt;&gt;"",$AF14&lt;&gt;"",$H14&lt;&gt;$AF14,IFERROR(VLOOKUP($H14,areaCercaPuntiClassificaSquadra,3,FALSE),-1)=IFERROR(VLOOKUP($AF14,areaCercaPuntiClassificaSquadra,3,FALSE),-2)),SUMIFS(Dati!$F$2:$F$761,Dati!$A$2:$A$761,$H14,Dati!$H$2:$H$761,$AF14)+SUMIFS(Dati!$M$2:$M$761,Dati!$H$2:$H$761,$H14,Dati!$A$2:$A$761,$AF14),"-")</f>
        <v/>
      </c>
      <c r="DQ14" s="22">
        <f>IF(AND($H14&lt;&gt;"",$AG14&lt;&gt;"",$H14&lt;&gt;$AG14,IFERROR(VLOOKUP($H14,areaCercaPuntiClassificaSquadra,3,FALSE),-1)=IFERROR(VLOOKUP($AG14,areaCercaPuntiClassificaSquadra,3,FALSE),-2)),SUMIFS(Dati!$F$2:$F$761,Dati!$A$2:$A$761,$H14,Dati!$H$2:$H$761,$AG14)+SUMIFS(Dati!$M$2:$M$761,Dati!$H$2:$H$761,$H14,Dati!$A$2:$A$761,$AG14),"-")</f>
        <v/>
      </c>
      <c r="DR14" s="22">
        <f>IF(AND($H14&lt;&gt;"",$AH14&lt;&gt;"",$H14&lt;&gt;$AH14,IFERROR(VLOOKUP($H14,areaCercaPuntiClassificaSquadra,3,FALSE),-1)=IFERROR(VLOOKUP($AH14,areaCercaPuntiClassificaSquadra,3,FALSE),-2)),SUMIFS(Dati!$F$2:$F$761,Dati!$A$2:$A$761,$H14,Dati!$H$2:$H$761,$AH14)+SUMIFS(Dati!$M$2:$M$761,Dati!$H$2:$H$761,$H14,Dati!$A$2:$A$761,$AH14),"-")</f>
        <v/>
      </c>
      <c r="DS14" s="22">
        <f>IF(AND($H14&lt;&gt;"",$AI14&lt;&gt;"",$H14&lt;&gt;$AI14,IFERROR(VLOOKUP($H14,areaCercaPuntiClassificaSquadra,3,FALSE),-1)=IFERROR(VLOOKUP($AI14,areaCercaPuntiClassificaSquadra,3,FALSE),-2)),SUMIFS(Dati!$F$2:$F$761,Dati!$A$2:$A$761,$H14,Dati!$H$2:$H$761,$AI14)+SUMIFS(Dati!$M$2:$M$761,Dati!$H$2:$H$761,$H14,Dati!$A$2:$A$761,$AI14),"-")</f>
        <v/>
      </c>
      <c r="DT14" s="22">
        <f>IF(AND($H14&lt;&gt;"",$AJ14&lt;&gt;"",$H14&lt;&gt;$AJ14,IFERROR(VLOOKUP($H14,areaCercaPuntiClassificaSquadra,3,FALSE),-1)=IFERROR(VLOOKUP($AJ14,areaCercaPuntiClassificaSquadra,3,FALSE),-2)),SUMIFS(Dati!$F$2:$F$761,Dati!$A$2:$A$761,$H14,Dati!$H$2:$H$761,$AJ14)+SUMIFS(Dati!$M$2:$M$761,Dati!$H$2:$H$761,$H14,Dati!$A$2:$A$761,$AJ14),"-")</f>
        <v/>
      </c>
      <c r="DU14" s="22">
        <f>IF(AND($H14&lt;&gt;"",$AK14&lt;&gt;"",$H14&lt;&gt;$AK14,IFERROR(VLOOKUP($H14,areaCercaPuntiClassificaSquadra,3,FALSE),-1)=IFERROR(VLOOKUP($AK14,areaCercaPuntiClassificaSquadra,3,FALSE),-2)),SUMIFS(Dati!$F$2:$F$761,Dati!$A$2:$A$761,$H14,Dati!$H$2:$H$761,$AK14)+SUMIFS(Dati!$M$2:$M$761,Dati!$H$2:$H$761,$H14,Dati!$A$2:$A$761,$AK14),"-")</f>
        <v/>
      </c>
      <c r="DV14" s="22">
        <f>IF(AND($H14&lt;&gt;"",$AL14&lt;&gt;"",$H14&lt;&gt;$AL14,IFERROR(VLOOKUP($H14,areaCercaPuntiClassificaSquadra,3,FALSE),-1)=IFERROR(VLOOKUP($AL14,areaCercaPuntiClassificaSquadra,3,FALSE),-2)),SUMIFS(Dati!$F$2:$F$761,Dati!$A$2:$A$761,$H14,Dati!$H$2:$H$761,$AL14)+SUMIFS(Dati!$M$2:$M$761,Dati!$H$2:$H$761,$H14,Dati!$A$2:$A$761,$AL14),"-")</f>
        <v/>
      </c>
      <c r="DW14" s="22">
        <f>IF(AND($H14&lt;&gt;"",$AM14&lt;&gt;"",$H14&lt;&gt;$AM14,IFERROR(VLOOKUP($H14,areaCercaPuntiClassificaSquadra,3,FALSE),-1)=IFERROR(VLOOKUP($AM14,areaCercaPuntiClassificaSquadra,3,FALSE),-2)),SUMIFS(Dati!$F$2:$F$761,Dati!$A$2:$A$761,$H14,Dati!$H$2:$H$761,$AM14)+SUMIFS(Dati!$M$2:$M$761,Dati!$H$2:$H$761,$H14,Dati!$A$2:$A$761,$AM14),"-")</f>
        <v/>
      </c>
      <c r="DX14" s="22">
        <f>IF(AND($H14&lt;&gt;"",$AN14&lt;&gt;"",$H14&lt;&gt;$AN14,IFERROR(VLOOKUP($H14,areaCercaPuntiClassificaSquadra,3,FALSE),-1)=IFERROR(VLOOKUP($AN14,areaCercaPuntiClassificaSquadra,3,FALSE),-2)),SUMIFS(Dati!$F$2:$F$761,Dati!$A$2:$A$761,$H14,Dati!$H$2:$H$761,$AN14)+SUMIFS(Dati!$M$2:$M$761,Dati!$H$2:$H$761,$H14,Dati!$A$2:$A$761,$AN14),"-")</f>
        <v/>
      </c>
      <c r="DY14" s="22">
        <f>IF(AND($H14&lt;&gt;"",$AO14&lt;&gt;"",$H14&lt;&gt;$AO14,IFERROR(VLOOKUP($H14,areaCercaPuntiClassificaSquadra,3,FALSE),-1)=IFERROR(VLOOKUP($AO14,areaCercaPuntiClassificaSquadra,3,FALSE),-2)),SUMIFS(Dati!$F$2:$F$761,Dati!$A$2:$A$761,$H14,Dati!$H$2:$H$761,$AO14)+SUMIFS(Dati!$M$2:$M$761,Dati!$H$2:$H$761,$H14,Dati!$A$2:$A$761,$AO14),"-")</f>
        <v/>
      </c>
      <c r="DZ14" s="22">
        <f>IF(AND($H14&lt;&gt;"",$AP14&lt;&gt;"",$H14&lt;&gt;$AP14,IFERROR(VLOOKUP($H14,areaCercaPuntiClassificaSquadra,3,FALSE),-1)=IFERROR(VLOOKUP($AP14,areaCercaPuntiClassificaSquadra,3,FALSE),-2)),SUMIFS(Dati!$F$2:$F$761,Dati!$A$2:$A$761,$H14,Dati!$H$2:$H$761,$AP14)+SUMIFS(Dati!$M$2:$M$761,Dati!$H$2:$H$761,$H14,Dati!$A$2:$A$761,$AP14),"-")</f>
        <v/>
      </c>
      <c r="EA14" s="22">
        <f>IF(AND($H14&lt;&gt;"",$AQ14&lt;&gt;"",$H14&lt;&gt;$AQ14,IFERROR(VLOOKUP($H14,areaCercaPuntiClassificaSquadra,3,FALSE),-1)=IFERROR(VLOOKUP($AQ14,areaCercaPuntiClassificaSquadra,3,FALSE),-2)),SUMIFS(Dati!$F$2:$F$761,Dati!$A$2:$A$761,$H14,Dati!$H$2:$H$761,$AQ14)+SUMIFS(Dati!$M$2:$M$761,Dati!$H$2:$H$761,$H14,Dati!$A$2:$A$761,$AQ14),"-")</f>
        <v/>
      </c>
      <c r="EB14" s="22">
        <f>IF(AND($H14&lt;&gt;"",$AR14&lt;&gt;"",$H14&lt;&gt;$AR14,IFERROR(VLOOKUP($H14,areaCercaPuntiClassificaSquadra,3,FALSE),-1)=IFERROR(VLOOKUP($AR14,areaCercaPuntiClassificaSquadra,3,FALSE),-2)),SUMIFS(Dati!$F$2:$F$761,Dati!$A$2:$A$761,$H14,Dati!$H$2:$H$761,$AR14)+SUMIFS(Dati!$M$2:$M$761,Dati!$H$2:$H$761,$H14,Dati!$A$2:$A$761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inlineStr">
        <is>
          <t>Bufali Belligeranti-Bufaliopoli BE</t>
        </is>
      </c>
      <c r="D15" s="14" t="n"/>
      <c r="E15" s="15" t="inlineStr">
        <is>
          <t>A</t>
        </is>
      </c>
      <c r="G15" s="16">
        <f>IF($C15="","",$E15&amp;(COUNTIFS(I$14:I$93,"&gt;"&amp;I15,E$14:E$93,"="&amp;E15,C$14:C$93,"&lt;&gt;")+COUNTIFS(I$14:I$93,"="&amp;I15,H$14:H$93,"&lt;="&amp;H15,E$14:E$93,"="&amp;E15,C$14:C$93,"&lt;&gt;")))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L15*constPuntiVittoria+M15*constPuntiSconfitta+N15*constPuntiForfait+IF(D15="",0,D15)</f>
        <v/>
      </c>
      <c r="K15" s="12">
        <f>SUM(L15:N15)</f>
        <v/>
      </c>
      <c r="L15" s="12">
        <f>IF($H15="",0,SUMIF(Dati!$A$2:$A$761,$H15,Dati!$B$2:$B$761)+SUMIF(Dati!$H$2:$H$761,$H15,Dati!$I$2:$I$761))</f>
        <v/>
      </c>
      <c r="M15" s="12">
        <f>IF($H15="",0,SUMIF(Dati!$A$2:$A$761,$H15,Dati!$D$2:$D$761)+SUMIF(Dati!$H$2:$H$761,$H15,Dati!$K$2:$K$761))</f>
        <v/>
      </c>
      <c r="N15" s="12">
        <f>IF($H15="",0,SUMIF(Dati!$A$2:$A$761,$H15,Dati!$C$2:$C$761)+SUMIF(Dati!$H$2:$H$761,$H15,Dati!$J$2:$J$761))</f>
        <v/>
      </c>
      <c r="O15" s="12">
        <f>IF($H15="",0,SUMIF(Dati!$A$2:$A$761,$H15,Dati!$E$2:$E$761)+SUMIF(Dati!$H$2:$H$761,$H15,Dati!$L$2:$L$761))</f>
        <v/>
      </c>
      <c r="P15" s="12">
        <f>IF($H15="",0,SUMIF(Dati!$A$2:$A$761,$H15,Dati!$F$2:$F$761)+SUMIF(Dati!$H$2:$H$761,$H15,Dati!$M$2:$M$761))</f>
        <v/>
      </c>
      <c r="Q15" s="12">
        <f>IF($H15="",0,SUMIF(Dati!$A$2:$A$761,$H15,Dati!$G$2:$G$761)+SUMIF(Dati!$H$2:$H$761,$H15,Dati!$N$2:$N$761))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IF(COUNTIFS($E$14:$E$93,$E15,$J$14:$J$93,$J15,$C$14:$C$93,"&lt;&gt;")&lt;=1,"-",SUM(AU15:BN15)&amp;"-"&amp;SUM(BQ15:CJ15))</f>
        <v/>
      </c>
      <c r="V15" s="18">
        <f>IF(COUNTIFS($E$14:$E$93,$E15,$J$14:$J$93,$J15,$C$14:$C$93,"&lt;&gt;",$ED$14:$ED$93,$ED15)&lt;=1,"-",IF(SUM(DI15:EB15)=0,0,ROUND(SUM(CM15:DF15)/SUM(DI15:EB15),3)))</f>
        <v/>
      </c>
      <c r="W15" s="18">
        <f>IF(COUNTIFS($E$14:$E$93,$E15,$J$14:$J$93,$J15,$C$14:$C$93,"&lt;&gt;",$ED$14:$ED$93,$ED15,$V$14:$V$93,$V15)&lt;=1,"-",IF(P15=0,0,ROUND(O15/P15,3)))</f>
        <v/>
      </c>
      <c r="X15" s="19">
        <f>IF($C15="","",$E15&amp;"#"&amp;COUNTIFS($E$14:$E15,$E15,$C$14:$C15,"&lt;&gt;"))</f>
        <v/>
      </c>
      <c r="Y15" s="20">
        <f>IFERROR(INDEX($H$14:$H$93,MATCH($E15&amp;"#1",$X$14:$X$93,0)),"")</f>
        <v/>
      </c>
      <c r="Z15" s="20">
        <f>IFERROR(INDEX($H$14:$H$93,MATCH($E15&amp;"#2",$X$14:$X$93,0)),"")</f>
        <v/>
      </c>
      <c r="AA15" s="20">
        <f>IFERROR(INDEX($H$14:$H$93,MATCH($E15&amp;"#3",$X$14:$X$93,0)),"")</f>
        <v/>
      </c>
      <c r="AB15" s="20">
        <f>IFERROR(INDEX($H$14:$H$93,MATCH($E15&amp;"#4",$X$14:$X$93,0)),"")</f>
        <v/>
      </c>
      <c r="AC15" s="20">
        <f>IFERROR(INDEX($H$14:$H$93,MATCH($E15&amp;"#5",$X$14:$X$93,0)),"")</f>
        <v/>
      </c>
      <c r="AD15" s="20">
        <f>IFERROR(INDEX($H$14:$H$93,MATCH($E15&amp;"#6",$X$14:$X$93,0)),"")</f>
        <v/>
      </c>
      <c r="AE15" s="20">
        <f>IFERROR(INDEX($H$14:$H$93,MATCH($E15&amp;"#7",$X$14:$X$93,0)),"")</f>
        <v/>
      </c>
      <c r="AF15" s="20">
        <f>IFERROR(INDEX($H$14:$H$93,MATCH($E15&amp;"#8",$X$14:$X$93,0)),"")</f>
        <v/>
      </c>
      <c r="AG15" s="20">
        <f>IFERROR(INDEX($H$14:$H$93,MATCH($E15&amp;"#9",$X$14:$X$93,0)),"")</f>
        <v/>
      </c>
      <c r="AH15" s="20">
        <f>IFERROR(INDEX($H$14:$H$93,MATCH($E15&amp;"#10",$X$14:$X$93,0)),"")</f>
        <v/>
      </c>
      <c r="AI15" s="20">
        <f>IFERROR(INDEX($H$14:$H$93,MATCH($E15&amp;"#11",$X$14:$X$93,0)),"")</f>
        <v/>
      </c>
      <c r="AJ15" s="20">
        <f>IFERROR(INDEX($H$14:$H$93,MATCH($E15&amp;"#12",$X$14:$X$93,0)),"")</f>
        <v/>
      </c>
      <c r="AK15" s="20">
        <f>IFERROR(INDEX($H$14:$H$93,MATCH($E15&amp;"#13",$X$14:$X$93,0)),"")</f>
        <v/>
      </c>
      <c r="AL15" s="20">
        <f>IFERROR(INDEX($H$14:$H$93,MATCH($E15&amp;"#14",$X$14:$X$93,0)),"")</f>
        <v/>
      </c>
      <c r="AM15" s="20">
        <f>IFERROR(INDEX($H$14:$H$93,MATCH($E15&amp;"#15",$X$14:$X$93,0)),"")</f>
        <v/>
      </c>
      <c r="AN15" s="20">
        <f>IFERROR(INDEX($H$14:$H$93,MATCH($E15&amp;"#16",$X$14:$X$93,0)),"")</f>
        <v/>
      </c>
      <c r="AO15" s="20">
        <f>IFERROR(INDEX($H$14:$H$93,MATCH($E15&amp;"#17",$X$14:$X$93,0)),"")</f>
        <v/>
      </c>
      <c r="AP15" s="20">
        <f>IFERROR(INDEX($H$14:$H$93,MATCH($E15&amp;"#18",$X$14:$X$93,0)),"")</f>
        <v/>
      </c>
      <c r="AQ15" s="20">
        <f>IFERROR(INDEX($H$14:$H$93,MATCH($E15&amp;"#19",$X$14:$X$93,0)),"")</f>
        <v/>
      </c>
      <c r="AR15" s="20">
        <f>IFERROR(INDEX($H$14:$H$93,MATCH($E15&amp;"#20",$X$14:$X$93,0)),"")</f>
        <v/>
      </c>
      <c r="AT15" s="21">
        <f>$C15</f>
        <v/>
      </c>
      <c r="AU15" s="22">
        <f>IF(AND($H15&lt;&gt;"",$Y15&lt;&gt;"",$H15&lt;&gt;$Y15,IFERROR(VLOOKUP($H15,areaCercaPuntiClassificaSquadra,3,FALSE),-1)=IFERROR(VLOOKUP($Y15,areaCercaPuntiClassificaSquadra,3,FALSE),-2)),SUMIFS(Dati!$B$2:$B$761,Dati!$A$2:$A$761,$H15,Dati!$H$2:$H$761,$Y15)+SUMIFS(Dati!$I$2:$I$761,Dati!$H$2:$H$761,$H15,Dati!$A$2:$A$761,$Y15),"-")</f>
        <v/>
      </c>
      <c r="AV15" s="22">
        <f>IF(AND($H15&lt;&gt;"",$Z15&lt;&gt;"",$H15&lt;&gt;$Z15,IFERROR(VLOOKUP($H15,areaCercaPuntiClassificaSquadra,3,FALSE),-1)=IFERROR(VLOOKUP($Z15,areaCercaPuntiClassificaSquadra,3,FALSE),-2)),SUMIFS(Dati!$B$2:$B$761,Dati!$A$2:$A$761,$H15,Dati!$H$2:$H$761,$Z15)+SUMIFS(Dati!$I$2:$I$761,Dati!$H$2:$H$761,$H15,Dati!$A$2:$A$761,$Z15),"-")</f>
        <v/>
      </c>
      <c r="AW15" s="22">
        <f>IF(AND($H15&lt;&gt;"",$AA15&lt;&gt;"",$H15&lt;&gt;$AA15,IFERROR(VLOOKUP($H15,areaCercaPuntiClassificaSquadra,3,FALSE),-1)=IFERROR(VLOOKUP($AA15,areaCercaPuntiClassificaSquadra,3,FALSE),-2)),SUMIFS(Dati!$B$2:$B$761,Dati!$A$2:$A$761,$H15,Dati!$H$2:$H$761,$AA15)+SUMIFS(Dati!$I$2:$I$761,Dati!$H$2:$H$761,$H15,Dati!$A$2:$A$761,$AA15),"-")</f>
        <v/>
      </c>
      <c r="AX15" s="22">
        <f>IF(AND($H15&lt;&gt;"",$AB15&lt;&gt;"",$H15&lt;&gt;$AB15,IFERROR(VLOOKUP($H15,areaCercaPuntiClassificaSquadra,3,FALSE),-1)=IFERROR(VLOOKUP($AB15,areaCercaPuntiClassificaSquadra,3,FALSE),-2)),SUMIFS(Dati!$B$2:$B$761,Dati!$A$2:$A$761,$H15,Dati!$H$2:$H$761,$AB15)+SUMIFS(Dati!$I$2:$I$761,Dati!$H$2:$H$761,$H15,Dati!$A$2:$A$761,$AB15),"-")</f>
        <v/>
      </c>
      <c r="AY15" s="22">
        <f>IF(AND($H15&lt;&gt;"",$AC15&lt;&gt;"",$H15&lt;&gt;$AC15,IFERROR(VLOOKUP($H15,areaCercaPuntiClassificaSquadra,3,FALSE),-1)=IFERROR(VLOOKUP($AC15,areaCercaPuntiClassificaSquadra,3,FALSE),-2)),SUMIFS(Dati!$B$2:$B$761,Dati!$A$2:$A$761,$H15,Dati!$H$2:$H$761,$AC15)+SUMIFS(Dati!$I$2:$I$761,Dati!$H$2:$H$761,$H15,Dati!$A$2:$A$761,$AC15),"-")</f>
        <v/>
      </c>
      <c r="AZ15" s="22">
        <f>IF(AND($H15&lt;&gt;"",$AD15&lt;&gt;"",$H15&lt;&gt;$AD15,IFERROR(VLOOKUP($H15,areaCercaPuntiClassificaSquadra,3,FALSE),-1)=IFERROR(VLOOKUP($AD15,areaCercaPuntiClassificaSquadra,3,FALSE),-2)),SUMIFS(Dati!$B$2:$B$761,Dati!$A$2:$A$761,$H15,Dati!$H$2:$H$761,$AD15)+SUMIFS(Dati!$I$2:$I$761,Dati!$H$2:$H$761,$H15,Dati!$A$2:$A$761,$AD15),"-")</f>
        <v/>
      </c>
      <c r="BA15" s="22">
        <f>IF(AND($H15&lt;&gt;"",$AE15&lt;&gt;"",$H15&lt;&gt;$AE15,IFERROR(VLOOKUP($H15,areaCercaPuntiClassificaSquadra,3,FALSE),-1)=IFERROR(VLOOKUP($AE15,areaCercaPuntiClassificaSquadra,3,FALSE),-2)),SUMIFS(Dati!$B$2:$B$761,Dati!$A$2:$A$761,$H15,Dati!$H$2:$H$761,$AE15)+SUMIFS(Dati!$I$2:$I$761,Dati!$H$2:$H$761,$H15,Dati!$A$2:$A$761,$AE15),"-")</f>
        <v/>
      </c>
      <c r="BB15" s="22">
        <f>IF(AND($H15&lt;&gt;"",$AF15&lt;&gt;"",$H15&lt;&gt;$AF15,IFERROR(VLOOKUP($H15,areaCercaPuntiClassificaSquadra,3,FALSE),-1)=IFERROR(VLOOKUP($AF15,areaCercaPuntiClassificaSquadra,3,FALSE),-2)),SUMIFS(Dati!$B$2:$B$761,Dati!$A$2:$A$761,$H15,Dati!$H$2:$H$761,$AF15)+SUMIFS(Dati!$I$2:$I$761,Dati!$H$2:$H$761,$H15,Dati!$A$2:$A$761,$AF15),"-")</f>
        <v/>
      </c>
      <c r="BC15" s="22">
        <f>IF(AND($H15&lt;&gt;"",$AG15&lt;&gt;"",$H15&lt;&gt;$AG15,IFERROR(VLOOKUP($H15,areaCercaPuntiClassificaSquadra,3,FALSE),-1)=IFERROR(VLOOKUP($AG15,areaCercaPuntiClassificaSquadra,3,FALSE),-2)),SUMIFS(Dati!$B$2:$B$761,Dati!$A$2:$A$761,$H15,Dati!$H$2:$H$761,$AG15)+SUMIFS(Dati!$I$2:$I$761,Dati!$H$2:$H$761,$H15,Dati!$A$2:$A$761,$AG15),"-")</f>
        <v/>
      </c>
      <c r="BD15" s="22">
        <f>IF(AND($H15&lt;&gt;"",$AH15&lt;&gt;"",$H15&lt;&gt;$AH15,IFERROR(VLOOKUP($H15,areaCercaPuntiClassificaSquadra,3,FALSE),-1)=IFERROR(VLOOKUP($AH15,areaCercaPuntiClassificaSquadra,3,FALSE),-2)),SUMIFS(Dati!$B$2:$B$761,Dati!$A$2:$A$761,$H15,Dati!$H$2:$H$761,$AH15)+SUMIFS(Dati!$I$2:$I$761,Dati!$H$2:$H$761,$H15,Dati!$A$2:$A$761,$AH15),"-")</f>
        <v/>
      </c>
      <c r="BE15" s="22">
        <f>IF(AND($H15&lt;&gt;"",$AI15&lt;&gt;"",$H15&lt;&gt;$AI15,IFERROR(VLOOKUP($H15,areaCercaPuntiClassificaSquadra,3,FALSE),-1)=IFERROR(VLOOKUP($AI15,areaCercaPuntiClassificaSquadra,3,FALSE),-2)),SUMIFS(Dati!$B$2:$B$761,Dati!$A$2:$A$761,$H15,Dati!$H$2:$H$761,$AI15)+SUMIFS(Dati!$I$2:$I$761,Dati!$H$2:$H$761,$H15,Dati!$A$2:$A$761,$AI15),"-")</f>
        <v/>
      </c>
      <c r="BF15" s="22">
        <f>IF(AND($H15&lt;&gt;"",$AJ15&lt;&gt;"",$H15&lt;&gt;$AJ15,IFERROR(VLOOKUP($H15,areaCercaPuntiClassificaSquadra,3,FALSE),-1)=IFERROR(VLOOKUP($AJ15,areaCercaPuntiClassificaSquadra,3,FALSE),-2)),SUMIFS(Dati!$B$2:$B$761,Dati!$A$2:$A$761,$H15,Dati!$H$2:$H$761,$AJ15)+SUMIFS(Dati!$I$2:$I$761,Dati!$H$2:$H$761,$H15,Dati!$A$2:$A$761,$AJ15),"-")</f>
        <v/>
      </c>
      <c r="BG15" s="22">
        <f>IF(AND($H15&lt;&gt;"",$AK15&lt;&gt;"",$H15&lt;&gt;$AK15,IFERROR(VLOOKUP($H15,areaCercaPuntiClassificaSquadra,3,FALSE),-1)=IFERROR(VLOOKUP($AK15,areaCercaPuntiClassificaSquadra,3,FALSE),-2)),SUMIFS(Dati!$B$2:$B$761,Dati!$A$2:$A$761,$H15,Dati!$H$2:$H$761,$AK15)+SUMIFS(Dati!$I$2:$I$761,Dati!$H$2:$H$761,$H15,Dati!$A$2:$A$761,$AK15),"-")</f>
        <v/>
      </c>
      <c r="BH15" s="22">
        <f>IF(AND($H15&lt;&gt;"",$AL15&lt;&gt;"",$H15&lt;&gt;$AL15,IFERROR(VLOOKUP($H15,areaCercaPuntiClassificaSquadra,3,FALSE),-1)=IFERROR(VLOOKUP($AL15,areaCercaPuntiClassificaSquadra,3,FALSE),-2)),SUMIFS(Dati!$B$2:$B$761,Dati!$A$2:$A$761,$H15,Dati!$H$2:$H$761,$AL15)+SUMIFS(Dati!$I$2:$I$761,Dati!$H$2:$H$761,$H15,Dati!$A$2:$A$761,$AL15),"-")</f>
        <v/>
      </c>
      <c r="BI15" s="22">
        <f>IF(AND($H15&lt;&gt;"",$AM15&lt;&gt;"",$H15&lt;&gt;$AM15,IFERROR(VLOOKUP($H15,areaCercaPuntiClassificaSquadra,3,FALSE),-1)=IFERROR(VLOOKUP($AM15,areaCercaPuntiClassificaSquadra,3,FALSE),-2)),SUMIFS(Dati!$B$2:$B$761,Dati!$A$2:$A$761,$H15,Dati!$H$2:$H$761,$AM15)+SUMIFS(Dati!$I$2:$I$761,Dati!$H$2:$H$761,$H15,Dati!$A$2:$A$761,$AM15),"-")</f>
        <v/>
      </c>
      <c r="BJ15" s="22">
        <f>IF(AND($H15&lt;&gt;"",$AN15&lt;&gt;"",$H15&lt;&gt;$AN15,IFERROR(VLOOKUP($H15,areaCercaPuntiClassificaSquadra,3,FALSE),-1)=IFERROR(VLOOKUP($AN15,areaCercaPuntiClassificaSquadra,3,FALSE),-2)),SUMIFS(Dati!$B$2:$B$761,Dati!$A$2:$A$761,$H15,Dati!$H$2:$H$761,$AN15)+SUMIFS(Dati!$I$2:$I$761,Dati!$H$2:$H$761,$H15,Dati!$A$2:$A$761,$AN15),"-")</f>
        <v/>
      </c>
      <c r="BK15" s="22">
        <f>IF(AND($H15&lt;&gt;"",$AO15&lt;&gt;"",$H15&lt;&gt;$AO15,IFERROR(VLOOKUP($H15,areaCercaPuntiClassificaSquadra,3,FALSE),-1)=IFERROR(VLOOKUP($AO15,areaCercaPuntiClassificaSquadra,3,FALSE),-2)),SUMIFS(Dati!$B$2:$B$761,Dati!$A$2:$A$761,$H15,Dati!$H$2:$H$761,$AO15)+SUMIFS(Dati!$I$2:$I$761,Dati!$H$2:$H$761,$H15,Dati!$A$2:$A$761,$AO15),"-")</f>
        <v/>
      </c>
      <c r="BL15" s="22">
        <f>IF(AND($H15&lt;&gt;"",$AP15&lt;&gt;"",$H15&lt;&gt;$AP15,IFERROR(VLOOKUP($H15,areaCercaPuntiClassificaSquadra,3,FALSE),-1)=IFERROR(VLOOKUP($AP15,areaCercaPuntiClassificaSquadra,3,FALSE),-2)),SUMIFS(Dati!$B$2:$B$761,Dati!$A$2:$A$761,$H15,Dati!$H$2:$H$761,$AP15)+SUMIFS(Dati!$I$2:$I$761,Dati!$H$2:$H$761,$H15,Dati!$A$2:$A$761,$AP15),"-")</f>
        <v/>
      </c>
      <c r="BM15" s="22">
        <f>IF(AND($H15&lt;&gt;"",$AQ15&lt;&gt;"",$H15&lt;&gt;$AQ15,IFERROR(VLOOKUP($H15,areaCercaPuntiClassificaSquadra,3,FALSE),-1)=IFERROR(VLOOKUP($AQ15,areaCercaPuntiClassificaSquadra,3,FALSE),-2)),SUMIFS(Dati!$B$2:$B$761,Dati!$A$2:$A$761,$H15,Dati!$H$2:$H$761,$AQ15)+SUMIFS(Dati!$I$2:$I$761,Dati!$H$2:$H$761,$H15,Dati!$A$2:$A$761,$AQ15),"-")</f>
        <v/>
      </c>
      <c r="BN15" s="22">
        <f>IF(AND($H15&lt;&gt;"",$AR15&lt;&gt;"",$H15&lt;&gt;$AR15,IFERROR(VLOOKUP($H15,areaCercaPuntiClassificaSquadra,3,FALSE),-1)=IFERROR(VLOOKUP($AR15,areaCercaPuntiClassificaSquadra,3,FALSE),-2)),SUMIFS(Dati!$B$2:$B$761,Dati!$A$2:$A$761,$H15,Dati!$H$2:$H$761,$AR15)+SUMIFS(Dati!$I$2:$I$761,Dati!$H$2:$H$761,$H15,Dati!$A$2:$A$761,$AR15),"-")</f>
        <v/>
      </c>
      <c r="BP15" s="21">
        <f>$C15</f>
        <v/>
      </c>
      <c r="BQ15" s="22">
        <f>IF(AND($H15&lt;&gt;"",$Y15&lt;&gt;"",$H15&lt;&gt;$Y15,IFERROR(VLOOKUP($H15,areaCercaPuntiClassificaSquadra,3,FALSE),-1)=IFERROR(VLOOKUP($Y15,areaCercaPuntiClassificaSquadra,3,FALSE),-2)),SUMIFS(Dati!$D$2:$D$761,Dati!$A$2:$A$761,$H15,Dati!$H$2:$H$761,$Y15)+SUMIFS(Dati!$K$2:$K$761,Dati!$H$2:$H$761,$H15,Dati!$A$2:$A$761,$Y15)+SUMIFS(Dati!$C$2:$C$761,Dati!$A$2:$A$761,$H15,Dati!$H$2:$H$761,$Y15)+SUMIFS(Dati!$J$2:$J$761,Dati!$H$2:$H$761,$H15,Dati!$A$2:$A$761,$Y15),"-")</f>
        <v/>
      </c>
      <c r="BR15" s="22">
        <f>IF(AND($H15&lt;&gt;"",$Z15&lt;&gt;"",$H15&lt;&gt;$Z15,IFERROR(VLOOKUP($H15,areaCercaPuntiClassificaSquadra,3,FALSE),-1)=IFERROR(VLOOKUP($Z15,areaCercaPuntiClassificaSquadra,3,FALSE),-2)),SUMIFS(Dati!$D$2:$D$761,Dati!$A$2:$A$761,$H15,Dati!$H$2:$H$761,$Z15)+SUMIFS(Dati!$K$2:$K$761,Dati!$H$2:$H$761,$H15,Dati!$A$2:$A$761,$Z15)+SUMIFS(Dati!$C$2:$C$761,Dati!$A$2:$A$761,$H15,Dati!$H$2:$H$761,$Z15)+SUMIFS(Dati!$J$2:$J$761,Dati!$H$2:$H$761,$H15,Dati!$A$2:$A$761,$Z15),"-")</f>
        <v/>
      </c>
      <c r="BS15" s="22">
        <f>IF(AND($H15&lt;&gt;"",$AA15&lt;&gt;"",$H15&lt;&gt;$AA15,IFERROR(VLOOKUP($H15,areaCercaPuntiClassificaSquadra,3,FALSE),-1)=IFERROR(VLOOKUP($AA15,areaCercaPuntiClassificaSquadra,3,FALSE),-2)),SUMIFS(Dati!$D$2:$D$761,Dati!$A$2:$A$761,$H15,Dati!$H$2:$H$761,$AA15)+SUMIFS(Dati!$K$2:$K$761,Dati!$H$2:$H$761,$H15,Dati!$A$2:$A$761,$AA15)+SUMIFS(Dati!$C$2:$C$761,Dati!$A$2:$A$761,$H15,Dati!$H$2:$H$761,$AA15)+SUMIFS(Dati!$J$2:$J$761,Dati!$H$2:$H$761,$H15,Dati!$A$2:$A$761,$AA15),"-")</f>
        <v/>
      </c>
      <c r="BT15" s="22">
        <f>IF(AND($H15&lt;&gt;"",$AB15&lt;&gt;"",$H15&lt;&gt;$AB15,IFERROR(VLOOKUP($H15,areaCercaPuntiClassificaSquadra,3,FALSE),-1)=IFERROR(VLOOKUP($AB15,areaCercaPuntiClassificaSquadra,3,FALSE),-2)),SUMIFS(Dati!$D$2:$D$761,Dati!$A$2:$A$761,$H15,Dati!$H$2:$H$761,$AB15)+SUMIFS(Dati!$K$2:$K$761,Dati!$H$2:$H$761,$H15,Dati!$A$2:$A$761,$AB15)+SUMIFS(Dati!$C$2:$C$761,Dati!$A$2:$A$761,$H15,Dati!$H$2:$H$761,$AB15)+SUMIFS(Dati!$J$2:$J$761,Dati!$H$2:$H$761,$H15,Dati!$A$2:$A$761,$AB15),"-")</f>
        <v/>
      </c>
      <c r="BU15" s="22">
        <f>IF(AND($H15&lt;&gt;"",$AC15&lt;&gt;"",$H15&lt;&gt;$AC15,IFERROR(VLOOKUP($H15,areaCercaPuntiClassificaSquadra,3,FALSE),-1)=IFERROR(VLOOKUP($AC15,areaCercaPuntiClassificaSquadra,3,FALSE),-2)),SUMIFS(Dati!$D$2:$D$761,Dati!$A$2:$A$761,$H15,Dati!$H$2:$H$761,$AC15)+SUMIFS(Dati!$K$2:$K$761,Dati!$H$2:$H$761,$H15,Dati!$A$2:$A$761,$AC15)+SUMIFS(Dati!$C$2:$C$761,Dati!$A$2:$A$761,$H15,Dati!$H$2:$H$761,$AC15)+SUMIFS(Dati!$J$2:$J$761,Dati!$H$2:$H$761,$H15,Dati!$A$2:$A$761,$AC15),"-")</f>
        <v/>
      </c>
      <c r="BV15" s="22">
        <f>IF(AND($H15&lt;&gt;"",$AD15&lt;&gt;"",$H15&lt;&gt;$AD15,IFERROR(VLOOKUP($H15,areaCercaPuntiClassificaSquadra,3,FALSE),-1)=IFERROR(VLOOKUP($AD15,areaCercaPuntiClassificaSquadra,3,FALSE),-2)),SUMIFS(Dati!$D$2:$D$761,Dati!$A$2:$A$761,$H15,Dati!$H$2:$H$761,$AD15)+SUMIFS(Dati!$K$2:$K$761,Dati!$H$2:$H$761,$H15,Dati!$A$2:$A$761,$AD15)+SUMIFS(Dati!$C$2:$C$761,Dati!$A$2:$A$761,$H15,Dati!$H$2:$H$761,$AD15)+SUMIFS(Dati!$J$2:$J$761,Dati!$H$2:$H$761,$H15,Dati!$A$2:$A$761,$AD15),"-")</f>
        <v/>
      </c>
      <c r="BW15" s="22">
        <f>IF(AND($H15&lt;&gt;"",$AE15&lt;&gt;"",$H15&lt;&gt;$AE15,IFERROR(VLOOKUP($H15,areaCercaPuntiClassificaSquadra,3,FALSE),-1)=IFERROR(VLOOKUP($AE15,areaCercaPuntiClassificaSquadra,3,FALSE),-2)),SUMIFS(Dati!$D$2:$D$761,Dati!$A$2:$A$761,$H15,Dati!$H$2:$H$761,$AE15)+SUMIFS(Dati!$K$2:$K$761,Dati!$H$2:$H$761,$H15,Dati!$A$2:$A$761,$AE15)+SUMIFS(Dati!$C$2:$C$761,Dati!$A$2:$A$761,$H15,Dati!$H$2:$H$761,$AE15)+SUMIFS(Dati!$J$2:$J$761,Dati!$H$2:$H$761,$H15,Dati!$A$2:$A$761,$AE15),"-")</f>
        <v/>
      </c>
      <c r="BX15" s="22">
        <f>IF(AND($H15&lt;&gt;"",$AF15&lt;&gt;"",$H15&lt;&gt;$AF15,IFERROR(VLOOKUP($H15,areaCercaPuntiClassificaSquadra,3,FALSE),-1)=IFERROR(VLOOKUP($AF15,areaCercaPuntiClassificaSquadra,3,FALSE),-2)),SUMIFS(Dati!$D$2:$D$761,Dati!$A$2:$A$761,$H15,Dati!$H$2:$H$761,$AF15)+SUMIFS(Dati!$K$2:$K$761,Dati!$H$2:$H$761,$H15,Dati!$A$2:$A$761,$AF15)+SUMIFS(Dati!$C$2:$C$761,Dati!$A$2:$A$761,$H15,Dati!$H$2:$H$761,$AF15)+SUMIFS(Dati!$J$2:$J$761,Dati!$H$2:$H$761,$H15,Dati!$A$2:$A$761,$AF15),"-")</f>
        <v/>
      </c>
      <c r="BY15" s="22">
        <f>IF(AND($H15&lt;&gt;"",$AG15&lt;&gt;"",$H15&lt;&gt;$AG15,IFERROR(VLOOKUP($H15,areaCercaPuntiClassificaSquadra,3,FALSE),-1)=IFERROR(VLOOKUP($AG15,areaCercaPuntiClassificaSquadra,3,FALSE),-2)),SUMIFS(Dati!$D$2:$D$761,Dati!$A$2:$A$761,$H15,Dati!$H$2:$H$761,$AG15)+SUMIFS(Dati!$K$2:$K$761,Dati!$H$2:$H$761,$H15,Dati!$A$2:$A$761,$AG15)+SUMIFS(Dati!$C$2:$C$761,Dati!$A$2:$A$761,$H15,Dati!$H$2:$H$761,$AG15)+SUMIFS(Dati!$J$2:$J$761,Dati!$H$2:$H$761,$H15,Dati!$A$2:$A$761,$AG15),"-")</f>
        <v/>
      </c>
      <c r="BZ15" s="22">
        <f>IF(AND($H15&lt;&gt;"",$AH15&lt;&gt;"",$H15&lt;&gt;$AH15,IFERROR(VLOOKUP($H15,areaCercaPuntiClassificaSquadra,3,FALSE),-1)=IFERROR(VLOOKUP($AH15,areaCercaPuntiClassificaSquadra,3,FALSE),-2)),SUMIFS(Dati!$D$2:$D$761,Dati!$A$2:$A$761,$H15,Dati!$H$2:$H$761,$AH15)+SUMIFS(Dati!$K$2:$K$761,Dati!$H$2:$H$761,$H15,Dati!$A$2:$A$761,$AH15)+SUMIFS(Dati!$C$2:$C$761,Dati!$A$2:$A$761,$H15,Dati!$H$2:$H$761,$AH15)+SUMIFS(Dati!$J$2:$J$761,Dati!$H$2:$H$761,$H15,Dati!$A$2:$A$761,$AH15),"-")</f>
        <v/>
      </c>
      <c r="CA15" s="22">
        <f>IF(AND($H15&lt;&gt;"",$AI15&lt;&gt;"",$H15&lt;&gt;$AI15,IFERROR(VLOOKUP($H15,areaCercaPuntiClassificaSquadra,3,FALSE),-1)=IFERROR(VLOOKUP($AI15,areaCercaPuntiClassificaSquadra,3,FALSE),-2)),SUMIFS(Dati!$D$2:$D$761,Dati!$A$2:$A$761,$H15,Dati!$H$2:$H$761,$AI15)+SUMIFS(Dati!$K$2:$K$761,Dati!$H$2:$H$761,$H15,Dati!$A$2:$A$761,$AI15)+SUMIFS(Dati!$C$2:$C$761,Dati!$A$2:$A$761,$H15,Dati!$H$2:$H$761,$AI15)+SUMIFS(Dati!$J$2:$J$761,Dati!$H$2:$H$761,$H15,Dati!$A$2:$A$761,$AI15),"-")</f>
        <v/>
      </c>
      <c r="CB15" s="22">
        <f>IF(AND($H15&lt;&gt;"",$AJ15&lt;&gt;"",$H15&lt;&gt;$AJ15,IFERROR(VLOOKUP($H15,areaCercaPuntiClassificaSquadra,3,FALSE),-1)=IFERROR(VLOOKUP($AJ15,areaCercaPuntiClassificaSquadra,3,FALSE),-2)),SUMIFS(Dati!$D$2:$D$761,Dati!$A$2:$A$761,$H15,Dati!$H$2:$H$761,$AJ15)+SUMIFS(Dati!$K$2:$K$761,Dati!$H$2:$H$761,$H15,Dati!$A$2:$A$761,$AJ15)+SUMIFS(Dati!$C$2:$C$761,Dati!$A$2:$A$761,$H15,Dati!$H$2:$H$761,$AJ15)+SUMIFS(Dati!$J$2:$J$761,Dati!$H$2:$H$761,$H15,Dati!$A$2:$A$761,$AJ15),"-")</f>
        <v/>
      </c>
      <c r="CC15" s="22">
        <f>IF(AND($H15&lt;&gt;"",$AK15&lt;&gt;"",$H15&lt;&gt;$AK15,IFERROR(VLOOKUP($H15,areaCercaPuntiClassificaSquadra,3,FALSE),-1)=IFERROR(VLOOKUP($AK15,areaCercaPuntiClassificaSquadra,3,FALSE),-2)),SUMIFS(Dati!$D$2:$D$761,Dati!$A$2:$A$761,$H15,Dati!$H$2:$H$761,$AK15)+SUMIFS(Dati!$K$2:$K$761,Dati!$H$2:$H$761,$H15,Dati!$A$2:$A$761,$AK15)+SUMIFS(Dati!$C$2:$C$761,Dati!$A$2:$A$761,$H15,Dati!$H$2:$H$761,$AK15)+SUMIFS(Dati!$J$2:$J$761,Dati!$H$2:$H$761,$H15,Dati!$A$2:$A$761,$AK15),"-")</f>
        <v/>
      </c>
      <c r="CD15" s="22">
        <f>IF(AND($H15&lt;&gt;"",$AL15&lt;&gt;"",$H15&lt;&gt;$AL15,IFERROR(VLOOKUP($H15,areaCercaPuntiClassificaSquadra,3,FALSE),-1)=IFERROR(VLOOKUP($AL15,areaCercaPuntiClassificaSquadra,3,FALSE),-2)),SUMIFS(Dati!$D$2:$D$761,Dati!$A$2:$A$761,$H15,Dati!$H$2:$H$761,$AL15)+SUMIFS(Dati!$K$2:$K$761,Dati!$H$2:$H$761,$H15,Dati!$A$2:$A$761,$AL15)+SUMIFS(Dati!$C$2:$C$761,Dati!$A$2:$A$761,$H15,Dati!$H$2:$H$761,$AL15)+SUMIFS(Dati!$J$2:$J$761,Dati!$H$2:$H$761,$H15,Dati!$A$2:$A$761,$AL15),"-")</f>
        <v/>
      </c>
      <c r="CE15" s="22">
        <f>IF(AND($H15&lt;&gt;"",$AM15&lt;&gt;"",$H15&lt;&gt;$AM15,IFERROR(VLOOKUP($H15,areaCercaPuntiClassificaSquadra,3,FALSE),-1)=IFERROR(VLOOKUP($AM15,areaCercaPuntiClassificaSquadra,3,FALSE),-2)),SUMIFS(Dati!$D$2:$D$761,Dati!$A$2:$A$761,$H15,Dati!$H$2:$H$761,$AM15)+SUMIFS(Dati!$K$2:$K$761,Dati!$H$2:$H$761,$H15,Dati!$A$2:$A$761,$AM15)+SUMIFS(Dati!$C$2:$C$761,Dati!$A$2:$A$761,$H15,Dati!$H$2:$H$761,$AM15)+SUMIFS(Dati!$J$2:$J$761,Dati!$H$2:$H$761,$H15,Dati!$A$2:$A$761,$AM15),"-")</f>
        <v/>
      </c>
      <c r="CF15" s="22">
        <f>IF(AND($H15&lt;&gt;"",$AN15&lt;&gt;"",$H15&lt;&gt;$AN15,IFERROR(VLOOKUP($H15,areaCercaPuntiClassificaSquadra,3,FALSE),-1)=IFERROR(VLOOKUP($AN15,areaCercaPuntiClassificaSquadra,3,FALSE),-2)),SUMIFS(Dati!$D$2:$D$761,Dati!$A$2:$A$761,$H15,Dati!$H$2:$H$761,$AN15)+SUMIFS(Dati!$K$2:$K$761,Dati!$H$2:$H$761,$H15,Dati!$A$2:$A$761,$AN15)+SUMIFS(Dati!$C$2:$C$761,Dati!$A$2:$A$761,$H15,Dati!$H$2:$H$761,$AN15)+SUMIFS(Dati!$J$2:$J$761,Dati!$H$2:$H$761,$H15,Dati!$A$2:$A$761,$AN15),"-")</f>
        <v/>
      </c>
      <c r="CG15" s="22">
        <f>IF(AND($H15&lt;&gt;"",$AO15&lt;&gt;"",$H15&lt;&gt;$AO15,IFERROR(VLOOKUP($H15,areaCercaPuntiClassificaSquadra,3,FALSE),-1)=IFERROR(VLOOKUP($AO15,areaCercaPuntiClassificaSquadra,3,FALSE),-2)),SUMIFS(Dati!$D$2:$D$761,Dati!$A$2:$A$761,$H15,Dati!$H$2:$H$761,$AO15)+SUMIFS(Dati!$K$2:$K$761,Dati!$H$2:$H$761,$H15,Dati!$A$2:$A$761,$AO15)+SUMIFS(Dati!$C$2:$C$761,Dati!$A$2:$A$761,$H15,Dati!$H$2:$H$761,$AO15)+SUMIFS(Dati!$J$2:$J$761,Dati!$H$2:$H$761,$H15,Dati!$A$2:$A$761,$AO15),"-")</f>
        <v/>
      </c>
      <c r="CH15" s="22">
        <f>IF(AND($H15&lt;&gt;"",$AP15&lt;&gt;"",$H15&lt;&gt;$AP15,IFERROR(VLOOKUP($H15,areaCercaPuntiClassificaSquadra,3,FALSE),-1)=IFERROR(VLOOKUP($AP15,areaCercaPuntiClassificaSquadra,3,FALSE),-2)),SUMIFS(Dati!$D$2:$D$761,Dati!$A$2:$A$761,$H15,Dati!$H$2:$H$761,$AP15)+SUMIFS(Dati!$K$2:$K$761,Dati!$H$2:$H$761,$H15,Dati!$A$2:$A$761,$AP15)+SUMIFS(Dati!$C$2:$C$761,Dati!$A$2:$A$761,$H15,Dati!$H$2:$H$761,$AP15)+SUMIFS(Dati!$J$2:$J$761,Dati!$H$2:$H$761,$H15,Dati!$A$2:$A$761,$AP15),"-")</f>
        <v/>
      </c>
      <c r="CI15" s="22">
        <f>IF(AND($H15&lt;&gt;"",$AQ15&lt;&gt;"",$H15&lt;&gt;$AQ15,IFERROR(VLOOKUP($H15,areaCercaPuntiClassificaSquadra,3,FALSE),-1)=IFERROR(VLOOKUP($AQ15,areaCercaPuntiClassificaSquadra,3,FALSE),-2)),SUMIFS(Dati!$D$2:$D$761,Dati!$A$2:$A$761,$H15,Dati!$H$2:$H$761,$AQ15)+SUMIFS(Dati!$K$2:$K$761,Dati!$H$2:$H$761,$H15,Dati!$A$2:$A$761,$AQ15)+SUMIFS(Dati!$C$2:$C$761,Dati!$A$2:$A$761,$H15,Dati!$H$2:$H$761,$AQ15)+SUMIFS(Dati!$J$2:$J$761,Dati!$H$2:$H$761,$H15,Dati!$A$2:$A$761,$AQ15),"-")</f>
        <v/>
      </c>
      <c r="CJ15" s="22">
        <f>IF(AND($H15&lt;&gt;"",$AR15&lt;&gt;"",$H15&lt;&gt;$AR15,IFERROR(VLOOKUP($H15,areaCercaPuntiClassificaSquadra,3,FALSE),-1)=IFERROR(VLOOKUP($AR15,areaCercaPuntiClassificaSquadra,3,FALSE),-2)),SUMIFS(Dati!$D$2:$D$761,Dati!$A$2:$A$761,$H15,Dati!$H$2:$H$761,$AR15)+SUMIFS(Dati!$K$2:$K$761,Dati!$H$2:$H$761,$H15,Dati!$A$2:$A$761,$AR15)+SUMIFS(Dati!$C$2:$C$761,Dati!$A$2:$A$761,$H15,Dati!$H$2:$H$761,$AR15)+SUMIFS(Dati!$J$2:$J$761,Dati!$H$2:$H$761,$H15,Dati!$A$2:$A$761,$AR15),"-")</f>
        <v/>
      </c>
      <c r="CL15" s="21">
        <f>$C15</f>
        <v/>
      </c>
      <c r="CM15" s="22">
        <f>IF(AND($H15&lt;&gt;"",$Y15&lt;&gt;"",$H15&lt;&gt;$Y15,IFERROR(VLOOKUP($H15,areaCercaPuntiClassificaSquadra,3,FALSE),-1)=IFERROR(VLOOKUP($Y15,areaCercaPuntiClassificaSquadra,3,FALSE),-2)),SUMIFS(Dati!$E$2:$E$761,Dati!$A$2:$A$761,$H15,Dati!$H$2:$H$761,$Y15)+SUMIFS(Dati!$L$2:$L$761,Dati!$H$2:$H$761,$H15,Dati!$A$2:$A$761,$Y15),"-")</f>
        <v/>
      </c>
      <c r="CN15" s="22">
        <f>IF(AND($H15&lt;&gt;"",$Z15&lt;&gt;"",$H15&lt;&gt;$Z15,IFERROR(VLOOKUP($H15,areaCercaPuntiClassificaSquadra,3,FALSE),-1)=IFERROR(VLOOKUP($Z15,areaCercaPuntiClassificaSquadra,3,FALSE),-2)),SUMIFS(Dati!$E$2:$E$761,Dati!$A$2:$A$761,$H15,Dati!$H$2:$H$761,$Z15)+SUMIFS(Dati!$L$2:$L$761,Dati!$H$2:$H$761,$H15,Dati!$A$2:$A$761,$Z15),"-")</f>
        <v/>
      </c>
      <c r="CO15" s="22">
        <f>IF(AND($H15&lt;&gt;"",$AA15&lt;&gt;"",$H15&lt;&gt;$AA15,IFERROR(VLOOKUP($H15,areaCercaPuntiClassificaSquadra,3,FALSE),-1)=IFERROR(VLOOKUP($AA15,areaCercaPuntiClassificaSquadra,3,FALSE),-2)),SUMIFS(Dati!$E$2:$E$761,Dati!$A$2:$A$761,$H15,Dati!$H$2:$H$761,$AA15)+SUMIFS(Dati!$L$2:$L$761,Dati!$H$2:$H$761,$H15,Dati!$A$2:$A$761,$AA15),"-")</f>
        <v/>
      </c>
      <c r="CP15" s="22">
        <f>IF(AND($H15&lt;&gt;"",$AB15&lt;&gt;"",$H15&lt;&gt;$AB15,IFERROR(VLOOKUP($H15,areaCercaPuntiClassificaSquadra,3,FALSE),-1)=IFERROR(VLOOKUP($AB15,areaCercaPuntiClassificaSquadra,3,FALSE),-2)),SUMIFS(Dati!$E$2:$E$761,Dati!$A$2:$A$761,$H15,Dati!$H$2:$H$761,$AB15)+SUMIFS(Dati!$L$2:$L$761,Dati!$H$2:$H$761,$H15,Dati!$A$2:$A$761,$AB15),"-")</f>
        <v/>
      </c>
      <c r="CQ15" s="22">
        <f>IF(AND($H15&lt;&gt;"",$AC15&lt;&gt;"",$H15&lt;&gt;$AC15,IFERROR(VLOOKUP($H15,areaCercaPuntiClassificaSquadra,3,FALSE),-1)=IFERROR(VLOOKUP($AC15,areaCercaPuntiClassificaSquadra,3,FALSE),-2)),SUMIFS(Dati!$E$2:$E$761,Dati!$A$2:$A$761,$H15,Dati!$H$2:$H$761,$AC15)+SUMIFS(Dati!$L$2:$L$761,Dati!$H$2:$H$761,$H15,Dati!$A$2:$A$761,$AC15),"-")</f>
        <v/>
      </c>
      <c r="CR15" s="22">
        <f>IF(AND($H15&lt;&gt;"",$AD15&lt;&gt;"",$H15&lt;&gt;$AD15,IFERROR(VLOOKUP($H15,areaCercaPuntiClassificaSquadra,3,FALSE),-1)=IFERROR(VLOOKUP($AD15,areaCercaPuntiClassificaSquadra,3,FALSE),-2)),SUMIFS(Dati!$E$2:$E$761,Dati!$A$2:$A$761,$H15,Dati!$H$2:$H$761,$AD15)+SUMIFS(Dati!$L$2:$L$761,Dati!$H$2:$H$761,$H15,Dati!$A$2:$A$761,$AD15),"-")</f>
        <v/>
      </c>
      <c r="CS15" s="22">
        <f>IF(AND($H15&lt;&gt;"",$AE15&lt;&gt;"",$H15&lt;&gt;$AE15,IFERROR(VLOOKUP($H15,areaCercaPuntiClassificaSquadra,3,FALSE),-1)=IFERROR(VLOOKUP($AE15,areaCercaPuntiClassificaSquadra,3,FALSE),-2)),SUMIFS(Dati!$E$2:$E$761,Dati!$A$2:$A$761,$H15,Dati!$H$2:$H$761,$AE15)+SUMIFS(Dati!$L$2:$L$761,Dati!$H$2:$H$761,$H15,Dati!$A$2:$A$761,$AE15),"-")</f>
        <v/>
      </c>
      <c r="CT15" s="22">
        <f>IF(AND($H15&lt;&gt;"",$AF15&lt;&gt;"",$H15&lt;&gt;$AF15,IFERROR(VLOOKUP($H15,areaCercaPuntiClassificaSquadra,3,FALSE),-1)=IFERROR(VLOOKUP($AF15,areaCercaPuntiClassificaSquadra,3,FALSE),-2)),SUMIFS(Dati!$E$2:$E$761,Dati!$A$2:$A$761,$H15,Dati!$H$2:$H$761,$AF15)+SUMIFS(Dati!$L$2:$L$761,Dati!$H$2:$H$761,$H15,Dati!$A$2:$A$761,$AF15),"-")</f>
        <v/>
      </c>
      <c r="CU15" s="22">
        <f>IF(AND($H15&lt;&gt;"",$AG15&lt;&gt;"",$H15&lt;&gt;$AG15,IFERROR(VLOOKUP($H15,areaCercaPuntiClassificaSquadra,3,FALSE),-1)=IFERROR(VLOOKUP($AG15,areaCercaPuntiClassificaSquadra,3,FALSE),-2)),SUMIFS(Dati!$E$2:$E$761,Dati!$A$2:$A$761,$H15,Dati!$H$2:$H$761,$AG15)+SUMIFS(Dati!$L$2:$L$761,Dati!$H$2:$H$761,$H15,Dati!$A$2:$A$761,$AG15),"-")</f>
        <v/>
      </c>
      <c r="CV15" s="22">
        <f>IF(AND($H15&lt;&gt;"",$AH15&lt;&gt;"",$H15&lt;&gt;$AH15,IFERROR(VLOOKUP($H15,areaCercaPuntiClassificaSquadra,3,FALSE),-1)=IFERROR(VLOOKUP($AH15,areaCercaPuntiClassificaSquadra,3,FALSE),-2)),SUMIFS(Dati!$E$2:$E$761,Dati!$A$2:$A$761,$H15,Dati!$H$2:$H$761,$AH15)+SUMIFS(Dati!$L$2:$L$761,Dati!$H$2:$H$761,$H15,Dati!$A$2:$A$761,$AH15),"-")</f>
        <v/>
      </c>
      <c r="CW15" s="22">
        <f>IF(AND($H15&lt;&gt;"",$AI15&lt;&gt;"",$H15&lt;&gt;$AI15,IFERROR(VLOOKUP($H15,areaCercaPuntiClassificaSquadra,3,FALSE),-1)=IFERROR(VLOOKUP($AI15,areaCercaPuntiClassificaSquadra,3,FALSE),-2)),SUMIFS(Dati!$E$2:$E$761,Dati!$A$2:$A$761,$H15,Dati!$H$2:$H$761,$AI15)+SUMIFS(Dati!$L$2:$L$761,Dati!$H$2:$H$761,$H15,Dati!$A$2:$A$761,$AI15),"-")</f>
        <v/>
      </c>
      <c r="CX15" s="22">
        <f>IF(AND($H15&lt;&gt;"",$AJ15&lt;&gt;"",$H15&lt;&gt;$AJ15,IFERROR(VLOOKUP($H15,areaCercaPuntiClassificaSquadra,3,FALSE),-1)=IFERROR(VLOOKUP($AJ15,areaCercaPuntiClassificaSquadra,3,FALSE),-2)),SUMIFS(Dati!$E$2:$E$761,Dati!$A$2:$A$761,$H15,Dati!$H$2:$H$761,$AJ15)+SUMIFS(Dati!$L$2:$L$761,Dati!$H$2:$H$761,$H15,Dati!$A$2:$A$761,$AJ15),"-")</f>
        <v/>
      </c>
      <c r="CY15" s="22">
        <f>IF(AND($H15&lt;&gt;"",$AK15&lt;&gt;"",$H15&lt;&gt;$AK15,IFERROR(VLOOKUP($H15,areaCercaPuntiClassificaSquadra,3,FALSE),-1)=IFERROR(VLOOKUP($AK15,areaCercaPuntiClassificaSquadra,3,FALSE),-2)),SUMIFS(Dati!$E$2:$E$761,Dati!$A$2:$A$761,$H15,Dati!$H$2:$H$761,$AK15)+SUMIFS(Dati!$L$2:$L$761,Dati!$H$2:$H$761,$H15,Dati!$A$2:$A$761,$AK15),"-")</f>
        <v/>
      </c>
      <c r="CZ15" s="22">
        <f>IF(AND($H15&lt;&gt;"",$AL15&lt;&gt;"",$H15&lt;&gt;$AL15,IFERROR(VLOOKUP($H15,areaCercaPuntiClassificaSquadra,3,FALSE),-1)=IFERROR(VLOOKUP($AL15,areaCercaPuntiClassificaSquadra,3,FALSE),-2)),SUMIFS(Dati!$E$2:$E$761,Dati!$A$2:$A$761,$H15,Dati!$H$2:$H$761,$AL15)+SUMIFS(Dati!$L$2:$L$761,Dati!$H$2:$H$761,$H15,Dati!$A$2:$A$761,$AL15),"-")</f>
        <v/>
      </c>
      <c r="DA15" s="22">
        <f>IF(AND($H15&lt;&gt;"",$AM15&lt;&gt;"",$H15&lt;&gt;$AM15,IFERROR(VLOOKUP($H15,areaCercaPuntiClassificaSquadra,3,FALSE),-1)=IFERROR(VLOOKUP($AM15,areaCercaPuntiClassificaSquadra,3,FALSE),-2)),SUMIFS(Dati!$E$2:$E$761,Dati!$A$2:$A$761,$H15,Dati!$H$2:$H$761,$AM15)+SUMIFS(Dati!$L$2:$L$761,Dati!$H$2:$H$761,$H15,Dati!$A$2:$A$761,$AM15),"-")</f>
        <v/>
      </c>
      <c r="DB15" s="22">
        <f>IF(AND($H15&lt;&gt;"",$AN15&lt;&gt;"",$H15&lt;&gt;$AN15,IFERROR(VLOOKUP($H15,areaCercaPuntiClassificaSquadra,3,FALSE),-1)=IFERROR(VLOOKUP($AN15,areaCercaPuntiClassificaSquadra,3,FALSE),-2)),SUMIFS(Dati!$E$2:$E$761,Dati!$A$2:$A$761,$H15,Dati!$H$2:$H$761,$AN15)+SUMIFS(Dati!$L$2:$L$761,Dati!$H$2:$H$761,$H15,Dati!$A$2:$A$761,$AN15),"-")</f>
        <v/>
      </c>
      <c r="DC15" s="22">
        <f>IF(AND($H15&lt;&gt;"",$AO15&lt;&gt;"",$H15&lt;&gt;$AO15,IFERROR(VLOOKUP($H15,areaCercaPuntiClassificaSquadra,3,FALSE),-1)=IFERROR(VLOOKUP($AO15,areaCercaPuntiClassificaSquadra,3,FALSE),-2)),SUMIFS(Dati!$E$2:$E$761,Dati!$A$2:$A$761,$H15,Dati!$H$2:$H$761,$AO15)+SUMIFS(Dati!$L$2:$L$761,Dati!$H$2:$H$761,$H15,Dati!$A$2:$A$761,$AO15),"-")</f>
        <v/>
      </c>
      <c r="DD15" s="22">
        <f>IF(AND($H15&lt;&gt;"",$AP15&lt;&gt;"",$H15&lt;&gt;$AP15,IFERROR(VLOOKUP($H15,areaCercaPuntiClassificaSquadra,3,FALSE),-1)=IFERROR(VLOOKUP($AP15,areaCercaPuntiClassificaSquadra,3,FALSE),-2)),SUMIFS(Dati!$E$2:$E$761,Dati!$A$2:$A$761,$H15,Dati!$H$2:$H$761,$AP15)+SUMIFS(Dati!$L$2:$L$761,Dati!$H$2:$H$761,$H15,Dati!$A$2:$A$761,$AP15),"-")</f>
        <v/>
      </c>
      <c r="DE15" s="22">
        <f>IF(AND($H15&lt;&gt;"",$AQ15&lt;&gt;"",$H15&lt;&gt;$AQ15,IFERROR(VLOOKUP($H15,areaCercaPuntiClassificaSquadra,3,FALSE),-1)=IFERROR(VLOOKUP($AQ15,areaCercaPuntiClassificaSquadra,3,FALSE),-2)),SUMIFS(Dati!$E$2:$E$761,Dati!$A$2:$A$761,$H15,Dati!$H$2:$H$761,$AQ15)+SUMIFS(Dati!$L$2:$L$761,Dati!$H$2:$H$761,$H15,Dati!$A$2:$A$761,$AQ15),"-")</f>
        <v/>
      </c>
      <c r="DF15" s="22">
        <f>IF(AND($H15&lt;&gt;"",$AR15&lt;&gt;"",$H15&lt;&gt;$AR15,IFERROR(VLOOKUP($H15,areaCercaPuntiClassificaSquadra,3,FALSE),-1)=IFERROR(VLOOKUP($AR15,areaCercaPuntiClassificaSquadra,3,FALSE),-2)),SUMIFS(Dati!$E$2:$E$761,Dati!$A$2:$A$761,$H15,Dati!$H$2:$H$761,$AR15)+SUMIFS(Dati!$L$2:$L$761,Dati!$H$2:$H$761,$H15,Dati!$A$2:$A$761,$AR15),"-")</f>
        <v/>
      </c>
      <c r="DH15" s="21">
        <f>$C15</f>
        <v/>
      </c>
      <c r="DI15" s="22">
        <f>IF(AND($H15&lt;&gt;"",$Y15&lt;&gt;"",$H15&lt;&gt;$Y15,IFERROR(VLOOKUP($H15,areaCercaPuntiClassificaSquadra,3,FALSE),-1)=IFERROR(VLOOKUP($Y15,areaCercaPuntiClassificaSquadra,3,FALSE),-2)),SUMIFS(Dati!$F$2:$F$761,Dati!$A$2:$A$761,$H15,Dati!$H$2:$H$761,$Y15)+SUMIFS(Dati!$M$2:$M$761,Dati!$H$2:$H$761,$H15,Dati!$A$2:$A$761,$Y15),"-")</f>
        <v/>
      </c>
      <c r="DJ15" s="22">
        <f>IF(AND($H15&lt;&gt;"",$Z15&lt;&gt;"",$H15&lt;&gt;$Z15,IFERROR(VLOOKUP($H15,areaCercaPuntiClassificaSquadra,3,FALSE),-1)=IFERROR(VLOOKUP($Z15,areaCercaPuntiClassificaSquadra,3,FALSE),-2)),SUMIFS(Dati!$F$2:$F$761,Dati!$A$2:$A$761,$H15,Dati!$H$2:$H$761,$Z15)+SUMIFS(Dati!$M$2:$M$761,Dati!$H$2:$H$761,$H15,Dati!$A$2:$A$761,$Z15),"-")</f>
        <v/>
      </c>
      <c r="DK15" s="22">
        <f>IF(AND($H15&lt;&gt;"",$AA15&lt;&gt;"",$H15&lt;&gt;$AA15,IFERROR(VLOOKUP($H15,areaCercaPuntiClassificaSquadra,3,FALSE),-1)=IFERROR(VLOOKUP($AA15,areaCercaPuntiClassificaSquadra,3,FALSE),-2)),SUMIFS(Dati!$F$2:$F$761,Dati!$A$2:$A$761,$H15,Dati!$H$2:$H$761,$AA15)+SUMIFS(Dati!$M$2:$M$761,Dati!$H$2:$H$761,$H15,Dati!$A$2:$A$761,$AA15),"-")</f>
        <v/>
      </c>
      <c r="DL15" s="22">
        <f>IF(AND($H15&lt;&gt;"",$AB15&lt;&gt;"",$H15&lt;&gt;$AB15,IFERROR(VLOOKUP($H15,areaCercaPuntiClassificaSquadra,3,FALSE),-1)=IFERROR(VLOOKUP($AB15,areaCercaPuntiClassificaSquadra,3,FALSE),-2)),SUMIFS(Dati!$F$2:$F$761,Dati!$A$2:$A$761,$H15,Dati!$H$2:$H$761,$AB15)+SUMIFS(Dati!$M$2:$M$761,Dati!$H$2:$H$761,$H15,Dati!$A$2:$A$761,$AB15),"-")</f>
        <v/>
      </c>
      <c r="DM15" s="22">
        <f>IF(AND($H15&lt;&gt;"",$AC15&lt;&gt;"",$H15&lt;&gt;$AC15,IFERROR(VLOOKUP($H15,areaCercaPuntiClassificaSquadra,3,FALSE),-1)=IFERROR(VLOOKUP($AC15,areaCercaPuntiClassificaSquadra,3,FALSE),-2)),SUMIFS(Dati!$F$2:$F$761,Dati!$A$2:$A$761,$H15,Dati!$H$2:$H$761,$AC15)+SUMIFS(Dati!$M$2:$M$761,Dati!$H$2:$H$761,$H15,Dati!$A$2:$A$761,$AC15),"-")</f>
        <v/>
      </c>
      <c r="DN15" s="22">
        <f>IF(AND($H15&lt;&gt;"",$AD15&lt;&gt;"",$H15&lt;&gt;$AD15,IFERROR(VLOOKUP($H15,areaCercaPuntiClassificaSquadra,3,FALSE),-1)=IFERROR(VLOOKUP($AD15,areaCercaPuntiClassificaSquadra,3,FALSE),-2)),SUMIFS(Dati!$F$2:$F$761,Dati!$A$2:$A$761,$H15,Dati!$H$2:$H$761,$AD15)+SUMIFS(Dati!$M$2:$M$761,Dati!$H$2:$H$761,$H15,Dati!$A$2:$A$761,$AD15),"-")</f>
        <v/>
      </c>
      <c r="DO15" s="22">
        <f>IF(AND($H15&lt;&gt;"",$AE15&lt;&gt;"",$H15&lt;&gt;$AE15,IFERROR(VLOOKUP($H15,areaCercaPuntiClassificaSquadra,3,FALSE),-1)=IFERROR(VLOOKUP($AE15,areaCercaPuntiClassificaSquadra,3,FALSE),-2)),SUMIFS(Dati!$F$2:$F$761,Dati!$A$2:$A$761,$H15,Dati!$H$2:$H$761,$AE15)+SUMIFS(Dati!$M$2:$M$761,Dati!$H$2:$H$761,$H15,Dati!$A$2:$A$761,$AE15),"-")</f>
        <v/>
      </c>
      <c r="DP15" s="22">
        <f>IF(AND($H15&lt;&gt;"",$AF15&lt;&gt;"",$H15&lt;&gt;$AF15,IFERROR(VLOOKUP($H15,areaCercaPuntiClassificaSquadra,3,FALSE),-1)=IFERROR(VLOOKUP($AF15,areaCercaPuntiClassificaSquadra,3,FALSE),-2)),SUMIFS(Dati!$F$2:$F$761,Dati!$A$2:$A$761,$H15,Dati!$H$2:$H$761,$AF15)+SUMIFS(Dati!$M$2:$M$761,Dati!$H$2:$H$761,$H15,Dati!$A$2:$A$761,$AF15),"-")</f>
        <v/>
      </c>
      <c r="DQ15" s="22">
        <f>IF(AND($H15&lt;&gt;"",$AG15&lt;&gt;"",$H15&lt;&gt;$AG15,IFERROR(VLOOKUP($H15,areaCercaPuntiClassificaSquadra,3,FALSE),-1)=IFERROR(VLOOKUP($AG15,areaCercaPuntiClassificaSquadra,3,FALSE),-2)),SUMIFS(Dati!$F$2:$F$761,Dati!$A$2:$A$761,$H15,Dati!$H$2:$H$761,$AG15)+SUMIFS(Dati!$M$2:$M$761,Dati!$H$2:$H$761,$H15,Dati!$A$2:$A$761,$AG15),"-")</f>
        <v/>
      </c>
      <c r="DR15" s="22">
        <f>IF(AND($H15&lt;&gt;"",$AH15&lt;&gt;"",$H15&lt;&gt;$AH15,IFERROR(VLOOKUP($H15,areaCercaPuntiClassificaSquadra,3,FALSE),-1)=IFERROR(VLOOKUP($AH15,areaCercaPuntiClassificaSquadra,3,FALSE),-2)),SUMIFS(Dati!$F$2:$F$761,Dati!$A$2:$A$761,$H15,Dati!$H$2:$H$761,$AH15)+SUMIFS(Dati!$M$2:$M$761,Dati!$H$2:$H$761,$H15,Dati!$A$2:$A$761,$AH15),"-")</f>
        <v/>
      </c>
      <c r="DS15" s="22">
        <f>IF(AND($H15&lt;&gt;"",$AI15&lt;&gt;"",$H15&lt;&gt;$AI15,IFERROR(VLOOKUP($H15,areaCercaPuntiClassificaSquadra,3,FALSE),-1)=IFERROR(VLOOKUP($AI15,areaCercaPuntiClassificaSquadra,3,FALSE),-2)),SUMIFS(Dati!$F$2:$F$761,Dati!$A$2:$A$761,$H15,Dati!$H$2:$H$761,$AI15)+SUMIFS(Dati!$M$2:$M$761,Dati!$H$2:$H$761,$H15,Dati!$A$2:$A$761,$AI15),"-")</f>
        <v/>
      </c>
      <c r="DT15" s="22">
        <f>IF(AND($H15&lt;&gt;"",$AJ15&lt;&gt;"",$H15&lt;&gt;$AJ15,IFERROR(VLOOKUP($H15,areaCercaPuntiClassificaSquadra,3,FALSE),-1)=IFERROR(VLOOKUP($AJ15,areaCercaPuntiClassificaSquadra,3,FALSE),-2)),SUMIFS(Dati!$F$2:$F$761,Dati!$A$2:$A$761,$H15,Dati!$H$2:$H$761,$AJ15)+SUMIFS(Dati!$M$2:$M$761,Dati!$H$2:$H$761,$H15,Dati!$A$2:$A$761,$AJ15),"-")</f>
        <v/>
      </c>
      <c r="DU15" s="22">
        <f>IF(AND($H15&lt;&gt;"",$AK15&lt;&gt;"",$H15&lt;&gt;$AK15,IFERROR(VLOOKUP($H15,areaCercaPuntiClassificaSquadra,3,FALSE),-1)=IFERROR(VLOOKUP($AK15,areaCercaPuntiClassificaSquadra,3,FALSE),-2)),SUMIFS(Dati!$F$2:$F$761,Dati!$A$2:$A$761,$H15,Dati!$H$2:$H$761,$AK15)+SUMIFS(Dati!$M$2:$M$761,Dati!$H$2:$H$761,$H15,Dati!$A$2:$A$761,$AK15),"-")</f>
        <v/>
      </c>
      <c r="DV15" s="22">
        <f>IF(AND($H15&lt;&gt;"",$AL15&lt;&gt;"",$H15&lt;&gt;$AL15,IFERROR(VLOOKUP($H15,areaCercaPuntiClassificaSquadra,3,FALSE),-1)=IFERROR(VLOOKUP($AL15,areaCercaPuntiClassificaSquadra,3,FALSE),-2)),SUMIFS(Dati!$F$2:$F$761,Dati!$A$2:$A$761,$H15,Dati!$H$2:$H$761,$AL15)+SUMIFS(Dati!$M$2:$M$761,Dati!$H$2:$H$761,$H15,Dati!$A$2:$A$761,$AL15),"-")</f>
        <v/>
      </c>
      <c r="DW15" s="22">
        <f>IF(AND($H15&lt;&gt;"",$AM15&lt;&gt;"",$H15&lt;&gt;$AM15,IFERROR(VLOOKUP($H15,areaCercaPuntiClassificaSquadra,3,FALSE),-1)=IFERROR(VLOOKUP($AM15,areaCercaPuntiClassificaSquadra,3,FALSE),-2)),SUMIFS(Dati!$F$2:$F$761,Dati!$A$2:$A$761,$H15,Dati!$H$2:$H$761,$AM15)+SUMIFS(Dati!$M$2:$M$761,Dati!$H$2:$H$761,$H15,Dati!$A$2:$A$761,$AM15),"-")</f>
        <v/>
      </c>
      <c r="DX15" s="22">
        <f>IF(AND($H15&lt;&gt;"",$AN15&lt;&gt;"",$H15&lt;&gt;$AN15,IFERROR(VLOOKUP($H15,areaCercaPuntiClassificaSquadra,3,FALSE),-1)=IFERROR(VLOOKUP($AN15,areaCercaPuntiClassificaSquadra,3,FALSE),-2)),SUMIFS(Dati!$F$2:$F$761,Dati!$A$2:$A$761,$H15,Dati!$H$2:$H$761,$AN15)+SUMIFS(Dati!$M$2:$M$761,Dati!$H$2:$H$761,$H15,Dati!$A$2:$A$761,$AN15),"-")</f>
        <v/>
      </c>
      <c r="DY15" s="22">
        <f>IF(AND($H15&lt;&gt;"",$AO15&lt;&gt;"",$H15&lt;&gt;$AO15,IFERROR(VLOOKUP($H15,areaCercaPuntiClassificaSquadra,3,FALSE),-1)=IFERROR(VLOOKUP($AO15,areaCercaPuntiClassificaSquadra,3,FALSE),-2)),SUMIFS(Dati!$F$2:$F$761,Dati!$A$2:$A$761,$H15,Dati!$H$2:$H$761,$AO15)+SUMIFS(Dati!$M$2:$M$761,Dati!$H$2:$H$761,$H15,Dati!$A$2:$A$761,$AO15),"-")</f>
        <v/>
      </c>
      <c r="DZ15" s="22">
        <f>IF(AND($H15&lt;&gt;"",$AP15&lt;&gt;"",$H15&lt;&gt;$AP15,IFERROR(VLOOKUP($H15,areaCercaPuntiClassificaSquadra,3,FALSE),-1)=IFERROR(VLOOKUP($AP15,areaCercaPuntiClassificaSquadra,3,FALSE),-2)),SUMIFS(Dati!$F$2:$F$761,Dati!$A$2:$A$761,$H15,Dati!$H$2:$H$761,$AP15)+SUMIFS(Dati!$M$2:$M$761,Dati!$H$2:$H$761,$H15,Dati!$A$2:$A$761,$AP15),"-")</f>
        <v/>
      </c>
      <c r="EA15" s="22">
        <f>IF(AND($H15&lt;&gt;"",$AQ15&lt;&gt;"",$H15&lt;&gt;$AQ15,IFERROR(VLOOKUP($H15,areaCercaPuntiClassificaSquadra,3,FALSE),-1)=IFERROR(VLOOKUP($AQ15,areaCercaPuntiClassificaSquadra,3,FALSE),-2)),SUMIFS(Dati!$F$2:$F$761,Dati!$A$2:$A$761,$H15,Dati!$H$2:$H$761,$AQ15)+SUMIFS(Dati!$M$2:$M$761,Dati!$H$2:$H$761,$H15,Dati!$A$2:$A$761,$AQ15),"-")</f>
        <v/>
      </c>
      <c r="EB15" s="22">
        <f>IF(AND($H15&lt;&gt;"",$AR15&lt;&gt;"",$H15&lt;&gt;$AR15,IFERROR(VLOOKUP($H15,areaCercaPuntiClassificaSquadra,3,FALSE),-1)=IFERROR(VLOOKUP($AR15,areaCercaPuntiClassificaSquadra,3,FALSE),-2)),SUMIFS(Dati!$F$2:$F$761,Dati!$A$2:$A$761,$H15,Dati!$H$2:$H$761,$AR15)+SUMIFS(Dati!$M$2:$M$761,Dati!$H$2:$H$761,$H15,Dati!$A$2:$A$761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inlineStr">
        <is>
          <t>Cobra Celeri-Cobraopoli CI</t>
        </is>
      </c>
      <c r="D16" s="14" t="n"/>
      <c r="E16" s="15" t="inlineStr">
        <is>
          <t>A</t>
        </is>
      </c>
      <c r="G16" s="16">
        <f>IF($C16="","",$E16&amp;(COUNTIFS(I$14:I$93,"&gt;"&amp;I16,E$14:E$93,"="&amp;E16,C$14:C$93,"&lt;&gt;")+COUNTIFS(I$14:I$93,"="&amp;I16,H$14:H$93,"&lt;="&amp;H16,E$14:E$93,"="&amp;E16,C$14:C$93,"&lt;&gt;")))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L16*constPuntiVittoria+M16*constPuntiSconfitta+N16*constPuntiForfait+IF(D16="",0,D16)</f>
        <v/>
      </c>
      <c r="K16" s="12">
        <f>SUM(L16:N16)</f>
        <v/>
      </c>
      <c r="L16" s="12">
        <f>IF($H16="",0,SUMIF(Dati!$A$2:$A$761,$H16,Dati!$B$2:$B$761)+SUMIF(Dati!$H$2:$H$761,$H16,Dati!$I$2:$I$761))</f>
        <v/>
      </c>
      <c r="M16" s="12">
        <f>IF($H16="",0,SUMIF(Dati!$A$2:$A$761,$H16,Dati!$D$2:$D$761)+SUMIF(Dati!$H$2:$H$761,$H16,Dati!$K$2:$K$761))</f>
        <v/>
      </c>
      <c r="N16" s="12">
        <f>IF($H16="",0,SUMIF(Dati!$A$2:$A$761,$H16,Dati!$C$2:$C$761)+SUMIF(Dati!$H$2:$H$761,$H16,Dati!$J$2:$J$761))</f>
        <v/>
      </c>
      <c r="O16" s="12">
        <f>IF($H16="",0,SUMIF(Dati!$A$2:$A$761,$H16,Dati!$E$2:$E$761)+SUMIF(Dati!$H$2:$H$761,$H16,Dati!$L$2:$L$761))</f>
        <v/>
      </c>
      <c r="P16" s="12">
        <f>IF($H16="",0,SUMIF(Dati!$A$2:$A$761,$H16,Dati!$F$2:$F$761)+SUMIF(Dati!$H$2:$H$761,$H16,Dati!$M$2:$M$761))</f>
        <v/>
      </c>
      <c r="Q16" s="12">
        <f>IF($H16="",0,SUMIF(Dati!$A$2:$A$761,$H16,Dati!$G$2:$G$761)+SUMIF(Dati!$H$2:$H$761,$H16,Dati!$N$2:$N$761))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IF(COUNTIFS($E$14:$E$93,$E16,$J$14:$J$93,$J16,$C$14:$C$93,"&lt;&gt;")&lt;=1,"-",SUM(AU16:BN16)&amp;"-"&amp;SUM(BQ16:CJ16))</f>
        <v/>
      </c>
      <c r="V16" s="18">
        <f>IF(COUNTIFS($E$14:$E$93,$E16,$J$14:$J$93,$J16,$C$14:$C$93,"&lt;&gt;",$ED$14:$ED$93,$ED16)&lt;=1,"-",IF(SUM(DI16:EB16)=0,0,ROUND(SUM(CM16:DF16)/SUM(DI16:EB16),3)))</f>
        <v/>
      </c>
      <c r="W16" s="18">
        <f>IF(COUNTIFS($E$14:$E$93,$E16,$J$14:$J$93,$J16,$C$14:$C$93,"&lt;&gt;",$ED$14:$ED$93,$ED16,$V$14:$V$93,$V16)&lt;=1,"-",IF(P16=0,0,ROUND(O16/P16,3)))</f>
        <v/>
      </c>
      <c r="X16" s="19">
        <f>IF($C16="","",$E16&amp;"#"&amp;COUNTIFS($E$14:$E16,$E16,$C$14:$C16,"&lt;&gt;"))</f>
        <v/>
      </c>
      <c r="Y16" s="20">
        <f>IFERROR(INDEX($H$14:$H$93,MATCH($E16&amp;"#1",$X$14:$X$93,0)),"")</f>
        <v/>
      </c>
      <c r="Z16" s="20">
        <f>IFERROR(INDEX($H$14:$H$93,MATCH($E16&amp;"#2",$X$14:$X$93,0)),"")</f>
        <v/>
      </c>
      <c r="AA16" s="20">
        <f>IFERROR(INDEX($H$14:$H$93,MATCH($E16&amp;"#3",$X$14:$X$93,0)),"")</f>
        <v/>
      </c>
      <c r="AB16" s="20">
        <f>IFERROR(INDEX($H$14:$H$93,MATCH($E16&amp;"#4",$X$14:$X$93,0)),"")</f>
        <v/>
      </c>
      <c r="AC16" s="20">
        <f>IFERROR(INDEX($H$14:$H$93,MATCH($E16&amp;"#5",$X$14:$X$93,0)),"")</f>
        <v/>
      </c>
      <c r="AD16" s="20">
        <f>IFERROR(INDEX($H$14:$H$93,MATCH($E16&amp;"#6",$X$14:$X$93,0)),"")</f>
        <v/>
      </c>
      <c r="AE16" s="20">
        <f>IFERROR(INDEX($H$14:$H$93,MATCH($E16&amp;"#7",$X$14:$X$93,0)),"")</f>
        <v/>
      </c>
      <c r="AF16" s="20">
        <f>IFERROR(INDEX($H$14:$H$93,MATCH($E16&amp;"#8",$X$14:$X$93,0)),"")</f>
        <v/>
      </c>
      <c r="AG16" s="20">
        <f>IFERROR(INDEX($H$14:$H$93,MATCH($E16&amp;"#9",$X$14:$X$93,0)),"")</f>
        <v/>
      </c>
      <c r="AH16" s="20">
        <f>IFERROR(INDEX($H$14:$H$93,MATCH($E16&amp;"#10",$X$14:$X$93,0)),"")</f>
        <v/>
      </c>
      <c r="AI16" s="20">
        <f>IFERROR(INDEX($H$14:$H$93,MATCH($E16&amp;"#11",$X$14:$X$93,0)),"")</f>
        <v/>
      </c>
      <c r="AJ16" s="20">
        <f>IFERROR(INDEX($H$14:$H$93,MATCH($E16&amp;"#12",$X$14:$X$93,0)),"")</f>
        <v/>
      </c>
      <c r="AK16" s="20">
        <f>IFERROR(INDEX($H$14:$H$93,MATCH($E16&amp;"#13",$X$14:$X$93,0)),"")</f>
        <v/>
      </c>
      <c r="AL16" s="20">
        <f>IFERROR(INDEX($H$14:$H$93,MATCH($E16&amp;"#14",$X$14:$X$93,0)),"")</f>
        <v/>
      </c>
      <c r="AM16" s="20">
        <f>IFERROR(INDEX($H$14:$H$93,MATCH($E16&amp;"#15",$X$14:$X$93,0)),"")</f>
        <v/>
      </c>
      <c r="AN16" s="20">
        <f>IFERROR(INDEX($H$14:$H$93,MATCH($E16&amp;"#16",$X$14:$X$93,0)),"")</f>
        <v/>
      </c>
      <c r="AO16" s="20">
        <f>IFERROR(INDEX($H$14:$H$93,MATCH($E16&amp;"#17",$X$14:$X$93,0)),"")</f>
        <v/>
      </c>
      <c r="AP16" s="20">
        <f>IFERROR(INDEX($H$14:$H$93,MATCH($E16&amp;"#18",$X$14:$X$93,0)),"")</f>
        <v/>
      </c>
      <c r="AQ16" s="20">
        <f>IFERROR(INDEX($H$14:$H$93,MATCH($E16&amp;"#19",$X$14:$X$93,0)),"")</f>
        <v/>
      </c>
      <c r="AR16" s="20">
        <f>IFERROR(INDEX($H$14:$H$93,MATCH($E16&amp;"#20",$X$14:$X$93,0)),"")</f>
        <v/>
      </c>
      <c r="AT16" s="21">
        <f>$C16</f>
        <v/>
      </c>
      <c r="AU16" s="22">
        <f>IF(AND($H16&lt;&gt;"",$Y16&lt;&gt;"",$H16&lt;&gt;$Y16,IFERROR(VLOOKUP($H16,areaCercaPuntiClassificaSquadra,3,FALSE),-1)=IFERROR(VLOOKUP($Y16,areaCercaPuntiClassificaSquadra,3,FALSE),-2)),SUMIFS(Dati!$B$2:$B$761,Dati!$A$2:$A$761,$H16,Dati!$H$2:$H$761,$Y16)+SUMIFS(Dati!$I$2:$I$761,Dati!$H$2:$H$761,$H16,Dati!$A$2:$A$761,$Y16),"-")</f>
        <v/>
      </c>
      <c r="AV16" s="22">
        <f>IF(AND($H16&lt;&gt;"",$Z16&lt;&gt;"",$H16&lt;&gt;$Z16,IFERROR(VLOOKUP($H16,areaCercaPuntiClassificaSquadra,3,FALSE),-1)=IFERROR(VLOOKUP($Z16,areaCercaPuntiClassificaSquadra,3,FALSE),-2)),SUMIFS(Dati!$B$2:$B$761,Dati!$A$2:$A$761,$H16,Dati!$H$2:$H$761,$Z16)+SUMIFS(Dati!$I$2:$I$761,Dati!$H$2:$H$761,$H16,Dati!$A$2:$A$761,$Z16),"-")</f>
        <v/>
      </c>
      <c r="AW16" s="22">
        <f>IF(AND($H16&lt;&gt;"",$AA16&lt;&gt;"",$H16&lt;&gt;$AA16,IFERROR(VLOOKUP($H16,areaCercaPuntiClassificaSquadra,3,FALSE),-1)=IFERROR(VLOOKUP($AA16,areaCercaPuntiClassificaSquadra,3,FALSE),-2)),SUMIFS(Dati!$B$2:$B$761,Dati!$A$2:$A$761,$H16,Dati!$H$2:$H$761,$AA16)+SUMIFS(Dati!$I$2:$I$761,Dati!$H$2:$H$761,$H16,Dati!$A$2:$A$761,$AA16),"-")</f>
        <v/>
      </c>
      <c r="AX16" s="22">
        <f>IF(AND($H16&lt;&gt;"",$AB16&lt;&gt;"",$H16&lt;&gt;$AB16,IFERROR(VLOOKUP($H16,areaCercaPuntiClassificaSquadra,3,FALSE),-1)=IFERROR(VLOOKUP($AB16,areaCercaPuntiClassificaSquadra,3,FALSE),-2)),SUMIFS(Dati!$B$2:$B$761,Dati!$A$2:$A$761,$H16,Dati!$H$2:$H$761,$AB16)+SUMIFS(Dati!$I$2:$I$761,Dati!$H$2:$H$761,$H16,Dati!$A$2:$A$761,$AB16),"-")</f>
        <v/>
      </c>
      <c r="AY16" s="22">
        <f>IF(AND($H16&lt;&gt;"",$AC16&lt;&gt;"",$H16&lt;&gt;$AC16,IFERROR(VLOOKUP($H16,areaCercaPuntiClassificaSquadra,3,FALSE),-1)=IFERROR(VLOOKUP($AC16,areaCercaPuntiClassificaSquadra,3,FALSE),-2)),SUMIFS(Dati!$B$2:$B$761,Dati!$A$2:$A$761,$H16,Dati!$H$2:$H$761,$AC16)+SUMIFS(Dati!$I$2:$I$761,Dati!$H$2:$H$761,$H16,Dati!$A$2:$A$761,$AC16),"-")</f>
        <v/>
      </c>
      <c r="AZ16" s="22">
        <f>IF(AND($H16&lt;&gt;"",$AD16&lt;&gt;"",$H16&lt;&gt;$AD16,IFERROR(VLOOKUP($H16,areaCercaPuntiClassificaSquadra,3,FALSE),-1)=IFERROR(VLOOKUP($AD16,areaCercaPuntiClassificaSquadra,3,FALSE),-2)),SUMIFS(Dati!$B$2:$B$761,Dati!$A$2:$A$761,$H16,Dati!$H$2:$H$761,$AD16)+SUMIFS(Dati!$I$2:$I$761,Dati!$H$2:$H$761,$H16,Dati!$A$2:$A$761,$AD16),"-")</f>
        <v/>
      </c>
      <c r="BA16" s="22">
        <f>IF(AND($H16&lt;&gt;"",$AE16&lt;&gt;"",$H16&lt;&gt;$AE16,IFERROR(VLOOKUP($H16,areaCercaPuntiClassificaSquadra,3,FALSE),-1)=IFERROR(VLOOKUP($AE16,areaCercaPuntiClassificaSquadra,3,FALSE),-2)),SUMIFS(Dati!$B$2:$B$761,Dati!$A$2:$A$761,$H16,Dati!$H$2:$H$761,$AE16)+SUMIFS(Dati!$I$2:$I$761,Dati!$H$2:$H$761,$H16,Dati!$A$2:$A$761,$AE16),"-")</f>
        <v/>
      </c>
      <c r="BB16" s="22">
        <f>IF(AND($H16&lt;&gt;"",$AF16&lt;&gt;"",$H16&lt;&gt;$AF16,IFERROR(VLOOKUP($H16,areaCercaPuntiClassificaSquadra,3,FALSE),-1)=IFERROR(VLOOKUP($AF16,areaCercaPuntiClassificaSquadra,3,FALSE),-2)),SUMIFS(Dati!$B$2:$B$761,Dati!$A$2:$A$761,$H16,Dati!$H$2:$H$761,$AF16)+SUMIFS(Dati!$I$2:$I$761,Dati!$H$2:$H$761,$H16,Dati!$A$2:$A$761,$AF16),"-")</f>
        <v/>
      </c>
      <c r="BC16" s="22">
        <f>IF(AND($H16&lt;&gt;"",$AG16&lt;&gt;"",$H16&lt;&gt;$AG16,IFERROR(VLOOKUP($H16,areaCercaPuntiClassificaSquadra,3,FALSE),-1)=IFERROR(VLOOKUP($AG16,areaCercaPuntiClassificaSquadra,3,FALSE),-2)),SUMIFS(Dati!$B$2:$B$761,Dati!$A$2:$A$761,$H16,Dati!$H$2:$H$761,$AG16)+SUMIFS(Dati!$I$2:$I$761,Dati!$H$2:$H$761,$H16,Dati!$A$2:$A$761,$AG16),"-")</f>
        <v/>
      </c>
      <c r="BD16" s="22">
        <f>IF(AND($H16&lt;&gt;"",$AH16&lt;&gt;"",$H16&lt;&gt;$AH16,IFERROR(VLOOKUP($H16,areaCercaPuntiClassificaSquadra,3,FALSE),-1)=IFERROR(VLOOKUP($AH16,areaCercaPuntiClassificaSquadra,3,FALSE),-2)),SUMIFS(Dati!$B$2:$B$761,Dati!$A$2:$A$761,$H16,Dati!$H$2:$H$761,$AH16)+SUMIFS(Dati!$I$2:$I$761,Dati!$H$2:$H$761,$H16,Dati!$A$2:$A$761,$AH16),"-")</f>
        <v/>
      </c>
      <c r="BE16" s="22">
        <f>IF(AND($H16&lt;&gt;"",$AI16&lt;&gt;"",$H16&lt;&gt;$AI16,IFERROR(VLOOKUP($H16,areaCercaPuntiClassificaSquadra,3,FALSE),-1)=IFERROR(VLOOKUP($AI16,areaCercaPuntiClassificaSquadra,3,FALSE),-2)),SUMIFS(Dati!$B$2:$B$761,Dati!$A$2:$A$761,$H16,Dati!$H$2:$H$761,$AI16)+SUMIFS(Dati!$I$2:$I$761,Dati!$H$2:$H$761,$H16,Dati!$A$2:$A$761,$AI16),"-")</f>
        <v/>
      </c>
      <c r="BF16" s="22">
        <f>IF(AND($H16&lt;&gt;"",$AJ16&lt;&gt;"",$H16&lt;&gt;$AJ16,IFERROR(VLOOKUP($H16,areaCercaPuntiClassificaSquadra,3,FALSE),-1)=IFERROR(VLOOKUP($AJ16,areaCercaPuntiClassificaSquadra,3,FALSE),-2)),SUMIFS(Dati!$B$2:$B$761,Dati!$A$2:$A$761,$H16,Dati!$H$2:$H$761,$AJ16)+SUMIFS(Dati!$I$2:$I$761,Dati!$H$2:$H$761,$H16,Dati!$A$2:$A$761,$AJ16),"-")</f>
        <v/>
      </c>
      <c r="BG16" s="22">
        <f>IF(AND($H16&lt;&gt;"",$AK16&lt;&gt;"",$H16&lt;&gt;$AK16,IFERROR(VLOOKUP($H16,areaCercaPuntiClassificaSquadra,3,FALSE),-1)=IFERROR(VLOOKUP($AK16,areaCercaPuntiClassificaSquadra,3,FALSE),-2)),SUMIFS(Dati!$B$2:$B$761,Dati!$A$2:$A$761,$H16,Dati!$H$2:$H$761,$AK16)+SUMIFS(Dati!$I$2:$I$761,Dati!$H$2:$H$761,$H16,Dati!$A$2:$A$761,$AK16),"-")</f>
        <v/>
      </c>
      <c r="BH16" s="22">
        <f>IF(AND($H16&lt;&gt;"",$AL16&lt;&gt;"",$H16&lt;&gt;$AL16,IFERROR(VLOOKUP($H16,areaCercaPuntiClassificaSquadra,3,FALSE),-1)=IFERROR(VLOOKUP($AL16,areaCercaPuntiClassificaSquadra,3,FALSE),-2)),SUMIFS(Dati!$B$2:$B$761,Dati!$A$2:$A$761,$H16,Dati!$H$2:$H$761,$AL16)+SUMIFS(Dati!$I$2:$I$761,Dati!$H$2:$H$761,$H16,Dati!$A$2:$A$761,$AL16),"-")</f>
        <v/>
      </c>
      <c r="BI16" s="22">
        <f>IF(AND($H16&lt;&gt;"",$AM16&lt;&gt;"",$H16&lt;&gt;$AM16,IFERROR(VLOOKUP($H16,areaCercaPuntiClassificaSquadra,3,FALSE),-1)=IFERROR(VLOOKUP($AM16,areaCercaPuntiClassificaSquadra,3,FALSE),-2)),SUMIFS(Dati!$B$2:$B$761,Dati!$A$2:$A$761,$H16,Dati!$H$2:$H$761,$AM16)+SUMIFS(Dati!$I$2:$I$761,Dati!$H$2:$H$761,$H16,Dati!$A$2:$A$761,$AM16),"-")</f>
        <v/>
      </c>
      <c r="BJ16" s="22">
        <f>IF(AND($H16&lt;&gt;"",$AN16&lt;&gt;"",$H16&lt;&gt;$AN16,IFERROR(VLOOKUP($H16,areaCercaPuntiClassificaSquadra,3,FALSE),-1)=IFERROR(VLOOKUP($AN16,areaCercaPuntiClassificaSquadra,3,FALSE),-2)),SUMIFS(Dati!$B$2:$B$761,Dati!$A$2:$A$761,$H16,Dati!$H$2:$H$761,$AN16)+SUMIFS(Dati!$I$2:$I$761,Dati!$H$2:$H$761,$H16,Dati!$A$2:$A$761,$AN16),"-")</f>
        <v/>
      </c>
      <c r="BK16" s="22">
        <f>IF(AND($H16&lt;&gt;"",$AO16&lt;&gt;"",$H16&lt;&gt;$AO16,IFERROR(VLOOKUP($H16,areaCercaPuntiClassificaSquadra,3,FALSE),-1)=IFERROR(VLOOKUP($AO16,areaCercaPuntiClassificaSquadra,3,FALSE),-2)),SUMIFS(Dati!$B$2:$B$761,Dati!$A$2:$A$761,$H16,Dati!$H$2:$H$761,$AO16)+SUMIFS(Dati!$I$2:$I$761,Dati!$H$2:$H$761,$H16,Dati!$A$2:$A$761,$AO16),"-")</f>
        <v/>
      </c>
      <c r="BL16" s="22">
        <f>IF(AND($H16&lt;&gt;"",$AP16&lt;&gt;"",$H16&lt;&gt;$AP16,IFERROR(VLOOKUP($H16,areaCercaPuntiClassificaSquadra,3,FALSE),-1)=IFERROR(VLOOKUP($AP16,areaCercaPuntiClassificaSquadra,3,FALSE),-2)),SUMIFS(Dati!$B$2:$B$761,Dati!$A$2:$A$761,$H16,Dati!$H$2:$H$761,$AP16)+SUMIFS(Dati!$I$2:$I$761,Dati!$H$2:$H$761,$H16,Dati!$A$2:$A$761,$AP16),"-")</f>
        <v/>
      </c>
      <c r="BM16" s="22">
        <f>IF(AND($H16&lt;&gt;"",$AQ16&lt;&gt;"",$H16&lt;&gt;$AQ16,IFERROR(VLOOKUP($H16,areaCercaPuntiClassificaSquadra,3,FALSE),-1)=IFERROR(VLOOKUP($AQ16,areaCercaPuntiClassificaSquadra,3,FALSE),-2)),SUMIFS(Dati!$B$2:$B$761,Dati!$A$2:$A$761,$H16,Dati!$H$2:$H$761,$AQ16)+SUMIFS(Dati!$I$2:$I$761,Dati!$H$2:$H$761,$H16,Dati!$A$2:$A$761,$AQ16),"-")</f>
        <v/>
      </c>
      <c r="BN16" s="22">
        <f>IF(AND($H16&lt;&gt;"",$AR16&lt;&gt;"",$H16&lt;&gt;$AR16,IFERROR(VLOOKUP($H16,areaCercaPuntiClassificaSquadra,3,FALSE),-1)=IFERROR(VLOOKUP($AR16,areaCercaPuntiClassificaSquadra,3,FALSE),-2)),SUMIFS(Dati!$B$2:$B$761,Dati!$A$2:$A$761,$H16,Dati!$H$2:$H$761,$AR16)+SUMIFS(Dati!$I$2:$I$761,Dati!$H$2:$H$761,$H16,Dati!$A$2:$A$761,$AR16),"-")</f>
        <v/>
      </c>
      <c r="BP16" s="21">
        <f>$C16</f>
        <v/>
      </c>
      <c r="BQ16" s="22">
        <f>IF(AND($H16&lt;&gt;"",$Y16&lt;&gt;"",$H16&lt;&gt;$Y16,IFERROR(VLOOKUP($H16,areaCercaPuntiClassificaSquadra,3,FALSE),-1)=IFERROR(VLOOKUP($Y16,areaCercaPuntiClassificaSquadra,3,FALSE),-2)),SUMIFS(Dati!$D$2:$D$761,Dati!$A$2:$A$761,$H16,Dati!$H$2:$H$761,$Y16)+SUMIFS(Dati!$K$2:$K$761,Dati!$H$2:$H$761,$H16,Dati!$A$2:$A$761,$Y16)+SUMIFS(Dati!$C$2:$C$761,Dati!$A$2:$A$761,$H16,Dati!$H$2:$H$761,$Y16)+SUMIFS(Dati!$J$2:$J$761,Dati!$H$2:$H$761,$H16,Dati!$A$2:$A$761,$Y16),"-")</f>
        <v/>
      </c>
      <c r="BR16" s="22">
        <f>IF(AND($H16&lt;&gt;"",$Z16&lt;&gt;"",$H16&lt;&gt;$Z16,IFERROR(VLOOKUP($H16,areaCercaPuntiClassificaSquadra,3,FALSE),-1)=IFERROR(VLOOKUP($Z16,areaCercaPuntiClassificaSquadra,3,FALSE),-2)),SUMIFS(Dati!$D$2:$D$761,Dati!$A$2:$A$761,$H16,Dati!$H$2:$H$761,$Z16)+SUMIFS(Dati!$K$2:$K$761,Dati!$H$2:$H$761,$H16,Dati!$A$2:$A$761,$Z16)+SUMIFS(Dati!$C$2:$C$761,Dati!$A$2:$A$761,$H16,Dati!$H$2:$H$761,$Z16)+SUMIFS(Dati!$J$2:$J$761,Dati!$H$2:$H$761,$H16,Dati!$A$2:$A$761,$Z16),"-")</f>
        <v/>
      </c>
      <c r="BS16" s="22">
        <f>IF(AND($H16&lt;&gt;"",$AA16&lt;&gt;"",$H16&lt;&gt;$AA16,IFERROR(VLOOKUP($H16,areaCercaPuntiClassificaSquadra,3,FALSE),-1)=IFERROR(VLOOKUP($AA16,areaCercaPuntiClassificaSquadra,3,FALSE),-2)),SUMIFS(Dati!$D$2:$D$761,Dati!$A$2:$A$761,$H16,Dati!$H$2:$H$761,$AA16)+SUMIFS(Dati!$K$2:$K$761,Dati!$H$2:$H$761,$H16,Dati!$A$2:$A$761,$AA16)+SUMIFS(Dati!$C$2:$C$761,Dati!$A$2:$A$761,$H16,Dati!$H$2:$H$761,$AA16)+SUMIFS(Dati!$J$2:$J$761,Dati!$H$2:$H$761,$H16,Dati!$A$2:$A$761,$AA16),"-")</f>
        <v/>
      </c>
      <c r="BT16" s="22">
        <f>IF(AND($H16&lt;&gt;"",$AB16&lt;&gt;"",$H16&lt;&gt;$AB16,IFERROR(VLOOKUP($H16,areaCercaPuntiClassificaSquadra,3,FALSE),-1)=IFERROR(VLOOKUP($AB16,areaCercaPuntiClassificaSquadra,3,FALSE),-2)),SUMIFS(Dati!$D$2:$D$761,Dati!$A$2:$A$761,$H16,Dati!$H$2:$H$761,$AB16)+SUMIFS(Dati!$K$2:$K$761,Dati!$H$2:$H$761,$H16,Dati!$A$2:$A$761,$AB16)+SUMIFS(Dati!$C$2:$C$761,Dati!$A$2:$A$761,$H16,Dati!$H$2:$H$761,$AB16)+SUMIFS(Dati!$J$2:$J$761,Dati!$H$2:$H$761,$H16,Dati!$A$2:$A$761,$AB16),"-")</f>
        <v/>
      </c>
      <c r="BU16" s="22">
        <f>IF(AND($H16&lt;&gt;"",$AC16&lt;&gt;"",$H16&lt;&gt;$AC16,IFERROR(VLOOKUP($H16,areaCercaPuntiClassificaSquadra,3,FALSE),-1)=IFERROR(VLOOKUP($AC16,areaCercaPuntiClassificaSquadra,3,FALSE),-2)),SUMIFS(Dati!$D$2:$D$761,Dati!$A$2:$A$761,$H16,Dati!$H$2:$H$761,$AC16)+SUMIFS(Dati!$K$2:$K$761,Dati!$H$2:$H$761,$H16,Dati!$A$2:$A$761,$AC16)+SUMIFS(Dati!$C$2:$C$761,Dati!$A$2:$A$761,$H16,Dati!$H$2:$H$761,$AC16)+SUMIFS(Dati!$J$2:$J$761,Dati!$H$2:$H$761,$H16,Dati!$A$2:$A$761,$AC16),"-")</f>
        <v/>
      </c>
      <c r="BV16" s="22">
        <f>IF(AND($H16&lt;&gt;"",$AD16&lt;&gt;"",$H16&lt;&gt;$AD16,IFERROR(VLOOKUP($H16,areaCercaPuntiClassificaSquadra,3,FALSE),-1)=IFERROR(VLOOKUP($AD16,areaCercaPuntiClassificaSquadra,3,FALSE),-2)),SUMIFS(Dati!$D$2:$D$761,Dati!$A$2:$A$761,$H16,Dati!$H$2:$H$761,$AD16)+SUMIFS(Dati!$K$2:$K$761,Dati!$H$2:$H$761,$H16,Dati!$A$2:$A$761,$AD16)+SUMIFS(Dati!$C$2:$C$761,Dati!$A$2:$A$761,$H16,Dati!$H$2:$H$761,$AD16)+SUMIFS(Dati!$J$2:$J$761,Dati!$H$2:$H$761,$H16,Dati!$A$2:$A$761,$AD16),"-")</f>
        <v/>
      </c>
      <c r="BW16" s="22">
        <f>IF(AND($H16&lt;&gt;"",$AE16&lt;&gt;"",$H16&lt;&gt;$AE16,IFERROR(VLOOKUP($H16,areaCercaPuntiClassificaSquadra,3,FALSE),-1)=IFERROR(VLOOKUP($AE16,areaCercaPuntiClassificaSquadra,3,FALSE),-2)),SUMIFS(Dati!$D$2:$D$761,Dati!$A$2:$A$761,$H16,Dati!$H$2:$H$761,$AE16)+SUMIFS(Dati!$K$2:$K$761,Dati!$H$2:$H$761,$H16,Dati!$A$2:$A$761,$AE16)+SUMIFS(Dati!$C$2:$C$761,Dati!$A$2:$A$761,$H16,Dati!$H$2:$H$761,$AE16)+SUMIFS(Dati!$J$2:$J$761,Dati!$H$2:$H$761,$H16,Dati!$A$2:$A$761,$AE16),"-")</f>
        <v/>
      </c>
      <c r="BX16" s="22">
        <f>IF(AND($H16&lt;&gt;"",$AF16&lt;&gt;"",$H16&lt;&gt;$AF16,IFERROR(VLOOKUP($H16,areaCercaPuntiClassificaSquadra,3,FALSE),-1)=IFERROR(VLOOKUP($AF16,areaCercaPuntiClassificaSquadra,3,FALSE),-2)),SUMIFS(Dati!$D$2:$D$761,Dati!$A$2:$A$761,$H16,Dati!$H$2:$H$761,$AF16)+SUMIFS(Dati!$K$2:$K$761,Dati!$H$2:$H$761,$H16,Dati!$A$2:$A$761,$AF16)+SUMIFS(Dati!$C$2:$C$761,Dati!$A$2:$A$761,$H16,Dati!$H$2:$H$761,$AF16)+SUMIFS(Dati!$J$2:$J$761,Dati!$H$2:$H$761,$H16,Dati!$A$2:$A$761,$AF16),"-")</f>
        <v/>
      </c>
      <c r="BY16" s="22">
        <f>IF(AND($H16&lt;&gt;"",$AG16&lt;&gt;"",$H16&lt;&gt;$AG16,IFERROR(VLOOKUP($H16,areaCercaPuntiClassificaSquadra,3,FALSE),-1)=IFERROR(VLOOKUP($AG16,areaCercaPuntiClassificaSquadra,3,FALSE),-2)),SUMIFS(Dati!$D$2:$D$761,Dati!$A$2:$A$761,$H16,Dati!$H$2:$H$761,$AG16)+SUMIFS(Dati!$K$2:$K$761,Dati!$H$2:$H$761,$H16,Dati!$A$2:$A$761,$AG16)+SUMIFS(Dati!$C$2:$C$761,Dati!$A$2:$A$761,$H16,Dati!$H$2:$H$761,$AG16)+SUMIFS(Dati!$J$2:$J$761,Dati!$H$2:$H$761,$H16,Dati!$A$2:$A$761,$AG16),"-")</f>
        <v/>
      </c>
      <c r="BZ16" s="22">
        <f>IF(AND($H16&lt;&gt;"",$AH16&lt;&gt;"",$H16&lt;&gt;$AH16,IFERROR(VLOOKUP($H16,areaCercaPuntiClassificaSquadra,3,FALSE),-1)=IFERROR(VLOOKUP($AH16,areaCercaPuntiClassificaSquadra,3,FALSE),-2)),SUMIFS(Dati!$D$2:$D$761,Dati!$A$2:$A$761,$H16,Dati!$H$2:$H$761,$AH16)+SUMIFS(Dati!$K$2:$K$761,Dati!$H$2:$H$761,$H16,Dati!$A$2:$A$761,$AH16)+SUMIFS(Dati!$C$2:$C$761,Dati!$A$2:$A$761,$H16,Dati!$H$2:$H$761,$AH16)+SUMIFS(Dati!$J$2:$J$761,Dati!$H$2:$H$761,$H16,Dati!$A$2:$A$761,$AH16),"-")</f>
        <v/>
      </c>
      <c r="CA16" s="22">
        <f>IF(AND($H16&lt;&gt;"",$AI16&lt;&gt;"",$H16&lt;&gt;$AI16,IFERROR(VLOOKUP($H16,areaCercaPuntiClassificaSquadra,3,FALSE),-1)=IFERROR(VLOOKUP($AI16,areaCercaPuntiClassificaSquadra,3,FALSE),-2)),SUMIFS(Dati!$D$2:$D$761,Dati!$A$2:$A$761,$H16,Dati!$H$2:$H$761,$AI16)+SUMIFS(Dati!$K$2:$K$761,Dati!$H$2:$H$761,$H16,Dati!$A$2:$A$761,$AI16)+SUMIFS(Dati!$C$2:$C$761,Dati!$A$2:$A$761,$H16,Dati!$H$2:$H$761,$AI16)+SUMIFS(Dati!$J$2:$J$761,Dati!$H$2:$H$761,$H16,Dati!$A$2:$A$761,$AI16),"-")</f>
        <v/>
      </c>
      <c r="CB16" s="22">
        <f>IF(AND($H16&lt;&gt;"",$AJ16&lt;&gt;"",$H16&lt;&gt;$AJ16,IFERROR(VLOOKUP($H16,areaCercaPuntiClassificaSquadra,3,FALSE),-1)=IFERROR(VLOOKUP($AJ16,areaCercaPuntiClassificaSquadra,3,FALSE),-2)),SUMIFS(Dati!$D$2:$D$761,Dati!$A$2:$A$761,$H16,Dati!$H$2:$H$761,$AJ16)+SUMIFS(Dati!$K$2:$K$761,Dati!$H$2:$H$761,$H16,Dati!$A$2:$A$761,$AJ16)+SUMIFS(Dati!$C$2:$C$761,Dati!$A$2:$A$761,$H16,Dati!$H$2:$H$761,$AJ16)+SUMIFS(Dati!$J$2:$J$761,Dati!$H$2:$H$761,$H16,Dati!$A$2:$A$761,$AJ16),"-")</f>
        <v/>
      </c>
      <c r="CC16" s="22">
        <f>IF(AND($H16&lt;&gt;"",$AK16&lt;&gt;"",$H16&lt;&gt;$AK16,IFERROR(VLOOKUP($H16,areaCercaPuntiClassificaSquadra,3,FALSE),-1)=IFERROR(VLOOKUP($AK16,areaCercaPuntiClassificaSquadra,3,FALSE),-2)),SUMIFS(Dati!$D$2:$D$761,Dati!$A$2:$A$761,$H16,Dati!$H$2:$H$761,$AK16)+SUMIFS(Dati!$K$2:$K$761,Dati!$H$2:$H$761,$H16,Dati!$A$2:$A$761,$AK16)+SUMIFS(Dati!$C$2:$C$761,Dati!$A$2:$A$761,$H16,Dati!$H$2:$H$761,$AK16)+SUMIFS(Dati!$J$2:$J$761,Dati!$H$2:$H$761,$H16,Dati!$A$2:$A$761,$AK16),"-")</f>
        <v/>
      </c>
      <c r="CD16" s="22">
        <f>IF(AND($H16&lt;&gt;"",$AL16&lt;&gt;"",$H16&lt;&gt;$AL16,IFERROR(VLOOKUP($H16,areaCercaPuntiClassificaSquadra,3,FALSE),-1)=IFERROR(VLOOKUP($AL16,areaCercaPuntiClassificaSquadra,3,FALSE),-2)),SUMIFS(Dati!$D$2:$D$761,Dati!$A$2:$A$761,$H16,Dati!$H$2:$H$761,$AL16)+SUMIFS(Dati!$K$2:$K$761,Dati!$H$2:$H$761,$H16,Dati!$A$2:$A$761,$AL16)+SUMIFS(Dati!$C$2:$C$761,Dati!$A$2:$A$761,$H16,Dati!$H$2:$H$761,$AL16)+SUMIFS(Dati!$J$2:$J$761,Dati!$H$2:$H$761,$H16,Dati!$A$2:$A$761,$AL16),"-")</f>
        <v/>
      </c>
      <c r="CE16" s="22">
        <f>IF(AND($H16&lt;&gt;"",$AM16&lt;&gt;"",$H16&lt;&gt;$AM16,IFERROR(VLOOKUP($H16,areaCercaPuntiClassificaSquadra,3,FALSE),-1)=IFERROR(VLOOKUP($AM16,areaCercaPuntiClassificaSquadra,3,FALSE),-2)),SUMIFS(Dati!$D$2:$D$761,Dati!$A$2:$A$761,$H16,Dati!$H$2:$H$761,$AM16)+SUMIFS(Dati!$K$2:$K$761,Dati!$H$2:$H$761,$H16,Dati!$A$2:$A$761,$AM16)+SUMIFS(Dati!$C$2:$C$761,Dati!$A$2:$A$761,$H16,Dati!$H$2:$H$761,$AM16)+SUMIFS(Dati!$J$2:$J$761,Dati!$H$2:$H$761,$H16,Dati!$A$2:$A$761,$AM16),"-")</f>
        <v/>
      </c>
      <c r="CF16" s="22">
        <f>IF(AND($H16&lt;&gt;"",$AN16&lt;&gt;"",$H16&lt;&gt;$AN16,IFERROR(VLOOKUP($H16,areaCercaPuntiClassificaSquadra,3,FALSE),-1)=IFERROR(VLOOKUP($AN16,areaCercaPuntiClassificaSquadra,3,FALSE),-2)),SUMIFS(Dati!$D$2:$D$761,Dati!$A$2:$A$761,$H16,Dati!$H$2:$H$761,$AN16)+SUMIFS(Dati!$K$2:$K$761,Dati!$H$2:$H$761,$H16,Dati!$A$2:$A$761,$AN16)+SUMIFS(Dati!$C$2:$C$761,Dati!$A$2:$A$761,$H16,Dati!$H$2:$H$761,$AN16)+SUMIFS(Dati!$J$2:$J$761,Dati!$H$2:$H$761,$H16,Dati!$A$2:$A$761,$AN16),"-")</f>
        <v/>
      </c>
      <c r="CG16" s="22">
        <f>IF(AND($H16&lt;&gt;"",$AO16&lt;&gt;"",$H16&lt;&gt;$AO16,IFERROR(VLOOKUP($H16,areaCercaPuntiClassificaSquadra,3,FALSE),-1)=IFERROR(VLOOKUP($AO16,areaCercaPuntiClassificaSquadra,3,FALSE),-2)),SUMIFS(Dati!$D$2:$D$761,Dati!$A$2:$A$761,$H16,Dati!$H$2:$H$761,$AO16)+SUMIFS(Dati!$K$2:$K$761,Dati!$H$2:$H$761,$H16,Dati!$A$2:$A$761,$AO16)+SUMIFS(Dati!$C$2:$C$761,Dati!$A$2:$A$761,$H16,Dati!$H$2:$H$761,$AO16)+SUMIFS(Dati!$J$2:$J$761,Dati!$H$2:$H$761,$H16,Dati!$A$2:$A$761,$AO16),"-")</f>
        <v/>
      </c>
      <c r="CH16" s="22">
        <f>IF(AND($H16&lt;&gt;"",$AP16&lt;&gt;"",$H16&lt;&gt;$AP16,IFERROR(VLOOKUP($H16,areaCercaPuntiClassificaSquadra,3,FALSE),-1)=IFERROR(VLOOKUP($AP16,areaCercaPuntiClassificaSquadra,3,FALSE),-2)),SUMIFS(Dati!$D$2:$D$761,Dati!$A$2:$A$761,$H16,Dati!$H$2:$H$761,$AP16)+SUMIFS(Dati!$K$2:$K$761,Dati!$H$2:$H$761,$H16,Dati!$A$2:$A$761,$AP16)+SUMIFS(Dati!$C$2:$C$761,Dati!$A$2:$A$761,$H16,Dati!$H$2:$H$761,$AP16)+SUMIFS(Dati!$J$2:$J$761,Dati!$H$2:$H$761,$H16,Dati!$A$2:$A$761,$AP16),"-")</f>
        <v/>
      </c>
      <c r="CI16" s="22">
        <f>IF(AND($H16&lt;&gt;"",$AQ16&lt;&gt;"",$H16&lt;&gt;$AQ16,IFERROR(VLOOKUP($H16,areaCercaPuntiClassificaSquadra,3,FALSE),-1)=IFERROR(VLOOKUP($AQ16,areaCercaPuntiClassificaSquadra,3,FALSE),-2)),SUMIFS(Dati!$D$2:$D$761,Dati!$A$2:$A$761,$H16,Dati!$H$2:$H$761,$AQ16)+SUMIFS(Dati!$K$2:$K$761,Dati!$H$2:$H$761,$H16,Dati!$A$2:$A$761,$AQ16)+SUMIFS(Dati!$C$2:$C$761,Dati!$A$2:$A$761,$H16,Dati!$H$2:$H$761,$AQ16)+SUMIFS(Dati!$J$2:$J$761,Dati!$H$2:$H$761,$H16,Dati!$A$2:$A$761,$AQ16),"-")</f>
        <v/>
      </c>
      <c r="CJ16" s="22">
        <f>IF(AND($H16&lt;&gt;"",$AR16&lt;&gt;"",$H16&lt;&gt;$AR16,IFERROR(VLOOKUP($H16,areaCercaPuntiClassificaSquadra,3,FALSE),-1)=IFERROR(VLOOKUP($AR16,areaCercaPuntiClassificaSquadra,3,FALSE),-2)),SUMIFS(Dati!$D$2:$D$761,Dati!$A$2:$A$761,$H16,Dati!$H$2:$H$761,$AR16)+SUMIFS(Dati!$K$2:$K$761,Dati!$H$2:$H$761,$H16,Dati!$A$2:$A$761,$AR16)+SUMIFS(Dati!$C$2:$C$761,Dati!$A$2:$A$761,$H16,Dati!$H$2:$H$761,$AR16)+SUMIFS(Dati!$J$2:$J$761,Dati!$H$2:$H$761,$H16,Dati!$A$2:$A$761,$AR16),"-")</f>
        <v/>
      </c>
      <c r="CL16" s="21">
        <f>$C16</f>
        <v/>
      </c>
      <c r="CM16" s="22">
        <f>IF(AND($H16&lt;&gt;"",$Y16&lt;&gt;"",$H16&lt;&gt;$Y16,IFERROR(VLOOKUP($H16,areaCercaPuntiClassificaSquadra,3,FALSE),-1)=IFERROR(VLOOKUP($Y16,areaCercaPuntiClassificaSquadra,3,FALSE),-2)),SUMIFS(Dati!$E$2:$E$761,Dati!$A$2:$A$761,$H16,Dati!$H$2:$H$761,$Y16)+SUMIFS(Dati!$L$2:$L$761,Dati!$H$2:$H$761,$H16,Dati!$A$2:$A$761,$Y16),"-")</f>
        <v/>
      </c>
      <c r="CN16" s="22">
        <f>IF(AND($H16&lt;&gt;"",$Z16&lt;&gt;"",$H16&lt;&gt;$Z16,IFERROR(VLOOKUP($H16,areaCercaPuntiClassificaSquadra,3,FALSE),-1)=IFERROR(VLOOKUP($Z16,areaCercaPuntiClassificaSquadra,3,FALSE),-2)),SUMIFS(Dati!$E$2:$E$761,Dati!$A$2:$A$761,$H16,Dati!$H$2:$H$761,$Z16)+SUMIFS(Dati!$L$2:$L$761,Dati!$H$2:$H$761,$H16,Dati!$A$2:$A$761,$Z16),"-")</f>
        <v/>
      </c>
      <c r="CO16" s="22">
        <f>IF(AND($H16&lt;&gt;"",$AA16&lt;&gt;"",$H16&lt;&gt;$AA16,IFERROR(VLOOKUP($H16,areaCercaPuntiClassificaSquadra,3,FALSE),-1)=IFERROR(VLOOKUP($AA16,areaCercaPuntiClassificaSquadra,3,FALSE),-2)),SUMIFS(Dati!$E$2:$E$761,Dati!$A$2:$A$761,$H16,Dati!$H$2:$H$761,$AA16)+SUMIFS(Dati!$L$2:$L$761,Dati!$H$2:$H$761,$H16,Dati!$A$2:$A$761,$AA16),"-")</f>
        <v/>
      </c>
      <c r="CP16" s="22">
        <f>IF(AND($H16&lt;&gt;"",$AB16&lt;&gt;"",$H16&lt;&gt;$AB16,IFERROR(VLOOKUP($H16,areaCercaPuntiClassificaSquadra,3,FALSE),-1)=IFERROR(VLOOKUP($AB16,areaCercaPuntiClassificaSquadra,3,FALSE),-2)),SUMIFS(Dati!$E$2:$E$761,Dati!$A$2:$A$761,$H16,Dati!$H$2:$H$761,$AB16)+SUMIFS(Dati!$L$2:$L$761,Dati!$H$2:$H$761,$H16,Dati!$A$2:$A$761,$AB16),"-")</f>
        <v/>
      </c>
      <c r="CQ16" s="22">
        <f>IF(AND($H16&lt;&gt;"",$AC16&lt;&gt;"",$H16&lt;&gt;$AC16,IFERROR(VLOOKUP($H16,areaCercaPuntiClassificaSquadra,3,FALSE),-1)=IFERROR(VLOOKUP($AC16,areaCercaPuntiClassificaSquadra,3,FALSE),-2)),SUMIFS(Dati!$E$2:$E$761,Dati!$A$2:$A$761,$H16,Dati!$H$2:$H$761,$AC16)+SUMIFS(Dati!$L$2:$L$761,Dati!$H$2:$H$761,$H16,Dati!$A$2:$A$761,$AC16),"-")</f>
        <v/>
      </c>
      <c r="CR16" s="22">
        <f>IF(AND($H16&lt;&gt;"",$AD16&lt;&gt;"",$H16&lt;&gt;$AD16,IFERROR(VLOOKUP($H16,areaCercaPuntiClassificaSquadra,3,FALSE),-1)=IFERROR(VLOOKUP($AD16,areaCercaPuntiClassificaSquadra,3,FALSE),-2)),SUMIFS(Dati!$E$2:$E$761,Dati!$A$2:$A$761,$H16,Dati!$H$2:$H$761,$AD16)+SUMIFS(Dati!$L$2:$L$761,Dati!$H$2:$H$761,$H16,Dati!$A$2:$A$761,$AD16),"-")</f>
        <v/>
      </c>
      <c r="CS16" s="22">
        <f>IF(AND($H16&lt;&gt;"",$AE16&lt;&gt;"",$H16&lt;&gt;$AE16,IFERROR(VLOOKUP($H16,areaCercaPuntiClassificaSquadra,3,FALSE),-1)=IFERROR(VLOOKUP($AE16,areaCercaPuntiClassificaSquadra,3,FALSE),-2)),SUMIFS(Dati!$E$2:$E$761,Dati!$A$2:$A$761,$H16,Dati!$H$2:$H$761,$AE16)+SUMIFS(Dati!$L$2:$L$761,Dati!$H$2:$H$761,$H16,Dati!$A$2:$A$761,$AE16),"-")</f>
        <v/>
      </c>
      <c r="CT16" s="22">
        <f>IF(AND($H16&lt;&gt;"",$AF16&lt;&gt;"",$H16&lt;&gt;$AF16,IFERROR(VLOOKUP($H16,areaCercaPuntiClassificaSquadra,3,FALSE),-1)=IFERROR(VLOOKUP($AF16,areaCercaPuntiClassificaSquadra,3,FALSE),-2)),SUMIFS(Dati!$E$2:$E$761,Dati!$A$2:$A$761,$H16,Dati!$H$2:$H$761,$AF16)+SUMIFS(Dati!$L$2:$L$761,Dati!$H$2:$H$761,$H16,Dati!$A$2:$A$761,$AF16),"-")</f>
        <v/>
      </c>
      <c r="CU16" s="22">
        <f>IF(AND($H16&lt;&gt;"",$AG16&lt;&gt;"",$H16&lt;&gt;$AG16,IFERROR(VLOOKUP($H16,areaCercaPuntiClassificaSquadra,3,FALSE),-1)=IFERROR(VLOOKUP($AG16,areaCercaPuntiClassificaSquadra,3,FALSE),-2)),SUMIFS(Dati!$E$2:$E$761,Dati!$A$2:$A$761,$H16,Dati!$H$2:$H$761,$AG16)+SUMIFS(Dati!$L$2:$L$761,Dati!$H$2:$H$761,$H16,Dati!$A$2:$A$761,$AG16),"-")</f>
        <v/>
      </c>
      <c r="CV16" s="22">
        <f>IF(AND($H16&lt;&gt;"",$AH16&lt;&gt;"",$H16&lt;&gt;$AH16,IFERROR(VLOOKUP($H16,areaCercaPuntiClassificaSquadra,3,FALSE),-1)=IFERROR(VLOOKUP($AH16,areaCercaPuntiClassificaSquadra,3,FALSE),-2)),SUMIFS(Dati!$E$2:$E$761,Dati!$A$2:$A$761,$H16,Dati!$H$2:$H$761,$AH16)+SUMIFS(Dati!$L$2:$L$761,Dati!$H$2:$H$761,$H16,Dati!$A$2:$A$761,$AH16),"-")</f>
        <v/>
      </c>
      <c r="CW16" s="22">
        <f>IF(AND($H16&lt;&gt;"",$AI16&lt;&gt;"",$H16&lt;&gt;$AI16,IFERROR(VLOOKUP($H16,areaCercaPuntiClassificaSquadra,3,FALSE),-1)=IFERROR(VLOOKUP($AI16,areaCercaPuntiClassificaSquadra,3,FALSE),-2)),SUMIFS(Dati!$E$2:$E$761,Dati!$A$2:$A$761,$H16,Dati!$H$2:$H$761,$AI16)+SUMIFS(Dati!$L$2:$L$761,Dati!$H$2:$H$761,$H16,Dati!$A$2:$A$761,$AI16),"-")</f>
        <v/>
      </c>
      <c r="CX16" s="22">
        <f>IF(AND($H16&lt;&gt;"",$AJ16&lt;&gt;"",$H16&lt;&gt;$AJ16,IFERROR(VLOOKUP($H16,areaCercaPuntiClassificaSquadra,3,FALSE),-1)=IFERROR(VLOOKUP($AJ16,areaCercaPuntiClassificaSquadra,3,FALSE),-2)),SUMIFS(Dati!$E$2:$E$761,Dati!$A$2:$A$761,$H16,Dati!$H$2:$H$761,$AJ16)+SUMIFS(Dati!$L$2:$L$761,Dati!$H$2:$H$761,$H16,Dati!$A$2:$A$761,$AJ16),"-")</f>
        <v/>
      </c>
      <c r="CY16" s="22">
        <f>IF(AND($H16&lt;&gt;"",$AK16&lt;&gt;"",$H16&lt;&gt;$AK16,IFERROR(VLOOKUP($H16,areaCercaPuntiClassificaSquadra,3,FALSE),-1)=IFERROR(VLOOKUP($AK16,areaCercaPuntiClassificaSquadra,3,FALSE),-2)),SUMIFS(Dati!$E$2:$E$761,Dati!$A$2:$A$761,$H16,Dati!$H$2:$H$761,$AK16)+SUMIFS(Dati!$L$2:$L$761,Dati!$H$2:$H$761,$H16,Dati!$A$2:$A$761,$AK16),"-")</f>
        <v/>
      </c>
      <c r="CZ16" s="22">
        <f>IF(AND($H16&lt;&gt;"",$AL16&lt;&gt;"",$H16&lt;&gt;$AL16,IFERROR(VLOOKUP($H16,areaCercaPuntiClassificaSquadra,3,FALSE),-1)=IFERROR(VLOOKUP($AL16,areaCercaPuntiClassificaSquadra,3,FALSE),-2)),SUMIFS(Dati!$E$2:$E$761,Dati!$A$2:$A$761,$H16,Dati!$H$2:$H$761,$AL16)+SUMIFS(Dati!$L$2:$L$761,Dati!$H$2:$H$761,$H16,Dati!$A$2:$A$761,$AL16),"-")</f>
        <v/>
      </c>
      <c r="DA16" s="22">
        <f>IF(AND($H16&lt;&gt;"",$AM16&lt;&gt;"",$H16&lt;&gt;$AM16,IFERROR(VLOOKUP($H16,areaCercaPuntiClassificaSquadra,3,FALSE),-1)=IFERROR(VLOOKUP($AM16,areaCercaPuntiClassificaSquadra,3,FALSE),-2)),SUMIFS(Dati!$E$2:$E$761,Dati!$A$2:$A$761,$H16,Dati!$H$2:$H$761,$AM16)+SUMIFS(Dati!$L$2:$L$761,Dati!$H$2:$H$761,$H16,Dati!$A$2:$A$761,$AM16),"-")</f>
        <v/>
      </c>
      <c r="DB16" s="22">
        <f>IF(AND($H16&lt;&gt;"",$AN16&lt;&gt;"",$H16&lt;&gt;$AN16,IFERROR(VLOOKUP($H16,areaCercaPuntiClassificaSquadra,3,FALSE),-1)=IFERROR(VLOOKUP($AN16,areaCercaPuntiClassificaSquadra,3,FALSE),-2)),SUMIFS(Dati!$E$2:$E$761,Dati!$A$2:$A$761,$H16,Dati!$H$2:$H$761,$AN16)+SUMIFS(Dati!$L$2:$L$761,Dati!$H$2:$H$761,$H16,Dati!$A$2:$A$761,$AN16),"-")</f>
        <v/>
      </c>
      <c r="DC16" s="22">
        <f>IF(AND($H16&lt;&gt;"",$AO16&lt;&gt;"",$H16&lt;&gt;$AO16,IFERROR(VLOOKUP($H16,areaCercaPuntiClassificaSquadra,3,FALSE),-1)=IFERROR(VLOOKUP($AO16,areaCercaPuntiClassificaSquadra,3,FALSE),-2)),SUMIFS(Dati!$E$2:$E$761,Dati!$A$2:$A$761,$H16,Dati!$H$2:$H$761,$AO16)+SUMIFS(Dati!$L$2:$L$761,Dati!$H$2:$H$761,$H16,Dati!$A$2:$A$761,$AO16),"-")</f>
        <v/>
      </c>
      <c r="DD16" s="22">
        <f>IF(AND($H16&lt;&gt;"",$AP16&lt;&gt;"",$H16&lt;&gt;$AP16,IFERROR(VLOOKUP($H16,areaCercaPuntiClassificaSquadra,3,FALSE),-1)=IFERROR(VLOOKUP($AP16,areaCercaPuntiClassificaSquadra,3,FALSE),-2)),SUMIFS(Dati!$E$2:$E$761,Dati!$A$2:$A$761,$H16,Dati!$H$2:$H$761,$AP16)+SUMIFS(Dati!$L$2:$L$761,Dati!$H$2:$H$761,$H16,Dati!$A$2:$A$761,$AP16),"-")</f>
        <v/>
      </c>
      <c r="DE16" s="22">
        <f>IF(AND($H16&lt;&gt;"",$AQ16&lt;&gt;"",$H16&lt;&gt;$AQ16,IFERROR(VLOOKUP($H16,areaCercaPuntiClassificaSquadra,3,FALSE),-1)=IFERROR(VLOOKUP($AQ16,areaCercaPuntiClassificaSquadra,3,FALSE),-2)),SUMIFS(Dati!$E$2:$E$761,Dati!$A$2:$A$761,$H16,Dati!$H$2:$H$761,$AQ16)+SUMIFS(Dati!$L$2:$L$761,Dati!$H$2:$H$761,$H16,Dati!$A$2:$A$761,$AQ16),"-")</f>
        <v/>
      </c>
      <c r="DF16" s="22">
        <f>IF(AND($H16&lt;&gt;"",$AR16&lt;&gt;"",$H16&lt;&gt;$AR16,IFERROR(VLOOKUP($H16,areaCercaPuntiClassificaSquadra,3,FALSE),-1)=IFERROR(VLOOKUP($AR16,areaCercaPuntiClassificaSquadra,3,FALSE),-2)),SUMIFS(Dati!$E$2:$E$761,Dati!$A$2:$A$761,$H16,Dati!$H$2:$H$761,$AR16)+SUMIFS(Dati!$L$2:$L$761,Dati!$H$2:$H$761,$H16,Dati!$A$2:$A$761,$AR16),"-")</f>
        <v/>
      </c>
      <c r="DH16" s="21">
        <f>$C16</f>
        <v/>
      </c>
      <c r="DI16" s="22">
        <f>IF(AND($H16&lt;&gt;"",$Y16&lt;&gt;"",$H16&lt;&gt;$Y16,IFERROR(VLOOKUP($H16,areaCercaPuntiClassificaSquadra,3,FALSE),-1)=IFERROR(VLOOKUP($Y16,areaCercaPuntiClassificaSquadra,3,FALSE),-2)),SUMIFS(Dati!$F$2:$F$761,Dati!$A$2:$A$761,$H16,Dati!$H$2:$H$761,$Y16)+SUMIFS(Dati!$M$2:$M$761,Dati!$H$2:$H$761,$H16,Dati!$A$2:$A$761,$Y16),"-")</f>
        <v/>
      </c>
      <c r="DJ16" s="22">
        <f>IF(AND($H16&lt;&gt;"",$Z16&lt;&gt;"",$H16&lt;&gt;$Z16,IFERROR(VLOOKUP($H16,areaCercaPuntiClassificaSquadra,3,FALSE),-1)=IFERROR(VLOOKUP($Z16,areaCercaPuntiClassificaSquadra,3,FALSE),-2)),SUMIFS(Dati!$F$2:$F$761,Dati!$A$2:$A$761,$H16,Dati!$H$2:$H$761,$Z16)+SUMIFS(Dati!$M$2:$M$761,Dati!$H$2:$H$761,$H16,Dati!$A$2:$A$761,$Z16),"-")</f>
        <v/>
      </c>
      <c r="DK16" s="22">
        <f>IF(AND($H16&lt;&gt;"",$AA16&lt;&gt;"",$H16&lt;&gt;$AA16,IFERROR(VLOOKUP($H16,areaCercaPuntiClassificaSquadra,3,FALSE),-1)=IFERROR(VLOOKUP($AA16,areaCercaPuntiClassificaSquadra,3,FALSE),-2)),SUMIFS(Dati!$F$2:$F$761,Dati!$A$2:$A$761,$H16,Dati!$H$2:$H$761,$AA16)+SUMIFS(Dati!$M$2:$M$761,Dati!$H$2:$H$761,$H16,Dati!$A$2:$A$761,$AA16),"-")</f>
        <v/>
      </c>
      <c r="DL16" s="22">
        <f>IF(AND($H16&lt;&gt;"",$AB16&lt;&gt;"",$H16&lt;&gt;$AB16,IFERROR(VLOOKUP($H16,areaCercaPuntiClassificaSquadra,3,FALSE),-1)=IFERROR(VLOOKUP($AB16,areaCercaPuntiClassificaSquadra,3,FALSE),-2)),SUMIFS(Dati!$F$2:$F$761,Dati!$A$2:$A$761,$H16,Dati!$H$2:$H$761,$AB16)+SUMIFS(Dati!$M$2:$M$761,Dati!$H$2:$H$761,$H16,Dati!$A$2:$A$761,$AB16),"-")</f>
        <v/>
      </c>
      <c r="DM16" s="22">
        <f>IF(AND($H16&lt;&gt;"",$AC16&lt;&gt;"",$H16&lt;&gt;$AC16,IFERROR(VLOOKUP($H16,areaCercaPuntiClassificaSquadra,3,FALSE),-1)=IFERROR(VLOOKUP($AC16,areaCercaPuntiClassificaSquadra,3,FALSE),-2)),SUMIFS(Dati!$F$2:$F$761,Dati!$A$2:$A$761,$H16,Dati!$H$2:$H$761,$AC16)+SUMIFS(Dati!$M$2:$M$761,Dati!$H$2:$H$761,$H16,Dati!$A$2:$A$761,$AC16),"-")</f>
        <v/>
      </c>
      <c r="DN16" s="22">
        <f>IF(AND($H16&lt;&gt;"",$AD16&lt;&gt;"",$H16&lt;&gt;$AD16,IFERROR(VLOOKUP($H16,areaCercaPuntiClassificaSquadra,3,FALSE),-1)=IFERROR(VLOOKUP($AD16,areaCercaPuntiClassificaSquadra,3,FALSE),-2)),SUMIFS(Dati!$F$2:$F$761,Dati!$A$2:$A$761,$H16,Dati!$H$2:$H$761,$AD16)+SUMIFS(Dati!$M$2:$M$761,Dati!$H$2:$H$761,$H16,Dati!$A$2:$A$761,$AD16),"-")</f>
        <v/>
      </c>
      <c r="DO16" s="22">
        <f>IF(AND($H16&lt;&gt;"",$AE16&lt;&gt;"",$H16&lt;&gt;$AE16,IFERROR(VLOOKUP($H16,areaCercaPuntiClassificaSquadra,3,FALSE),-1)=IFERROR(VLOOKUP($AE16,areaCercaPuntiClassificaSquadra,3,FALSE),-2)),SUMIFS(Dati!$F$2:$F$761,Dati!$A$2:$A$761,$H16,Dati!$H$2:$H$761,$AE16)+SUMIFS(Dati!$M$2:$M$761,Dati!$H$2:$H$761,$H16,Dati!$A$2:$A$761,$AE16),"-")</f>
        <v/>
      </c>
      <c r="DP16" s="22">
        <f>IF(AND($H16&lt;&gt;"",$AF16&lt;&gt;"",$H16&lt;&gt;$AF16,IFERROR(VLOOKUP($H16,areaCercaPuntiClassificaSquadra,3,FALSE),-1)=IFERROR(VLOOKUP($AF16,areaCercaPuntiClassificaSquadra,3,FALSE),-2)),SUMIFS(Dati!$F$2:$F$761,Dati!$A$2:$A$761,$H16,Dati!$H$2:$H$761,$AF16)+SUMIFS(Dati!$M$2:$M$761,Dati!$H$2:$H$761,$H16,Dati!$A$2:$A$761,$AF16),"-")</f>
        <v/>
      </c>
      <c r="DQ16" s="22">
        <f>IF(AND($H16&lt;&gt;"",$AG16&lt;&gt;"",$H16&lt;&gt;$AG16,IFERROR(VLOOKUP($H16,areaCercaPuntiClassificaSquadra,3,FALSE),-1)=IFERROR(VLOOKUP($AG16,areaCercaPuntiClassificaSquadra,3,FALSE),-2)),SUMIFS(Dati!$F$2:$F$761,Dati!$A$2:$A$761,$H16,Dati!$H$2:$H$761,$AG16)+SUMIFS(Dati!$M$2:$M$761,Dati!$H$2:$H$761,$H16,Dati!$A$2:$A$761,$AG16),"-")</f>
        <v/>
      </c>
      <c r="DR16" s="22">
        <f>IF(AND($H16&lt;&gt;"",$AH16&lt;&gt;"",$H16&lt;&gt;$AH16,IFERROR(VLOOKUP($H16,areaCercaPuntiClassificaSquadra,3,FALSE),-1)=IFERROR(VLOOKUP($AH16,areaCercaPuntiClassificaSquadra,3,FALSE),-2)),SUMIFS(Dati!$F$2:$F$761,Dati!$A$2:$A$761,$H16,Dati!$H$2:$H$761,$AH16)+SUMIFS(Dati!$M$2:$M$761,Dati!$H$2:$H$761,$H16,Dati!$A$2:$A$761,$AH16),"-")</f>
        <v/>
      </c>
      <c r="DS16" s="22">
        <f>IF(AND($H16&lt;&gt;"",$AI16&lt;&gt;"",$H16&lt;&gt;$AI16,IFERROR(VLOOKUP($H16,areaCercaPuntiClassificaSquadra,3,FALSE),-1)=IFERROR(VLOOKUP($AI16,areaCercaPuntiClassificaSquadra,3,FALSE),-2)),SUMIFS(Dati!$F$2:$F$761,Dati!$A$2:$A$761,$H16,Dati!$H$2:$H$761,$AI16)+SUMIFS(Dati!$M$2:$M$761,Dati!$H$2:$H$761,$H16,Dati!$A$2:$A$761,$AI16),"-")</f>
        <v/>
      </c>
      <c r="DT16" s="22">
        <f>IF(AND($H16&lt;&gt;"",$AJ16&lt;&gt;"",$H16&lt;&gt;$AJ16,IFERROR(VLOOKUP($H16,areaCercaPuntiClassificaSquadra,3,FALSE),-1)=IFERROR(VLOOKUP($AJ16,areaCercaPuntiClassificaSquadra,3,FALSE),-2)),SUMIFS(Dati!$F$2:$F$761,Dati!$A$2:$A$761,$H16,Dati!$H$2:$H$761,$AJ16)+SUMIFS(Dati!$M$2:$M$761,Dati!$H$2:$H$761,$H16,Dati!$A$2:$A$761,$AJ16),"-")</f>
        <v/>
      </c>
      <c r="DU16" s="22">
        <f>IF(AND($H16&lt;&gt;"",$AK16&lt;&gt;"",$H16&lt;&gt;$AK16,IFERROR(VLOOKUP($H16,areaCercaPuntiClassificaSquadra,3,FALSE),-1)=IFERROR(VLOOKUP($AK16,areaCercaPuntiClassificaSquadra,3,FALSE),-2)),SUMIFS(Dati!$F$2:$F$761,Dati!$A$2:$A$761,$H16,Dati!$H$2:$H$761,$AK16)+SUMIFS(Dati!$M$2:$M$761,Dati!$H$2:$H$761,$H16,Dati!$A$2:$A$761,$AK16),"-")</f>
        <v/>
      </c>
      <c r="DV16" s="22">
        <f>IF(AND($H16&lt;&gt;"",$AL16&lt;&gt;"",$H16&lt;&gt;$AL16,IFERROR(VLOOKUP($H16,areaCercaPuntiClassificaSquadra,3,FALSE),-1)=IFERROR(VLOOKUP($AL16,areaCercaPuntiClassificaSquadra,3,FALSE),-2)),SUMIFS(Dati!$F$2:$F$761,Dati!$A$2:$A$761,$H16,Dati!$H$2:$H$761,$AL16)+SUMIFS(Dati!$M$2:$M$761,Dati!$H$2:$H$761,$H16,Dati!$A$2:$A$761,$AL16),"-")</f>
        <v/>
      </c>
      <c r="DW16" s="22">
        <f>IF(AND($H16&lt;&gt;"",$AM16&lt;&gt;"",$H16&lt;&gt;$AM16,IFERROR(VLOOKUP($H16,areaCercaPuntiClassificaSquadra,3,FALSE),-1)=IFERROR(VLOOKUP($AM16,areaCercaPuntiClassificaSquadra,3,FALSE),-2)),SUMIFS(Dati!$F$2:$F$761,Dati!$A$2:$A$761,$H16,Dati!$H$2:$H$761,$AM16)+SUMIFS(Dati!$M$2:$M$761,Dati!$H$2:$H$761,$H16,Dati!$A$2:$A$761,$AM16),"-")</f>
        <v/>
      </c>
      <c r="DX16" s="22">
        <f>IF(AND($H16&lt;&gt;"",$AN16&lt;&gt;"",$H16&lt;&gt;$AN16,IFERROR(VLOOKUP($H16,areaCercaPuntiClassificaSquadra,3,FALSE),-1)=IFERROR(VLOOKUP($AN16,areaCercaPuntiClassificaSquadra,3,FALSE),-2)),SUMIFS(Dati!$F$2:$F$761,Dati!$A$2:$A$761,$H16,Dati!$H$2:$H$761,$AN16)+SUMIFS(Dati!$M$2:$M$761,Dati!$H$2:$H$761,$H16,Dati!$A$2:$A$761,$AN16),"-")</f>
        <v/>
      </c>
      <c r="DY16" s="22">
        <f>IF(AND($H16&lt;&gt;"",$AO16&lt;&gt;"",$H16&lt;&gt;$AO16,IFERROR(VLOOKUP($H16,areaCercaPuntiClassificaSquadra,3,FALSE),-1)=IFERROR(VLOOKUP($AO16,areaCercaPuntiClassificaSquadra,3,FALSE),-2)),SUMIFS(Dati!$F$2:$F$761,Dati!$A$2:$A$761,$H16,Dati!$H$2:$H$761,$AO16)+SUMIFS(Dati!$M$2:$M$761,Dati!$H$2:$H$761,$H16,Dati!$A$2:$A$761,$AO16),"-")</f>
        <v/>
      </c>
      <c r="DZ16" s="22">
        <f>IF(AND($H16&lt;&gt;"",$AP16&lt;&gt;"",$H16&lt;&gt;$AP16,IFERROR(VLOOKUP($H16,areaCercaPuntiClassificaSquadra,3,FALSE),-1)=IFERROR(VLOOKUP($AP16,areaCercaPuntiClassificaSquadra,3,FALSE),-2)),SUMIFS(Dati!$F$2:$F$761,Dati!$A$2:$A$761,$H16,Dati!$H$2:$H$761,$AP16)+SUMIFS(Dati!$M$2:$M$761,Dati!$H$2:$H$761,$H16,Dati!$A$2:$A$761,$AP16),"-")</f>
        <v/>
      </c>
      <c r="EA16" s="22">
        <f>IF(AND($H16&lt;&gt;"",$AQ16&lt;&gt;"",$H16&lt;&gt;$AQ16,IFERROR(VLOOKUP($H16,areaCercaPuntiClassificaSquadra,3,FALSE),-1)=IFERROR(VLOOKUP($AQ16,areaCercaPuntiClassificaSquadra,3,FALSE),-2)),SUMIFS(Dati!$F$2:$F$761,Dati!$A$2:$A$761,$H16,Dati!$H$2:$H$761,$AQ16)+SUMIFS(Dati!$M$2:$M$761,Dati!$H$2:$H$761,$H16,Dati!$A$2:$A$761,$AQ16),"-")</f>
        <v/>
      </c>
      <c r="EB16" s="22">
        <f>IF(AND($H16&lt;&gt;"",$AR16&lt;&gt;"",$H16&lt;&gt;$AR16,IFERROR(VLOOKUP($H16,areaCercaPuntiClassificaSquadra,3,FALSE),-1)=IFERROR(VLOOKUP($AR16,areaCercaPuntiClassificaSquadra,3,FALSE),-2)),SUMIFS(Dati!$F$2:$F$761,Dati!$A$2:$A$761,$H16,Dati!$H$2:$H$761,$AR16)+SUMIFS(Dati!$M$2:$M$761,Dati!$H$2:$H$761,$H16,Dati!$A$2:$A$761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inlineStr">
        <is>
          <t>Dingo Docili-Dingoopoli DO</t>
        </is>
      </c>
      <c r="D17" s="14" t="n"/>
      <c r="E17" s="15" t="inlineStr">
        <is>
          <t>A</t>
        </is>
      </c>
      <c r="G17" s="16">
        <f>IF($C17="","",$E17&amp;(COUNTIFS(I$14:I$93,"&gt;"&amp;I17,E$14:E$93,"="&amp;E17,C$14:C$93,"&lt;&gt;")+COUNTIFS(I$14:I$93,"="&amp;I17,H$14:H$93,"&lt;="&amp;H17,E$14:E$93,"="&amp;E17,C$14:C$93,"&lt;&gt;")))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L17*constPuntiVittoria+M17*constPuntiSconfitta+N17*constPuntiForfait+IF(D17="",0,D17)</f>
        <v/>
      </c>
      <c r="K17" s="12">
        <f>SUM(L17:N17)</f>
        <v/>
      </c>
      <c r="L17" s="12">
        <f>IF($H17="",0,SUMIF(Dati!$A$2:$A$761,$H17,Dati!$B$2:$B$761)+SUMIF(Dati!$H$2:$H$761,$H17,Dati!$I$2:$I$761))</f>
        <v/>
      </c>
      <c r="M17" s="12">
        <f>IF($H17="",0,SUMIF(Dati!$A$2:$A$761,$H17,Dati!$D$2:$D$761)+SUMIF(Dati!$H$2:$H$761,$H17,Dati!$K$2:$K$761))</f>
        <v/>
      </c>
      <c r="N17" s="12">
        <f>IF($H17="",0,SUMIF(Dati!$A$2:$A$761,$H17,Dati!$C$2:$C$761)+SUMIF(Dati!$H$2:$H$761,$H17,Dati!$J$2:$J$761))</f>
        <v/>
      </c>
      <c r="O17" s="12">
        <f>IF($H17="",0,SUMIF(Dati!$A$2:$A$761,$H17,Dati!$E$2:$E$761)+SUMIF(Dati!$H$2:$H$761,$H17,Dati!$L$2:$L$761))</f>
        <v/>
      </c>
      <c r="P17" s="12">
        <f>IF($H17="",0,SUMIF(Dati!$A$2:$A$761,$H17,Dati!$F$2:$F$761)+SUMIF(Dati!$H$2:$H$761,$H17,Dati!$M$2:$M$761))</f>
        <v/>
      </c>
      <c r="Q17" s="12">
        <f>IF($H17="",0,SUMIF(Dati!$A$2:$A$761,$H17,Dati!$G$2:$G$761)+SUMIF(Dati!$H$2:$H$761,$H17,Dati!$N$2:$N$761))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IF(COUNTIFS($E$14:$E$93,$E17,$J$14:$J$93,$J17,$C$14:$C$93,"&lt;&gt;")&lt;=1,"-",SUM(AU17:BN17)&amp;"-"&amp;SUM(BQ17:CJ17))</f>
        <v/>
      </c>
      <c r="V17" s="18">
        <f>IF(COUNTIFS($E$14:$E$93,$E17,$J$14:$J$93,$J17,$C$14:$C$93,"&lt;&gt;",$ED$14:$ED$93,$ED17)&lt;=1,"-",IF(SUM(DI17:EB17)=0,0,ROUND(SUM(CM17:DF17)/SUM(DI17:EB17),3)))</f>
        <v/>
      </c>
      <c r="W17" s="18">
        <f>IF(COUNTIFS($E$14:$E$93,$E17,$J$14:$J$93,$J17,$C$14:$C$93,"&lt;&gt;",$ED$14:$ED$93,$ED17,$V$14:$V$93,$V17)&lt;=1,"-",IF(P17=0,0,ROUND(O17/P17,3)))</f>
        <v/>
      </c>
      <c r="X17" s="19">
        <f>IF($C17="","",$E17&amp;"#"&amp;COUNTIFS($E$14:$E17,$E17,$C$14:$C17,"&lt;&gt;"))</f>
        <v/>
      </c>
      <c r="Y17" s="20">
        <f>IFERROR(INDEX($H$14:$H$93,MATCH($E17&amp;"#1",$X$14:$X$93,0)),"")</f>
        <v/>
      </c>
      <c r="Z17" s="20">
        <f>IFERROR(INDEX($H$14:$H$93,MATCH($E17&amp;"#2",$X$14:$X$93,0)),"")</f>
        <v/>
      </c>
      <c r="AA17" s="20">
        <f>IFERROR(INDEX($H$14:$H$93,MATCH($E17&amp;"#3",$X$14:$X$93,0)),"")</f>
        <v/>
      </c>
      <c r="AB17" s="20">
        <f>IFERROR(INDEX($H$14:$H$93,MATCH($E17&amp;"#4",$X$14:$X$93,0)),"")</f>
        <v/>
      </c>
      <c r="AC17" s="20">
        <f>IFERROR(INDEX($H$14:$H$93,MATCH($E17&amp;"#5",$X$14:$X$93,0)),"")</f>
        <v/>
      </c>
      <c r="AD17" s="20">
        <f>IFERROR(INDEX($H$14:$H$93,MATCH($E17&amp;"#6",$X$14:$X$93,0)),"")</f>
        <v/>
      </c>
      <c r="AE17" s="20">
        <f>IFERROR(INDEX($H$14:$H$93,MATCH($E17&amp;"#7",$X$14:$X$93,0)),"")</f>
        <v/>
      </c>
      <c r="AF17" s="20">
        <f>IFERROR(INDEX($H$14:$H$93,MATCH($E17&amp;"#8",$X$14:$X$93,0)),"")</f>
        <v/>
      </c>
      <c r="AG17" s="20">
        <f>IFERROR(INDEX($H$14:$H$93,MATCH($E17&amp;"#9",$X$14:$X$93,0)),"")</f>
        <v/>
      </c>
      <c r="AH17" s="20">
        <f>IFERROR(INDEX($H$14:$H$93,MATCH($E17&amp;"#10",$X$14:$X$93,0)),"")</f>
        <v/>
      </c>
      <c r="AI17" s="20">
        <f>IFERROR(INDEX($H$14:$H$93,MATCH($E17&amp;"#11",$X$14:$X$93,0)),"")</f>
        <v/>
      </c>
      <c r="AJ17" s="20">
        <f>IFERROR(INDEX($H$14:$H$93,MATCH($E17&amp;"#12",$X$14:$X$93,0)),"")</f>
        <v/>
      </c>
      <c r="AK17" s="20">
        <f>IFERROR(INDEX($H$14:$H$93,MATCH($E17&amp;"#13",$X$14:$X$93,0)),"")</f>
        <v/>
      </c>
      <c r="AL17" s="20">
        <f>IFERROR(INDEX($H$14:$H$93,MATCH($E17&amp;"#14",$X$14:$X$93,0)),"")</f>
        <v/>
      </c>
      <c r="AM17" s="20">
        <f>IFERROR(INDEX($H$14:$H$93,MATCH($E17&amp;"#15",$X$14:$X$93,0)),"")</f>
        <v/>
      </c>
      <c r="AN17" s="20">
        <f>IFERROR(INDEX($H$14:$H$93,MATCH($E17&amp;"#16",$X$14:$X$93,0)),"")</f>
        <v/>
      </c>
      <c r="AO17" s="20">
        <f>IFERROR(INDEX($H$14:$H$93,MATCH($E17&amp;"#17",$X$14:$X$93,0)),"")</f>
        <v/>
      </c>
      <c r="AP17" s="20">
        <f>IFERROR(INDEX($H$14:$H$93,MATCH($E17&amp;"#18",$X$14:$X$93,0)),"")</f>
        <v/>
      </c>
      <c r="AQ17" s="20">
        <f>IFERROR(INDEX($H$14:$H$93,MATCH($E17&amp;"#19",$X$14:$X$93,0)),"")</f>
        <v/>
      </c>
      <c r="AR17" s="20">
        <f>IFERROR(INDEX($H$14:$H$93,MATCH($E17&amp;"#20",$X$14:$X$93,0)),"")</f>
        <v/>
      </c>
      <c r="AT17" s="21">
        <f>$C17</f>
        <v/>
      </c>
      <c r="AU17" s="22">
        <f>IF(AND($H17&lt;&gt;"",$Y17&lt;&gt;"",$H17&lt;&gt;$Y17,IFERROR(VLOOKUP($H17,areaCercaPuntiClassificaSquadra,3,FALSE),-1)=IFERROR(VLOOKUP($Y17,areaCercaPuntiClassificaSquadra,3,FALSE),-2)),SUMIFS(Dati!$B$2:$B$761,Dati!$A$2:$A$761,$H17,Dati!$H$2:$H$761,$Y17)+SUMIFS(Dati!$I$2:$I$761,Dati!$H$2:$H$761,$H17,Dati!$A$2:$A$761,$Y17),"-")</f>
        <v/>
      </c>
      <c r="AV17" s="22">
        <f>IF(AND($H17&lt;&gt;"",$Z17&lt;&gt;"",$H17&lt;&gt;$Z17,IFERROR(VLOOKUP($H17,areaCercaPuntiClassificaSquadra,3,FALSE),-1)=IFERROR(VLOOKUP($Z17,areaCercaPuntiClassificaSquadra,3,FALSE),-2)),SUMIFS(Dati!$B$2:$B$761,Dati!$A$2:$A$761,$H17,Dati!$H$2:$H$761,$Z17)+SUMIFS(Dati!$I$2:$I$761,Dati!$H$2:$H$761,$H17,Dati!$A$2:$A$761,$Z17),"-")</f>
        <v/>
      </c>
      <c r="AW17" s="22">
        <f>IF(AND($H17&lt;&gt;"",$AA17&lt;&gt;"",$H17&lt;&gt;$AA17,IFERROR(VLOOKUP($H17,areaCercaPuntiClassificaSquadra,3,FALSE),-1)=IFERROR(VLOOKUP($AA17,areaCercaPuntiClassificaSquadra,3,FALSE),-2)),SUMIFS(Dati!$B$2:$B$761,Dati!$A$2:$A$761,$H17,Dati!$H$2:$H$761,$AA17)+SUMIFS(Dati!$I$2:$I$761,Dati!$H$2:$H$761,$H17,Dati!$A$2:$A$761,$AA17),"-")</f>
        <v/>
      </c>
      <c r="AX17" s="22">
        <f>IF(AND($H17&lt;&gt;"",$AB17&lt;&gt;"",$H17&lt;&gt;$AB17,IFERROR(VLOOKUP($H17,areaCercaPuntiClassificaSquadra,3,FALSE),-1)=IFERROR(VLOOKUP($AB17,areaCercaPuntiClassificaSquadra,3,FALSE),-2)),SUMIFS(Dati!$B$2:$B$761,Dati!$A$2:$A$761,$H17,Dati!$H$2:$H$761,$AB17)+SUMIFS(Dati!$I$2:$I$761,Dati!$H$2:$H$761,$H17,Dati!$A$2:$A$761,$AB17),"-")</f>
        <v/>
      </c>
      <c r="AY17" s="22">
        <f>IF(AND($H17&lt;&gt;"",$AC17&lt;&gt;"",$H17&lt;&gt;$AC17,IFERROR(VLOOKUP($H17,areaCercaPuntiClassificaSquadra,3,FALSE),-1)=IFERROR(VLOOKUP($AC17,areaCercaPuntiClassificaSquadra,3,FALSE),-2)),SUMIFS(Dati!$B$2:$B$761,Dati!$A$2:$A$761,$H17,Dati!$H$2:$H$761,$AC17)+SUMIFS(Dati!$I$2:$I$761,Dati!$H$2:$H$761,$H17,Dati!$A$2:$A$761,$AC17),"-")</f>
        <v/>
      </c>
      <c r="AZ17" s="22">
        <f>IF(AND($H17&lt;&gt;"",$AD17&lt;&gt;"",$H17&lt;&gt;$AD17,IFERROR(VLOOKUP($H17,areaCercaPuntiClassificaSquadra,3,FALSE),-1)=IFERROR(VLOOKUP($AD17,areaCercaPuntiClassificaSquadra,3,FALSE),-2)),SUMIFS(Dati!$B$2:$B$761,Dati!$A$2:$A$761,$H17,Dati!$H$2:$H$761,$AD17)+SUMIFS(Dati!$I$2:$I$761,Dati!$H$2:$H$761,$H17,Dati!$A$2:$A$761,$AD17),"-")</f>
        <v/>
      </c>
      <c r="BA17" s="22">
        <f>IF(AND($H17&lt;&gt;"",$AE17&lt;&gt;"",$H17&lt;&gt;$AE17,IFERROR(VLOOKUP($H17,areaCercaPuntiClassificaSquadra,3,FALSE),-1)=IFERROR(VLOOKUP($AE17,areaCercaPuntiClassificaSquadra,3,FALSE),-2)),SUMIFS(Dati!$B$2:$B$761,Dati!$A$2:$A$761,$H17,Dati!$H$2:$H$761,$AE17)+SUMIFS(Dati!$I$2:$I$761,Dati!$H$2:$H$761,$H17,Dati!$A$2:$A$761,$AE17),"-")</f>
        <v/>
      </c>
      <c r="BB17" s="22">
        <f>IF(AND($H17&lt;&gt;"",$AF17&lt;&gt;"",$H17&lt;&gt;$AF17,IFERROR(VLOOKUP($H17,areaCercaPuntiClassificaSquadra,3,FALSE),-1)=IFERROR(VLOOKUP($AF17,areaCercaPuntiClassificaSquadra,3,FALSE),-2)),SUMIFS(Dati!$B$2:$B$761,Dati!$A$2:$A$761,$H17,Dati!$H$2:$H$761,$AF17)+SUMIFS(Dati!$I$2:$I$761,Dati!$H$2:$H$761,$H17,Dati!$A$2:$A$761,$AF17),"-")</f>
        <v/>
      </c>
      <c r="BC17" s="22">
        <f>IF(AND($H17&lt;&gt;"",$AG17&lt;&gt;"",$H17&lt;&gt;$AG17,IFERROR(VLOOKUP($H17,areaCercaPuntiClassificaSquadra,3,FALSE),-1)=IFERROR(VLOOKUP($AG17,areaCercaPuntiClassificaSquadra,3,FALSE),-2)),SUMIFS(Dati!$B$2:$B$761,Dati!$A$2:$A$761,$H17,Dati!$H$2:$H$761,$AG17)+SUMIFS(Dati!$I$2:$I$761,Dati!$H$2:$H$761,$H17,Dati!$A$2:$A$761,$AG17),"-")</f>
        <v/>
      </c>
      <c r="BD17" s="22">
        <f>IF(AND($H17&lt;&gt;"",$AH17&lt;&gt;"",$H17&lt;&gt;$AH17,IFERROR(VLOOKUP($H17,areaCercaPuntiClassificaSquadra,3,FALSE),-1)=IFERROR(VLOOKUP($AH17,areaCercaPuntiClassificaSquadra,3,FALSE),-2)),SUMIFS(Dati!$B$2:$B$761,Dati!$A$2:$A$761,$H17,Dati!$H$2:$H$761,$AH17)+SUMIFS(Dati!$I$2:$I$761,Dati!$H$2:$H$761,$H17,Dati!$A$2:$A$761,$AH17),"-")</f>
        <v/>
      </c>
      <c r="BE17" s="22">
        <f>IF(AND($H17&lt;&gt;"",$AI17&lt;&gt;"",$H17&lt;&gt;$AI17,IFERROR(VLOOKUP($H17,areaCercaPuntiClassificaSquadra,3,FALSE),-1)=IFERROR(VLOOKUP($AI17,areaCercaPuntiClassificaSquadra,3,FALSE),-2)),SUMIFS(Dati!$B$2:$B$761,Dati!$A$2:$A$761,$H17,Dati!$H$2:$H$761,$AI17)+SUMIFS(Dati!$I$2:$I$761,Dati!$H$2:$H$761,$H17,Dati!$A$2:$A$761,$AI17),"-")</f>
        <v/>
      </c>
      <c r="BF17" s="22">
        <f>IF(AND($H17&lt;&gt;"",$AJ17&lt;&gt;"",$H17&lt;&gt;$AJ17,IFERROR(VLOOKUP($H17,areaCercaPuntiClassificaSquadra,3,FALSE),-1)=IFERROR(VLOOKUP($AJ17,areaCercaPuntiClassificaSquadra,3,FALSE),-2)),SUMIFS(Dati!$B$2:$B$761,Dati!$A$2:$A$761,$H17,Dati!$H$2:$H$761,$AJ17)+SUMIFS(Dati!$I$2:$I$761,Dati!$H$2:$H$761,$H17,Dati!$A$2:$A$761,$AJ17),"-")</f>
        <v/>
      </c>
      <c r="BG17" s="22">
        <f>IF(AND($H17&lt;&gt;"",$AK17&lt;&gt;"",$H17&lt;&gt;$AK17,IFERROR(VLOOKUP($H17,areaCercaPuntiClassificaSquadra,3,FALSE),-1)=IFERROR(VLOOKUP($AK17,areaCercaPuntiClassificaSquadra,3,FALSE),-2)),SUMIFS(Dati!$B$2:$B$761,Dati!$A$2:$A$761,$H17,Dati!$H$2:$H$761,$AK17)+SUMIFS(Dati!$I$2:$I$761,Dati!$H$2:$H$761,$H17,Dati!$A$2:$A$761,$AK17),"-")</f>
        <v/>
      </c>
      <c r="BH17" s="22">
        <f>IF(AND($H17&lt;&gt;"",$AL17&lt;&gt;"",$H17&lt;&gt;$AL17,IFERROR(VLOOKUP($H17,areaCercaPuntiClassificaSquadra,3,FALSE),-1)=IFERROR(VLOOKUP($AL17,areaCercaPuntiClassificaSquadra,3,FALSE),-2)),SUMIFS(Dati!$B$2:$B$761,Dati!$A$2:$A$761,$H17,Dati!$H$2:$H$761,$AL17)+SUMIFS(Dati!$I$2:$I$761,Dati!$H$2:$H$761,$H17,Dati!$A$2:$A$761,$AL17),"-")</f>
        <v/>
      </c>
      <c r="BI17" s="22">
        <f>IF(AND($H17&lt;&gt;"",$AM17&lt;&gt;"",$H17&lt;&gt;$AM17,IFERROR(VLOOKUP($H17,areaCercaPuntiClassificaSquadra,3,FALSE),-1)=IFERROR(VLOOKUP($AM17,areaCercaPuntiClassificaSquadra,3,FALSE),-2)),SUMIFS(Dati!$B$2:$B$761,Dati!$A$2:$A$761,$H17,Dati!$H$2:$H$761,$AM17)+SUMIFS(Dati!$I$2:$I$761,Dati!$H$2:$H$761,$H17,Dati!$A$2:$A$761,$AM17),"-")</f>
        <v/>
      </c>
      <c r="BJ17" s="22">
        <f>IF(AND($H17&lt;&gt;"",$AN17&lt;&gt;"",$H17&lt;&gt;$AN17,IFERROR(VLOOKUP($H17,areaCercaPuntiClassificaSquadra,3,FALSE),-1)=IFERROR(VLOOKUP($AN17,areaCercaPuntiClassificaSquadra,3,FALSE),-2)),SUMIFS(Dati!$B$2:$B$761,Dati!$A$2:$A$761,$H17,Dati!$H$2:$H$761,$AN17)+SUMIFS(Dati!$I$2:$I$761,Dati!$H$2:$H$761,$H17,Dati!$A$2:$A$761,$AN17),"-")</f>
        <v/>
      </c>
      <c r="BK17" s="22">
        <f>IF(AND($H17&lt;&gt;"",$AO17&lt;&gt;"",$H17&lt;&gt;$AO17,IFERROR(VLOOKUP($H17,areaCercaPuntiClassificaSquadra,3,FALSE),-1)=IFERROR(VLOOKUP($AO17,areaCercaPuntiClassificaSquadra,3,FALSE),-2)),SUMIFS(Dati!$B$2:$B$761,Dati!$A$2:$A$761,$H17,Dati!$H$2:$H$761,$AO17)+SUMIFS(Dati!$I$2:$I$761,Dati!$H$2:$H$761,$H17,Dati!$A$2:$A$761,$AO17),"-")</f>
        <v/>
      </c>
      <c r="BL17" s="22">
        <f>IF(AND($H17&lt;&gt;"",$AP17&lt;&gt;"",$H17&lt;&gt;$AP17,IFERROR(VLOOKUP($H17,areaCercaPuntiClassificaSquadra,3,FALSE),-1)=IFERROR(VLOOKUP($AP17,areaCercaPuntiClassificaSquadra,3,FALSE),-2)),SUMIFS(Dati!$B$2:$B$761,Dati!$A$2:$A$761,$H17,Dati!$H$2:$H$761,$AP17)+SUMIFS(Dati!$I$2:$I$761,Dati!$H$2:$H$761,$H17,Dati!$A$2:$A$761,$AP17),"-")</f>
        <v/>
      </c>
      <c r="BM17" s="22">
        <f>IF(AND($H17&lt;&gt;"",$AQ17&lt;&gt;"",$H17&lt;&gt;$AQ17,IFERROR(VLOOKUP($H17,areaCercaPuntiClassificaSquadra,3,FALSE),-1)=IFERROR(VLOOKUP($AQ17,areaCercaPuntiClassificaSquadra,3,FALSE),-2)),SUMIFS(Dati!$B$2:$B$761,Dati!$A$2:$A$761,$H17,Dati!$H$2:$H$761,$AQ17)+SUMIFS(Dati!$I$2:$I$761,Dati!$H$2:$H$761,$H17,Dati!$A$2:$A$761,$AQ17),"-")</f>
        <v/>
      </c>
      <c r="BN17" s="22">
        <f>IF(AND($H17&lt;&gt;"",$AR17&lt;&gt;"",$H17&lt;&gt;$AR17,IFERROR(VLOOKUP($H17,areaCercaPuntiClassificaSquadra,3,FALSE),-1)=IFERROR(VLOOKUP($AR17,areaCercaPuntiClassificaSquadra,3,FALSE),-2)),SUMIFS(Dati!$B$2:$B$761,Dati!$A$2:$A$761,$H17,Dati!$H$2:$H$761,$AR17)+SUMIFS(Dati!$I$2:$I$761,Dati!$H$2:$H$761,$H17,Dati!$A$2:$A$761,$AR17),"-")</f>
        <v/>
      </c>
      <c r="BP17" s="21">
        <f>$C17</f>
        <v/>
      </c>
      <c r="BQ17" s="22">
        <f>IF(AND($H17&lt;&gt;"",$Y17&lt;&gt;"",$H17&lt;&gt;$Y17,IFERROR(VLOOKUP($H17,areaCercaPuntiClassificaSquadra,3,FALSE),-1)=IFERROR(VLOOKUP($Y17,areaCercaPuntiClassificaSquadra,3,FALSE),-2)),SUMIFS(Dati!$D$2:$D$761,Dati!$A$2:$A$761,$H17,Dati!$H$2:$H$761,$Y17)+SUMIFS(Dati!$K$2:$K$761,Dati!$H$2:$H$761,$H17,Dati!$A$2:$A$761,$Y17)+SUMIFS(Dati!$C$2:$C$761,Dati!$A$2:$A$761,$H17,Dati!$H$2:$H$761,$Y17)+SUMIFS(Dati!$J$2:$J$761,Dati!$H$2:$H$761,$H17,Dati!$A$2:$A$761,$Y17),"-")</f>
        <v/>
      </c>
      <c r="BR17" s="22">
        <f>IF(AND($H17&lt;&gt;"",$Z17&lt;&gt;"",$H17&lt;&gt;$Z17,IFERROR(VLOOKUP($H17,areaCercaPuntiClassificaSquadra,3,FALSE),-1)=IFERROR(VLOOKUP($Z17,areaCercaPuntiClassificaSquadra,3,FALSE),-2)),SUMIFS(Dati!$D$2:$D$761,Dati!$A$2:$A$761,$H17,Dati!$H$2:$H$761,$Z17)+SUMIFS(Dati!$K$2:$K$761,Dati!$H$2:$H$761,$H17,Dati!$A$2:$A$761,$Z17)+SUMIFS(Dati!$C$2:$C$761,Dati!$A$2:$A$761,$H17,Dati!$H$2:$H$761,$Z17)+SUMIFS(Dati!$J$2:$J$761,Dati!$H$2:$H$761,$H17,Dati!$A$2:$A$761,$Z17),"-")</f>
        <v/>
      </c>
      <c r="BS17" s="22">
        <f>IF(AND($H17&lt;&gt;"",$AA17&lt;&gt;"",$H17&lt;&gt;$AA17,IFERROR(VLOOKUP($H17,areaCercaPuntiClassificaSquadra,3,FALSE),-1)=IFERROR(VLOOKUP($AA17,areaCercaPuntiClassificaSquadra,3,FALSE),-2)),SUMIFS(Dati!$D$2:$D$761,Dati!$A$2:$A$761,$H17,Dati!$H$2:$H$761,$AA17)+SUMIFS(Dati!$K$2:$K$761,Dati!$H$2:$H$761,$H17,Dati!$A$2:$A$761,$AA17)+SUMIFS(Dati!$C$2:$C$761,Dati!$A$2:$A$761,$H17,Dati!$H$2:$H$761,$AA17)+SUMIFS(Dati!$J$2:$J$761,Dati!$H$2:$H$761,$H17,Dati!$A$2:$A$761,$AA17),"-")</f>
        <v/>
      </c>
      <c r="BT17" s="22">
        <f>IF(AND($H17&lt;&gt;"",$AB17&lt;&gt;"",$H17&lt;&gt;$AB17,IFERROR(VLOOKUP($H17,areaCercaPuntiClassificaSquadra,3,FALSE),-1)=IFERROR(VLOOKUP($AB17,areaCercaPuntiClassificaSquadra,3,FALSE),-2)),SUMIFS(Dati!$D$2:$D$761,Dati!$A$2:$A$761,$H17,Dati!$H$2:$H$761,$AB17)+SUMIFS(Dati!$K$2:$K$761,Dati!$H$2:$H$761,$H17,Dati!$A$2:$A$761,$AB17)+SUMIFS(Dati!$C$2:$C$761,Dati!$A$2:$A$761,$H17,Dati!$H$2:$H$761,$AB17)+SUMIFS(Dati!$J$2:$J$761,Dati!$H$2:$H$761,$H17,Dati!$A$2:$A$761,$AB17),"-")</f>
        <v/>
      </c>
      <c r="BU17" s="22">
        <f>IF(AND($H17&lt;&gt;"",$AC17&lt;&gt;"",$H17&lt;&gt;$AC17,IFERROR(VLOOKUP($H17,areaCercaPuntiClassificaSquadra,3,FALSE),-1)=IFERROR(VLOOKUP($AC17,areaCercaPuntiClassificaSquadra,3,FALSE),-2)),SUMIFS(Dati!$D$2:$D$761,Dati!$A$2:$A$761,$H17,Dati!$H$2:$H$761,$AC17)+SUMIFS(Dati!$K$2:$K$761,Dati!$H$2:$H$761,$H17,Dati!$A$2:$A$761,$AC17)+SUMIFS(Dati!$C$2:$C$761,Dati!$A$2:$A$761,$H17,Dati!$H$2:$H$761,$AC17)+SUMIFS(Dati!$J$2:$J$761,Dati!$H$2:$H$761,$H17,Dati!$A$2:$A$761,$AC17),"-")</f>
        <v/>
      </c>
      <c r="BV17" s="22">
        <f>IF(AND($H17&lt;&gt;"",$AD17&lt;&gt;"",$H17&lt;&gt;$AD17,IFERROR(VLOOKUP($H17,areaCercaPuntiClassificaSquadra,3,FALSE),-1)=IFERROR(VLOOKUP($AD17,areaCercaPuntiClassificaSquadra,3,FALSE),-2)),SUMIFS(Dati!$D$2:$D$761,Dati!$A$2:$A$761,$H17,Dati!$H$2:$H$761,$AD17)+SUMIFS(Dati!$K$2:$K$761,Dati!$H$2:$H$761,$H17,Dati!$A$2:$A$761,$AD17)+SUMIFS(Dati!$C$2:$C$761,Dati!$A$2:$A$761,$H17,Dati!$H$2:$H$761,$AD17)+SUMIFS(Dati!$J$2:$J$761,Dati!$H$2:$H$761,$H17,Dati!$A$2:$A$761,$AD17),"-")</f>
        <v/>
      </c>
      <c r="BW17" s="22">
        <f>IF(AND($H17&lt;&gt;"",$AE17&lt;&gt;"",$H17&lt;&gt;$AE17,IFERROR(VLOOKUP($H17,areaCercaPuntiClassificaSquadra,3,FALSE),-1)=IFERROR(VLOOKUP($AE17,areaCercaPuntiClassificaSquadra,3,FALSE),-2)),SUMIFS(Dati!$D$2:$D$761,Dati!$A$2:$A$761,$H17,Dati!$H$2:$H$761,$AE17)+SUMIFS(Dati!$K$2:$K$761,Dati!$H$2:$H$761,$H17,Dati!$A$2:$A$761,$AE17)+SUMIFS(Dati!$C$2:$C$761,Dati!$A$2:$A$761,$H17,Dati!$H$2:$H$761,$AE17)+SUMIFS(Dati!$J$2:$J$761,Dati!$H$2:$H$761,$H17,Dati!$A$2:$A$761,$AE17),"-")</f>
        <v/>
      </c>
      <c r="BX17" s="22">
        <f>IF(AND($H17&lt;&gt;"",$AF17&lt;&gt;"",$H17&lt;&gt;$AF17,IFERROR(VLOOKUP($H17,areaCercaPuntiClassificaSquadra,3,FALSE),-1)=IFERROR(VLOOKUP($AF17,areaCercaPuntiClassificaSquadra,3,FALSE),-2)),SUMIFS(Dati!$D$2:$D$761,Dati!$A$2:$A$761,$H17,Dati!$H$2:$H$761,$AF17)+SUMIFS(Dati!$K$2:$K$761,Dati!$H$2:$H$761,$H17,Dati!$A$2:$A$761,$AF17)+SUMIFS(Dati!$C$2:$C$761,Dati!$A$2:$A$761,$H17,Dati!$H$2:$H$761,$AF17)+SUMIFS(Dati!$J$2:$J$761,Dati!$H$2:$H$761,$H17,Dati!$A$2:$A$761,$AF17),"-")</f>
        <v/>
      </c>
      <c r="BY17" s="22">
        <f>IF(AND($H17&lt;&gt;"",$AG17&lt;&gt;"",$H17&lt;&gt;$AG17,IFERROR(VLOOKUP($H17,areaCercaPuntiClassificaSquadra,3,FALSE),-1)=IFERROR(VLOOKUP($AG17,areaCercaPuntiClassificaSquadra,3,FALSE),-2)),SUMIFS(Dati!$D$2:$D$761,Dati!$A$2:$A$761,$H17,Dati!$H$2:$H$761,$AG17)+SUMIFS(Dati!$K$2:$K$761,Dati!$H$2:$H$761,$H17,Dati!$A$2:$A$761,$AG17)+SUMIFS(Dati!$C$2:$C$761,Dati!$A$2:$A$761,$H17,Dati!$H$2:$H$761,$AG17)+SUMIFS(Dati!$J$2:$J$761,Dati!$H$2:$H$761,$H17,Dati!$A$2:$A$761,$AG17),"-")</f>
        <v/>
      </c>
      <c r="BZ17" s="22">
        <f>IF(AND($H17&lt;&gt;"",$AH17&lt;&gt;"",$H17&lt;&gt;$AH17,IFERROR(VLOOKUP($H17,areaCercaPuntiClassificaSquadra,3,FALSE),-1)=IFERROR(VLOOKUP($AH17,areaCercaPuntiClassificaSquadra,3,FALSE),-2)),SUMIFS(Dati!$D$2:$D$761,Dati!$A$2:$A$761,$H17,Dati!$H$2:$H$761,$AH17)+SUMIFS(Dati!$K$2:$K$761,Dati!$H$2:$H$761,$H17,Dati!$A$2:$A$761,$AH17)+SUMIFS(Dati!$C$2:$C$761,Dati!$A$2:$A$761,$H17,Dati!$H$2:$H$761,$AH17)+SUMIFS(Dati!$J$2:$J$761,Dati!$H$2:$H$761,$H17,Dati!$A$2:$A$761,$AH17),"-")</f>
        <v/>
      </c>
      <c r="CA17" s="22">
        <f>IF(AND($H17&lt;&gt;"",$AI17&lt;&gt;"",$H17&lt;&gt;$AI17,IFERROR(VLOOKUP($H17,areaCercaPuntiClassificaSquadra,3,FALSE),-1)=IFERROR(VLOOKUP($AI17,areaCercaPuntiClassificaSquadra,3,FALSE),-2)),SUMIFS(Dati!$D$2:$D$761,Dati!$A$2:$A$761,$H17,Dati!$H$2:$H$761,$AI17)+SUMIFS(Dati!$K$2:$K$761,Dati!$H$2:$H$761,$H17,Dati!$A$2:$A$761,$AI17)+SUMIFS(Dati!$C$2:$C$761,Dati!$A$2:$A$761,$H17,Dati!$H$2:$H$761,$AI17)+SUMIFS(Dati!$J$2:$J$761,Dati!$H$2:$H$761,$H17,Dati!$A$2:$A$761,$AI17),"-")</f>
        <v/>
      </c>
      <c r="CB17" s="22">
        <f>IF(AND($H17&lt;&gt;"",$AJ17&lt;&gt;"",$H17&lt;&gt;$AJ17,IFERROR(VLOOKUP($H17,areaCercaPuntiClassificaSquadra,3,FALSE),-1)=IFERROR(VLOOKUP($AJ17,areaCercaPuntiClassificaSquadra,3,FALSE),-2)),SUMIFS(Dati!$D$2:$D$761,Dati!$A$2:$A$761,$H17,Dati!$H$2:$H$761,$AJ17)+SUMIFS(Dati!$K$2:$K$761,Dati!$H$2:$H$761,$H17,Dati!$A$2:$A$761,$AJ17)+SUMIFS(Dati!$C$2:$C$761,Dati!$A$2:$A$761,$H17,Dati!$H$2:$H$761,$AJ17)+SUMIFS(Dati!$J$2:$J$761,Dati!$H$2:$H$761,$H17,Dati!$A$2:$A$761,$AJ17),"-")</f>
        <v/>
      </c>
      <c r="CC17" s="22">
        <f>IF(AND($H17&lt;&gt;"",$AK17&lt;&gt;"",$H17&lt;&gt;$AK17,IFERROR(VLOOKUP($H17,areaCercaPuntiClassificaSquadra,3,FALSE),-1)=IFERROR(VLOOKUP($AK17,areaCercaPuntiClassificaSquadra,3,FALSE),-2)),SUMIFS(Dati!$D$2:$D$761,Dati!$A$2:$A$761,$H17,Dati!$H$2:$H$761,$AK17)+SUMIFS(Dati!$K$2:$K$761,Dati!$H$2:$H$761,$H17,Dati!$A$2:$A$761,$AK17)+SUMIFS(Dati!$C$2:$C$761,Dati!$A$2:$A$761,$H17,Dati!$H$2:$H$761,$AK17)+SUMIFS(Dati!$J$2:$J$761,Dati!$H$2:$H$761,$H17,Dati!$A$2:$A$761,$AK17),"-")</f>
        <v/>
      </c>
      <c r="CD17" s="22">
        <f>IF(AND($H17&lt;&gt;"",$AL17&lt;&gt;"",$H17&lt;&gt;$AL17,IFERROR(VLOOKUP($H17,areaCercaPuntiClassificaSquadra,3,FALSE),-1)=IFERROR(VLOOKUP($AL17,areaCercaPuntiClassificaSquadra,3,FALSE),-2)),SUMIFS(Dati!$D$2:$D$761,Dati!$A$2:$A$761,$H17,Dati!$H$2:$H$761,$AL17)+SUMIFS(Dati!$K$2:$K$761,Dati!$H$2:$H$761,$H17,Dati!$A$2:$A$761,$AL17)+SUMIFS(Dati!$C$2:$C$761,Dati!$A$2:$A$761,$H17,Dati!$H$2:$H$761,$AL17)+SUMIFS(Dati!$J$2:$J$761,Dati!$H$2:$H$761,$H17,Dati!$A$2:$A$761,$AL17),"-")</f>
        <v/>
      </c>
      <c r="CE17" s="22">
        <f>IF(AND($H17&lt;&gt;"",$AM17&lt;&gt;"",$H17&lt;&gt;$AM17,IFERROR(VLOOKUP($H17,areaCercaPuntiClassificaSquadra,3,FALSE),-1)=IFERROR(VLOOKUP($AM17,areaCercaPuntiClassificaSquadra,3,FALSE),-2)),SUMIFS(Dati!$D$2:$D$761,Dati!$A$2:$A$761,$H17,Dati!$H$2:$H$761,$AM17)+SUMIFS(Dati!$K$2:$K$761,Dati!$H$2:$H$761,$H17,Dati!$A$2:$A$761,$AM17)+SUMIFS(Dati!$C$2:$C$761,Dati!$A$2:$A$761,$H17,Dati!$H$2:$H$761,$AM17)+SUMIFS(Dati!$J$2:$J$761,Dati!$H$2:$H$761,$H17,Dati!$A$2:$A$761,$AM17),"-")</f>
        <v/>
      </c>
      <c r="CF17" s="22">
        <f>IF(AND($H17&lt;&gt;"",$AN17&lt;&gt;"",$H17&lt;&gt;$AN17,IFERROR(VLOOKUP($H17,areaCercaPuntiClassificaSquadra,3,FALSE),-1)=IFERROR(VLOOKUP($AN17,areaCercaPuntiClassificaSquadra,3,FALSE),-2)),SUMIFS(Dati!$D$2:$D$761,Dati!$A$2:$A$761,$H17,Dati!$H$2:$H$761,$AN17)+SUMIFS(Dati!$K$2:$K$761,Dati!$H$2:$H$761,$H17,Dati!$A$2:$A$761,$AN17)+SUMIFS(Dati!$C$2:$C$761,Dati!$A$2:$A$761,$H17,Dati!$H$2:$H$761,$AN17)+SUMIFS(Dati!$J$2:$J$761,Dati!$H$2:$H$761,$H17,Dati!$A$2:$A$761,$AN17),"-")</f>
        <v/>
      </c>
      <c r="CG17" s="22">
        <f>IF(AND($H17&lt;&gt;"",$AO17&lt;&gt;"",$H17&lt;&gt;$AO17,IFERROR(VLOOKUP($H17,areaCercaPuntiClassificaSquadra,3,FALSE),-1)=IFERROR(VLOOKUP($AO17,areaCercaPuntiClassificaSquadra,3,FALSE),-2)),SUMIFS(Dati!$D$2:$D$761,Dati!$A$2:$A$761,$H17,Dati!$H$2:$H$761,$AO17)+SUMIFS(Dati!$K$2:$K$761,Dati!$H$2:$H$761,$H17,Dati!$A$2:$A$761,$AO17)+SUMIFS(Dati!$C$2:$C$761,Dati!$A$2:$A$761,$H17,Dati!$H$2:$H$761,$AO17)+SUMIFS(Dati!$J$2:$J$761,Dati!$H$2:$H$761,$H17,Dati!$A$2:$A$761,$AO17),"-")</f>
        <v/>
      </c>
      <c r="CH17" s="22">
        <f>IF(AND($H17&lt;&gt;"",$AP17&lt;&gt;"",$H17&lt;&gt;$AP17,IFERROR(VLOOKUP($H17,areaCercaPuntiClassificaSquadra,3,FALSE),-1)=IFERROR(VLOOKUP($AP17,areaCercaPuntiClassificaSquadra,3,FALSE),-2)),SUMIFS(Dati!$D$2:$D$761,Dati!$A$2:$A$761,$H17,Dati!$H$2:$H$761,$AP17)+SUMIFS(Dati!$K$2:$K$761,Dati!$H$2:$H$761,$H17,Dati!$A$2:$A$761,$AP17)+SUMIFS(Dati!$C$2:$C$761,Dati!$A$2:$A$761,$H17,Dati!$H$2:$H$761,$AP17)+SUMIFS(Dati!$J$2:$J$761,Dati!$H$2:$H$761,$H17,Dati!$A$2:$A$761,$AP17),"-")</f>
        <v/>
      </c>
      <c r="CI17" s="22">
        <f>IF(AND($H17&lt;&gt;"",$AQ17&lt;&gt;"",$H17&lt;&gt;$AQ17,IFERROR(VLOOKUP($H17,areaCercaPuntiClassificaSquadra,3,FALSE),-1)=IFERROR(VLOOKUP($AQ17,areaCercaPuntiClassificaSquadra,3,FALSE),-2)),SUMIFS(Dati!$D$2:$D$761,Dati!$A$2:$A$761,$H17,Dati!$H$2:$H$761,$AQ17)+SUMIFS(Dati!$K$2:$K$761,Dati!$H$2:$H$761,$H17,Dati!$A$2:$A$761,$AQ17)+SUMIFS(Dati!$C$2:$C$761,Dati!$A$2:$A$761,$H17,Dati!$H$2:$H$761,$AQ17)+SUMIFS(Dati!$J$2:$J$761,Dati!$H$2:$H$761,$H17,Dati!$A$2:$A$761,$AQ17),"-")</f>
        <v/>
      </c>
      <c r="CJ17" s="22">
        <f>IF(AND($H17&lt;&gt;"",$AR17&lt;&gt;"",$H17&lt;&gt;$AR17,IFERROR(VLOOKUP($H17,areaCercaPuntiClassificaSquadra,3,FALSE),-1)=IFERROR(VLOOKUP($AR17,areaCercaPuntiClassificaSquadra,3,FALSE),-2)),SUMIFS(Dati!$D$2:$D$761,Dati!$A$2:$A$761,$H17,Dati!$H$2:$H$761,$AR17)+SUMIFS(Dati!$K$2:$K$761,Dati!$H$2:$H$761,$H17,Dati!$A$2:$A$761,$AR17)+SUMIFS(Dati!$C$2:$C$761,Dati!$A$2:$A$761,$H17,Dati!$H$2:$H$761,$AR17)+SUMIFS(Dati!$J$2:$J$761,Dati!$H$2:$H$761,$H17,Dati!$A$2:$A$761,$AR17),"-")</f>
        <v/>
      </c>
      <c r="CL17" s="21">
        <f>$C17</f>
        <v/>
      </c>
      <c r="CM17" s="22">
        <f>IF(AND($H17&lt;&gt;"",$Y17&lt;&gt;"",$H17&lt;&gt;$Y17,IFERROR(VLOOKUP($H17,areaCercaPuntiClassificaSquadra,3,FALSE),-1)=IFERROR(VLOOKUP($Y17,areaCercaPuntiClassificaSquadra,3,FALSE),-2)),SUMIFS(Dati!$E$2:$E$761,Dati!$A$2:$A$761,$H17,Dati!$H$2:$H$761,$Y17)+SUMIFS(Dati!$L$2:$L$761,Dati!$H$2:$H$761,$H17,Dati!$A$2:$A$761,$Y17),"-")</f>
        <v/>
      </c>
      <c r="CN17" s="22">
        <f>IF(AND($H17&lt;&gt;"",$Z17&lt;&gt;"",$H17&lt;&gt;$Z17,IFERROR(VLOOKUP($H17,areaCercaPuntiClassificaSquadra,3,FALSE),-1)=IFERROR(VLOOKUP($Z17,areaCercaPuntiClassificaSquadra,3,FALSE),-2)),SUMIFS(Dati!$E$2:$E$761,Dati!$A$2:$A$761,$H17,Dati!$H$2:$H$761,$Z17)+SUMIFS(Dati!$L$2:$L$761,Dati!$H$2:$H$761,$H17,Dati!$A$2:$A$761,$Z17),"-")</f>
        <v/>
      </c>
      <c r="CO17" s="22">
        <f>IF(AND($H17&lt;&gt;"",$AA17&lt;&gt;"",$H17&lt;&gt;$AA17,IFERROR(VLOOKUP($H17,areaCercaPuntiClassificaSquadra,3,FALSE),-1)=IFERROR(VLOOKUP($AA17,areaCercaPuntiClassificaSquadra,3,FALSE),-2)),SUMIFS(Dati!$E$2:$E$761,Dati!$A$2:$A$761,$H17,Dati!$H$2:$H$761,$AA17)+SUMIFS(Dati!$L$2:$L$761,Dati!$H$2:$H$761,$H17,Dati!$A$2:$A$761,$AA17),"-")</f>
        <v/>
      </c>
      <c r="CP17" s="22">
        <f>IF(AND($H17&lt;&gt;"",$AB17&lt;&gt;"",$H17&lt;&gt;$AB17,IFERROR(VLOOKUP($H17,areaCercaPuntiClassificaSquadra,3,FALSE),-1)=IFERROR(VLOOKUP($AB17,areaCercaPuntiClassificaSquadra,3,FALSE),-2)),SUMIFS(Dati!$E$2:$E$761,Dati!$A$2:$A$761,$H17,Dati!$H$2:$H$761,$AB17)+SUMIFS(Dati!$L$2:$L$761,Dati!$H$2:$H$761,$H17,Dati!$A$2:$A$761,$AB17),"-")</f>
        <v/>
      </c>
      <c r="CQ17" s="22">
        <f>IF(AND($H17&lt;&gt;"",$AC17&lt;&gt;"",$H17&lt;&gt;$AC17,IFERROR(VLOOKUP($H17,areaCercaPuntiClassificaSquadra,3,FALSE),-1)=IFERROR(VLOOKUP($AC17,areaCercaPuntiClassificaSquadra,3,FALSE),-2)),SUMIFS(Dati!$E$2:$E$761,Dati!$A$2:$A$761,$H17,Dati!$H$2:$H$761,$AC17)+SUMIFS(Dati!$L$2:$L$761,Dati!$H$2:$H$761,$H17,Dati!$A$2:$A$761,$AC17),"-")</f>
        <v/>
      </c>
      <c r="CR17" s="22">
        <f>IF(AND($H17&lt;&gt;"",$AD17&lt;&gt;"",$H17&lt;&gt;$AD17,IFERROR(VLOOKUP($H17,areaCercaPuntiClassificaSquadra,3,FALSE),-1)=IFERROR(VLOOKUP($AD17,areaCercaPuntiClassificaSquadra,3,FALSE),-2)),SUMIFS(Dati!$E$2:$E$761,Dati!$A$2:$A$761,$H17,Dati!$H$2:$H$761,$AD17)+SUMIFS(Dati!$L$2:$L$761,Dati!$H$2:$H$761,$H17,Dati!$A$2:$A$761,$AD17),"-")</f>
        <v/>
      </c>
      <c r="CS17" s="22">
        <f>IF(AND($H17&lt;&gt;"",$AE17&lt;&gt;"",$H17&lt;&gt;$AE17,IFERROR(VLOOKUP($H17,areaCercaPuntiClassificaSquadra,3,FALSE),-1)=IFERROR(VLOOKUP($AE17,areaCercaPuntiClassificaSquadra,3,FALSE),-2)),SUMIFS(Dati!$E$2:$E$761,Dati!$A$2:$A$761,$H17,Dati!$H$2:$H$761,$AE17)+SUMIFS(Dati!$L$2:$L$761,Dati!$H$2:$H$761,$H17,Dati!$A$2:$A$761,$AE17),"-")</f>
        <v/>
      </c>
      <c r="CT17" s="22">
        <f>IF(AND($H17&lt;&gt;"",$AF17&lt;&gt;"",$H17&lt;&gt;$AF17,IFERROR(VLOOKUP($H17,areaCercaPuntiClassificaSquadra,3,FALSE),-1)=IFERROR(VLOOKUP($AF17,areaCercaPuntiClassificaSquadra,3,FALSE),-2)),SUMIFS(Dati!$E$2:$E$761,Dati!$A$2:$A$761,$H17,Dati!$H$2:$H$761,$AF17)+SUMIFS(Dati!$L$2:$L$761,Dati!$H$2:$H$761,$H17,Dati!$A$2:$A$761,$AF17),"-")</f>
        <v/>
      </c>
      <c r="CU17" s="22">
        <f>IF(AND($H17&lt;&gt;"",$AG17&lt;&gt;"",$H17&lt;&gt;$AG17,IFERROR(VLOOKUP($H17,areaCercaPuntiClassificaSquadra,3,FALSE),-1)=IFERROR(VLOOKUP($AG17,areaCercaPuntiClassificaSquadra,3,FALSE),-2)),SUMIFS(Dati!$E$2:$E$761,Dati!$A$2:$A$761,$H17,Dati!$H$2:$H$761,$AG17)+SUMIFS(Dati!$L$2:$L$761,Dati!$H$2:$H$761,$H17,Dati!$A$2:$A$761,$AG17),"-")</f>
        <v/>
      </c>
      <c r="CV17" s="22">
        <f>IF(AND($H17&lt;&gt;"",$AH17&lt;&gt;"",$H17&lt;&gt;$AH17,IFERROR(VLOOKUP($H17,areaCercaPuntiClassificaSquadra,3,FALSE),-1)=IFERROR(VLOOKUP($AH17,areaCercaPuntiClassificaSquadra,3,FALSE),-2)),SUMIFS(Dati!$E$2:$E$761,Dati!$A$2:$A$761,$H17,Dati!$H$2:$H$761,$AH17)+SUMIFS(Dati!$L$2:$L$761,Dati!$H$2:$H$761,$H17,Dati!$A$2:$A$761,$AH17),"-")</f>
        <v/>
      </c>
      <c r="CW17" s="22">
        <f>IF(AND($H17&lt;&gt;"",$AI17&lt;&gt;"",$H17&lt;&gt;$AI17,IFERROR(VLOOKUP($H17,areaCercaPuntiClassificaSquadra,3,FALSE),-1)=IFERROR(VLOOKUP($AI17,areaCercaPuntiClassificaSquadra,3,FALSE),-2)),SUMIFS(Dati!$E$2:$E$761,Dati!$A$2:$A$761,$H17,Dati!$H$2:$H$761,$AI17)+SUMIFS(Dati!$L$2:$L$761,Dati!$H$2:$H$761,$H17,Dati!$A$2:$A$761,$AI17),"-")</f>
        <v/>
      </c>
      <c r="CX17" s="22">
        <f>IF(AND($H17&lt;&gt;"",$AJ17&lt;&gt;"",$H17&lt;&gt;$AJ17,IFERROR(VLOOKUP($H17,areaCercaPuntiClassificaSquadra,3,FALSE),-1)=IFERROR(VLOOKUP($AJ17,areaCercaPuntiClassificaSquadra,3,FALSE),-2)),SUMIFS(Dati!$E$2:$E$761,Dati!$A$2:$A$761,$H17,Dati!$H$2:$H$761,$AJ17)+SUMIFS(Dati!$L$2:$L$761,Dati!$H$2:$H$761,$H17,Dati!$A$2:$A$761,$AJ17),"-")</f>
        <v/>
      </c>
      <c r="CY17" s="22">
        <f>IF(AND($H17&lt;&gt;"",$AK17&lt;&gt;"",$H17&lt;&gt;$AK17,IFERROR(VLOOKUP($H17,areaCercaPuntiClassificaSquadra,3,FALSE),-1)=IFERROR(VLOOKUP($AK17,areaCercaPuntiClassificaSquadra,3,FALSE),-2)),SUMIFS(Dati!$E$2:$E$761,Dati!$A$2:$A$761,$H17,Dati!$H$2:$H$761,$AK17)+SUMIFS(Dati!$L$2:$L$761,Dati!$H$2:$H$761,$H17,Dati!$A$2:$A$761,$AK17),"-")</f>
        <v/>
      </c>
      <c r="CZ17" s="22">
        <f>IF(AND($H17&lt;&gt;"",$AL17&lt;&gt;"",$H17&lt;&gt;$AL17,IFERROR(VLOOKUP($H17,areaCercaPuntiClassificaSquadra,3,FALSE),-1)=IFERROR(VLOOKUP($AL17,areaCercaPuntiClassificaSquadra,3,FALSE),-2)),SUMIFS(Dati!$E$2:$E$761,Dati!$A$2:$A$761,$H17,Dati!$H$2:$H$761,$AL17)+SUMIFS(Dati!$L$2:$L$761,Dati!$H$2:$H$761,$H17,Dati!$A$2:$A$761,$AL17),"-")</f>
        <v/>
      </c>
      <c r="DA17" s="22">
        <f>IF(AND($H17&lt;&gt;"",$AM17&lt;&gt;"",$H17&lt;&gt;$AM17,IFERROR(VLOOKUP($H17,areaCercaPuntiClassificaSquadra,3,FALSE),-1)=IFERROR(VLOOKUP($AM17,areaCercaPuntiClassificaSquadra,3,FALSE),-2)),SUMIFS(Dati!$E$2:$E$761,Dati!$A$2:$A$761,$H17,Dati!$H$2:$H$761,$AM17)+SUMIFS(Dati!$L$2:$L$761,Dati!$H$2:$H$761,$H17,Dati!$A$2:$A$761,$AM17),"-")</f>
        <v/>
      </c>
      <c r="DB17" s="22">
        <f>IF(AND($H17&lt;&gt;"",$AN17&lt;&gt;"",$H17&lt;&gt;$AN17,IFERROR(VLOOKUP($H17,areaCercaPuntiClassificaSquadra,3,FALSE),-1)=IFERROR(VLOOKUP($AN17,areaCercaPuntiClassificaSquadra,3,FALSE),-2)),SUMIFS(Dati!$E$2:$E$761,Dati!$A$2:$A$761,$H17,Dati!$H$2:$H$761,$AN17)+SUMIFS(Dati!$L$2:$L$761,Dati!$H$2:$H$761,$H17,Dati!$A$2:$A$761,$AN17),"-")</f>
        <v/>
      </c>
      <c r="DC17" s="22">
        <f>IF(AND($H17&lt;&gt;"",$AO17&lt;&gt;"",$H17&lt;&gt;$AO17,IFERROR(VLOOKUP($H17,areaCercaPuntiClassificaSquadra,3,FALSE),-1)=IFERROR(VLOOKUP($AO17,areaCercaPuntiClassificaSquadra,3,FALSE),-2)),SUMIFS(Dati!$E$2:$E$761,Dati!$A$2:$A$761,$H17,Dati!$H$2:$H$761,$AO17)+SUMIFS(Dati!$L$2:$L$761,Dati!$H$2:$H$761,$H17,Dati!$A$2:$A$761,$AO17),"-")</f>
        <v/>
      </c>
      <c r="DD17" s="22">
        <f>IF(AND($H17&lt;&gt;"",$AP17&lt;&gt;"",$H17&lt;&gt;$AP17,IFERROR(VLOOKUP($H17,areaCercaPuntiClassificaSquadra,3,FALSE),-1)=IFERROR(VLOOKUP($AP17,areaCercaPuntiClassificaSquadra,3,FALSE),-2)),SUMIFS(Dati!$E$2:$E$761,Dati!$A$2:$A$761,$H17,Dati!$H$2:$H$761,$AP17)+SUMIFS(Dati!$L$2:$L$761,Dati!$H$2:$H$761,$H17,Dati!$A$2:$A$761,$AP17),"-")</f>
        <v/>
      </c>
      <c r="DE17" s="22">
        <f>IF(AND($H17&lt;&gt;"",$AQ17&lt;&gt;"",$H17&lt;&gt;$AQ17,IFERROR(VLOOKUP($H17,areaCercaPuntiClassificaSquadra,3,FALSE),-1)=IFERROR(VLOOKUP($AQ17,areaCercaPuntiClassificaSquadra,3,FALSE),-2)),SUMIFS(Dati!$E$2:$E$761,Dati!$A$2:$A$761,$H17,Dati!$H$2:$H$761,$AQ17)+SUMIFS(Dati!$L$2:$L$761,Dati!$H$2:$H$761,$H17,Dati!$A$2:$A$761,$AQ17),"-")</f>
        <v/>
      </c>
      <c r="DF17" s="22">
        <f>IF(AND($H17&lt;&gt;"",$AR17&lt;&gt;"",$H17&lt;&gt;$AR17,IFERROR(VLOOKUP($H17,areaCercaPuntiClassificaSquadra,3,FALSE),-1)=IFERROR(VLOOKUP($AR17,areaCercaPuntiClassificaSquadra,3,FALSE),-2)),SUMIFS(Dati!$E$2:$E$761,Dati!$A$2:$A$761,$H17,Dati!$H$2:$H$761,$AR17)+SUMIFS(Dati!$L$2:$L$761,Dati!$H$2:$H$761,$H17,Dati!$A$2:$A$761,$AR17),"-")</f>
        <v/>
      </c>
      <c r="DH17" s="21">
        <f>$C17</f>
        <v/>
      </c>
      <c r="DI17" s="22">
        <f>IF(AND($H17&lt;&gt;"",$Y17&lt;&gt;"",$H17&lt;&gt;$Y17,IFERROR(VLOOKUP($H17,areaCercaPuntiClassificaSquadra,3,FALSE),-1)=IFERROR(VLOOKUP($Y17,areaCercaPuntiClassificaSquadra,3,FALSE),-2)),SUMIFS(Dati!$F$2:$F$761,Dati!$A$2:$A$761,$H17,Dati!$H$2:$H$761,$Y17)+SUMIFS(Dati!$M$2:$M$761,Dati!$H$2:$H$761,$H17,Dati!$A$2:$A$761,$Y17),"-")</f>
        <v/>
      </c>
      <c r="DJ17" s="22">
        <f>IF(AND($H17&lt;&gt;"",$Z17&lt;&gt;"",$H17&lt;&gt;$Z17,IFERROR(VLOOKUP($H17,areaCercaPuntiClassificaSquadra,3,FALSE),-1)=IFERROR(VLOOKUP($Z17,areaCercaPuntiClassificaSquadra,3,FALSE),-2)),SUMIFS(Dati!$F$2:$F$761,Dati!$A$2:$A$761,$H17,Dati!$H$2:$H$761,$Z17)+SUMIFS(Dati!$M$2:$M$761,Dati!$H$2:$H$761,$H17,Dati!$A$2:$A$761,$Z17),"-")</f>
        <v/>
      </c>
      <c r="DK17" s="22">
        <f>IF(AND($H17&lt;&gt;"",$AA17&lt;&gt;"",$H17&lt;&gt;$AA17,IFERROR(VLOOKUP($H17,areaCercaPuntiClassificaSquadra,3,FALSE),-1)=IFERROR(VLOOKUP($AA17,areaCercaPuntiClassificaSquadra,3,FALSE),-2)),SUMIFS(Dati!$F$2:$F$761,Dati!$A$2:$A$761,$H17,Dati!$H$2:$H$761,$AA17)+SUMIFS(Dati!$M$2:$M$761,Dati!$H$2:$H$761,$H17,Dati!$A$2:$A$761,$AA17),"-")</f>
        <v/>
      </c>
      <c r="DL17" s="22">
        <f>IF(AND($H17&lt;&gt;"",$AB17&lt;&gt;"",$H17&lt;&gt;$AB17,IFERROR(VLOOKUP($H17,areaCercaPuntiClassificaSquadra,3,FALSE),-1)=IFERROR(VLOOKUP($AB17,areaCercaPuntiClassificaSquadra,3,FALSE),-2)),SUMIFS(Dati!$F$2:$F$761,Dati!$A$2:$A$761,$H17,Dati!$H$2:$H$761,$AB17)+SUMIFS(Dati!$M$2:$M$761,Dati!$H$2:$H$761,$H17,Dati!$A$2:$A$761,$AB17),"-")</f>
        <v/>
      </c>
      <c r="DM17" s="22">
        <f>IF(AND($H17&lt;&gt;"",$AC17&lt;&gt;"",$H17&lt;&gt;$AC17,IFERROR(VLOOKUP($H17,areaCercaPuntiClassificaSquadra,3,FALSE),-1)=IFERROR(VLOOKUP($AC17,areaCercaPuntiClassificaSquadra,3,FALSE),-2)),SUMIFS(Dati!$F$2:$F$761,Dati!$A$2:$A$761,$H17,Dati!$H$2:$H$761,$AC17)+SUMIFS(Dati!$M$2:$M$761,Dati!$H$2:$H$761,$H17,Dati!$A$2:$A$761,$AC17),"-")</f>
        <v/>
      </c>
      <c r="DN17" s="22">
        <f>IF(AND($H17&lt;&gt;"",$AD17&lt;&gt;"",$H17&lt;&gt;$AD17,IFERROR(VLOOKUP($H17,areaCercaPuntiClassificaSquadra,3,FALSE),-1)=IFERROR(VLOOKUP($AD17,areaCercaPuntiClassificaSquadra,3,FALSE),-2)),SUMIFS(Dati!$F$2:$F$761,Dati!$A$2:$A$761,$H17,Dati!$H$2:$H$761,$AD17)+SUMIFS(Dati!$M$2:$M$761,Dati!$H$2:$H$761,$H17,Dati!$A$2:$A$761,$AD17),"-")</f>
        <v/>
      </c>
      <c r="DO17" s="22">
        <f>IF(AND($H17&lt;&gt;"",$AE17&lt;&gt;"",$H17&lt;&gt;$AE17,IFERROR(VLOOKUP($H17,areaCercaPuntiClassificaSquadra,3,FALSE),-1)=IFERROR(VLOOKUP($AE17,areaCercaPuntiClassificaSquadra,3,FALSE),-2)),SUMIFS(Dati!$F$2:$F$761,Dati!$A$2:$A$761,$H17,Dati!$H$2:$H$761,$AE17)+SUMIFS(Dati!$M$2:$M$761,Dati!$H$2:$H$761,$H17,Dati!$A$2:$A$761,$AE17),"-")</f>
        <v/>
      </c>
      <c r="DP17" s="22">
        <f>IF(AND($H17&lt;&gt;"",$AF17&lt;&gt;"",$H17&lt;&gt;$AF17,IFERROR(VLOOKUP($H17,areaCercaPuntiClassificaSquadra,3,FALSE),-1)=IFERROR(VLOOKUP($AF17,areaCercaPuntiClassificaSquadra,3,FALSE),-2)),SUMIFS(Dati!$F$2:$F$761,Dati!$A$2:$A$761,$H17,Dati!$H$2:$H$761,$AF17)+SUMIFS(Dati!$M$2:$M$761,Dati!$H$2:$H$761,$H17,Dati!$A$2:$A$761,$AF17),"-")</f>
        <v/>
      </c>
      <c r="DQ17" s="22">
        <f>IF(AND($H17&lt;&gt;"",$AG17&lt;&gt;"",$H17&lt;&gt;$AG17,IFERROR(VLOOKUP($H17,areaCercaPuntiClassificaSquadra,3,FALSE),-1)=IFERROR(VLOOKUP($AG17,areaCercaPuntiClassificaSquadra,3,FALSE),-2)),SUMIFS(Dati!$F$2:$F$761,Dati!$A$2:$A$761,$H17,Dati!$H$2:$H$761,$AG17)+SUMIFS(Dati!$M$2:$M$761,Dati!$H$2:$H$761,$H17,Dati!$A$2:$A$761,$AG17),"-")</f>
        <v/>
      </c>
      <c r="DR17" s="22">
        <f>IF(AND($H17&lt;&gt;"",$AH17&lt;&gt;"",$H17&lt;&gt;$AH17,IFERROR(VLOOKUP($H17,areaCercaPuntiClassificaSquadra,3,FALSE),-1)=IFERROR(VLOOKUP($AH17,areaCercaPuntiClassificaSquadra,3,FALSE),-2)),SUMIFS(Dati!$F$2:$F$761,Dati!$A$2:$A$761,$H17,Dati!$H$2:$H$761,$AH17)+SUMIFS(Dati!$M$2:$M$761,Dati!$H$2:$H$761,$H17,Dati!$A$2:$A$761,$AH17),"-")</f>
        <v/>
      </c>
      <c r="DS17" s="22">
        <f>IF(AND($H17&lt;&gt;"",$AI17&lt;&gt;"",$H17&lt;&gt;$AI17,IFERROR(VLOOKUP($H17,areaCercaPuntiClassificaSquadra,3,FALSE),-1)=IFERROR(VLOOKUP($AI17,areaCercaPuntiClassificaSquadra,3,FALSE),-2)),SUMIFS(Dati!$F$2:$F$761,Dati!$A$2:$A$761,$H17,Dati!$H$2:$H$761,$AI17)+SUMIFS(Dati!$M$2:$M$761,Dati!$H$2:$H$761,$H17,Dati!$A$2:$A$761,$AI17),"-")</f>
        <v/>
      </c>
      <c r="DT17" s="22">
        <f>IF(AND($H17&lt;&gt;"",$AJ17&lt;&gt;"",$H17&lt;&gt;$AJ17,IFERROR(VLOOKUP($H17,areaCercaPuntiClassificaSquadra,3,FALSE),-1)=IFERROR(VLOOKUP($AJ17,areaCercaPuntiClassificaSquadra,3,FALSE),-2)),SUMIFS(Dati!$F$2:$F$761,Dati!$A$2:$A$761,$H17,Dati!$H$2:$H$761,$AJ17)+SUMIFS(Dati!$M$2:$M$761,Dati!$H$2:$H$761,$H17,Dati!$A$2:$A$761,$AJ17),"-")</f>
        <v/>
      </c>
      <c r="DU17" s="22">
        <f>IF(AND($H17&lt;&gt;"",$AK17&lt;&gt;"",$H17&lt;&gt;$AK17,IFERROR(VLOOKUP($H17,areaCercaPuntiClassificaSquadra,3,FALSE),-1)=IFERROR(VLOOKUP($AK17,areaCercaPuntiClassificaSquadra,3,FALSE),-2)),SUMIFS(Dati!$F$2:$F$761,Dati!$A$2:$A$761,$H17,Dati!$H$2:$H$761,$AK17)+SUMIFS(Dati!$M$2:$M$761,Dati!$H$2:$H$761,$H17,Dati!$A$2:$A$761,$AK17),"-")</f>
        <v/>
      </c>
      <c r="DV17" s="22">
        <f>IF(AND($H17&lt;&gt;"",$AL17&lt;&gt;"",$H17&lt;&gt;$AL17,IFERROR(VLOOKUP($H17,areaCercaPuntiClassificaSquadra,3,FALSE),-1)=IFERROR(VLOOKUP($AL17,areaCercaPuntiClassificaSquadra,3,FALSE),-2)),SUMIFS(Dati!$F$2:$F$761,Dati!$A$2:$A$761,$H17,Dati!$H$2:$H$761,$AL17)+SUMIFS(Dati!$M$2:$M$761,Dati!$H$2:$H$761,$H17,Dati!$A$2:$A$761,$AL17),"-")</f>
        <v/>
      </c>
      <c r="DW17" s="22">
        <f>IF(AND($H17&lt;&gt;"",$AM17&lt;&gt;"",$H17&lt;&gt;$AM17,IFERROR(VLOOKUP($H17,areaCercaPuntiClassificaSquadra,3,FALSE),-1)=IFERROR(VLOOKUP($AM17,areaCercaPuntiClassificaSquadra,3,FALSE),-2)),SUMIFS(Dati!$F$2:$F$761,Dati!$A$2:$A$761,$H17,Dati!$H$2:$H$761,$AM17)+SUMIFS(Dati!$M$2:$M$761,Dati!$H$2:$H$761,$H17,Dati!$A$2:$A$761,$AM17),"-")</f>
        <v/>
      </c>
      <c r="DX17" s="22">
        <f>IF(AND($H17&lt;&gt;"",$AN17&lt;&gt;"",$H17&lt;&gt;$AN17,IFERROR(VLOOKUP($H17,areaCercaPuntiClassificaSquadra,3,FALSE),-1)=IFERROR(VLOOKUP($AN17,areaCercaPuntiClassificaSquadra,3,FALSE),-2)),SUMIFS(Dati!$F$2:$F$761,Dati!$A$2:$A$761,$H17,Dati!$H$2:$H$761,$AN17)+SUMIFS(Dati!$M$2:$M$761,Dati!$H$2:$H$761,$H17,Dati!$A$2:$A$761,$AN17),"-")</f>
        <v/>
      </c>
      <c r="DY17" s="22">
        <f>IF(AND($H17&lt;&gt;"",$AO17&lt;&gt;"",$H17&lt;&gt;$AO17,IFERROR(VLOOKUP($H17,areaCercaPuntiClassificaSquadra,3,FALSE),-1)=IFERROR(VLOOKUP($AO17,areaCercaPuntiClassificaSquadra,3,FALSE),-2)),SUMIFS(Dati!$F$2:$F$761,Dati!$A$2:$A$761,$H17,Dati!$H$2:$H$761,$AO17)+SUMIFS(Dati!$M$2:$M$761,Dati!$H$2:$H$761,$H17,Dati!$A$2:$A$761,$AO17),"-")</f>
        <v/>
      </c>
      <c r="DZ17" s="22">
        <f>IF(AND($H17&lt;&gt;"",$AP17&lt;&gt;"",$H17&lt;&gt;$AP17,IFERROR(VLOOKUP($H17,areaCercaPuntiClassificaSquadra,3,FALSE),-1)=IFERROR(VLOOKUP($AP17,areaCercaPuntiClassificaSquadra,3,FALSE),-2)),SUMIFS(Dati!$F$2:$F$761,Dati!$A$2:$A$761,$H17,Dati!$H$2:$H$761,$AP17)+SUMIFS(Dati!$M$2:$M$761,Dati!$H$2:$H$761,$H17,Dati!$A$2:$A$761,$AP17),"-")</f>
        <v/>
      </c>
      <c r="EA17" s="22">
        <f>IF(AND($H17&lt;&gt;"",$AQ17&lt;&gt;"",$H17&lt;&gt;$AQ17,IFERROR(VLOOKUP($H17,areaCercaPuntiClassificaSquadra,3,FALSE),-1)=IFERROR(VLOOKUP($AQ17,areaCercaPuntiClassificaSquadra,3,FALSE),-2)),SUMIFS(Dati!$F$2:$F$761,Dati!$A$2:$A$761,$H17,Dati!$H$2:$H$761,$AQ17)+SUMIFS(Dati!$M$2:$M$761,Dati!$H$2:$H$761,$H17,Dati!$A$2:$A$761,$AQ17),"-")</f>
        <v/>
      </c>
      <c r="EB17" s="22">
        <f>IF(AND($H17&lt;&gt;"",$AR17&lt;&gt;"",$H17&lt;&gt;$AR17,IFERROR(VLOOKUP($H17,areaCercaPuntiClassificaSquadra,3,FALSE),-1)=IFERROR(VLOOKUP($AR17,areaCercaPuntiClassificaSquadra,3,FALSE),-2)),SUMIFS(Dati!$F$2:$F$761,Dati!$A$2:$A$761,$H17,Dati!$H$2:$H$761,$AR17)+SUMIFS(Dati!$M$2:$M$761,Dati!$H$2:$H$761,$H17,Dati!$A$2:$A$761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inlineStr">
        <is>
          <t>Ermellini Eleganti-Ermelliniopoli EU</t>
        </is>
      </c>
      <c r="D18" s="14" t="n"/>
      <c r="E18" s="15" t="inlineStr">
        <is>
          <t>A</t>
        </is>
      </c>
      <c r="G18" s="16">
        <f>IF($C18="","",$E18&amp;(COUNTIFS(I$14:I$93,"&gt;"&amp;I18,E$14:E$93,"="&amp;E18,C$14:C$93,"&lt;&gt;")+COUNTIFS(I$14:I$93,"="&amp;I18,H$14:H$93,"&lt;="&amp;H18,E$14:E$93,"="&amp;E18,C$14:C$93,"&lt;&gt;")))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L18*constPuntiVittoria+M18*constPuntiSconfitta+N18*constPuntiForfait+IF(D18="",0,D18)</f>
        <v/>
      </c>
      <c r="K18" s="12">
        <f>SUM(L18:N18)</f>
        <v/>
      </c>
      <c r="L18" s="12">
        <f>IF($H18="",0,SUMIF(Dati!$A$2:$A$761,$H18,Dati!$B$2:$B$761)+SUMIF(Dati!$H$2:$H$761,$H18,Dati!$I$2:$I$761))</f>
        <v/>
      </c>
      <c r="M18" s="12">
        <f>IF($H18="",0,SUMIF(Dati!$A$2:$A$761,$H18,Dati!$D$2:$D$761)+SUMIF(Dati!$H$2:$H$761,$H18,Dati!$K$2:$K$761))</f>
        <v/>
      </c>
      <c r="N18" s="12">
        <f>IF($H18="",0,SUMIF(Dati!$A$2:$A$761,$H18,Dati!$C$2:$C$761)+SUMIF(Dati!$H$2:$H$761,$H18,Dati!$J$2:$J$761))</f>
        <v/>
      </c>
      <c r="O18" s="12">
        <f>IF($H18="",0,SUMIF(Dati!$A$2:$A$761,$H18,Dati!$E$2:$E$761)+SUMIF(Dati!$H$2:$H$761,$H18,Dati!$L$2:$L$761))</f>
        <v/>
      </c>
      <c r="P18" s="12">
        <f>IF($H18="",0,SUMIF(Dati!$A$2:$A$761,$H18,Dati!$F$2:$F$761)+SUMIF(Dati!$H$2:$H$761,$H18,Dati!$M$2:$M$761))</f>
        <v/>
      </c>
      <c r="Q18" s="12">
        <f>IF($H18="",0,SUMIF(Dati!$A$2:$A$761,$H18,Dati!$G$2:$G$761)+SUMIF(Dati!$H$2:$H$761,$H18,Dati!$N$2:$N$761))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IF(COUNTIFS($E$14:$E$93,$E18,$J$14:$J$93,$J18,$C$14:$C$93,"&lt;&gt;")&lt;=1,"-",SUM(AU18:BN18)&amp;"-"&amp;SUM(BQ18:CJ18))</f>
        <v/>
      </c>
      <c r="V18" s="18">
        <f>IF(COUNTIFS($E$14:$E$93,$E18,$J$14:$J$93,$J18,$C$14:$C$93,"&lt;&gt;",$ED$14:$ED$93,$ED18)&lt;=1,"-",IF(SUM(DI18:EB18)=0,0,ROUND(SUM(CM18:DF18)/SUM(DI18:EB18),3)))</f>
        <v/>
      </c>
      <c r="W18" s="18">
        <f>IF(COUNTIFS($E$14:$E$93,$E18,$J$14:$J$93,$J18,$C$14:$C$93,"&lt;&gt;",$ED$14:$ED$93,$ED18,$V$14:$V$93,$V18)&lt;=1,"-",IF(P18=0,0,ROUND(O18/P18,3)))</f>
        <v/>
      </c>
      <c r="X18" s="19">
        <f>IF($C18="","",$E18&amp;"#"&amp;COUNTIFS($E$14:$E18,$E18,$C$14:$C18,"&lt;&gt;"))</f>
        <v/>
      </c>
      <c r="Y18" s="20">
        <f>IFERROR(INDEX($H$14:$H$93,MATCH($E18&amp;"#1",$X$14:$X$93,0)),"")</f>
        <v/>
      </c>
      <c r="Z18" s="20">
        <f>IFERROR(INDEX($H$14:$H$93,MATCH($E18&amp;"#2",$X$14:$X$93,0)),"")</f>
        <v/>
      </c>
      <c r="AA18" s="20">
        <f>IFERROR(INDEX($H$14:$H$93,MATCH($E18&amp;"#3",$X$14:$X$93,0)),"")</f>
        <v/>
      </c>
      <c r="AB18" s="20">
        <f>IFERROR(INDEX($H$14:$H$93,MATCH($E18&amp;"#4",$X$14:$X$93,0)),"")</f>
        <v/>
      </c>
      <c r="AC18" s="20">
        <f>IFERROR(INDEX($H$14:$H$93,MATCH($E18&amp;"#5",$X$14:$X$93,0)),"")</f>
        <v/>
      </c>
      <c r="AD18" s="20">
        <f>IFERROR(INDEX($H$14:$H$93,MATCH($E18&amp;"#6",$X$14:$X$93,0)),"")</f>
        <v/>
      </c>
      <c r="AE18" s="20">
        <f>IFERROR(INDEX($H$14:$H$93,MATCH($E18&amp;"#7",$X$14:$X$93,0)),"")</f>
        <v/>
      </c>
      <c r="AF18" s="20">
        <f>IFERROR(INDEX($H$14:$H$93,MATCH($E18&amp;"#8",$X$14:$X$93,0)),"")</f>
        <v/>
      </c>
      <c r="AG18" s="20">
        <f>IFERROR(INDEX($H$14:$H$93,MATCH($E18&amp;"#9",$X$14:$X$93,0)),"")</f>
        <v/>
      </c>
      <c r="AH18" s="20">
        <f>IFERROR(INDEX($H$14:$H$93,MATCH($E18&amp;"#10",$X$14:$X$93,0)),"")</f>
        <v/>
      </c>
      <c r="AI18" s="20">
        <f>IFERROR(INDEX($H$14:$H$93,MATCH($E18&amp;"#11",$X$14:$X$93,0)),"")</f>
        <v/>
      </c>
      <c r="AJ18" s="20">
        <f>IFERROR(INDEX($H$14:$H$93,MATCH($E18&amp;"#12",$X$14:$X$93,0)),"")</f>
        <v/>
      </c>
      <c r="AK18" s="20">
        <f>IFERROR(INDEX($H$14:$H$93,MATCH($E18&amp;"#13",$X$14:$X$93,0)),"")</f>
        <v/>
      </c>
      <c r="AL18" s="20">
        <f>IFERROR(INDEX($H$14:$H$93,MATCH($E18&amp;"#14",$X$14:$X$93,0)),"")</f>
        <v/>
      </c>
      <c r="AM18" s="20">
        <f>IFERROR(INDEX($H$14:$H$93,MATCH($E18&amp;"#15",$X$14:$X$93,0)),"")</f>
        <v/>
      </c>
      <c r="AN18" s="20">
        <f>IFERROR(INDEX($H$14:$H$93,MATCH($E18&amp;"#16",$X$14:$X$93,0)),"")</f>
        <v/>
      </c>
      <c r="AO18" s="20">
        <f>IFERROR(INDEX($H$14:$H$93,MATCH($E18&amp;"#17",$X$14:$X$93,0)),"")</f>
        <v/>
      </c>
      <c r="AP18" s="20">
        <f>IFERROR(INDEX($H$14:$H$93,MATCH($E18&amp;"#18",$X$14:$X$93,0)),"")</f>
        <v/>
      </c>
      <c r="AQ18" s="20">
        <f>IFERROR(INDEX($H$14:$H$93,MATCH($E18&amp;"#19",$X$14:$X$93,0)),"")</f>
        <v/>
      </c>
      <c r="AR18" s="20">
        <f>IFERROR(INDEX($H$14:$H$93,MATCH($E18&amp;"#20",$X$14:$X$93,0)),"")</f>
        <v/>
      </c>
      <c r="AT18" s="21">
        <f>$C18</f>
        <v/>
      </c>
      <c r="AU18" s="22">
        <f>IF(AND($H18&lt;&gt;"",$Y18&lt;&gt;"",$H18&lt;&gt;$Y18,IFERROR(VLOOKUP($H18,areaCercaPuntiClassificaSquadra,3,FALSE),-1)=IFERROR(VLOOKUP($Y18,areaCercaPuntiClassificaSquadra,3,FALSE),-2)),SUMIFS(Dati!$B$2:$B$761,Dati!$A$2:$A$761,$H18,Dati!$H$2:$H$761,$Y18)+SUMIFS(Dati!$I$2:$I$761,Dati!$H$2:$H$761,$H18,Dati!$A$2:$A$761,$Y18),"-")</f>
        <v/>
      </c>
      <c r="AV18" s="22">
        <f>IF(AND($H18&lt;&gt;"",$Z18&lt;&gt;"",$H18&lt;&gt;$Z18,IFERROR(VLOOKUP($H18,areaCercaPuntiClassificaSquadra,3,FALSE),-1)=IFERROR(VLOOKUP($Z18,areaCercaPuntiClassificaSquadra,3,FALSE),-2)),SUMIFS(Dati!$B$2:$B$761,Dati!$A$2:$A$761,$H18,Dati!$H$2:$H$761,$Z18)+SUMIFS(Dati!$I$2:$I$761,Dati!$H$2:$H$761,$H18,Dati!$A$2:$A$761,$Z18),"-")</f>
        <v/>
      </c>
      <c r="AW18" s="22">
        <f>IF(AND($H18&lt;&gt;"",$AA18&lt;&gt;"",$H18&lt;&gt;$AA18,IFERROR(VLOOKUP($H18,areaCercaPuntiClassificaSquadra,3,FALSE),-1)=IFERROR(VLOOKUP($AA18,areaCercaPuntiClassificaSquadra,3,FALSE),-2)),SUMIFS(Dati!$B$2:$B$761,Dati!$A$2:$A$761,$H18,Dati!$H$2:$H$761,$AA18)+SUMIFS(Dati!$I$2:$I$761,Dati!$H$2:$H$761,$H18,Dati!$A$2:$A$761,$AA18),"-")</f>
        <v/>
      </c>
      <c r="AX18" s="22">
        <f>IF(AND($H18&lt;&gt;"",$AB18&lt;&gt;"",$H18&lt;&gt;$AB18,IFERROR(VLOOKUP($H18,areaCercaPuntiClassificaSquadra,3,FALSE),-1)=IFERROR(VLOOKUP($AB18,areaCercaPuntiClassificaSquadra,3,FALSE),-2)),SUMIFS(Dati!$B$2:$B$761,Dati!$A$2:$A$761,$H18,Dati!$H$2:$H$761,$AB18)+SUMIFS(Dati!$I$2:$I$761,Dati!$H$2:$H$761,$H18,Dati!$A$2:$A$761,$AB18),"-")</f>
        <v/>
      </c>
      <c r="AY18" s="22">
        <f>IF(AND($H18&lt;&gt;"",$AC18&lt;&gt;"",$H18&lt;&gt;$AC18,IFERROR(VLOOKUP($H18,areaCercaPuntiClassificaSquadra,3,FALSE),-1)=IFERROR(VLOOKUP($AC18,areaCercaPuntiClassificaSquadra,3,FALSE),-2)),SUMIFS(Dati!$B$2:$B$761,Dati!$A$2:$A$761,$H18,Dati!$H$2:$H$761,$AC18)+SUMIFS(Dati!$I$2:$I$761,Dati!$H$2:$H$761,$H18,Dati!$A$2:$A$761,$AC18),"-")</f>
        <v/>
      </c>
      <c r="AZ18" s="22">
        <f>IF(AND($H18&lt;&gt;"",$AD18&lt;&gt;"",$H18&lt;&gt;$AD18,IFERROR(VLOOKUP($H18,areaCercaPuntiClassificaSquadra,3,FALSE),-1)=IFERROR(VLOOKUP($AD18,areaCercaPuntiClassificaSquadra,3,FALSE),-2)),SUMIFS(Dati!$B$2:$B$761,Dati!$A$2:$A$761,$H18,Dati!$H$2:$H$761,$AD18)+SUMIFS(Dati!$I$2:$I$761,Dati!$H$2:$H$761,$H18,Dati!$A$2:$A$761,$AD18),"-")</f>
        <v/>
      </c>
      <c r="BA18" s="22">
        <f>IF(AND($H18&lt;&gt;"",$AE18&lt;&gt;"",$H18&lt;&gt;$AE18,IFERROR(VLOOKUP($H18,areaCercaPuntiClassificaSquadra,3,FALSE),-1)=IFERROR(VLOOKUP($AE18,areaCercaPuntiClassificaSquadra,3,FALSE),-2)),SUMIFS(Dati!$B$2:$B$761,Dati!$A$2:$A$761,$H18,Dati!$H$2:$H$761,$AE18)+SUMIFS(Dati!$I$2:$I$761,Dati!$H$2:$H$761,$H18,Dati!$A$2:$A$761,$AE18),"-")</f>
        <v/>
      </c>
      <c r="BB18" s="22">
        <f>IF(AND($H18&lt;&gt;"",$AF18&lt;&gt;"",$H18&lt;&gt;$AF18,IFERROR(VLOOKUP($H18,areaCercaPuntiClassificaSquadra,3,FALSE),-1)=IFERROR(VLOOKUP($AF18,areaCercaPuntiClassificaSquadra,3,FALSE),-2)),SUMIFS(Dati!$B$2:$B$761,Dati!$A$2:$A$761,$H18,Dati!$H$2:$H$761,$AF18)+SUMIFS(Dati!$I$2:$I$761,Dati!$H$2:$H$761,$H18,Dati!$A$2:$A$761,$AF18),"-")</f>
        <v/>
      </c>
      <c r="BC18" s="22">
        <f>IF(AND($H18&lt;&gt;"",$AG18&lt;&gt;"",$H18&lt;&gt;$AG18,IFERROR(VLOOKUP($H18,areaCercaPuntiClassificaSquadra,3,FALSE),-1)=IFERROR(VLOOKUP($AG18,areaCercaPuntiClassificaSquadra,3,FALSE),-2)),SUMIFS(Dati!$B$2:$B$761,Dati!$A$2:$A$761,$H18,Dati!$H$2:$H$761,$AG18)+SUMIFS(Dati!$I$2:$I$761,Dati!$H$2:$H$761,$H18,Dati!$A$2:$A$761,$AG18),"-")</f>
        <v/>
      </c>
      <c r="BD18" s="22">
        <f>IF(AND($H18&lt;&gt;"",$AH18&lt;&gt;"",$H18&lt;&gt;$AH18,IFERROR(VLOOKUP($H18,areaCercaPuntiClassificaSquadra,3,FALSE),-1)=IFERROR(VLOOKUP($AH18,areaCercaPuntiClassificaSquadra,3,FALSE),-2)),SUMIFS(Dati!$B$2:$B$761,Dati!$A$2:$A$761,$H18,Dati!$H$2:$H$761,$AH18)+SUMIFS(Dati!$I$2:$I$761,Dati!$H$2:$H$761,$H18,Dati!$A$2:$A$761,$AH18),"-")</f>
        <v/>
      </c>
      <c r="BE18" s="22">
        <f>IF(AND($H18&lt;&gt;"",$AI18&lt;&gt;"",$H18&lt;&gt;$AI18,IFERROR(VLOOKUP($H18,areaCercaPuntiClassificaSquadra,3,FALSE),-1)=IFERROR(VLOOKUP($AI18,areaCercaPuntiClassificaSquadra,3,FALSE),-2)),SUMIFS(Dati!$B$2:$B$761,Dati!$A$2:$A$761,$H18,Dati!$H$2:$H$761,$AI18)+SUMIFS(Dati!$I$2:$I$761,Dati!$H$2:$H$761,$H18,Dati!$A$2:$A$761,$AI18),"-")</f>
        <v/>
      </c>
      <c r="BF18" s="22">
        <f>IF(AND($H18&lt;&gt;"",$AJ18&lt;&gt;"",$H18&lt;&gt;$AJ18,IFERROR(VLOOKUP($H18,areaCercaPuntiClassificaSquadra,3,FALSE),-1)=IFERROR(VLOOKUP($AJ18,areaCercaPuntiClassificaSquadra,3,FALSE),-2)),SUMIFS(Dati!$B$2:$B$761,Dati!$A$2:$A$761,$H18,Dati!$H$2:$H$761,$AJ18)+SUMIFS(Dati!$I$2:$I$761,Dati!$H$2:$H$761,$H18,Dati!$A$2:$A$761,$AJ18),"-")</f>
        <v/>
      </c>
      <c r="BG18" s="22">
        <f>IF(AND($H18&lt;&gt;"",$AK18&lt;&gt;"",$H18&lt;&gt;$AK18,IFERROR(VLOOKUP($H18,areaCercaPuntiClassificaSquadra,3,FALSE),-1)=IFERROR(VLOOKUP($AK18,areaCercaPuntiClassificaSquadra,3,FALSE),-2)),SUMIFS(Dati!$B$2:$B$761,Dati!$A$2:$A$761,$H18,Dati!$H$2:$H$761,$AK18)+SUMIFS(Dati!$I$2:$I$761,Dati!$H$2:$H$761,$H18,Dati!$A$2:$A$761,$AK18),"-")</f>
        <v/>
      </c>
      <c r="BH18" s="22">
        <f>IF(AND($H18&lt;&gt;"",$AL18&lt;&gt;"",$H18&lt;&gt;$AL18,IFERROR(VLOOKUP($H18,areaCercaPuntiClassificaSquadra,3,FALSE),-1)=IFERROR(VLOOKUP($AL18,areaCercaPuntiClassificaSquadra,3,FALSE),-2)),SUMIFS(Dati!$B$2:$B$761,Dati!$A$2:$A$761,$H18,Dati!$H$2:$H$761,$AL18)+SUMIFS(Dati!$I$2:$I$761,Dati!$H$2:$H$761,$H18,Dati!$A$2:$A$761,$AL18),"-")</f>
        <v/>
      </c>
      <c r="BI18" s="22">
        <f>IF(AND($H18&lt;&gt;"",$AM18&lt;&gt;"",$H18&lt;&gt;$AM18,IFERROR(VLOOKUP($H18,areaCercaPuntiClassificaSquadra,3,FALSE),-1)=IFERROR(VLOOKUP($AM18,areaCercaPuntiClassificaSquadra,3,FALSE),-2)),SUMIFS(Dati!$B$2:$B$761,Dati!$A$2:$A$761,$H18,Dati!$H$2:$H$761,$AM18)+SUMIFS(Dati!$I$2:$I$761,Dati!$H$2:$H$761,$H18,Dati!$A$2:$A$761,$AM18),"-")</f>
        <v/>
      </c>
      <c r="BJ18" s="22">
        <f>IF(AND($H18&lt;&gt;"",$AN18&lt;&gt;"",$H18&lt;&gt;$AN18,IFERROR(VLOOKUP($H18,areaCercaPuntiClassificaSquadra,3,FALSE),-1)=IFERROR(VLOOKUP($AN18,areaCercaPuntiClassificaSquadra,3,FALSE),-2)),SUMIFS(Dati!$B$2:$B$761,Dati!$A$2:$A$761,$H18,Dati!$H$2:$H$761,$AN18)+SUMIFS(Dati!$I$2:$I$761,Dati!$H$2:$H$761,$H18,Dati!$A$2:$A$761,$AN18),"-")</f>
        <v/>
      </c>
      <c r="BK18" s="22">
        <f>IF(AND($H18&lt;&gt;"",$AO18&lt;&gt;"",$H18&lt;&gt;$AO18,IFERROR(VLOOKUP($H18,areaCercaPuntiClassificaSquadra,3,FALSE),-1)=IFERROR(VLOOKUP($AO18,areaCercaPuntiClassificaSquadra,3,FALSE),-2)),SUMIFS(Dati!$B$2:$B$761,Dati!$A$2:$A$761,$H18,Dati!$H$2:$H$761,$AO18)+SUMIFS(Dati!$I$2:$I$761,Dati!$H$2:$H$761,$H18,Dati!$A$2:$A$761,$AO18),"-")</f>
        <v/>
      </c>
      <c r="BL18" s="22">
        <f>IF(AND($H18&lt;&gt;"",$AP18&lt;&gt;"",$H18&lt;&gt;$AP18,IFERROR(VLOOKUP($H18,areaCercaPuntiClassificaSquadra,3,FALSE),-1)=IFERROR(VLOOKUP($AP18,areaCercaPuntiClassificaSquadra,3,FALSE),-2)),SUMIFS(Dati!$B$2:$B$761,Dati!$A$2:$A$761,$H18,Dati!$H$2:$H$761,$AP18)+SUMIFS(Dati!$I$2:$I$761,Dati!$H$2:$H$761,$H18,Dati!$A$2:$A$761,$AP18),"-")</f>
        <v/>
      </c>
      <c r="BM18" s="22">
        <f>IF(AND($H18&lt;&gt;"",$AQ18&lt;&gt;"",$H18&lt;&gt;$AQ18,IFERROR(VLOOKUP($H18,areaCercaPuntiClassificaSquadra,3,FALSE),-1)=IFERROR(VLOOKUP($AQ18,areaCercaPuntiClassificaSquadra,3,FALSE),-2)),SUMIFS(Dati!$B$2:$B$761,Dati!$A$2:$A$761,$H18,Dati!$H$2:$H$761,$AQ18)+SUMIFS(Dati!$I$2:$I$761,Dati!$H$2:$H$761,$H18,Dati!$A$2:$A$761,$AQ18),"-")</f>
        <v/>
      </c>
      <c r="BN18" s="22">
        <f>IF(AND($H18&lt;&gt;"",$AR18&lt;&gt;"",$H18&lt;&gt;$AR18,IFERROR(VLOOKUP($H18,areaCercaPuntiClassificaSquadra,3,FALSE),-1)=IFERROR(VLOOKUP($AR18,areaCercaPuntiClassificaSquadra,3,FALSE),-2)),SUMIFS(Dati!$B$2:$B$761,Dati!$A$2:$A$761,$H18,Dati!$H$2:$H$761,$AR18)+SUMIFS(Dati!$I$2:$I$761,Dati!$H$2:$H$761,$H18,Dati!$A$2:$A$761,$AR18),"-")</f>
        <v/>
      </c>
      <c r="BP18" s="21">
        <f>$C18</f>
        <v/>
      </c>
      <c r="BQ18" s="22">
        <f>IF(AND($H18&lt;&gt;"",$Y18&lt;&gt;"",$H18&lt;&gt;$Y18,IFERROR(VLOOKUP($H18,areaCercaPuntiClassificaSquadra,3,FALSE),-1)=IFERROR(VLOOKUP($Y18,areaCercaPuntiClassificaSquadra,3,FALSE),-2)),SUMIFS(Dati!$D$2:$D$761,Dati!$A$2:$A$761,$H18,Dati!$H$2:$H$761,$Y18)+SUMIFS(Dati!$K$2:$K$761,Dati!$H$2:$H$761,$H18,Dati!$A$2:$A$761,$Y18)+SUMIFS(Dati!$C$2:$C$761,Dati!$A$2:$A$761,$H18,Dati!$H$2:$H$761,$Y18)+SUMIFS(Dati!$J$2:$J$761,Dati!$H$2:$H$761,$H18,Dati!$A$2:$A$761,$Y18),"-")</f>
        <v/>
      </c>
      <c r="BR18" s="22">
        <f>IF(AND($H18&lt;&gt;"",$Z18&lt;&gt;"",$H18&lt;&gt;$Z18,IFERROR(VLOOKUP($H18,areaCercaPuntiClassificaSquadra,3,FALSE),-1)=IFERROR(VLOOKUP($Z18,areaCercaPuntiClassificaSquadra,3,FALSE),-2)),SUMIFS(Dati!$D$2:$D$761,Dati!$A$2:$A$761,$H18,Dati!$H$2:$H$761,$Z18)+SUMIFS(Dati!$K$2:$K$761,Dati!$H$2:$H$761,$H18,Dati!$A$2:$A$761,$Z18)+SUMIFS(Dati!$C$2:$C$761,Dati!$A$2:$A$761,$H18,Dati!$H$2:$H$761,$Z18)+SUMIFS(Dati!$J$2:$J$761,Dati!$H$2:$H$761,$H18,Dati!$A$2:$A$761,$Z18),"-")</f>
        <v/>
      </c>
      <c r="BS18" s="22">
        <f>IF(AND($H18&lt;&gt;"",$AA18&lt;&gt;"",$H18&lt;&gt;$AA18,IFERROR(VLOOKUP($H18,areaCercaPuntiClassificaSquadra,3,FALSE),-1)=IFERROR(VLOOKUP($AA18,areaCercaPuntiClassificaSquadra,3,FALSE),-2)),SUMIFS(Dati!$D$2:$D$761,Dati!$A$2:$A$761,$H18,Dati!$H$2:$H$761,$AA18)+SUMIFS(Dati!$K$2:$K$761,Dati!$H$2:$H$761,$H18,Dati!$A$2:$A$761,$AA18)+SUMIFS(Dati!$C$2:$C$761,Dati!$A$2:$A$761,$H18,Dati!$H$2:$H$761,$AA18)+SUMIFS(Dati!$J$2:$J$761,Dati!$H$2:$H$761,$H18,Dati!$A$2:$A$761,$AA18),"-")</f>
        <v/>
      </c>
      <c r="BT18" s="22">
        <f>IF(AND($H18&lt;&gt;"",$AB18&lt;&gt;"",$H18&lt;&gt;$AB18,IFERROR(VLOOKUP($H18,areaCercaPuntiClassificaSquadra,3,FALSE),-1)=IFERROR(VLOOKUP($AB18,areaCercaPuntiClassificaSquadra,3,FALSE),-2)),SUMIFS(Dati!$D$2:$D$761,Dati!$A$2:$A$761,$H18,Dati!$H$2:$H$761,$AB18)+SUMIFS(Dati!$K$2:$K$761,Dati!$H$2:$H$761,$H18,Dati!$A$2:$A$761,$AB18)+SUMIFS(Dati!$C$2:$C$761,Dati!$A$2:$A$761,$H18,Dati!$H$2:$H$761,$AB18)+SUMIFS(Dati!$J$2:$J$761,Dati!$H$2:$H$761,$H18,Dati!$A$2:$A$761,$AB18),"-")</f>
        <v/>
      </c>
      <c r="BU18" s="22">
        <f>IF(AND($H18&lt;&gt;"",$AC18&lt;&gt;"",$H18&lt;&gt;$AC18,IFERROR(VLOOKUP($H18,areaCercaPuntiClassificaSquadra,3,FALSE),-1)=IFERROR(VLOOKUP($AC18,areaCercaPuntiClassificaSquadra,3,FALSE),-2)),SUMIFS(Dati!$D$2:$D$761,Dati!$A$2:$A$761,$H18,Dati!$H$2:$H$761,$AC18)+SUMIFS(Dati!$K$2:$K$761,Dati!$H$2:$H$761,$H18,Dati!$A$2:$A$761,$AC18)+SUMIFS(Dati!$C$2:$C$761,Dati!$A$2:$A$761,$H18,Dati!$H$2:$H$761,$AC18)+SUMIFS(Dati!$J$2:$J$761,Dati!$H$2:$H$761,$H18,Dati!$A$2:$A$761,$AC18),"-")</f>
        <v/>
      </c>
      <c r="BV18" s="22">
        <f>IF(AND($H18&lt;&gt;"",$AD18&lt;&gt;"",$H18&lt;&gt;$AD18,IFERROR(VLOOKUP($H18,areaCercaPuntiClassificaSquadra,3,FALSE),-1)=IFERROR(VLOOKUP($AD18,areaCercaPuntiClassificaSquadra,3,FALSE),-2)),SUMIFS(Dati!$D$2:$D$761,Dati!$A$2:$A$761,$H18,Dati!$H$2:$H$761,$AD18)+SUMIFS(Dati!$K$2:$K$761,Dati!$H$2:$H$761,$H18,Dati!$A$2:$A$761,$AD18)+SUMIFS(Dati!$C$2:$C$761,Dati!$A$2:$A$761,$H18,Dati!$H$2:$H$761,$AD18)+SUMIFS(Dati!$J$2:$J$761,Dati!$H$2:$H$761,$H18,Dati!$A$2:$A$761,$AD18),"-")</f>
        <v/>
      </c>
      <c r="BW18" s="22">
        <f>IF(AND($H18&lt;&gt;"",$AE18&lt;&gt;"",$H18&lt;&gt;$AE18,IFERROR(VLOOKUP($H18,areaCercaPuntiClassificaSquadra,3,FALSE),-1)=IFERROR(VLOOKUP($AE18,areaCercaPuntiClassificaSquadra,3,FALSE),-2)),SUMIFS(Dati!$D$2:$D$761,Dati!$A$2:$A$761,$H18,Dati!$H$2:$H$761,$AE18)+SUMIFS(Dati!$K$2:$K$761,Dati!$H$2:$H$761,$H18,Dati!$A$2:$A$761,$AE18)+SUMIFS(Dati!$C$2:$C$761,Dati!$A$2:$A$761,$H18,Dati!$H$2:$H$761,$AE18)+SUMIFS(Dati!$J$2:$J$761,Dati!$H$2:$H$761,$H18,Dati!$A$2:$A$761,$AE18),"-")</f>
        <v/>
      </c>
      <c r="BX18" s="22">
        <f>IF(AND($H18&lt;&gt;"",$AF18&lt;&gt;"",$H18&lt;&gt;$AF18,IFERROR(VLOOKUP($H18,areaCercaPuntiClassificaSquadra,3,FALSE),-1)=IFERROR(VLOOKUP($AF18,areaCercaPuntiClassificaSquadra,3,FALSE),-2)),SUMIFS(Dati!$D$2:$D$761,Dati!$A$2:$A$761,$H18,Dati!$H$2:$H$761,$AF18)+SUMIFS(Dati!$K$2:$K$761,Dati!$H$2:$H$761,$H18,Dati!$A$2:$A$761,$AF18)+SUMIFS(Dati!$C$2:$C$761,Dati!$A$2:$A$761,$H18,Dati!$H$2:$H$761,$AF18)+SUMIFS(Dati!$J$2:$J$761,Dati!$H$2:$H$761,$H18,Dati!$A$2:$A$761,$AF18),"-")</f>
        <v/>
      </c>
      <c r="BY18" s="22">
        <f>IF(AND($H18&lt;&gt;"",$AG18&lt;&gt;"",$H18&lt;&gt;$AG18,IFERROR(VLOOKUP($H18,areaCercaPuntiClassificaSquadra,3,FALSE),-1)=IFERROR(VLOOKUP($AG18,areaCercaPuntiClassificaSquadra,3,FALSE),-2)),SUMIFS(Dati!$D$2:$D$761,Dati!$A$2:$A$761,$H18,Dati!$H$2:$H$761,$AG18)+SUMIFS(Dati!$K$2:$K$761,Dati!$H$2:$H$761,$H18,Dati!$A$2:$A$761,$AG18)+SUMIFS(Dati!$C$2:$C$761,Dati!$A$2:$A$761,$H18,Dati!$H$2:$H$761,$AG18)+SUMIFS(Dati!$J$2:$J$761,Dati!$H$2:$H$761,$H18,Dati!$A$2:$A$761,$AG18),"-")</f>
        <v/>
      </c>
      <c r="BZ18" s="22">
        <f>IF(AND($H18&lt;&gt;"",$AH18&lt;&gt;"",$H18&lt;&gt;$AH18,IFERROR(VLOOKUP($H18,areaCercaPuntiClassificaSquadra,3,FALSE),-1)=IFERROR(VLOOKUP($AH18,areaCercaPuntiClassificaSquadra,3,FALSE),-2)),SUMIFS(Dati!$D$2:$D$761,Dati!$A$2:$A$761,$H18,Dati!$H$2:$H$761,$AH18)+SUMIFS(Dati!$K$2:$K$761,Dati!$H$2:$H$761,$H18,Dati!$A$2:$A$761,$AH18)+SUMIFS(Dati!$C$2:$C$761,Dati!$A$2:$A$761,$H18,Dati!$H$2:$H$761,$AH18)+SUMIFS(Dati!$J$2:$J$761,Dati!$H$2:$H$761,$H18,Dati!$A$2:$A$761,$AH18),"-")</f>
        <v/>
      </c>
      <c r="CA18" s="22">
        <f>IF(AND($H18&lt;&gt;"",$AI18&lt;&gt;"",$H18&lt;&gt;$AI18,IFERROR(VLOOKUP($H18,areaCercaPuntiClassificaSquadra,3,FALSE),-1)=IFERROR(VLOOKUP($AI18,areaCercaPuntiClassificaSquadra,3,FALSE),-2)),SUMIFS(Dati!$D$2:$D$761,Dati!$A$2:$A$761,$H18,Dati!$H$2:$H$761,$AI18)+SUMIFS(Dati!$K$2:$K$761,Dati!$H$2:$H$761,$H18,Dati!$A$2:$A$761,$AI18)+SUMIFS(Dati!$C$2:$C$761,Dati!$A$2:$A$761,$H18,Dati!$H$2:$H$761,$AI18)+SUMIFS(Dati!$J$2:$J$761,Dati!$H$2:$H$761,$H18,Dati!$A$2:$A$761,$AI18),"-")</f>
        <v/>
      </c>
      <c r="CB18" s="22">
        <f>IF(AND($H18&lt;&gt;"",$AJ18&lt;&gt;"",$H18&lt;&gt;$AJ18,IFERROR(VLOOKUP($H18,areaCercaPuntiClassificaSquadra,3,FALSE),-1)=IFERROR(VLOOKUP($AJ18,areaCercaPuntiClassificaSquadra,3,FALSE),-2)),SUMIFS(Dati!$D$2:$D$761,Dati!$A$2:$A$761,$H18,Dati!$H$2:$H$761,$AJ18)+SUMIFS(Dati!$K$2:$K$761,Dati!$H$2:$H$761,$H18,Dati!$A$2:$A$761,$AJ18)+SUMIFS(Dati!$C$2:$C$761,Dati!$A$2:$A$761,$H18,Dati!$H$2:$H$761,$AJ18)+SUMIFS(Dati!$J$2:$J$761,Dati!$H$2:$H$761,$H18,Dati!$A$2:$A$761,$AJ18),"-")</f>
        <v/>
      </c>
      <c r="CC18" s="22">
        <f>IF(AND($H18&lt;&gt;"",$AK18&lt;&gt;"",$H18&lt;&gt;$AK18,IFERROR(VLOOKUP($H18,areaCercaPuntiClassificaSquadra,3,FALSE),-1)=IFERROR(VLOOKUP($AK18,areaCercaPuntiClassificaSquadra,3,FALSE),-2)),SUMIFS(Dati!$D$2:$D$761,Dati!$A$2:$A$761,$H18,Dati!$H$2:$H$761,$AK18)+SUMIFS(Dati!$K$2:$K$761,Dati!$H$2:$H$761,$H18,Dati!$A$2:$A$761,$AK18)+SUMIFS(Dati!$C$2:$C$761,Dati!$A$2:$A$761,$H18,Dati!$H$2:$H$761,$AK18)+SUMIFS(Dati!$J$2:$J$761,Dati!$H$2:$H$761,$H18,Dati!$A$2:$A$761,$AK18),"-")</f>
        <v/>
      </c>
      <c r="CD18" s="22">
        <f>IF(AND($H18&lt;&gt;"",$AL18&lt;&gt;"",$H18&lt;&gt;$AL18,IFERROR(VLOOKUP($H18,areaCercaPuntiClassificaSquadra,3,FALSE),-1)=IFERROR(VLOOKUP($AL18,areaCercaPuntiClassificaSquadra,3,FALSE),-2)),SUMIFS(Dati!$D$2:$D$761,Dati!$A$2:$A$761,$H18,Dati!$H$2:$H$761,$AL18)+SUMIFS(Dati!$K$2:$K$761,Dati!$H$2:$H$761,$H18,Dati!$A$2:$A$761,$AL18)+SUMIFS(Dati!$C$2:$C$761,Dati!$A$2:$A$761,$H18,Dati!$H$2:$H$761,$AL18)+SUMIFS(Dati!$J$2:$J$761,Dati!$H$2:$H$761,$H18,Dati!$A$2:$A$761,$AL18),"-")</f>
        <v/>
      </c>
      <c r="CE18" s="22">
        <f>IF(AND($H18&lt;&gt;"",$AM18&lt;&gt;"",$H18&lt;&gt;$AM18,IFERROR(VLOOKUP($H18,areaCercaPuntiClassificaSquadra,3,FALSE),-1)=IFERROR(VLOOKUP($AM18,areaCercaPuntiClassificaSquadra,3,FALSE),-2)),SUMIFS(Dati!$D$2:$D$761,Dati!$A$2:$A$761,$H18,Dati!$H$2:$H$761,$AM18)+SUMIFS(Dati!$K$2:$K$761,Dati!$H$2:$H$761,$H18,Dati!$A$2:$A$761,$AM18)+SUMIFS(Dati!$C$2:$C$761,Dati!$A$2:$A$761,$H18,Dati!$H$2:$H$761,$AM18)+SUMIFS(Dati!$J$2:$J$761,Dati!$H$2:$H$761,$H18,Dati!$A$2:$A$761,$AM18),"-")</f>
        <v/>
      </c>
      <c r="CF18" s="22">
        <f>IF(AND($H18&lt;&gt;"",$AN18&lt;&gt;"",$H18&lt;&gt;$AN18,IFERROR(VLOOKUP($H18,areaCercaPuntiClassificaSquadra,3,FALSE),-1)=IFERROR(VLOOKUP($AN18,areaCercaPuntiClassificaSquadra,3,FALSE),-2)),SUMIFS(Dati!$D$2:$D$761,Dati!$A$2:$A$761,$H18,Dati!$H$2:$H$761,$AN18)+SUMIFS(Dati!$K$2:$K$761,Dati!$H$2:$H$761,$H18,Dati!$A$2:$A$761,$AN18)+SUMIFS(Dati!$C$2:$C$761,Dati!$A$2:$A$761,$H18,Dati!$H$2:$H$761,$AN18)+SUMIFS(Dati!$J$2:$J$761,Dati!$H$2:$H$761,$H18,Dati!$A$2:$A$761,$AN18),"-")</f>
        <v/>
      </c>
      <c r="CG18" s="22">
        <f>IF(AND($H18&lt;&gt;"",$AO18&lt;&gt;"",$H18&lt;&gt;$AO18,IFERROR(VLOOKUP($H18,areaCercaPuntiClassificaSquadra,3,FALSE),-1)=IFERROR(VLOOKUP($AO18,areaCercaPuntiClassificaSquadra,3,FALSE),-2)),SUMIFS(Dati!$D$2:$D$761,Dati!$A$2:$A$761,$H18,Dati!$H$2:$H$761,$AO18)+SUMIFS(Dati!$K$2:$K$761,Dati!$H$2:$H$761,$H18,Dati!$A$2:$A$761,$AO18)+SUMIFS(Dati!$C$2:$C$761,Dati!$A$2:$A$761,$H18,Dati!$H$2:$H$761,$AO18)+SUMIFS(Dati!$J$2:$J$761,Dati!$H$2:$H$761,$H18,Dati!$A$2:$A$761,$AO18),"-")</f>
        <v/>
      </c>
      <c r="CH18" s="22">
        <f>IF(AND($H18&lt;&gt;"",$AP18&lt;&gt;"",$H18&lt;&gt;$AP18,IFERROR(VLOOKUP($H18,areaCercaPuntiClassificaSquadra,3,FALSE),-1)=IFERROR(VLOOKUP($AP18,areaCercaPuntiClassificaSquadra,3,FALSE),-2)),SUMIFS(Dati!$D$2:$D$761,Dati!$A$2:$A$761,$H18,Dati!$H$2:$H$761,$AP18)+SUMIFS(Dati!$K$2:$K$761,Dati!$H$2:$H$761,$H18,Dati!$A$2:$A$761,$AP18)+SUMIFS(Dati!$C$2:$C$761,Dati!$A$2:$A$761,$H18,Dati!$H$2:$H$761,$AP18)+SUMIFS(Dati!$J$2:$J$761,Dati!$H$2:$H$761,$H18,Dati!$A$2:$A$761,$AP18),"-")</f>
        <v/>
      </c>
      <c r="CI18" s="22">
        <f>IF(AND($H18&lt;&gt;"",$AQ18&lt;&gt;"",$H18&lt;&gt;$AQ18,IFERROR(VLOOKUP($H18,areaCercaPuntiClassificaSquadra,3,FALSE),-1)=IFERROR(VLOOKUP($AQ18,areaCercaPuntiClassificaSquadra,3,FALSE),-2)),SUMIFS(Dati!$D$2:$D$761,Dati!$A$2:$A$761,$H18,Dati!$H$2:$H$761,$AQ18)+SUMIFS(Dati!$K$2:$K$761,Dati!$H$2:$H$761,$H18,Dati!$A$2:$A$761,$AQ18)+SUMIFS(Dati!$C$2:$C$761,Dati!$A$2:$A$761,$H18,Dati!$H$2:$H$761,$AQ18)+SUMIFS(Dati!$J$2:$J$761,Dati!$H$2:$H$761,$H18,Dati!$A$2:$A$761,$AQ18),"-")</f>
        <v/>
      </c>
      <c r="CJ18" s="22">
        <f>IF(AND($H18&lt;&gt;"",$AR18&lt;&gt;"",$H18&lt;&gt;$AR18,IFERROR(VLOOKUP($H18,areaCercaPuntiClassificaSquadra,3,FALSE),-1)=IFERROR(VLOOKUP($AR18,areaCercaPuntiClassificaSquadra,3,FALSE),-2)),SUMIFS(Dati!$D$2:$D$761,Dati!$A$2:$A$761,$H18,Dati!$H$2:$H$761,$AR18)+SUMIFS(Dati!$K$2:$K$761,Dati!$H$2:$H$761,$H18,Dati!$A$2:$A$761,$AR18)+SUMIFS(Dati!$C$2:$C$761,Dati!$A$2:$A$761,$H18,Dati!$H$2:$H$761,$AR18)+SUMIFS(Dati!$J$2:$J$761,Dati!$H$2:$H$761,$H18,Dati!$A$2:$A$761,$AR18),"-")</f>
        <v/>
      </c>
      <c r="CL18" s="21">
        <f>$C18</f>
        <v/>
      </c>
      <c r="CM18" s="22">
        <f>IF(AND($H18&lt;&gt;"",$Y18&lt;&gt;"",$H18&lt;&gt;$Y18,IFERROR(VLOOKUP($H18,areaCercaPuntiClassificaSquadra,3,FALSE),-1)=IFERROR(VLOOKUP($Y18,areaCercaPuntiClassificaSquadra,3,FALSE),-2)),SUMIFS(Dati!$E$2:$E$761,Dati!$A$2:$A$761,$H18,Dati!$H$2:$H$761,$Y18)+SUMIFS(Dati!$L$2:$L$761,Dati!$H$2:$H$761,$H18,Dati!$A$2:$A$761,$Y18),"-")</f>
        <v/>
      </c>
      <c r="CN18" s="22">
        <f>IF(AND($H18&lt;&gt;"",$Z18&lt;&gt;"",$H18&lt;&gt;$Z18,IFERROR(VLOOKUP($H18,areaCercaPuntiClassificaSquadra,3,FALSE),-1)=IFERROR(VLOOKUP($Z18,areaCercaPuntiClassificaSquadra,3,FALSE),-2)),SUMIFS(Dati!$E$2:$E$761,Dati!$A$2:$A$761,$H18,Dati!$H$2:$H$761,$Z18)+SUMIFS(Dati!$L$2:$L$761,Dati!$H$2:$H$761,$H18,Dati!$A$2:$A$761,$Z18),"-")</f>
        <v/>
      </c>
      <c r="CO18" s="22">
        <f>IF(AND($H18&lt;&gt;"",$AA18&lt;&gt;"",$H18&lt;&gt;$AA18,IFERROR(VLOOKUP($H18,areaCercaPuntiClassificaSquadra,3,FALSE),-1)=IFERROR(VLOOKUP($AA18,areaCercaPuntiClassificaSquadra,3,FALSE),-2)),SUMIFS(Dati!$E$2:$E$761,Dati!$A$2:$A$761,$H18,Dati!$H$2:$H$761,$AA18)+SUMIFS(Dati!$L$2:$L$761,Dati!$H$2:$H$761,$H18,Dati!$A$2:$A$761,$AA18),"-")</f>
        <v/>
      </c>
      <c r="CP18" s="22">
        <f>IF(AND($H18&lt;&gt;"",$AB18&lt;&gt;"",$H18&lt;&gt;$AB18,IFERROR(VLOOKUP($H18,areaCercaPuntiClassificaSquadra,3,FALSE),-1)=IFERROR(VLOOKUP($AB18,areaCercaPuntiClassificaSquadra,3,FALSE),-2)),SUMIFS(Dati!$E$2:$E$761,Dati!$A$2:$A$761,$H18,Dati!$H$2:$H$761,$AB18)+SUMIFS(Dati!$L$2:$L$761,Dati!$H$2:$H$761,$H18,Dati!$A$2:$A$761,$AB18),"-")</f>
        <v/>
      </c>
      <c r="CQ18" s="22">
        <f>IF(AND($H18&lt;&gt;"",$AC18&lt;&gt;"",$H18&lt;&gt;$AC18,IFERROR(VLOOKUP($H18,areaCercaPuntiClassificaSquadra,3,FALSE),-1)=IFERROR(VLOOKUP($AC18,areaCercaPuntiClassificaSquadra,3,FALSE),-2)),SUMIFS(Dati!$E$2:$E$761,Dati!$A$2:$A$761,$H18,Dati!$H$2:$H$761,$AC18)+SUMIFS(Dati!$L$2:$L$761,Dati!$H$2:$H$761,$H18,Dati!$A$2:$A$761,$AC18),"-")</f>
        <v/>
      </c>
      <c r="CR18" s="22">
        <f>IF(AND($H18&lt;&gt;"",$AD18&lt;&gt;"",$H18&lt;&gt;$AD18,IFERROR(VLOOKUP($H18,areaCercaPuntiClassificaSquadra,3,FALSE),-1)=IFERROR(VLOOKUP($AD18,areaCercaPuntiClassificaSquadra,3,FALSE),-2)),SUMIFS(Dati!$E$2:$E$761,Dati!$A$2:$A$761,$H18,Dati!$H$2:$H$761,$AD18)+SUMIFS(Dati!$L$2:$L$761,Dati!$H$2:$H$761,$H18,Dati!$A$2:$A$761,$AD18),"-")</f>
        <v/>
      </c>
      <c r="CS18" s="22">
        <f>IF(AND($H18&lt;&gt;"",$AE18&lt;&gt;"",$H18&lt;&gt;$AE18,IFERROR(VLOOKUP($H18,areaCercaPuntiClassificaSquadra,3,FALSE),-1)=IFERROR(VLOOKUP($AE18,areaCercaPuntiClassificaSquadra,3,FALSE),-2)),SUMIFS(Dati!$E$2:$E$761,Dati!$A$2:$A$761,$H18,Dati!$H$2:$H$761,$AE18)+SUMIFS(Dati!$L$2:$L$761,Dati!$H$2:$H$761,$H18,Dati!$A$2:$A$761,$AE18),"-")</f>
        <v/>
      </c>
      <c r="CT18" s="22">
        <f>IF(AND($H18&lt;&gt;"",$AF18&lt;&gt;"",$H18&lt;&gt;$AF18,IFERROR(VLOOKUP($H18,areaCercaPuntiClassificaSquadra,3,FALSE),-1)=IFERROR(VLOOKUP($AF18,areaCercaPuntiClassificaSquadra,3,FALSE),-2)),SUMIFS(Dati!$E$2:$E$761,Dati!$A$2:$A$761,$H18,Dati!$H$2:$H$761,$AF18)+SUMIFS(Dati!$L$2:$L$761,Dati!$H$2:$H$761,$H18,Dati!$A$2:$A$761,$AF18),"-")</f>
        <v/>
      </c>
      <c r="CU18" s="22">
        <f>IF(AND($H18&lt;&gt;"",$AG18&lt;&gt;"",$H18&lt;&gt;$AG18,IFERROR(VLOOKUP($H18,areaCercaPuntiClassificaSquadra,3,FALSE),-1)=IFERROR(VLOOKUP($AG18,areaCercaPuntiClassificaSquadra,3,FALSE),-2)),SUMIFS(Dati!$E$2:$E$761,Dati!$A$2:$A$761,$H18,Dati!$H$2:$H$761,$AG18)+SUMIFS(Dati!$L$2:$L$761,Dati!$H$2:$H$761,$H18,Dati!$A$2:$A$761,$AG18),"-")</f>
        <v/>
      </c>
      <c r="CV18" s="22">
        <f>IF(AND($H18&lt;&gt;"",$AH18&lt;&gt;"",$H18&lt;&gt;$AH18,IFERROR(VLOOKUP($H18,areaCercaPuntiClassificaSquadra,3,FALSE),-1)=IFERROR(VLOOKUP($AH18,areaCercaPuntiClassificaSquadra,3,FALSE),-2)),SUMIFS(Dati!$E$2:$E$761,Dati!$A$2:$A$761,$H18,Dati!$H$2:$H$761,$AH18)+SUMIFS(Dati!$L$2:$L$761,Dati!$H$2:$H$761,$H18,Dati!$A$2:$A$761,$AH18),"-")</f>
        <v/>
      </c>
      <c r="CW18" s="22">
        <f>IF(AND($H18&lt;&gt;"",$AI18&lt;&gt;"",$H18&lt;&gt;$AI18,IFERROR(VLOOKUP($H18,areaCercaPuntiClassificaSquadra,3,FALSE),-1)=IFERROR(VLOOKUP($AI18,areaCercaPuntiClassificaSquadra,3,FALSE),-2)),SUMIFS(Dati!$E$2:$E$761,Dati!$A$2:$A$761,$H18,Dati!$H$2:$H$761,$AI18)+SUMIFS(Dati!$L$2:$L$761,Dati!$H$2:$H$761,$H18,Dati!$A$2:$A$761,$AI18),"-")</f>
        <v/>
      </c>
      <c r="CX18" s="22">
        <f>IF(AND($H18&lt;&gt;"",$AJ18&lt;&gt;"",$H18&lt;&gt;$AJ18,IFERROR(VLOOKUP($H18,areaCercaPuntiClassificaSquadra,3,FALSE),-1)=IFERROR(VLOOKUP($AJ18,areaCercaPuntiClassificaSquadra,3,FALSE),-2)),SUMIFS(Dati!$E$2:$E$761,Dati!$A$2:$A$761,$H18,Dati!$H$2:$H$761,$AJ18)+SUMIFS(Dati!$L$2:$L$761,Dati!$H$2:$H$761,$H18,Dati!$A$2:$A$761,$AJ18),"-")</f>
        <v/>
      </c>
      <c r="CY18" s="22">
        <f>IF(AND($H18&lt;&gt;"",$AK18&lt;&gt;"",$H18&lt;&gt;$AK18,IFERROR(VLOOKUP($H18,areaCercaPuntiClassificaSquadra,3,FALSE),-1)=IFERROR(VLOOKUP($AK18,areaCercaPuntiClassificaSquadra,3,FALSE),-2)),SUMIFS(Dati!$E$2:$E$761,Dati!$A$2:$A$761,$H18,Dati!$H$2:$H$761,$AK18)+SUMIFS(Dati!$L$2:$L$761,Dati!$H$2:$H$761,$H18,Dati!$A$2:$A$761,$AK18),"-")</f>
        <v/>
      </c>
      <c r="CZ18" s="22">
        <f>IF(AND($H18&lt;&gt;"",$AL18&lt;&gt;"",$H18&lt;&gt;$AL18,IFERROR(VLOOKUP($H18,areaCercaPuntiClassificaSquadra,3,FALSE),-1)=IFERROR(VLOOKUP($AL18,areaCercaPuntiClassificaSquadra,3,FALSE),-2)),SUMIFS(Dati!$E$2:$E$761,Dati!$A$2:$A$761,$H18,Dati!$H$2:$H$761,$AL18)+SUMIFS(Dati!$L$2:$L$761,Dati!$H$2:$H$761,$H18,Dati!$A$2:$A$761,$AL18),"-")</f>
        <v/>
      </c>
      <c r="DA18" s="22">
        <f>IF(AND($H18&lt;&gt;"",$AM18&lt;&gt;"",$H18&lt;&gt;$AM18,IFERROR(VLOOKUP($H18,areaCercaPuntiClassificaSquadra,3,FALSE),-1)=IFERROR(VLOOKUP($AM18,areaCercaPuntiClassificaSquadra,3,FALSE),-2)),SUMIFS(Dati!$E$2:$E$761,Dati!$A$2:$A$761,$H18,Dati!$H$2:$H$761,$AM18)+SUMIFS(Dati!$L$2:$L$761,Dati!$H$2:$H$761,$H18,Dati!$A$2:$A$761,$AM18),"-")</f>
        <v/>
      </c>
      <c r="DB18" s="22">
        <f>IF(AND($H18&lt;&gt;"",$AN18&lt;&gt;"",$H18&lt;&gt;$AN18,IFERROR(VLOOKUP($H18,areaCercaPuntiClassificaSquadra,3,FALSE),-1)=IFERROR(VLOOKUP($AN18,areaCercaPuntiClassificaSquadra,3,FALSE),-2)),SUMIFS(Dati!$E$2:$E$761,Dati!$A$2:$A$761,$H18,Dati!$H$2:$H$761,$AN18)+SUMIFS(Dati!$L$2:$L$761,Dati!$H$2:$H$761,$H18,Dati!$A$2:$A$761,$AN18),"-")</f>
        <v/>
      </c>
      <c r="DC18" s="22">
        <f>IF(AND($H18&lt;&gt;"",$AO18&lt;&gt;"",$H18&lt;&gt;$AO18,IFERROR(VLOOKUP($H18,areaCercaPuntiClassificaSquadra,3,FALSE),-1)=IFERROR(VLOOKUP($AO18,areaCercaPuntiClassificaSquadra,3,FALSE),-2)),SUMIFS(Dati!$E$2:$E$761,Dati!$A$2:$A$761,$H18,Dati!$H$2:$H$761,$AO18)+SUMIFS(Dati!$L$2:$L$761,Dati!$H$2:$H$761,$H18,Dati!$A$2:$A$761,$AO18),"-")</f>
        <v/>
      </c>
      <c r="DD18" s="22">
        <f>IF(AND($H18&lt;&gt;"",$AP18&lt;&gt;"",$H18&lt;&gt;$AP18,IFERROR(VLOOKUP($H18,areaCercaPuntiClassificaSquadra,3,FALSE),-1)=IFERROR(VLOOKUP($AP18,areaCercaPuntiClassificaSquadra,3,FALSE),-2)),SUMIFS(Dati!$E$2:$E$761,Dati!$A$2:$A$761,$H18,Dati!$H$2:$H$761,$AP18)+SUMIFS(Dati!$L$2:$L$761,Dati!$H$2:$H$761,$H18,Dati!$A$2:$A$761,$AP18),"-")</f>
        <v/>
      </c>
      <c r="DE18" s="22">
        <f>IF(AND($H18&lt;&gt;"",$AQ18&lt;&gt;"",$H18&lt;&gt;$AQ18,IFERROR(VLOOKUP($H18,areaCercaPuntiClassificaSquadra,3,FALSE),-1)=IFERROR(VLOOKUP($AQ18,areaCercaPuntiClassificaSquadra,3,FALSE),-2)),SUMIFS(Dati!$E$2:$E$761,Dati!$A$2:$A$761,$H18,Dati!$H$2:$H$761,$AQ18)+SUMIFS(Dati!$L$2:$L$761,Dati!$H$2:$H$761,$H18,Dati!$A$2:$A$761,$AQ18),"-")</f>
        <v/>
      </c>
      <c r="DF18" s="22">
        <f>IF(AND($H18&lt;&gt;"",$AR18&lt;&gt;"",$H18&lt;&gt;$AR18,IFERROR(VLOOKUP($H18,areaCercaPuntiClassificaSquadra,3,FALSE),-1)=IFERROR(VLOOKUP($AR18,areaCercaPuntiClassificaSquadra,3,FALSE),-2)),SUMIFS(Dati!$E$2:$E$761,Dati!$A$2:$A$761,$H18,Dati!$H$2:$H$761,$AR18)+SUMIFS(Dati!$L$2:$L$761,Dati!$H$2:$H$761,$H18,Dati!$A$2:$A$761,$AR18),"-")</f>
        <v/>
      </c>
      <c r="DH18" s="21">
        <f>$C18</f>
        <v/>
      </c>
      <c r="DI18" s="22">
        <f>IF(AND($H18&lt;&gt;"",$Y18&lt;&gt;"",$H18&lt;&gt;$Y18,IFERROR(VLOOKUP($H18,areaCercaPuntiClassificaSquadra,3,FALSE),-1)=IFERROR(VLOOKUP($Y18,areaCercaPuntiClassificaSquadra,3,FALSE),-2)),SUMIFS(Dati!$F$2:$F$761,Dati!$A$2:$A$761,$H18,Dati!$H$2:$H$761,$Y18)+SUMIFS(Dati!$M$2:$M$761,Dati!$H$2:$H$761,$H18,Dati!$A$2:$A$761,$Y18),"-")</f>
        <v/>
      </c>
      <c r="DJ18" s="22">
        <f>IF(AND($H18&lt;&gt;"",$Z18&lt;&gt;"",$H18&lt;&gt;$Z18,IFERROR(VLOOKUP($H18,areaCercaPuntiClassificaSquadra,3,FALSE),-1)=IFERROR(VLOOKUP($Z18,areaCercaPuntiClassificaSquadra,3,FALSE),-2)),SUMIFS(Dati!$F$2:$F$761,Dati!$A$2:$A$761,$H18,Dati!$H$2:$H$761,$Z18)+SUMIFS(Dati!$M$2:$M$761,Dati!$H$2:$H$761,$H18,Dati!$A$2:$A$761,$Z18),"-")</f>
        <v/>
      </c>
      <c r="DK18" s="22">
        <f>IF(AND($H18&lt;&gt;"",$AA18&lt;&gt;"",$H18&lt;&gt;$AA18,IFERROR(VLOOKUP($H18,areaCercaPuntiClassificaSquadra,3,FALSE),-1)=IFERROR(VLOOKUP($AA18,areaCercaPuntiClassificaSquadra,3,FALSE),-2)),SUMIFS(Dati!$F$2:$F$761,Dati!$A$2:$A$761,$H18,Dati!$H$2:$H$761,$AA18)+SUMIFS(Dati!$M$2:$M$761,Dati!$H$2:$H$761,$H18,Dati!$A$2:$A$761,$AA18),"-")</f>
        <v/>
      </c>
      <c r="DL18" s="22">
        <f>IF(AND($H18&lt;&gt;"",$AB18&lt;&gt;"",$H18&lt;&gt;$AB18,IFERROR(VLOOKUP($H18,areaCercaPuntiClassificaSquadra,3,FALSE),-1)=IFERROR(VLOOKUP($AB18,areaCercaPuntiClassificaSquadra,3,FALSE),-2)),SUMIFS(Dati!$F$2:$F$761,Dati!$A$2:$A$761,$H18,Dati!$H$2:$H$761,$AB18)+SUMIFS(Dati!$M$2:$M$761,Dati!$H$2:$H$761,$H18,Dati!$A$2:$A$761,$AB18),"-")</f>
        <v/>
      </c>
      <c r="DM18" s="22">
        <f>IF(AND($H18&lt;&gt;"",$AC18&lt;&gt;"",$H18&lt;&gt;$AC18,IFERROR(VLOOKUP($H18,areaCercaPuntiClassificaSquadra,3,FALSE),-1)=IFERROR(VLOOKUP($AC18,areaCercaPuntiClassificaSquadra,3,FALSE),-2)),SUMIFS(Dati!$F$2:$F$761,Dati!$A$2:$A$761,$H18,Dati!$H$2:$H$761,$AC18)+SUMIFS(Dati!$M$2:$M$761,Dati!$H$2:$H$761,$H18,Dati!$A$2:$A$761,$AC18),"-")</f>
        <v/>
      </c>
      <c r="DN18" s="22">
        <f>IF(AND($H18&lt;&gt;"",$AD18&lt;&gt;"",$H18&lt;&gt;$AD18,IFERROR(VLOOKUP($H18,areaCercaPuntiClassificaSquadra,3,FALSE),-1)=IFERROR(VLOOKUP($AD18,areaCercaPuntiClassificaSquadra,3,FALSE),-2)),SUMIFS(Dati!$F$2:$F$761,Dati!$A$2:$A$761,$H18,Dati!$H$2:$H$761,$AD18)+SUMIFS(Dati!$M$2:$M$761,Dati!$H$2:$H$761,$H18,Dati!$A$2:$A$761,$AD18),"-")</f>
        <v/>
      </c>
      <c r="DO18" s="22">
        <f>IF(AND($H18&lt;&gt;"",$AE18&lt;&gt;"",$H18&lt;&gt;$AE18,IFERROR(VLOOKUP($H18,areaCercaPuntiClassificaSquadra,3,FALSE),-1)=IFERROR(VLOOKUP($AE18,areaCercaPuntiClassificaSquadra,3,FALSE),-2)),SUMIFS(Dati!$F$2:$F$761,Dati!$A$2:$A$761,$H18,Dati!$H$2:$H$761,$AE18)+SUMIFS(Dati!$M$2:$M$761,Dati!$H$2:$H$761,$H18,Dati!$A$2:$A$761,$AE18),"-")</f>
        <v/>
      </c>
      <c r="DP18" s="22">
        <f>IF(AND($H18&lt;&gt;"",$AF18&lt;&gt;"",$H18&lt;&gt;$AF18,IFERROR(VLOOKUP($H18,areaCercaPuntiClassificaSquadra,3,FALSE),-1)=IFERROR(VLOOKUP($AF18,areaCercaPuntiClassificaSquadra,3,FALSE),-2)),SUMIFS(Dati!$F$2:$F$761,Dati!$A$2:$A$761,$H18,Dati!$H$2:$H$761,$AF18)+SUMIFS(Dati!$M$2:$M$761,Dati!$H$2:$H$761,$H18,Dati!$A$2:$A$761,$AF18),"-")</f>
        <v/>
      </c>
      <c r="DQ18" s="22">
        <f>IF(AND($H18&lt;&gt;"",$AG18&lt;&gt;"",$H18&lt;&gt;$AG18,IFERROR(VLOOKUP($H18,areaCercaPuntiClassificaSquadra,3,FALSE),-1)=IFERROR(VLOOKUP($AG18,areaCercaPuntiClassificaSquadra,3,FALSE),-2)),SUMIFS(Dati!$F$2:$F$761,Dati!$A$2:$A$761,$H18,Dati!$H$2:$H$761,$AG18)+SUMIFS(Dati!$M$2:$M$761,Dati!$H$2:$H$761,$H18,Dati!$A$2:$A$761,$AG18),"-")</f>
        <v/>
      </c>
      <c r="DR18" s="22">
        <f>IF(AND($H18&lt;&gt;"",$AH18&lt;&gt;"",$H18&lt;&gt;$AH18,IFERROR(VLOOKUP($H18,areaCercaPuntiClassificaSquadra,3,FALSE),-1)=IFERROR(VLOOKUP($AH18,areaCercaPuntiClassificaSquadra,3,FALSE),-2)),SUMIFS(Dati!$F$2:$F$761,Dati!$A$2:$A$761,$H18,Dati!$H$2:$H$761,$AH18)+SUMIFS(Dati!$M$2:$M$761,Dati!$H$2:$H$761,$H18,Dati!$A$2:$A$761,$AH18),"-")</f>
        <v/>
      </c>
      <c r="DS18" s="22">
        <f>IF(AND($H18&lt;&gt;"",$AI18&lt;&gt;"",$H18&lt;&gt;$AI18,IFERROR(VLOOKUP($H18,areaCercaPuntiClassificaSquadra,3,FALSE),-1)=IFERROR(VLOOKUP($AI18,areaCercaPuntiClassificaSquadra,3,FALSE),-2)),SUMIFS(Dati!$F$2:$F$761,Dati!$A$2:$A$761,$H18,Dati!$H$2:$H$761,$AI18)+SUMIFS(Dati!$M$2:$M$761,Dati!$H$2:$H$761,$H18,Dati!$A$2:$A$761,$AI18),"-")</f>
        <v/>
      </c>
      <c r="DT18" s="22">
        <f>IF(AND($H18&lt;&gt;"",$AJ18&lt;&gt;"",$H18&lt;&gt;$AJ18,IFERROR(VLOOKUP($H18,areaCercaPuntiClassificaSquadra,3,FALSE),-1)=IFERROR(VLOOKUP($AJ18,areaCercaPuntiClassificaSquadra,3,FALSE),-2)),SUMIFS(Dati!$F$2:$F$761,Dati!$A$2:$A$761,$H18,Dati!$H$2:$H$761,$AJ18)+SUMIFS(Dati!$M$2:$M$761,Dati!$H$2:$H$761,$H18,Dati!$A$2:$A$761,$AJ18),"-")</f>
        <v/>
      </c>
      <c r="DU18" s="22">
        <f>IF(AND($H18&lt;&gt;"",$AK18&lt;&gt;"",$H18&lt;&gt;$AK18,IFERROR(VLOOKUP($H18,areaCercaPuntiClassificaSquadra,3,FALSE),-1)=IFERROR(VLOOKUP($AK18,areaCercaPuntiClassificaSquadra,3,FALSE),-2)),SUMIFS(Dati!$F$2:$F$761,Dati!$A$2:$A$761,$H18,Dati!$H$2:$H$761,$AK18)+SUMIFS(Dati!$M$2:$M$761,Dati!$H$2:$H$761,$H18,Dati!$A$2:$A$761,$AK18),"-")</f>
        <v/>
      </c>
      <c r="DV18" s="22">
        <f>IF(AND($H18&lt;&gt;"",$AL18&lt;&gt;"",$H18&lt;&gt;$AL18,IFERROR(VLOOKUP($H18,areaCercaPuntiClassificaSquadra,3,FALSE),-1)=IFERROR(VLOOKUP($AL18,areaCercaPuntiClassificaSquadra,3,FALSE),-2)),SUMIFS(Dati!$F$2:$F$761,Dati!$A$2:$A$761,$H18,Dati!$H$2:$H$761,$AL18)+SUMIFS(Dati!$M$2:$M$761,Dati!$H$2:$H$761,$H18,Dati!$A$2:$A$761,$AL18),"-")</f>
        <v/>
      </c>
      <c r="DW18" s="22">
        <f>IF(AND($H18&lt;&gt;"",$AM18&lt;&gt;"",$H18&lt;&gt;$AM18,IFERROR(VLOOKUP($H18,areaCercaPuntiClassificaSquadra,3,FALSE),-1)=IFERROR(VLOOKUP($AM18,areaCercaPuntiClassificaSquadra,3,FALSE),-2)),SUMIFS(Dati!$F$2:$F$761,Dati!$A$2:$A$761,$H18,Dati!$H$2:$H$761,$AM18)+SUMIFS(Dati!$M$2:$M$761,Dati!$H$2:$H$761,$H18,Dati!$A$2:$A$761,$AM18),"-")</f>
        <v/>
      </c>
      <c r="DX18" s="22">
        <f>IF(AND($H18&lt;&gt;"",$AN18&lt;&gt;"",$H18&lt;&gt;$AN18,IFERROR(VLOOKUP($H18,areaCercaPuntiClassificaSquadra,3,FALSE),-1)=IFERROR(VLOOKUP($AN18,areaCercaPuntiClassificaSquadra,3,FALSE),-2)),SUMIFS(Dati!$F$2:$F$761,Dati!$A$2:$A$761,$H18,Dati!$H$2:$H$761,$AN18)+SUMIFS(Dati!$M$2:$M$761,Dati!$H$2:$H$761,$H18,Dati!$A$2:$A$761,$AN18),"-")</f>
        <v/>
      </c>
      <c r="DY18" s="22">
        <f>IF(AND($H18&lt;&gt;"",$AO18&lt;&gt;"",$H18&lt;&gt;$AO18,IFERROR(VLOOKUP($H18,areaCercaPuntiClassificaSquadra,3,FALSE),-1)=IFERROR(VLOOKUP($AO18,areaCercaPuntiClassificaSquadra,3,FALSE),-2)),SUMIFS(Dati!$F$2:$F$761,Dati!$A$2:$A$761,$H18,Dati!$H$2:$H$761,$AO18)+SUMIFS(Dati!$M$2:$M$761,Dati!$H$2:$H$761,$H18,Dati!$A$2:$A$761,$AO18),"-")</f>
        <v/>
      </c>
      <c r="DZ18" s="22">
        <f>IF(AND($H18&lt;&gt;"",$AP18&lt;&gt;"",$H18&lt;&gt;$AP18,IFERROR(VLOOKUP($H18,areaCercaPuntiClassificaSquadra,3,FALSE),-1)=IFERROR(VLOOKUP($AP18,areaCercaPuntiClassificaSquadra,3,FALSE),-2)),SUMIFS(Dati!$F$2:$F$761,Dati!$A$2:$A$761,$H18,Dati!$H$2:$H$761,$AP18)+SUMIFS(Dati!$M$2:$M$761,Dati!$H$2:$H$761,$H18,Dati!$A$2:$A$761,$AP18),"-")</f>
        <v/>
      </c>
      <c r="EA18" s="22">
        <f>IF(AND($H18&lt;&gt;"",$AQ18&lt;&gt;"",$H18&lt;&gt;$AQ18,IFERROR(VLOOKUP($H18,areaCercaPuntiClassificaSquadra,3,FALSE),-1)=IFERROR(VLOOKUP($AQ18,areaCercaPuntiClassificaSquadra,3,FALSE),-2)),SUMIFS(Dati!$F$2:$F$761,Dati!$A$2:$A$761,$H18,Dati!$H$2:$H$761,$AQ18)+SUMIFS(Dati!$M$2:$M$761,Dati!$H$2:$H$761,$H18,Dati!$A$2:$A$761,$AQ18),"-")</f>
        <v/>
      </c>
      <c r="EB18" s="22">
        <f>IF(AND($H18&lt;&gt;"",$AR18&lt;&gt;"",$H18&lt;&gt;$AR18,IFERROR(VLOOKUP($H18,areaCercaPuntiClassificaSquadra,3,FALSE),-1)=IFERROR(VLOOKUP($AR18,areaCercaPuntiClassificaSquadra,3,FALSE),-2)),SUMIFS(Dati!$F$2:$F$761,Dati!$A$2:$A$761,$H18,Dati!$H$2:$H$761,$AR18)+SUMIFS(Dati!$M$2:$M$761,Dati!$H$2:$H$761,$H18,Dati!$A$2:$A$761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inlineStr">
        <is>
          <t>Falchi Feroci-Falchiopoli FA</t>
        </is>
      </c>
      <c r="D19" s="14" t="n"/>
      <c r="E19" s="15" t="inlineStr">
        <is>
          <t>A</t>
        </is>
      </c>
      <c r="G19" s="16">
        <f>IF($C19="","",$E19&amp;(COUNTIFS(I$14:I$93,"&gt;"&amp;I19,E$14:E$93,"="&amp;E19,C$14:C$93,"&lt;&gt;")+COUNTIFS(I$14:I$93,"="&amp;I19,H$14:H$93,"&lt;="&amp;H19,E$14:E$93,"="&amp;E19,C$14:C$93,"&lt;&gt;")))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L19*constPuntiVittoria+M19*constPuntiSconfitta+N19*constPuntiForfait+IF(D19="",0,D19)</f>
        <v/>
      </c>
      <c r="K19" s="12">
        <f>SUM(L19:N19)</f>
        <v/>
      </c>
      <c r="L19" s="12">
        <f>IF($H19="",0,SUMIF(Dati!$A$2:$A$761,$H19,Dati!$B$2:$B$761)+SUMIF(Dati!$H$2:$H$761,$H19,Dati!$I$2:$I$761))</f>
        <v/>
      </c>
      <c r="M19" s="12">
        <f>IF($H19="",0,SUMIF(Dati!$A$2:$A$761,$H19,Dati!$D$2:$D$761)+SUMIF(Dati!$H$2:$H$761,$H19,Dati!$K$2:$K$761))</f>
        <v/>
      </c>
      <c r="N19" s="12">
        <f>IF($H19="",0,SUMIF(Dati!$A$2:$A$761,$H19,Dati!$C$2:$C$761)+SUMIF(Dati!$H$2:$H$761,$H19,Dati!$J$2:$J$761))</f>
        <v/>
      </c>
      <c r="O19" s="12">
        <f>IF($H19="",0,SUMIF(Dati!$A$2:$A$761,$H19,Dati!$E$2:$E$761)+SUMIF(Dati!$H$2:$H$761,$H19,Dati!$L$2:$L$761))</f>
        <v/>
      </c>
      <c r="P19" s="12">
        <f>IF($H19="",0,SUMIF(Dati!$A$2:$A$761,$H19,Dati!$F$2:$F$761)+SUMIF(Dati!$H$2:$H$761,$H19,Dati!$M$2:$M$761))</f>
        <v/>
      </c>
      <c r="Q19" s="12">
        <f>IF($H19="",0,SUMIF(Dati!$A$2:$A$761,$H19,Dati!$G$2:$G$761)+SUMIF(Dati!$H$2:$H$761,$H19,Dati!$N$2:$N$761))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IF(COUNTIFS($E$14:$E$93,$E19,$J$14:$J$93,$J19,$C$14:$C$93,"&lt;&gt;")&lt;=1,"-",SUM(AU19:BN19)&amp;"-"&amp;SUM(BQ19:CJ19))</f>
        <v/>
      </c>
      <c r="V19" s="18">
        <f>IF(COUNTIFS($E$14:$E$93,$E19,$J$14:$J$93,$J19,$C$14:$C$93,"&lt;&gt;",$ED$14:$ED$93,$ED19)&lt;=1,"-",IF(SUM(DI19:EB19)=0,0,ROUND(SUM(CM19:DF19)/SUM(DI19:EB19),3)))</f>
        <v/>
      </c>
      <c r="W19" s="18">
        <f>IF(COUNTIFS($E$14:$E$93,$E19,$J$14:$J$93,$J19,$C$14:$C$93,"&lt;&gt;",$ED$14:$ED$93,$ED19,$V$14:$V$93,$V19)&lt;=1,"-",IF(P19=0,0,ROUND(O19/P19,3)))</f>
        <v/>
      </c>
      <c r="X19" s="19">
        <f>IF($C19="","",$E19&amp;"#"&amp;COUNTIFS($E$14:$E19,$E19,$C$14:$C19,"&lt;&gt;"))</f>
        <v/>
      </c>
      <c r="Y19" s="20">
        <f>IFERROR(INDEX($H$14:$H$93,MATCH($E19&amp;"#1",$X$14:$X$93,0)),"")</f>
        <v/>
      </c>
      <c r="Z19" s="20">
        <f>IFERROR(INDEX($H$14:$H$93,MATCH($E19&amp;"#2",$X$14:$X$93,0)),"")</f>
        <v/>
      </c>
      <c r="AA19" s="20">
        <f>IFERROR(INDEX($H$14:$H$93,MATCH($E19&amp;"#3",$X$14:$X$93,0)),"")</f>
        <v/>
      </c>
      <c r="AB19" s="20">
        <f>IFERROR(INDEX($H$14:$H$93,MATCH($E19&amp;"#4",$X$14:$X$93,0)),"")</f>
        <v/>
      </c>
      <c r="AC19" s="20">
        <f>IFERROR(INDEX($H$14:$H$93,MATCH($E19&amp;"#5",$X$14:$X$93,0)),"")</f>
        <v/>
      </c>
      <c r="AD19" s="20">
        <f>IFERROR(INDEX($H$14:$H$93,MATCH($E19&amp;"#6",$X$14:$X$93,0)),"")</f>
        <v/>
      </c>
      <c r="AE19" s="20">
        <f>IFERROR(INDEX($H$14:$H$93,MATCH($E19&amp;"#7",$X$14:$X$93,0)),"")</f>
        <v/>
      </c>
      <c r="AF19" s="20">
        <f>IFERROR(INDEX($H$14:$H$93,MATCH($E19&amp;"#8",$X$14:$X$93,0)),"")</f>
        <v/>
      </c>
      <c r="AG19" s="20">
        <f>IFERROR(INDEX($H$14:$H$93,MATCH($E19&amp;"#9",$X$14:$X$93,0)),"")</f>
        <v/>
      </c>
      <c r="AH19" s="20">
        <f>IFERROR(INDEX($H$14:$H$93,MATCH($E19&amp;"#10",$X$14:$X$93,0)),"")</f>
        <v/>
      </c>
      <c r="AI19" s="20">
        <f>IFERROR(INDEX($H$14:$H$93,MATCH($E19&amp;"#11",$X$14:$X$93,0)),"")</f>
        <v/>
      </c>
      <c r="AJ19" s="20">
        <f>IFERROR(INDEX($H$14:$H$93,MATCH($E19&amp;"#12",$X$14:$X$93,0)),"")</f>
        <v/>
      </c>
      <c r="AK19" s="20">
        <f>IFERROR(INDEX($H$14:$H$93,MATCH($E19&amp;"#13",$X$14:$X$93,0)),"")</f>
        <v/>
      </c>
      <c r="AL19" s="20">
        <f>IFERROR(INDEX($H$14:$H$93,MATCH($E19&amp;"#14",$X$14:$X$93,0)),"")</f>
        <v/>
      </c>
      <c r="AM19" s="20">
        <f>IFERROR(INDEX($H$14:$H$93,MATCH($E19&amp;"#15",$X$14:$X$93,0)),"")</f>
        <v/>
      </c>
      <c r="AN19" s="20">
        <f>IFERROR(INDEX($H$14:$H$93,MATCH($E19&amp;"#16",$X$14:$X$93,0)),"")</f>
        <v/>
      </c>
      <c r="AO19" s="20">
        <f>IFERROR(INDEX($H$14:$H$93,MATCH($E19&amp;"#17",$X$14:$X$93,0)),"")</f>
        <v/>
      </c>
      <c r="AP19" s="20">
        <f>IFERROR(INDEX($H$14:$H$93,MATCH($E19&amp;"#18",$X$14:$X$93,0)),"")</f>
        <v/>
      </c>
      <c r="AQ19" s="20">
        <f>IFERROR(INDEX($H$14:$H$93,MATCH($E19&amp;"#19",$X$14:$X$93,0)),"")</f>
        <v/>
      </c>
      <c r="AR19" s="20">
        <f>IFERROR(INDEX($H$14:$H$93,MATCH($E19&amp;"#20",$X$14:$X$93,0)),"")</f>
        <v/>
      </c>
      <c r="AT19" s="21">
        <f>$C19</f>
        <v/>
      </c>
      <c r="AU19" s="22">
        <f>IF(AND($H19&lt;&gt;"",$Y19&lt;&gt;"",$H19&lt;&gt;$Y19,IFERROR(VLOOKUP($H19,areaCercaPuntiClassificaSquadra,3,FALSE),-1)=IFERROR(VLOOKUP($Y19,areaCercaPuntiClassificaSquadra,3,FALSE),-2)),SUMIFS(Dati!$B$2:$B$761,Dati!$A$2:$A$761,$H19,Dati!$H$2:$H$761,$Y19)+SUMIFS(Dati!$I$2:$I$761,Dati!$H$2:$H$761,$H19,Dati!$A$2:$A$761,$Y19),"-")</f>
        <v/>
      </c>
      <c r="AV19" s="22">
        <f>IF(AND($H19&lt;&gt;"",$Z19&lt;&gt;"",$H19&lt;&gt;$Z19,IFERROR(VLOOKUP($H19,areaCercaPuntiClassificaSquadra,3,FALSE),-1)=IFERROR(VLOOKUP($Z19,areaCercaPuntiClassificaSquadra,3,FALSE),-2)),SUMIFS(Dati!$B$2:$B$761,Dati!$A$2:$A$761,$H19,Dati!$H$2:$H$761,$Z19)+SUMIFS(Dati!$I$2:$I$761,Dati!$H$2:$H$761,$H19,Dati!$A$2:$A$761,$Z19),"-")</f>
        <v/>
      </c>
      <c r="AW19" s="22">
        <f>IF(AND($H19&lt;&gt;"",$AA19&lt;&gt;"",$H19&lt;&gt;$AA19,IFERROR(VLOOKUP($H19,areaCercaPuntiClassificaSquadra,3,FALSE),-1)=IFERROR(VLOOKUP($AA19,areaCercaPuntiClassificaSquadra,3,FALSE),-2)),SUMIFS(Dati!$B$2:$B$761,Dati!$A$2:$A$761,$H19,Dati!$H$2:$H$761,$AA19)+SUMIFS(Dati!$I$2:$I$761,Dati!$H$2:$H$761,$H19,Dati!$A$2:$A$761,$AA19),"-")</f>
        <v/>
      </c>
      <c r="AX19" s="22">
        <f>IF(AND($H19&lt;&gt;"",$AB19&lt;&gt;"",$H19&lt;&gt;$AB19,IFERROR(VLOOKUP($H19,areaCercaPuntiClassificaSquadra,3,FALSE),-1)=IFERROR(VLOOKUP($AB19,areaCercaPuntiClassificaSquadra,3,FALSE),-2)),SUMIFS(Dati!$B$2:$B$761,Dati!$A$2:$A$761,$H19,Dati!$H$2:$H$761,$AB19)+SUMIFS(Dati!$I$2:$I$761,Dati!$H$2:$H$761,$H19,Dati!$A$2:$A$761,$AB19),"-")</f>
        <v/>
      </c>
      <c r="AY19" s="22">
        <f>IF(AND($H19&lt;&gt;"",$AC19&lt;&gt;"",$H19&lt;&gt;$AC19,IFERROR(VLOOKUP($H19,areaCercaPuntiClassificaSquadra,3,FALSE),-1)=IFERROR(VLOOKUP($AC19,areaCercaPuntiClassificaSquadra,3,FALSE),-2)),SUMIFS(Dati!$B$2:$B$761,Dati!$A$2:$A$761,$H19,Dati!$H$2:$H$761,$AC19)+SUMIFS(Dati!$I$2:$I$761,Dati!$H$2:$H$761,$H19,Dati!$A$2:$A$761,$AC19),"-")</f>
        <v/>
      </c>
      <c r="AZ19" s="22">
        <f>IF(AND($H19&lt;&gt;"",$AD19&lt;&gt;"",$H19&lt;&gt;$AD19,IFERROR(VLOOKUP($H19,areaCercaPuntiClassificaSquadra,3,FALSE),-1)=IFERROR(VLOOKUP($AD19,areaCercaPuntiClassificaSquadra,3,FALSE),-2)),SUMIFS(Dati!$B$2:$B$761,Dati!$A$2:$A$761,$H19,Dati!$H$2:$H$761,$AD19)+SUMIFS(Dati!$I$2:$I$761,Dati!$H$2:$H$761,$H19,Dati!$A$2:$A$761,$AD19),"-")</f>
        <v/>
      </c>
      <c r="BA19" s="22">
        <f>IF(AND($H19&lt;&gt;"",$AE19&lt;&gt;"",$H19&lt;&gt;$AE19,IFERROR(VLOOKUP($H19,areaCercaPuntiClassificaSquadra,3,FALSE),-1)=IFERROR(VLOOKUP($AE19,areaCercaPuntiClassificaSquadra,3,FALSE),-2)),SUMIFS(Dati!$B$2:$B$761,Dati!$A$2:$A$761,$H19,Dati!$H$2:$H$761,$AE19)+SUMIFS(Dati!$I$2:$I$761,Dati!$H$2:$H$761,$H19,Dati!$A$2:$A$761,$AE19),"-")</f>
        <v/>
      </c>
      <c r="BB19" s="22">
        <f>IF(AND($H19&lt;&gt;"",$AF19&lt;&gt;"",$H19&lt;&gt;$AF19,IFERROR(VLOOKUP($H19,areaCercaPuntiClassificaSquadra,3,FALSE),-1)=IFERROR(VLOOKUP($AF19,areaCercaPuntiClassificaSquadra,3,FALSE),-2)),SUMIFS(Dati!$B$2:$B$761,Dati!$A$2:$A$761,$H19,Dati!$H$2:$H$761,$AF19)+SUMIFS(Dati!$I$2:$I$761,Dati!$H$2:$H$761,$H19,Dati!$A$2:$A$761,$AF19),"-")</f>
        <v/>
      </c>
      <c r="BC19" s="22">
        <f>IF(AND($H19&lt;&gt;"",$AG19&lt;&gt;"",$H19&lt;&gt;$AG19,IFERROR(VLOOKUP($H19,areaCercaPuntiClassificaSquadra,3,FALSE),-1)=IFERROR(VLOOKUP($AG19,areaCercaPuntiClassificaSquadra,3,FALSE),-2)),SUMIFS(Dati!$B$2:$B$761,Dati!$A$2:$A$761,$H19,Dati!$H$2:$H$761,$AG19)+SUMIFS(Dati!$I$2:$I$761,Dati!$H$2:$H$761,$H19,Dati!$A$2:$A$761,$AG19),"-")</f>
        <v/>
      </c>
      <c r="BD19" s="22">
        <f>IF(AND($H19&lt;&gt;"",$AH19&lt;&gt;"",$H19&lt;&gt;$AH19,IFERROR(VLOOKUP($H19,areaCercaPuntiClassificaSquadra,3,FALSE),-1)=IFERROR(VLOOKUP($AH19,areaCercaPuntiClassificaSquadra,3,FALSE),-2)),SUMIFS(Dati!$B$2:$B$761,Dati!$A$2:$A$761,$H19,Dati!$H$2:$H$761,$AH19)+SUMIFS(Dati!$I$2:$I$761,Dati!$H$2:$H$761,$H19,Dati!$A$2:$A$761,$AH19),"-")</f>
        <v/>
      </c>
      <c r="BE19" s="22">
        <f>IF(AND($H19&lt;&gt;"",$AI19&lt;&gt;"",$H19&lt;&gt;$AI19,IFERROR(VLOOKUP($H19,areaCercaPuntiClassificaSquadra,3,FALSE),-1)=IFERROR(VLOOKUP($AI19,areaCercaPuntiClassificaSquadra,3,FALSE),-2)),SUMIFS(Dati!$B$2:$B$761,Dati!$A$2:$A$761,$H19,Dati!$H$2:$H$761,$AI19)+SUMIFS(Dati!$I$2:$I$761,Dati!$H$2:$H$761,$H19,Dati!$A$2:$A$761,$AI19),"-")</f>
        <v/>
      </c>
      <c r="BF19" s="22">
        <f>IF(AND($H19&lt;&gt;"",$AJ19&lt;&gt;"",$H19&lt;&gt;$AJ19,IFERROR(VLOOKUP($H19,areaCercaPuntiClassificaSquadra,3,FALSE),-1)=IFERROR(VLOOKUP($AJ19,areaCercaPuntiClassificaSquadra,3,FALSE),-2)),SUMIFS(Dati!$B$2:$B$761,Dati!$A$2:$A$761,$H19,Dati!$H$2:$H$761,$AJ19)+SUMIFS(Dati!$I$2:$I$761,Dati!$H$2:$H$761,$H19,Dati!$A$2:$A$761,$AJ19),"-")</f>
        <v/>
      </c>
      <c r="BG19" s="22">
        <f>IF(AND($H19&lt;&gt;"",$AK19&lt;&gt;"",$H19&lt;&gt;$AK19,IFERROR(VLOOKUP($H19,areaCercaPuntiClassificaSquadra,3,FALSE),-1)=IFERROR(VLOOKUP($AK19,areaCercaPuntiClassificaSquadra,3,FALSE),-2)),SUMIFS(Dati!$B$2:$B$761,Dati!$A$2:$A$761,$H19,Dati!$H$2:$H$761,$AK19)+SUMIFS(Dati!$I$2:$I$761,Dati!$H$2:$H$761,$H19,Dati!$A$2:$A$761,$AK19),"-")</f>
        <v/>
      </c>
      <c r="BH19" s="22">
        <f>IF(AND($H19&lt;&gt;"",$AL19&lt;&gt;"",$H19&lt;&gt;$AL19,IFERROR(VLOOKUP($H19,areaCercaPuntiClassificaSquadra,3,FALSE),-1)=IFERROR(VLOOKUP($AL19,areaCercaPuntiClassificaSquadra,3,FALSE),-2)),SUMIFS(Dati!$B$2:$B$761,Dati!$A$2:$A$761,$H19,Dati!$H$2:$H$761,$AL19)+SUMIFS(Dati!$I$2:$I$761,Dati!$H$2:$H$761,$H19,Dati!$A$2:$A$761,$AL19),"-")</f>
        <v/>
      </c>
      <c r="BI19" s="22">
        <f>IF(AND($H19&lt;&gt;"",$AM19&lt;&gt;"",$H19&lt;&gt;$AM19,IFERROR(VLOOKUP($H19,areaCercaPuntiClassificaSquadra,3,FALSE),-1)=IFERROR(VLOOKUP($AM19,areaCercaPuntiClassificaSquadra,3,FALSE),-2)),SUMIFS(Dati!$B$2:$B$761,Dati!$A$2:$A$761,$H19,Dati!$H$2:$H$761,$AM19)+SUMIFS(Dati!$I$2:$I$761,Dati!$H$2:$H$761,$H19,Dati!$A$2:$A$761,$AM19),"-")</f>
        <v/>
      </c>
      <c r="BJ19" s="22">
        <f>IF(AND($H19&lt;&gt;"",$AN19&lt;&gt;"",$H19&lt;&gt;$AN19,IFERROR(VLOOKUP($H19,areaCercaPuntiClassificaSquadra,3,FALSE),-1)=IFERROR(VLOOKUP($AN19,areaCercaPuntiClassificaSquadra,3,FALSE),-2)),SUMIFS(Dati!$B$2:$B$761,Dati!$A$2:$A$761,$H19,Dati!$H$2:$H$761,$AN19)+SUMIFS(Dati!$I$2:$I$761,Dati!$H$2:$H$761,$H19,Dati!$A$2:$A$761,$AN19),"-")</f>
        <v/>
      </c>
      <c r="BK19" s="22">
        <f>IF(AND($H19&lt;&gt;"",$AO19&lt;&gt;"",$H19&lt;&gt;$AO19,IFERROR(VLOOKUP($H19,areaCercaPuntiClassificaSquadra,3,FALSE),-1)=IFERROR(VLOOKUP($AO19,areaCercaPuntiClassificaSquadra,3,FALSE),-2)),SUMIFS(Dati!$B$2:$B$761,Dati!$A$2:$A$761,$H19,Dati!$H$2:$H$761,$AO19)+SUMIFS(Dati!$I$2:$I$761,Dati!$H$2:$H$761,$H19,Dati!$A$2:$A$761,$AO19),"-")</f>
        <v/>
      </c>
      <c r="BL19" s="22">
        <f>IF(AND($H19&lt;&gt;"",$AP19&lt;&gt;"",$H19&lt;&gt;$AP19,IFERROR(VLOOKUP($H19,areaCercaPuntiClassificaSquadra,3,FALSE),-1)=IFERROR(VLOOKUP($AP19,areaCercaPuntiClassificaSquadra,3,FALSE),-2)),SUMIFS(Dati!$B$2:$B$761,Dati!$A$2:$A$761,$H19,Dati!$H$2:$H$761,$AP19)+SUMIFS(Dati!$I$2:$I$761,Dati!$H$2:$H$761,$H19,Dati!$A$2:$A$761,$AP19),"-")</f>
        <v/>
      </c>
      <c r="BM19" s="22">
        <f>IF(AND($H19&lt;&gt;"",$AQ19&lt;&gt;"",$H19&lt;&gt;$AQ19,IFERROR(VLOOKUP($H19,areaCercaPuntiClassificaSquadra,3,FALSE),-1)=IFERROR(VLOOKUP($AQ19,areaCercaPuntiClassificaSquadra,3,FALSE),-2)),SUMIFS(Dati!$B$2:$B$761,Dati!$A$2:$A$761,$H19,Dati!$H$2:$H$761,$AQ19)+SUMIFS(Dati!$I$2:$I$761,Dati!$H$2:$H$761,$H19,Dati!$A$2:$A$761,$AQ19),"-")</f>
        <v/>
      </c>
      <c r="BN19" s="22">
        <f>IF(AND($H19&lt;&gt;"",$AR19&lt;&gt;"",$H19&lt;&gt;$AR19,IFERROR(VLOOKUP($H19,areaCercaPuntiClassificaSquadra,3,FALSE),-1)=IFERROR(VLOOKUP($AR19,areaCercaPuntiClassificaSquadra,3,FALSE),-2)),SUMIFS(Dati!$B$2:$B$761,Dati!$A$2:$A$761,$H19,Dati!$H$2:$H$761,$AR19)+SUMIFS(Dati!$I$2:$I$761,Dati!$H$2:$H$761,$H19,Dati!$A$2:$A$761,$AR19),"-")</f>
        <v/>
      </c>
      <c r="BP19" s="21">
        <f>$C19</f>
        <v/>
      </c>
      <c r="BQ19" s="22">
        <f>IF(AND($H19&lt;&gt;"",$Y19&lt;&gt;"",$H19&lt;&gt;$Y19,IFERROR(VLOOKUP($H19,areaCercaPuntiClassificaSquadra,3,FALSE),-1)=IFERROR(VLOOKUP($Y19,areaCercaPuntiClassificaSquadra,3,FALSE),-2)),SUMIFS(Dati!$D$2:$D$761,Dati!$A$2:$A$761,$H19,Dati!$H$2:$H$761,$Y19)+SUMIFS(Dati!$K$2:$K$761,Dati!$H$2:$H$761,$H19,Dati!$A$2:$A$761,$Y19)+SUMIFS(Dati!$C$2:$C$761,Dati!$A$2:$A$761,$H19,Dati!$H$2:$H$761,$Y19)+SUMIFS(Dati!$J$2:$J$761,Dati!$H$2:$H$761,$H19,Dati!$A$2:$A$761,$Y19),"-")</f>
        <v/>
      </c>
      <c r="BR19" s="22">
        <f>IF(AND($H19&lt;&gt;"",$Z19&lt;&gt;"",$H19&lt;&gt;$Z19,IFERROR(VLOOKUP($H19,areaCercaPuntiClassificaSquadra,3,FALSE),-1)=IFERROR(VLOOKUP($Z19,areaCercaPuntiClassificaSquadra,3,FALSE),-2)),SUMIFS(Dati!$D$2:$D$761,Dati!$A$2:$A$761,$H19,Dati!$H$2:$H$761,$Z19)+SUMIFS(Dati!$K$2:$K$761,Dati!$H$2:$H$761,$H19,Dati!$A$2:$A$761,$Z19)+SUMIFS(Dati!$C$2:$C$761,Dati!$A$2:$A$761,$H19,Dati!$H$2:$H$761,$Z19)+SUMIFS(Dati!$J$2:$J$761,Dati!$H$2:$H$761,$H19,Dati!$A$2:$A$761,$Z19),"-")</f>
        <v/>
      </c>
      <c r="BS19" s="22">
        <f>IF(AND($H19&lt;&gt;"",$AA19&lt;&gt;"",$H19&lt;&gt;$AA19,IFERROR(VLOOKUP($H19,areaCercaPuntiClassificaSquadra,3,FALSE),-1)=IFERROR(VLOOKUP($AA19,areaCercaPuntiClassificaSquadra,3,FALSE),-2)),SUMIFS(Dati!$D$2:$D$761,Dati!$A$2:$A$761,$H19,Dati!$H$2:$H$761,$AA19)+SUMIFS(Dati!$K$2:$K$761,Dati!$H$2:$H$761,$H19,Dati!$A$2:$A$761,$AA19)+SUMIFS(Dati!$C$2:$C$761,Dati!$A$2:$A$761,$H19,Dati!$H$2:$H$761,$AA19)+SUMIFS(Dati!$J$2:$J$761,Dati!$H$2:$H$761,$H19,Dati!$A$2:$A$761,$AA19),"-")</f>
        <v/>
      </c>
      <c r="BT19" s="22">
        <f>IF(AND($H19&lt;&gt;"",$AB19&lt;&gt;"",$H19&lt;&gt;$AB19,IFERROR(VLOOKUP($H19,areaCercaPuntiClassificaSquadra,3,FALSE),-1)=IFERROR(VLOOKUP($AB19,areaCercaPuntiClassificaSquadra,3,FALSE),-2)),SUMIFS(Dati!$D$2:$D$761,Dati!$A$2:$A$761,$H19,Dati!$H$2:$H$761,$AB19)+SUMIFS(Dati!$K$2:$K$761,Dati!$H$2:$H$761,$H19,Dati!$A$2:$A$761,$AB19)+SUMIFS(Dati!$C$2:$C$761,Dati!$A$2:$A$761,$H19,Dati!$H$2:$H$761,$AB19)+SUMIFS(Dati!$J$2:$J$761,Dati!$H$2:$H$761,$H19,Dati!$A$2:$A$761,$AB19),"-")</f>
        <v/>
      </c>
      <c r="BU19" s="22">
        <f>IF(AND($H19&lt;&gt;"",$AC19&lt;&gt;"",$H19&lt;&gt;$AC19,IFERROR(VLOOKUP($H19,areaCercaPuntiClassificaSquadra,3,FALSE),-1)=IFERROR(VLOOKUP($AC19,areaCercaPuntiClassificaSquadra,3,FALSE),-2)),SUMIFS(Dati!$D$2:$D$761,Dati!$A$2:$A$761,$H19,Dati!$H$2:$H$761,$AC19)+SUMIFS(Dati!$K$2:$K$761,Dati!$H$2:$H$761,$H19,Dati!$A$2:$A$761,$AC19)+SUMIFS(Dati!$C$2:$C$761,Dati!$A$2:$A$761,$H19,Dati!$H$2:$H$761,$AC19)+SUMIFS(Dati!$J$2:$J$761,Dati!$H$2:$H$761,$H19,Dati!$A$2:$A$761,$AC19),"-")</f>
        <v/>
      </c>
      <c r="BV19" s="22">
        <f>IF(AND($H19&lt;&gt;"",$AD19&lt;&gt;"",$H19&lt;&gt;$AD19,IFERROR(VLOOKUP($H19,areaCercaPuntiClassificaSquadra,3,FALSE),-1)=IFERROR(VLOOKUP($AD19,areaCercaPuntiClassificaSquadra,3,FALSE),-2)),SUMIFS(Dati!$D$2:$D$761,Dati!$A$2:$A$761,$H19,Dati!$H$2:$H$761,$AD19)+SUMIFS(Dati!$K$2:$K$761,Dati!$H$2:$H$761,$H19,Dati!$A$2:$A$761,$AD19)+SUMIFS(Dati!$C$2:$C$761,Dati!$A$2:$A$761,$H19,Dati!$H$2:$H$761,$AD19)+SUMIFS(Dati!$J$2:$J$761,Dati!$H$2:$H$761,$H19,Dati!$A$2:$A$761,$AD19),"-")</f>
        <v/>
      </c>
      <c r="BW19" s="22">
        <f>IF(AND($H19&lt;&gt;"",$AE19&lt;&gt;"",$H19&lt;&gt;$AE19,IFERROR(VLOOKUP($H19,areaCercaPuntiClassificaSquadra,3,FALSE),-1)=IFERROR(VLOOKUP($AE19,areaCercaPuntiClassificaSquadra,3,FALSE),-2)),SUMIFS(Dati!$D$2:$D$761,Dati!$A$2:$A$761,$H19,Dati!$H$2:$H$761,$AE19)+SUMIFS(Dati!$K$2:$K$761,Dati!$H$2:$H$761,$H19,Dati!$A$2:$A$761,$AE19)+SUMIFS(Dati!$C$2:$C$761,Dati!$A$2:$A$761,$H19,Dati!$H$2:$H$761,$AE19)+SUMIFS(Dati!$J$2:$J$761,Dati!$H$2:$H$761,$H19,Dati!$A$2:$A$761,$AE19),"-")</f>
        <v/>
      </c>
      <c r="BX19" s="22">
        <f>IF(AND($H19&lt;&gt;"",$AF19&lt;&gt;"",$H19&lt;&gt;$AF19,IFERROR(VLOOKUP($H19,areaCercaPuntiClassificaSquadra,3,FALSE),-1)=IFERROR(VLOOKUP($AF19,areaCercaPuntiClassificaSquadra,3,FALSE),-2)),SUMIFS(Dati!$D$2:$D$761,Dati!$A$2:$A$761,$H19,Dati!$H$2:$H$761,$AF19)+SUMIFS(Dati!$K$2:$K$761,Dati!$H$2:$H$761,$H19,Dati!$A$2:$A$761,$AF19)+SUMIFS(Dati!$C$2:$C$761,Dati!$A$2:$A$761,$H19,Dati!$H$2:$H$761,$AF19)+SUMIFS(Dati!$J$2:$J$761,Dati!$H$2:$H$761,$H19,Dati!$A$2:$A$761,$AF19),"-")</f>
        <v/>
      </c>
      <c r="BY19" s="22">
        <f>IF(AND($H19&lt;&gt;"",$AG19&lt;&gt;"",$H19&lt;&gt;$AG19,IFERROR(VLOOKUP($H19,areaCercaPuntiClassificaSquadra,3,FALSE),-1)=IFERROR(VLOOKUP($AG19,areaCercaPuntiClassificaSquadra,3,FALSE),-2)),SUMIFS(Dati!$D$2:$D$761,Dati!$A$2:$A$761,$H19,Dati!$H$2:$H$761,$AG19)+SUMIFS(Dati!$K$2:$K$761,Dati!$H$2:$H$761,$H19,Dati!$A$2:$A$761,$AG19)+SUMIFS(Dati!$C$2:$C$761,Dati!$A$2:$A$761,$H19,Dati!$H$2:$H$761,$AG19)+SUMIFS(Dati!$J$2:$J$761,Dati!$H$2:$H$761,$H19,Dati!$A$2:$A$761,$AG19),"-")</f>
        <v/>
      </c>
      <c r="BZ19" s="22">
        <f>IF(AND($H19&lt;&gt;"",$AH19&lt;&gt;"",$H19&lt;&gt;$AH19,IFERROR(VLOOKUP($H19,areaCercaPuntiClassificaSquadra,3,FALSE),-1)=IFERROR(VLOOKUP($AH19,areaCercaPuntiClassificaSquadra,3,FALSE),-2)),SUMIFS(Dati!$D$2:$D$761,Dati!$A$2:$A$761,$H19,Dati!$H$2:$H$761,$AH19)+SUMIFS(Dati!$K$2:$K$761,Dati!$H$2:$H$761,$H19,Dati!$A$2:$A$761,$AH19)+SUMIFS(Dati!$C$2:$C$761,Dati!$A$2:$A$761,$H19,Dati!$H$2:$H$761,$AH19)+SUMIFS(Dati!$J$2:$J$761,Dati!$H$2:$H$761,$H19,Dati!$A$2:$A$761,$AH19),"-")</f>
        <v/>
      </c>
      <c r="CA19" s="22">
        <f>IF(AND($H19&lt;&gt;"",$AI19&lt;&gt;"",$H19&lt;&gt;$AI19,IFERROR(VLOOKUP($H19,areaCercaPuntiClassificaSquadra,3,FALSE),-1)=IFERROR(VLOOKUP($AI19,areaCercaPuntiClassificaSquadra,3,FALSE),-2)),SUMIFS(Dati!$D$2:$D$761,Dati!$A$2:$A$761,$H19,Dati!$H$2:$H$761,$AI19)+SUMIFS(Dati!$K$2:$K$761,Dati!$H$2:$H$761,$H19,Dati!$A$2:$A$761,$AI19)+SUMIFS(Dati!$C$2:$C$761,Dati!$A$2:$A$761,$H19,Dati!$H$2:$H$761,$AI19)+SUMIFS(Dati!$J$2:$J$761,Dati!$H$2:$H$761,$H19,Dati!$A$2:$A$761,$AI19),"-")</f>
        <v/>
      </c>
      <c r="CB19" s="22">
        <f>IF(AND($H19&lt;&gt;"",$AJ19&lt;&gt;"",$H19&lt;&gt;$AJ19,IFERROR(VLOOKUP($H19,areaCercaPuntiClassificaSquadra,3,FALSE),-1)=IFERROR(VLOOKUP($AJ19,areaCercaPuntiClassificaSquadra,3,FALSE),-2)),SUMIFS(Dati!$D$2:$D$761,Dati!$A$2:$A$761,$H19,Dati!$H$2:$H$761,$AJ19)+SUMIFS(Dati!$K$2:$K$761,Dati!$H$2:$H$761,$H19,Dati!$A$2:$A$761,$AJ19)+SUMIFS(Dati!$C$2:$C$761,Dati!$A$2:$A$761,$H19,Dati!$H$2:$H$761,$AJ19)+SUMIFS(Dati!$J$2:$J$761,Dati!$H$2:$H$761,$H19,Dati!$A$2:$A$761,$AJ19),"-")</f>
        <v/>
      </c>
      <c r="CC19" s="22">
        <f>IF(AND($H19&lt;&gt;"",$AK19&lt;&gt;"",$H19&lt;&gt;$AK19,IFERROR(VLOOKUP($H19,areaCercaPuntiClassificaSquadra,3,FALSE),-1)=IFERROR(VLOOKUP($AK19,areaCercaPuntiClassificaSquadra,3,FALSE),-2)),SUMIFS(Dati!$D$2:$D$761,Dati!$A$2:$A$761,$H19,Dati!$H$2:$H$761,$AK19)+SUMIFS(Dati!$K$2:$K$761,Dati!$H$2:$H$761,$H19,Dati!$A$2:$A$761,$AK19)+SUMIFS(Dati!$C$2:$C$761,Dati!$A$2:$A$761,$H19,Dati!$H$2:$H$761,$AK19)+SUMIFS(Dati!$J$2:$J$761,Dati!$H$2:$H$761,$H19,Dati!$A$2:$A$761,$AK19),"-")</f>
        <v/>
      </c>
      <c r="CD19" s="22">
        <f>IF(AND($H19&lt;&gt;"",$AL19&lt;&gt;"",$H19&lt;&gt;$AL19,IFERROR(VLOOKUP($H19,areaCercaPuntiClassificaSquadra,3,FALSE),-1)=IFERROR(VLOOKUP($AL19,areaCercaPuntiClassificaSquadra,3,FALSE),-2)),SUMIFS(Dati!$D$2:$D$761,Dati!$A$2:$A$761,$H19,Dati!$H$2:$H$761,$AL19)+SUMIFS(Dati!$K$2:$K$761,Dati!$H$2:$H$761,$H19,Dati!$A$2:$A$761,$AL19)+SUMIFS(Dati!$C$2:$C$761,Dati!$A$2:$A$761,$H19,Dati!$H$2:$H$761,$AL19)+SUMIFS(Dati!$J$2:$J$761,Dati!$H$2:$H$761,$H19,Dati!$A$2:$A$761,$AL19),"-")</f>
        <v/>
      </c>
      <c r="CE19" s="22">
        <f>IF(AND($H19&lt;&gt;"",$AM19&lt;&gt;"",$H19&lt;&gt;$AM19,IFERROR(VLOOKUP($H19,areaCercaPuntiClassificaSquadra,3,FALSE),-1)=IFERROR(VLOOKUP($AM19,areaCercaPuntiClassificaSquadra,3,FALSE),-2)),SUMIFS(Dati!$D$2:$D$761,Dati!$A$2:$A$761,$H19,Dati!$H$2:$H$761,$AM19)+SUMIFS(Dati!$K$2:$K$761,Dati!$H$2:$H$761,$H19,Dati!$A$2:$A$761,$AM19)+SUMIFS(Dati!$C$2:$C$761,Dati!$A$2:$A$761,$H19,Dati!$H$2:$H$761,$AM19)+SUMIFS(Dati!$J$2:$J$761,Dati!$H$2:$H$761,$H19,Dati!$A$2:$A$761,$AM19),"-")</f>
        <v/>
      </c>
      <c r="CF19" s="22">
        <f>IF(AND($H19&lt;&gt;"",$AN19&lt;&gt;"",$H19&lt;&gt;$AN19,IFERROR(VLOOKUP($H19,areaCercaPuntiClassificaSquadra,3,FALSE),-1)=IFERROR(VLOOKUP($AN19,areaCercaPuntiClassificaSquadra,3,FALSE),-2)),SUMIFS(Dati!$D$2:$D$761,Dati!$A$2:$A$761,$H19,Dati!$H$2:$H$761,$AN19)+SUMIFS(Dati!$K$2:$K$761,Dati!$H$2:$H$761,$H19,Dati!$A$2:$A$761,$AN19)+SUMIFS(Dati!$C$2:$C$761,Dati!$A$2:$A$761,$H19,Dati!$H$2:$H$761,$AN19)+SUMIFS(Dati!$J$2:$J$761,Dati!$H$2:$H$761,$H19,Dati!$A$2:$A$761,$AN19),"-")</f>
        <v/>
      </c>
      <c r="CG19" s="22">
        <f>IF(AND($H19&lt;&gt;"",$AO19&lt;&gt;"",$H19&lt;&gt;$AO19,IFERROR(VLOOKUP($H19,areaCercaPuntiClassificaSquadra,3,FALSE),-1)=IFERROR(VLOOKUP($AO19,areaCercaPuntiClassificaSquadra,3,FALSE),-2)),SUMIFS(Dati!$D$2:$D$761,Dati!$A$2:$A$761,$H19,Dati!$H$2:$H$761,$AO19)+SUMIFS(Dati!$K$2:$K$761,Dati!$H$2:$H$761,$H19,Dati!$A$2:$A$761,$AO19)+SUMIFS(Dati!$C$2:$C$761,Dati!$A$2:$A$761,$H19,Dati!$H$2:$H$761,$AO19)+SUMIFS(Dati!$J$2:$J$761,Dati!$H$2:$H$761,$H19,Dati!$A$2:$A$761,$AO19),"-")</f>
        <v/>
      </c>
      <c r="CH19" s="22">
        <f>IF(AND($H19&lt;&gt;"",$AP19&lt;&gt;"",$H19&lt;&gt;$AP19,IFERROR(VLOOKUP($H19,areaCercaPuntiClassificaSquadra,3,FALSE),-1)=IFERROR(VLOOKUP($AP19,areaCercaPuntiClassificaSquadra,3,FALSE),-2)),SUMIFS(Dati!$D$2:$D$761,Dati!$A$2:$A$761,$H19,Dati!$H$2:$H$761,$AP19)+SUMIFS(Dati!$K$2:$K$761,Dati!$H$2:$H$761,$H19,Dati!$A$2:$A$761,$AP19)+SUMIFS(Dati!$C$2:$C$761,Dati!$A$2:$A$761,$H19,Dati!$H$2:$H$761,$AP19)+SUMIFS(Dati!$J$2:$J$761,Dati!$H$2:$H$761,$H19,Dati!$A$2:$A$761,$AP19),"-")</f>
        <v/>
      </c>
      <c r="CI19" s="22">
        <f>IF(AND($H19&lt;&gt;"",$AQ19&lt;&gt;"",$H19&lt;&gt;$AQ19,IFERROR(VLOOKUP($H19,areaCercaPuntiClassificaSquadra,3,FALSE),-1)=IFERROR(VLOOKUP($AQ19,areaCercaPuntiClassificaSquadra,3,FALSE),-2)),SUMIFS(Dati!$D$2:$D$761,Dati!$A$2:$A$761,$H19,Dati!$H$2:$H$761,$AQ19)+SUMIFS(Dati!$K$2:$K$761,Dati!$H$2:$H$761,$H19,Dati!$A$2:$A$761,$AQ19)+SUMIFS(Dati!$C$2:$C$761,Dati!$A$2:$A$761,$H19,Dati!$H$2:$H$761,$AQ19)+SUMIFS(Dati!$J$2:$J$761,Dati!$H$2:$H$761,$H19,Dati!$A$2:$A$761,$AQ19),"-")</f>
        <v/>
      </c>
      <c r="CJ19" s="22">
        <f>IF(AND($H19&lt;&gt;"",$AR19&lt;&gt;"",$H19&lt;&gt;$AR19,IFERROR(VLOOKUP($H19,areaCercaPuntiClassificaSquadra,3,FALSE),-1)=IFERROR(VLOOKUP($AR19,areaCercaPuntiClassificaSquadra,3,FALSE),-2)),SUMIFS(Dati!$D$2:$D$761,Dati!$A$2:$A$761,$H19,Dati!$H$2:$H$761,$AR19)+SUMIFS(Dati!$K$2:$K$761,Dati!$H$2:$H$761,$H19,Dati!$A$2:$A$761,$AR19)+SUMIFS(Dati!$C$2:$C$761,Dati!$A$2:$A$761,$H19,Dati!$H$2:$H$761,$AR19)+SUMIFS(Dati!$J$2:$J$761,Dati!$H$2:$H$761,$H19,Dati!$A$2:$A$761,$AR19),"-")</f>
        <v/>
      </c>
      <c r="CL19" s="21">
        <f>$C19</f>
        <v/>
      </c>
      <c r="CM19" s="22">
        <f>IF(AND($H19&lt;&gt;"",$Y19&lt;&gt;"",$H19&lt;&gt;$Y19,IFERROR(VLOOKUP($H19,areaCercaPuntiClassificaSquadra,3,FALSE),-1)=IFERROR(VLOOKUP($Y19,areaCercaPuntiClassificaSquadra,3,FALSE),-2)),SUMIFS(Dati!$E$2:$E$761,Dati!$A$2:$A$761,$H19,Dati!$H$2:$H$761,$Y19)+SUMIFS(Dati!$L$2:$L$761,Dati!$H$2:$H$761,$H19,Dati!$A$2:$A$761,$Y19),"-")</f>
        <v/>
      </c>
      <c r="CN19" s="22">
        <f>IF(AND($H19&lt;&gt;"",$Z19&lt;&gt;"",$H19&lt;&gt;$Z19,IFERROR(VLOOKUP($H19,areaCercaPuntiClassificaSquadra,3,FALSE),-1)=IFERROR(VLOOKUP($Z19,areaCercaPuntiClassificaSquadra,3,FALSE),-2)),SUMIFS(Dati!$E$2:$E$761,Dati!$A$2:$A$761,$H19,Dati!$H$2:$H$761,$Z19)+SUMIFS(Dati!$L$2:$L$761,Dati!$H$2:$H$761,$H19,Dati!$A$2:$A$761,$Z19),"-")</f>
        <v/>
      </c>
      <c r="CO19" s="22">
        <f>IF(AND($H19&lt;&gt;"",$AA19&lt;&gt;"",$H19&lt;&gt;$AA19,IFERROR(VLOOKUP($H19,areaCercaPuntiClassificaSquadra,3,FALSE),-1)=IFERROR(VLOOKUP($AA19,areaCercaPuntiClassificaSquadra,3,FALSE),-2)),SUMIFS(Dati!$E$2:$E$761,Dati!$A$2:$A$761,$H19,Dati!$H$2:$H$761,$AA19)+SUMIFS(Dati!$L$2:$L$761,Dati!$H$2:$H$761,$H19,Dati!$A$2:$A$761,$AA19),"-")</f>
        <v/>
      </c>
      <c r="CP19" s="22">
        <f>IF(AND($H19&lt;&gt;"",$AB19&lt;&gt;"",$H19&lt;&gt;$AB19,IFERROR(VLOOKUP($H19,areaCercaPuntiClassificaSquadra,3,FALSE),-1)=IFERROR(VLOOKUP($AB19,areaCercaPuntiClassificaSquadra,3,FALSE),-2)),SUMIFS(Dati!$E$2:$E$761,Dati!$A$2:$A$761,$H19,Dati!$H$2:$H$761,$AB19)+SUMIFS(Dati!$L$2:$L$761,Dati!$H$2:$H$761,$H19,Dati!$A$2:$A$761,$AB19),"-")</f>
        <v/>
      </c>
      <c r="CQ19" s="22">
        <f>IF(AND($H19&lt;&gt;"",$AC19&lt;&gt;"",$H19&lt;&gt;$AC19,IFERROR(VLOOKUP($H19,areaCercaPuntiClassificaSquadra,3,FALSE),-1)=IFERROR(VLOOKUP($AC19,areaCercaPuntiClassificaSquadra,3,FALSE),-2)),SUMIFS(Dati!$E$2:$E$761,Dati!$A$2:$A$761,$H19,Dati!$H$2:$H$761,$AC19)+SUMIFS(Dati!$L$2:$L$761,Dati!$H$2:$H$761,$H19,Dati!$A$2:$A$761,$AC19),"-")</f>
        <v/>
      </c>
      <c r="CR19" s="22">
        <f>IF(AND($H19&lt;&gt;"",$AD19&lt;&gt;"",$H19&lt;&gt;$AD19,IFERROR(VLOOKUP($H19,areaCercaPuntiClassificaSquadra,3,FALSE),-1)=IFERROR(VLOOKUP($AD19,areaCercaPuntiClassificaSquadra,3,FALSE),-2)),SUMIFS(Dati!$E$2:$E$761,Dati!$A$2:$A$761,$H19,Dati!$H$2:$H$761,$AD19)+SUMIFS(Dati!$L$2:$L$761,Dati!$H$2:$H$761,$H19,Dati!$A$2:$A$761,$AD19),"-")</f>
        <v/>
      </c>
      <c r="CS19" s="22">
        <f>IF(AND($H19&lt;&gt;"",$AE19&lt;&gt;"",$H19&lt;&gt;$AE19,IFERROR(VLOOKUP($H19,areaCercaPuntiClassificaSquadra,3,FALSE),-1)=IFERROR(VLOOKUP($AE19,areaCercaPuntiClassificaSquadra,3,FALSE),-2)),SUMIFS(Dati!$E$2:$E$761,Dati!$A$2:$A$761,$H19,Dati!$H$2:$H$761,$AE19)+SUMIFS(Dati!$L$2:$L$761,Dati!$H$2:$H$761,$H19,Dati!$A$2:$A$761,$AE19),"-")</f>
        <v/>
      </c>
      <c r="CT19" s="22">
        <f>IF(AND($H19&lt;&gt;"",$AF19&lt;&gt;"",$H19&lt;&gt;$AF19,IFERROR(VLOOKUP($H19,areaCercaPuntiClassificaSquadra,3,FALSE),-1)=IFERROR(VLOOKUP($AF19,areaCercaPuntiClassificaSquadra,3,FALSE),-2)),SUMIFS(Dati!$E$2:$E$761,Dati!$A$2:$A$761,$H19,Dati!$H$2:$H$761,$AF19)+SUMIFS(Dati!$L$2:$L$761,Dati!$H$2:$H$761,$H19,Dati!$A$2:$A$761,$AF19),"-")</f>
        <v/>
      </c>
      <c r="CU19" s="22">
        <f>IF(AND($H19&lt;&gt;"",$AG19&lt;&gt;"",$H19&lt;&gt;$AG19,IFERROR(VLOOKUP($H19,areaCercaPuntiClassificaSquadra,3,FALSE),-1)=IFERROR(VLOOKUP($AG19,areaCercaPuntiClassificaSquadra,3,FALSE),-2)),SUMIFS(Dati!$E$2:$E$761,Dati!$A$2:$A$761,$H19,Dati!$H$2:$H$761,$AG19)+SUMIFS(Dati!$L$2:$L$761,Dati!$H$2:$H$761,$H19,Dati!$A$2:$A$761,$AG19),"-")</f>
        <v/>
      </c>
      <c r="CV19" s="22">
        <f>IF(AND($H19&lt;&gt;"",$AH19&lt;&gt;"",$H19&lt;&gt;$AH19,IFERROR(VLOOKUP($H19,areaCercaPuntiClassificaSquadra,3,FALSE),-1)=IFERROR(VLOOKUP($AH19,areaCercaPuntiClassificaSquadra,3,FALSE),-2)),SUMIFS(Dati!$E$2:$E$761,Dati!$A$2:$A$761,$H19,Dati!$H$2:$H$761,$AH19)+SUMIFS(Dati!$L$2:$L$761,Dati!$H$2:$H$761,$H19,Dati!$A$2:$A$761,$AH19),"-")</f>
        <v/>
      </c>
      <c r="CW19" s="22">
        <f>IF(AND($H19&lt;&gt;"",$AI19&lt;&gt;"",$H19&lt;&gt;$AI19,IFERROR(VLOOKUP($H19,areaCercaPuntiClassificaSquadra,3,FALSE),-1)=IFERROR(VLOOKUP($AI19,areaCercaPuntiClassificaSquadra,3,FALSE),-2)),SUMIFS(Dati!$E$2:$E$761,Dati!$A$2:$A$761,$H19,Dati!$H$2:$H$761,$AI19)+SUMIFS(Dati!$L$2:$L$761,Dati!$H$2:$H$761,$H19,Dati!$A$2:$A$761,$AI19),"-")</f>
        <v/>
      </c>
      <c r="CX19" s="22">
        <f>IF(AND($H19&lt;&gt;"",$AJ19&lt;&gt;"",$H19&lt;&gt;$AJ19,IFERROR(VLOOKUP($H19,areaCercaPuntiClassificaSquadra,3,FALSE),-1)=IFERROR(VLOOKUP($AJ19,areaCercaPuntiClassificaSquadra,3,FALSE),-2)),SUMIFS(Dati!$E$2:$E$761,Dati!$A$2:$A$761,$H19,Dati!$H$2:$H$761,$AJ19)+SUMIFS(Dati!$L$2:$L$761,Dati!$H$2:$H$761,$H19,Dati!$A$2:$A$761,$AJ19),"-")</f>
        <v/>
      </c>
      <c r="CY19" s="22">
        <f>IF(AND($H19&lt;&gt;"",$AK19&lt;&gt;"",$H19&lt;&gt;$AK19,IFERROR(VLOOKUP($H19,areaCercaPuntiClassificaSquadra,3,FALSE),-1)=IFERROR(VLOOKUP($AK19,areaCercaPuntiClassificaSquadra,3,FALSE),-2)),SUMIFS(Dati!$E$2:$E$761,Dati!$A$2:$A$761,$H19,Dati!$H$2:$H$761,$AK19)+SUMIFS(Dati!$L$2:$L$761,Dati!$H$2:$H$761,$H19,Dati!$A$2:$A$761,$AK19),"-")</f>
        <v/>
      </c>
      <c r="CZ19" s="22">
        <f>IF(AND($H19&lt;&gt;"",$AL19&lt;&gt;"",$H19&lt;&gt;$AL19,IFERROR(VLOOKUP($H19,areaCercaPuntiClassificaSquadra,3,FALSE),-1)=IFERROR(VLOOKUP($AL19,areaCercaPuntiClassificaSquadra,3,FALSE),-2)),SUMIFS(Dati!$E$2:$E$761,Dati!$A$2:$A$761,$H19,Dati!$H$2:$H$761,$AL19)+SUMIFS(Dati!$L$2:$L$761,Dati!$H$2:$H$761,$H19,Dati!$A$2:$A$761,$AL19),"-")</f>
        <v/>
      </c>
      <c r="DA19" s="22">
        <f>IF(AND($H19&lt;&gt;"",$AM19&lt;&gt;"",$H19&lt;&gt;$AM19,IFERROR(VLOOKUP($H19,areaCercaPuntiClassificaSquadra,3,FALSE),-1)=IFERROR(VLOOKUP($AM19,areaCercaPuntiClassificaSquadra,3,FALSE),-2)),SUMIFS(Dati!$E$2:$E$761,Dati!$A$2:$A$761,$H19,Dati!$H$2:$H$761,$AM19)+SUMIFS(Dati!$L$2:$L$761,Dati!$H$2:$H$761,$H19,Dati!$A$2:$A$761,$AM19),"-")</f>
        <v/>
      </c>
      <c r="DB19" s="22">
        <f>IF(AND($H19&lt;&gt;"",$AN19&lt;&gt;"",$H19&lt;&gt;$AN19,IFERROR(VLOOKUP($H19,areaCercaPuntiClassificaSquadra,3,FALSE),-1)=IFERROR(VLOOKUP($AN19,areaCercaPuntiClassificaSquadra,3,FALSE),-2)),SUMIFS(Dati!$E$2:$E$761,Dati!$A$2:$A$761,$H19,Dati!$H$2:$H$761,$AN19)+SUMIFS(Dati!$L$2:$L$761,Dati!$H$2:$H$761,$H19,Dati!$A$2:$A$761,$AN19),"-")</f>
        <v/>
      </c>
      <c r="DC19" s="22">
        <f>IF(AND($H19&lt;&gt;"",$AO19&lt;&gt;"",$H19&lt;&gt;$AO19,IFERROR(VLOOKUP($H19,areaCercaPuntiClassificaSquadra,3,FALSE),-1)=IFERROR(VLOOKUP($AO19,areaCercaPuntiClassificaSquadra,3,FALSE),-2)),SUMIFS(Dati!$E$2:$E$761,Dati!$A$2:$A$761,$H19,Dati!$H$2:$H$761,$AO19)+SUMIFS(Dati!$L$2:$L$761,Dati!$H$2:$H$761,$H19,Dati!$A$2:$A$761,$AO19),"-")</f>
        <v/>
      </c>
      <c r="DD19" s="22">
        <f>IF(AND($H19&lt;&gt;"",$AP19&lt;&gt;"",$H19&lt;&gt;$AP19,IFERROR(VLOOKUP($H19,areaCercaPuntiClassificaSquadra,3,FALSE),-1)=IFERROR(VLOOKUP($AP19,areaCercaPuntiClassificaSquadra,3,FALSE),-2)),SUMIFS(Dati!$E$2:$E$761,Dati!$A$2:$A$761,$H19,Dati!$H$2:$H$761,$AP19)+SUMIFS(Dati!$L$2:$L$761,Dati!$H$2:$H$761,$H19,Dati!$A$2:$A$761,$AP19),"-")</f>
        <v/>
      </c>
      <c r="DE19" s="22">
        <f>IF(AND($H19&lt;&gt;"",$AQ19&lt;&gt;"",$H19&lt;&gt;$AQ19,IFERROR(VLOOKUP($H19,areaCercaPuntiClassificaSquadra,3,FALSE),-1)=IFERROR(VLOOKUP($AQ19,areaCercaPuntiClassificaSquadra,3,FALSE),-2)),SUMIFS(Dati!$E$2:$E$761,Dati!$A$2:$A$761,$H19,Dati!$H$2:$H$761,$AQ19)+SUMIFS(Dati!$L$2:$L$761,Dati!$H$2:$H$761,$H19,Dati!$A$2:$A$761,$AQ19),"-")</f>
        <v/>
      </c>
      <c r="DF19" s="22">
        <f>IF(AND($H19&lt;&gt;"",$AR19&lt;&gt;"",$H19&lt;&gt;$AR19,IFERROR(VLOOKUP($H19,areaCercaPuntiClassificaSquadra,3,FALSE),-1)=IFERROR(VLOOKUP($AR19,areaCercaPuntiClassificaSquadra,3,FALSE),-2)),SUMIFS(Dati!$E$2:$E$761,Dati!$A$2:$A$761,$H19,Dati!$H$2:$H$761,$AR19)+SUMIFS(Dati!$L$2:$L$761,Dati!$H$2:$H$761,$H19,Dati!$A$2:$A$761,$AR19),"-")</f>
        <v/>
      </c>
      <c r="DH19" s="21">
        <f>$C19</f>
        <v/>
      </c>
      <c r="DI19" s="22">
        <f>IF(AND($H19&lt;&gt;"",$Y19&lt;&gt;"",$H19&lt;&gt;$Y19,IFERROR(VLOOKUP($H19,areaCercaPuntiClassificaSquadra,3,FALSE),-1)=IFERROR(VLOOKUP($Y19,areaCercaPuntiClassificaSquadra,3,FALSE),-2)),SUMIFS(Dati!$F$2:$F$761,Dati!$A$2:$A$761,$H19,Dati!$H$2:$H$761,$Y19)+SUMIFS(Dati!$M$2:$M$761,Dati!$H$2:$H$761,$H19,Dati!$A$2:$A$761,$Y19),"-")</f>
        <v/>
      </c>
      <c r="DJ19" s="22">
        <f>IF(AND($H19&lt;&gt;"",$Z19&lt;&gt;"",$H19&lt;&gt;$Z19,IFERROR(VLOOKUP($H19,areaCercaPuntiClassificaSquadra,3,FALSE),-1)=IFERROR(VLOOKUP($Z19,areaCercaPuntiClassificaSquadra,3,FALSE),-2)),SUMIFS(Dati!$F$2:$F$761,Dati!$A$2:$A$761,$H19,Dati!$H$2:$H$761,$Z19)+SUMIFS(Dati!$M$2:$M$761,Dati!$H$2:$H$761,$H19,Dati!$A$2:$A$761,$Z19),"-")</f>
        <v/>
      </c>
      <c r="DK19" s="22">
        <f>IF(AND($H19&lt;&gt;"",$AA19&lt;&gt;"",$H19&lt;&gt;$AA19,IFERROR(VLOOKUP($H19,areaCercaPuntiClassificaSquadra,3,FALSE),-1)=IFERROR(VLOOKUP($AA19,areaCercaPuntiClassificaSquadra,3,FALSE),-2)),SUMIFS(Dati!$F$2:$F$761,Dati!$A$2:$A$761,$H19,Dati!$H$2:$H$761,$AA19)+SUMIFS(Dati!$M$2:$M$761,Dati!$H$2:$H$761,$H19,Dati!$A$2:$A$761,$AA19),"-")</f>
        <v/>
      </c>
      <c r="DL19" s="22">
        <f>IF(AND($H19&lt;&gt;"",$AB19&lt;&gt;"",$H19&lt;&gt;$AB19,IFERROR(VLOOKUP($H19,areaCercaPuntiClassificaSquadra,3,FALSE),-1)=IFERROR(VLOOKUP($AB19,areaCercaPuntiClassificaSquadra,3,FALSE),-2)),SUMIFS(Dati!$F$2:$F$761,Dati!$A$2:$A$761,$H19,Dati!$H$2:$H$761,$AB19)+SUMIFS(Dati!$M$2:$M$761,Dati!$H$2:$H$761,$H19,Dati!$A$2:$A$761,$AB19),"-")</f>
        <v/>
      </c>
      <c r="DM19" s="22">
        <f>IF(AND($H19&lt;&gt;"",$AC19&lt;&gt;"",$H19&lt;&gt;$AC19,IFERROR(VLOOKUP($H19,areaCercaPuntiClassificaSquadra,3,FALSE),-1)=IFERROR(VLOOKUP($AC19,areaCercaPuntiClassificaSquadra,3,FALSE),-2)),SUMIFS(Dati!$F$2:$F$761,Dati!$A$2:$A$761,$H19,Dati!$H$2:$H$761,$AC19)+SUMIFS(Dati!$M$2:$M$761,Dati!$H$2:$H$761,$H19,Dati!$A$2:$A$761,$AC19),"-")</f>
        <v/>
      </c>
      <c r="DN19" s="22">
        <f>IF(AND($H19&lt;&gt;"",$AD19&lt;&gt;"",$H19&lt;&gt;$AD19,IFERROR(VLOOKUP($H19,areaCercaPuntiClassificaSquadra,3,FALSE),-1)=IFERROR(VLOOKUP($AD19,areaCercaPuntiClassificaSquadra,3,FALSE),-2)),SUMIFS(Dati!$F$2:$F$761,Dati!$A$2:$A$761,$H19,Dati!$H$2:$H$761,$AD19)+SUMIFS(Dati!$M$2:$M$761,Dati!$H$2:$H$761,$H19,Dati!$A$2:$A$761,$AD19),"-")</f>
        <v/>
      </c>
      <c r="DO19" s="22">
        <f>IF(AND($H19&lt;&gt;"",$AE19&lt;&gt;"",$H19&lt;&gt;$AE19,IFERROR(VLOOKUP($H19,areaCercaPuntiClassificaSquadra,3,FALSE),-1)=IFERROR(VLOOKUP($AE19,areaCercaPuntiClassificaSquadra,3,FALSE),-2)),SUMIFS(Dati!$F$2:$F$761,Dati!$A$2:$A$761,$H19,Dati!$H$2:$H$761,$AE19)+SUMIFS(Dati!$M$2:$M$761,Dati!$H$2:$H$761,$H19,Dati!$A$2:$A$761,$AE19),"-")</f>
        <v/>
      </c>
      <c r="DP19" s="22">
        <f>IF(AND($H19&lt;&gt;"",$AF19&lt;&gt;"",$H19&lt;&gt;$AF19,IFERROR(VLOOKUP($H19,areaCercaPuntiClassificaSquadra,3,FALSE),-1)=IFERROR(VLOOKUP($AF19,areaCercaPuntiClassificaSquadra,3,FALSE),-2)),SUMIFS(Dati!$F$2:$F$761,Dati!$A$2:$A$761,$H19,Dati!$H$2:$H$761,$AF19)+SUMIFS(Dati!$M$2:$M$761,Dati!$H$2:$H$761,$H19,Dati!$A$2:$A$761,$AF19),"-")</f>
        <v/>
      </c>
      <c r="DQ19" s="22">
        <f>IF(AND($H19&lt;&gt;"",$AG19&lt;&gt;"",$H19&lt;&gt;$AG19,IFERROR(VLOOKUP($H19,areaCercaPuntiClassificaSquadra,3,FALSE),-1)=IFERROR(VLOOKUP($AG19,areaCercaPuntiClassificaSquadra,3,FALSE),-2)),SUMIFS(Dati!$F$2:$F$761,Dati!$A$2:$A$761,$H19,Dati!$H$2:$H$761,$AG19)+SUMIFS(Dati!$M$2:$M$761,Dati!$H$2:$H$761,$H19,Dati!$A$2:$A$761,$AG19),"-")</f>
        <v/>
      </c>
      <c r="DR19" s="22">
        <f>IF(AND($H19&lt;&gt;"",$AH19&lt;&gt;"",$H19&lt;&gt;$AH19,IFERROR(VLOOKUP($H19,areaCercaPuntiClassificaSquadra,3,FALSE),-1)=IFERROR(VLOOKUP($AH19,areaCercaPuntiClassificaSquadra,3,FALSE),-2)),SUMIFS(Dati!$F$2:$F$761,Dati!$A$2:$A$761,$H19,Dati!$H$2:$H$761,$AH19)+SUMIFS(Dati!$M$2:$M$761,Dati!$H$2:$H$761,$H19,Dati!$A$2:$A$761,$AH19),"-")</f>
        <v/>
      </c>
      <c r="DS19" s="22">
        <f>IF(AND($H19&lt;&gt;"",$AI19&lt;&gt;"",$H19&lt;&gt;$AI19,IFERROR(VLOOKUP($H19,areaCercaPuntiClassificaSquadra,3,FALSE),-1)=IFERROR(VLOOKUP($AI19,areaCercaPuntiClassificaSquadra,3,FALSE),-2)),SUMIFS(Dati!$F$2:$F$761,Dati!$A$2:$A$761,$H19,Dati!$H$2:$H$761,$AI19)+SUMIFS(Dati!$M$2:$M$761,Dati!$H$2:$H$761,$H19,Dati!$A$2:$A$761,$AI19),"-")</f>
        <v/>
      </c>
      <c r="DT19" s="22">
        <f>IF(AND($H19&lt;&gt;"",$AJ19&lt;&gt;"",$H19&lt;&gt;$AJ19,IFERROR(VLOOKUP($H19,areaCercaPuntiClassificaSquadra,3,FALSE),-1)=IFERROR(VLOOKUP($AJ19,areaCercaPuntiClassificaSquadra,3,FALSE),-2)),SUMIFS(Dati!$F$2:$F$761,Dati!$A$2:$A$761,$H19,Dati!$H$2:$H$761,$AJ19)+SUMIFS(Dati!$M$2:$M$761,Dati!$H$2:$H$761,$H19,Dati!$A$2:$A$761,$AJ19),"-")</f>
        <v/>
      </c>
      <c r="DU19" s="22">
        <f>IF(AND($H19&lt;&gt;"",$AK19&lt;&gt;"",$H19&lt;&gt;$AK19,IFERROR(VLOOKUP($H19,areaCercaPuntiClassificaSquadra,3,FALSE),-1)=IFERROR(VLOOKUP($AK19,areaCercaPuntiClassificaSquadra,3,FALSE),-2)),SUMIFS(Dati!$F$2:$F$761,Dati!$A$2:$A$761,$H19,Dati!$H$2:$H$761,$AK19)+SUMIFS(Dati!$M$2:$M$761,Dati!$H$2:$H$761,$H19,Dati!$A$2:$A$761,$AK19),"-")</f>
        <v/>
      </c>
      <c r="DV19" s="22">
        <f>IF(AND($H19&lt;&gt;"",$AL19&lt;&gt;"",$H19&lt;&gt;$AL19,IFERROR(VLOOKUP($H19,areaCercaPuntiClassificaSquadra,3,FALSE),-1)=IFERROR(VLOOKUP($AL19,areaCercaPuntiClassificaSquadra,3,FALSE),-2)),SUMIFS(Dati!$F$2:$F$761,Dati!$A$2:$A$761,$H19,Dati!$H$2:$H$761,$AL19)+SUMIFS(Dati!$M$2:$M$761,Dati!$H$2:$H$761,$H19,Dati!$A$2:$A$761,$AL19),"-")</f>
        <v/>
      </c>
      <c r="DW19" s="22">
        <f>IF(AND($H19&lt;&gt;"",$AM19&lt;&gt;"",$H19&lt;&gt;$AM19,IFERROR(VLOOKUP($H19,areaCercaPuntiClassificaSquadra,3,FALSE),-1)=IFERROR(VLOOKUP($AM19,areaCercaPuntiClassificaSquadra,3,FALSE),-2)),SUMIFS(Dati!$F$2:$F$761,Dati!$A$2:$A$761,$H19,Dati!$H$2:$H$761,$AM19)+SUMIFS(Dati!$M$2:$M$761,Dati!$H$2:$H$761,$H19,Dati!$A$2:$A$761,$AM19),"-")</f>
        <v/>
      </c>
      <c r="DX19" s="22">
        <f>IF(AND($H19&lt;&gt;"",$AN19&lt;&gt;"",$H19&lt;&gt;$AN19,IFERROR(VLOOKUP($H19,areaCercaPuntiClassificaSquadra,3,FALSE),-1)=IFERROR(VLOOKUP($AN19,areaCercaPuntiClassificaSquadra,3,FALSE),-2)),SUMIFS(Dati!$F$2:$F$761,Dati!$A$2:$A$761,$H19,Dati!$H$2:$H$761,$AN19)+SUMIFS(Dati!$M$2:$M$761,Dati!$H$2:$H$761,$H19,Dati!$A$2:$A$761,$AN19),"-")</f>
        <v/>
      </c>
      <c r="DY19" s="22">
        <f>IF(AND($H19&lt;&gt;"",$AO19&lt;&gt;"",$H19&lt;&gt;$AO19,IFERROR(VLOOKUP($H19,areaCercaPuntiClassificaSquadra,3,FALSE),-1)=IFERROR(VLOOKUP($AO19,areaCercaPuntiClassificaSquadra,3,FALSE),-2)),SUMIFS(Dati!$F$2:$F$761,Dati!$A$2:$A$761,$H19,Dati!$H$2:$H$761,$AO19)+SUMIFS(Dati!$M$2:$M$761,Dati!$H$2:$H$761,$H19,Dati!$A$2:$A$761,$AO19),"-")</f>
        <v/>
      </c>
      <c r="DZ19" s="22">
        <f>IF(AND($H19&lt;&gt;"",$AP19&lt;&gt;"",$H19&lt;&gt;$AP19,IFERROR(VLOOKUP($H19,areaCercaPuntiClassificaSquadra,3,FALSE),-1)=IFERROR(VLOOKUP($AP19,areaCercaPuntiClassificaSquadra,3,FALSE),-2)),SUMIFS(Dati!$F$2:$F$761,Dati!$A$2:$A$761,$H19,Dati!$H$2:$H$761,$AP19)+SUMIFS(Dati!$M$2:$M$761,Dati!$H$2:$H$761,$H19,Dati!$A$2:$A$761,$AP19),"-")</f>
        <v/>
      </c>
      <c r="EA19" s="22">
        <f>IF(AND($H19&lt;&gt;"",$AQ19&lt;&gt;"",$H19&lt;&gt;$AQ19,IFERROR(VLOOKUP($H19,areaCercaPuntiClassificaSquadra,3,FALSE),-1)=IFERROR(VLOOKUP($AQ19,areaCercaPuntiClassificaSquadra,3,FALSE),-2)),SUMIFS(Dati!$F$2:$F$761,Dati!$A$2:$A$761,$H19,Dati!$H$2:$H$761,$AQ19)+SUMIFS(Dati!$M$2:$M$761,Dati!$H$2:$H$761,$H19,Dati!$A$2:$A$761,$AQ19),"-")</f>
        <v/>
      </c>
      <c r="EB19" s="22">
        <f>IF(AND($H19&lt;&gt;"",$AR19&lt;&gt;"",$H19&lt;&gt;$AR19,IFERROR(VLOOKUP($H19,areaCercaPuntiClassificaSquadra,3,FALSE),-1)=IFERROR(VLOOKUP($AR19,areaCercaPuntiClassificaSquadra,3,FALSE),-2)),SUMIFS(Dati!$F$2:$F$761,Dati!$A$2:$A$761,$H19,Dati!$H$2:$H$761,$AR19)+SUMIFS(Dati!$M$2:$M$761,Dati!$H$2:$H$761,$H19,Dati!$A$2:$A$761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inlineStr">
        <is>
          <t>Gazzelle Gentili-Gazzelleopoli GE</t>
        </is>
      </c>
      <c r="D20" s="14" t="n"/>
      <c r="E20" s="15" t="inlineStr">
        <is>
          <t>A</t>
        </is>
      </c>
      <c r="G20" s="16">
        <f>IF($C20="","",$E20&amp;(COUNTIFS(I$14:I$93,"&gt;"&amp;I20,E$14:E$93,"="&amp;E20,C$14:C$93,"&lt;&gt;")+COUNTIFS(I$14:I$93,"="&amp;I20,H$14:H$93,"&lt;="&amp;H20,E$14:E$93,"="&amp;E20,C$14:C$93,"&lt;&gt;")))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L20*constPuntiVittoria+M20*constPuntiSconfitta+N20*constPuntiForfait+IF(D20="",0,D20)</f>
        <v/>
      </c>
      <c r="K20" s="12">
        <f>SUM(L20:N20)</f>
        <v/>
      </c>
      <c r="L20" s="12">
        <f>IF($H20="",0,SUMIF(Dati!$A$2:$A$761,$H20,Dati!$B$2:$B$761)+SUMIF(Dati!$H$2:$H$761,$H20,Dati!$I$2:$I$761))</f>
        <v/>
      </c>
      <c r="M20" s="12">
        <f>IF($H20="",0,SUMIF(Dati!$A$2:$A$761,$H20,Dati!$D$2:$D$761)+SUMIF(Dati!$H$2:$H$761,$H20,Dati!$K$2:$K$761))</f>
        <v/>
      </c>
      <c r="N20" s="12">
        <f>IF($H20="",0,SUMIF(Dati!$A$2:$A$761,$H20,Dati!$C$2:$C$761)+SUMIF(Dati!$H$2:$H$761,$H20,Dati!$J$2:$J$761))</f>
        <v/>
      </c>
      <c r="O20" s="12">
        <f>IF($H20="",0,SUMIF(Dati!$A$2:$A$761,$H20,Dati!$E$2:$E$761)+SUMIF(Dati!$H$2:$H$761,$H20,Dati!$L$2:$L$761))</f>
        <v/>
      </c>
      <c r="P20" s="12">
        <f>IF($H20="",0,SUMIF(Dati!$A$2:$A$761,$H20,Dati!$F$2:$F$761)+SUMIF(Dati!$H$2:$H$761,$H20,Dati!$M$2:$M$761))</f>
        <v/>
      </c>
      <c r="Q20" s="12">
        <f>IF($H20="",0,SUMIF(Dati!$A$2:$A$761,$H20,Dati!$G$2:$G$761)+SUMIF(Dati!$H$2:$H$761,$H20,Dati!$N$2:$N$761))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IF(COUNTIFS($E$14:$E$93,$E20,$J$14:$J$93,$J20,$C$14:$C$93,"&lt;&gt;")&lt;=1,"-",SUM(AU20:BN20)&amp;"-"&amp;SUM(BQ20:CJ20))</f>
        <v/>
      </c>
      <c r="V20" s="18">
        <f>IF(COUNTIFS($E$14:$E$93,$E20,$J$14:$J$93,$J20,$C$14:$C$93,"&lt;&gt;",$ED$14:$ED$93,$ED20)&lt;=1,"-",IF(SUM(DI20:EB20)=0,0,ROUND(SUM(CM20:DF20)/SUM(DI20:EB20),3)))</f>
        <v/>
      </c>
      <c r="W20" s="18">
        <f>IF(COUNTIFS($E$14:$E$93,$E20,$J$14:$J$93,$J20,$C$14:$C$93,"&lt;&gt;",$ED$14:$ED$93,$ED20,$V$14:$V$93,$V20)&lt;=1,"-",IF(P20=0,0,ROUND(O20/P20,3)))</f>
        <v/>
      </c>
      <c r="X20" s="19">
        <f>IF($C20="","",$E20&amp;"#"&amp;COUNTIFS($E$14:$E20,$E20,$C$14:$C20,"&lt;&gt;"))</f>
        <v/>
      </c>
      <c r="Y20" s="20">
        <f>IFERROR(INDEX($H$14:$H$93,MATCH($E20&amp;"#1",$X$14:$X$93,0)),"")</f>
        <v/>
      </c>
      <c r="Z20" s="20">
        <f>IFERROR(INDEX($H$14:$H$93,MATCH($E20&amp;"#2",$X$14:$X$93,0)),"")</f>
        <v/>
      </c>
      <c r="AA20" s="20">
        <f>IFERROR(INDEX($H$14:$H$93,MATCH($E20&amp;"#3",$X$14:$X$93,0)),"")</f>
        <v/>
      </c>
      <c r="AB20" s="20">
        <f>IFERROR(INDEX($H$14:$H$93,MATCH($E20&amp;"#4",$X$14:$X$93,0)),"")</f>
        <v/>
      </c>
      <c r="AC20" s="20">
        <f>IFERROR(INDEX($H$14:$H$93,MATCH($E20&amp;"#5",$X$14:$X$93,0)),"")</f>
        <v/>
      </c>
      <c r="AD20" s="20">
        <f>IFERROR(INDEX($H$14:$H$93,MATCH($E20&amp;"#6",$X$14:$X$93,0)),"")</f>
        <v/>
      </c>
      <c r="AE20" s="20">
        <f>IFERROR(INDEX($H$14:$H$93,MATCH($E20&amp;"#7",$X$14:$X$93,0)),"")</f>
        <v/>
      </c>
      <c r="AF20" s="20">
        <f>IFERROR(INDEX($H$14:$H$93,MATCH($E20&amp;"#8",$X$14:$X$93,0)),"")</f>
        <v/>
      </c>
      <c r="AG20" s="20">
        <f>IFERROR(INDEX($H$14:$H$93,MATCH($E20&amp;"#9",$X$14:$X$93,0)),"")</f>
        <v/>
      </c>
      <c r="AH20" s="20">
        <f>IFERROR(INDEX($H$14:$H$93,MATCH($E20&amp;"#10",$X$14:$X$93,0)),"")</f>
        <v/>
      </c>
      <c r="AI20" s="20">
        <f>IFERROR(INDEX($H$14:$H$93,MATCH($E20&amp;"#11",$X$14:$X$93,0)),"")</f>
        <v/>
      </c>
      <c r="AJ20" s="20">
        <f>IFERROR(INDEX($H$14:$H$93,MATCH($E20&amp;"#12",$X$14:$X$93,0)),"")</f>
        <v/>
      </c>
      <c r="AK20" s="20">
        <f>IFERROR(INDEX($H$14:$H$93,MATCH($E20&amp;"#13",$X$14:$X$93,0)),"")</f>
        <v/>
      </c>
      <c r="AL20" s="20">
        <f>IFERROR(INDEX($H$14:$H$93,MATCH($E20&amp;"#14",$X$14:$X$93,0)),"")</f>
        <v/>
      </c>
      <c r="AM20" s="20">
        <f>IFERROR(INDEX($H$14:$H$93,MATCH($E20&amp;"#15",$X$14:$X$93,0)),"")</f>
        <v/>
      </c>
      <c r="AN20" s="20">
        <f>IFERROR(INDEX($H$14:$H$93,MATCH($E20&amp;"#16",$X$14:$X$93,0)),"")</f>
        <v/>
      </c>
      <c r="AO20" s="20">
        <f>IFERROR(INDEX($H$14:$H$93,MATCH($E20&amp;"#17",$X$14:$X$93,0)),"")</f>
        <v/>
      </c>
      <c r="AP20" s="20">
        <f>IFERROR(INDEX($H$14:$H$93,MATCH($E20&amp;"#18",$X$14:$X$93,0)),"")</f>
        <v/>
      </c>
      <c r="AQ20" s="20">
        <f>IFERROR(INDEX($H$14:$H$93,MATCH($E20&amp;"#19",$X$14:$X$93,0)),"")</f>
        <v/>
      </c>
      <c r="AR20" s="20">
        <f>IFERROR(INDEX($H$14:$H$93,MATCH($E20&amp;"#20",$X$14:$X$93,0)),"")</f>
        <v/>
      </c>
      <c r="AT20" s="21">
        <f>$C20</f>
        <v/>
      </c>
      <c r="AU20" s="22">
        <f>IF(AND($H20&lt;&gt;"",$Y20&lt;&gt;"",$H20&lt;&gt;$Y20,IFERROR(VLOOKUP($H20,areaCercaPuntiClassificaSquadra,3,FALSE),-1)=IFERROR(VLOOKUP($Y20,areaCercaPuntiClassificaSquadra,3,FALSE),-2)),SUMIFS(Dati!$B$2:$B$761,Dati!$A$2:$A$761,$H20,Dati!$H$2:$H$761,$Y20)+SUMIFS(Dati!$I$2:$I$761,Dati!$H$2:$H$761,$H20,Dati!$A$2:$A$761,$Y20),"-")</f>
        <v/>
      </c>
      <c r="AV20" s="22">
        <f>IF(AND($H20&lt;&gt;"",$Z20&lt;&gt;"",$H20&lt;&gt;$Z20,IFERROR(VLOOKUP($H20,areaCercaPuntiClassificaSquadra,3,FALSE),-1)=IFERROR(VLOOKUP($Z20,areaCercaPuntiClassificaSquadra,3,FALSE),-2)),SUMIFS(Dati!$B$2:$B$761,Dati!$A$2:$A$761,$H20,Dati!$H$2:$H$761,$Z20)+SUMIFS(Dati!$I$2:$I$761,Dati!$H$2:$H$761,$H20,Dati!$A$2:$A$761,$Z20),"-")</f>
        <v/>
      </c>
      <c r="AW20" s="22">
        <f>IF(AND($H20&lt;&gt;"",$AA20&lt;&gt;"",$H20&lt;&gt;$AA20,IFERROR(VLOOKUP($H20,areaCercaPuntiClassificaSquadra,3,FALSE),-1)=IFERROR(VLOOKUP($AA20,areaCercaPuntiClassificaSquadra,3,FALSE),-2)),SUMIFS(Dati!$B$2:$B$761,Dati!$A$2:$A$761,$H20,Dati!$H$2:$H$761,$AA20)+SUMIFS(Dati!$I$2:$I$761,Dati!$H$2:$H$761,$H20,Dati!$A$2:$A$761,$AA20),"-")</f>
        <v/>
      </c>
      <c r="AX20" s="22">
        <f>IF(AND($H20&lt;&gt;"",$AB20&lt;&gt;"",$H20&lt;&gt;$AB20,IFERROR(VLOOKUP($H20,areaCercaPuntiClassificaSquadra,3,FALSE),-1)=IFERROR(VLOOKUP($AB20,areaCercaPuntiClassificaSquadra,3,FALSE),-2)),SUMIFS(Dati!$B$2:$B$761,Dati!$A$2:$A$761,$H20,Dati!$H$2:$H$761,$AB20)+SUMIFS(Dati!$I$2:$I$761,Dati!$H$2:$H$761,$H20,Dati!$A$2:$A$761,$AB20),"-")</f>
        <v/>
      </c>
      <c r="AY20" s="22">
        <f>IF(AND($H20&lt;&gt;"",$AC20&lt;&gt;"",$H20&lt;&gt;$AC20,IFERROR(VLOOKUP($H20,areaCercaPuntiClassificaSquadra,3,FALSE),-1)=IFERROR(VLOOKUP($AC20,areaCercaPuntiClassificaSquadra,3,FALSE),-2)),SUMIFS(Dati!$B$2:$B$761,Dati!$A$2:$A$761,$H20,Dati!$H$2:$H$761,$AC20)+SUMIFS(Dati!$I$2:$I$761,Dati!$H$2:$H$761,$H20,Dati!$A$2:$A$761,$AC20),"-")</f>
        <v/>
      </c>
      <c r="AZ20" s="22">
        <f>IF(AND($H20&lt;&gt;"",$AD20&lt;&gt;"",$H20&lt;&gt;$AD20,IFERROR(VLOOKUP($H20,areaCercaPuntiClassificaSquadra,3,FALSE),-1)=IFERROR(VLOOKUP($AD20,areaCercaPuntiClassificaSquadra,3,FALSE),-2)),SUMIFS(Dati!$B$2:$B$761,Dati!$A$2:$A$761,$H20,Dati!$H$2:$H$761,$AD20)+SUMIFS(Dati!$I$2:$I$761,Dati!$H$2:$H$761,$H20,Dati!$A$2:$A$761,$AD20),"-")</f>
        <v/>
      </c>
      <c r="BA20" s="22">
        <f>IF(AND($H20&lt;&gt;"",$AE20&lt;&gt;"",$H20&lt;&gt;$AE20,IFERROR(VLOOKUP($H20,areaCercaPuntiClassificaSquadra,3,FALSE),-1)=IFERROR(VLOOKUP($AE20,areaCercaPuntiClassificaSquadra,3,FALSE),-2)),SUMIFS(Dati!$B$2:$B$761,Dati!$A$2:$A$761,$H20,Dati!$H$2:$H$761,$AE20)+SUMIFS(Dati!$I$2:$I$761,Dati!$H$2:$H$761,$H20,Dati!$A$2:$A$761,$AE20),"-")</f>
        <v/>
      </c>
      <c r="BB20" s="22">
        <f>IF(AND($H20&lt;&gt;"",$AF20&lt;&gt;"",$H20&lt;&gt;$AF20,IFERROR(VLOOKUP($H20,areaCercaPuntiClassificaSquadra,3,FALSE),-1)=IFERROR(VLOOKUP($AF20,areaCercaPuntiClassificaSquadra,3,FALSE),-2)),SUMIFS(Dati!$B$2:$B$761,Dati!$A$2:$A$761,$H20,Dati!$H$2:$H$761,$AF20)+SUMIFS(Dati!$I$2:$I$761,Dati!$H$2:$H$761,$H20,Dati!$A$2:$A$761,$AF20),"-")</f>
        <v/>
      </c>
      <c r="BC20" s="22">
        <f>IF(AND($H20&lt;&gt;"",$AG20&lt;&gt;"",$H20&lt;&gt;$AG20,IFERROR(VLOOKUP($H20,areaCercaPuntiClassificaSquadra,3,FALSE),-1)=IFERROR(VLOOKUP($AG20,areaCercaPuntiClassificaSquadra,3,FALSE),-2)),SUMIFS(Dati!$B$2:$B$761,Dati!$A$2:$A$761,$H20,Dati!$H$2:$H$761,$AG20)+SUMIFS(Dati!$I$2:$I$761,Dati!$H$2:$H$761,$H20,Dati!$A$2:$A$761,$AG20),"-")</f>
        <v/>
      </c>
      <c r="BD20" s="22">
        <f>IF(AND($H20&lt;&gt;"",$AH20&lt;&gt;"",$H20&lt;&gt;$AH20,IFERROR(VLOOKUP($H20,areaCercaPuntiClassificaSquadra,3,FALSE),-1)=IFERROR(VLOOKUP($AH20,areaCercaPuntiClassificaSquadra,3,FALSE),-2)),SUMIFS(Dati!$B$2:$B$761,Dati!$A$2:$A$761,$H20,Dati!$H$2:$H$761,$AH20)+SUMIFS(Dati!$I$2:$I$761,Dati!$H$2:$H$761,$H20,Dati!$A$2:$A$761,$AH20),"-")</f>
        <v/>
      </c>
      <c r="BE20" s="22">
        <f>IF(AND($H20&lt;&gt;"",$AI20&lt;&gt;"",$H20&lt;&gt;$AI20,IFERROR(VLOOKUP($H20,areaCercaPuntiClassificaSquadra,3,FALSE),-1)=IFERROR(VLOOKUP($AI20,areaCercaPuntiClassificaSquadra,3,FALSE),-2)),SUMIFS(Dati!$B$2:$B$761,Dati!$A$2:$A$761,$H20,Dati!$H$2:$H$761,$AI20)+SUMIFS(Dati!$I$2:$I$761,Dati!$H$2:$H$761,$H20,Dati!$A$2:$A$761,$AI20),"-")</f>
        <v/>
      </c>
      <c r="BF20" s="22">
        <f>IF(AND($H20&lt;&gt;"",$AJ20&lt;&gt;"",$H20&lt;&gt;$AJ20,IFERROR(VLOOKUP($H20,areaCercaPuntiClassificaSquadra,3,FALSE),-1)=IFERROR(VLOOKUP($AJ20,areaCercaPuntiClassificaSquadra,3,FALSE),-2)),SUMIFS(Dati!$B$2:$B$761,Dati!$A$2:$A$761,$H20,Dati!$H$2:$H$761,$AJ20)+SUMIFS(Dati!$I$2:$I$761,Dati!$H$2:$H$761,$H20,Dati!$A$2:$A$761,$AJ20),"-")</f>
        <v/>
      </c>
      <c r="BG20" s="22">
        <f>IF(AND($H20&lt;&gt;"",$AK20&lt;&gt;"",$H20&lt;&gt;$AK20,IFERROR(VLOOKUP($H20,areaCercaPuntiClassificaSquadra,3,FALSE),-1)=IFERROR(VLOOKUP($AK20,areaCercaPuntiClassificaSquadra,3,FALSE),-2)),SUMIFS(Dati!$B$2:$B$761,Dati!$A$2:$A$761,$H20,Dati!$H$2:$H$761,$AK20)+SUMIFS(Dati!$I$2:$I$761,Dati!$H$2:$H$761,$H20,Dati!$A$2:$A$761,$AK20),"-")</f>
        <v/>
      </c>
      <c r="BH20" s="22">
        <f>IF(AND($H20&lt;&gt;"",$AL20&lt;&gt;"",$H20&lt;&gt;$AL20,IFERROR(VLOOKUP($H20,areaCercaPuntiClassificaSquadra,3,FALSE),-1)=IFERROR(VLOOKUP($AL20,areaCercaPuntiClassificaSquadra,3,FALSE),-2)),SUMIFS(Dati!$B$2:$B$761,Dati!$A$2:$A$761,$H20,Dati!$H$2:$H$761,$AL20)+SUMIFS(Dati!$I$2:$I$761,Dati!$H$2:$H$761,$H20,Dati!$A$2:$A$761,$AL20),"-")</f>
        <v/>
      </c>
      <c r="BI20" s="22">
        <f>IF(AND($H20&lt;&gt;"",$AM20&lt;&gt;"",$H20&lt;&gt;$AM20,IFERROR(VLOOKUP($H20,areaCercaPuntiClassificaSquadra,3,FALSE),-1)=IFERROR(VLOOKUP($AM20,areaCercaPuntiClassificaSquadra,3,FALSE),-2)),SUMIFS(Dati!$B$2:$B$761,Dati!$A$2:$A$761,$H20,Dati!$H$2:$H$761,$AM20)+SUMIFS(Dati!$I$2:$I$761,Dati!$H$2:$H$761,$H20,Dati!$A$2:$A$761,$AM20),"-")</f>
        <v/>
      </c>
      <c r="BJ20" s="22">
        <f>IF(AND($H20&lt;&gt;"",$AN20&lt;&gt;"",$H20&lt;&gt;$AN20,IFERROR(VLOOKUP($H20,areaCercaPuntiClassificaSquadra,3,FALSE),-1)=IFERROR(VLOOKUP($AN20,areaCercaPuntiClassificaSquadra,3,FALSE),-2)),SUMIFS(Dati!$B$2:$B$761,Dati!$A$2:$A$761,$H20,Dati!$H$2:$H$761,$AN20)+SUMIFS(Dati!$I$2:$I$761,Dati!$H$2:$H$761,$H20,Dati!$A$2:$A$761,$AN20),"-")</f>
        <v/>
      </c>
      <c r="BK20" s="22">
        <f>IF(AND($H20&lt;&gt;"",$AO20&lt;&gt;"",$H20&lt;&gt;$AO20,IFERROR(VLOOKUP($H20,areaCercaPuntiClassificaSquadra,3,FALSE),-1)=IFERROR(VLOOKUP($AO20,areaCercaPuntiClassificaSquadra,3,FALSE),-2)),SUMIFS(Dati!$B$2:$B$761,Dati!$A$2:$A$761,$H20,Dati!$H$2:$H$761,$AO20)+SUMIFS(Dati!$I$2:$I$761,Dati!$H$2:$H$761,$H20,Dati!$A$2:$A$761,$AO20),"-")</f>
        <v/>
      </c>
      <c r="BL20" s="22">
        <f>IF(AND($H20&lt;&gt;"",$AP20&lt;&gt;"",$H20&lt;&gt;$AP20,IFERROR(VLOOKUP($H20,areaCercaPuntiClassificaSquadra,3,FALSE),-1)=IFERROR(VLOOKUP($AP20,areaCercaPuntiClassificaSquadra,3,FALSE),-2)),SUMIFS(Dati!$B$2:$B$761,Dati!$A$2:$A$761,$H20,Dati!$H$2:$H$761,$AP20)+SUMIFS(Dati!$I$2:$I$761,Dati!$H$2:$H$761,$H20,Dati!$A$2:$A$761,$AP20),"-")</f>
        <v/>
      </c>
      <c r="BM20" s="22">
        <f>IF(AND($H20&lt;&gt;"",$AQ20&lt;&gt;"",$H20&lt;&gt;$AQ20,IFERROR(VLOOKUP($H20,areaCercaPuntiClassificaSquadra,3,FALSE),-1)=IFERROR(VLOOKUP($AQ20,areaCercaPuntiClassificaSquadra,3,FALSE),-2)),SUMIFS(Dati!$B$2:$B$761,Dati!$A$2:$A$761,$H20,Dati!$H$2:$H$761,$AQ20)+SUMIFS(Dati!$I$2:$I$761,Dati!$H$2:$H$761,$H20,Dati!$A$2:$A$761,$AQ20),"-")</f>
        <v/>
      </c>
      <c r="BN20" s="22">
        <f>IF(AND($H20&lt;&gt;"",$AR20&lt;&gt;"",$H20&lt;&gt;$AR20,IFERROR(VLOOKUP($H20,areaCercaPuntiClassificaSquadra,3,FALSE),-1)=IFERROR(VLOOKUP($AR20,areaCercaPuntiClassificaSquadra,3,FALSE),-2)),SUMIFS(Dati!$B$2:$B$761,Dati!$A$2:$A$761,$H20,Dati!$H$2:$H$761,$AR20)+SUMIFS(Dati!$I$2:$I$761,Dati!$H$2:$H$761,$H20,Dati!$A$2:$A$761,$AR20),"-")</f>
        <v/>
      </c>
      <c r="BP20" s="21">
        <f>$C20</f>
        <v/>
      </c>
      <c r="BQ20" s="22">
        <f>IF(AND($H20&lt;&gt;"",$Y20&lt;&gt;"",$H20&lt;&gt;$Y20,IFERROR(VLOOKUP($H20,areaCercaPuntiClassificaSquadra,3,FALSE),-1)=IFERROR(VLOOKUP($Y20,areaCercaPuntiClassificaSquadra,3,FALSE),-2)),SUMIFS(Dati!$D$2:$D$761,Dati!$A$2:$A$761,$H20,Dati!$H$2:$H$761,$Y20)+SUMIFS(Dati!$K$2:$K$761,Dati!$H$2:$H$761,$H20,Dati!$A$2:$A$761,$Y20)+SUMIFS(Dati!$C$2:$C$761,Dati!$A$2:$A$761,$H20,Dati!$H$2:$H$761,$Y20)+SUMIFS(Dati!$J$2:$J$761,Dati!$H$2:$H$761,$H20,Dati!$A$2:$A$761,$Y20),"-")</f>
        <v/>
      </c>
      <c r="BR20" s="22">
        <f>IF(AND($H20&lt;&gt;"",$Z20&lt;&gt;"",$H20&lt;&gt;$Z20,IFERROR(VLOOKUP($H20,areaCercaPuntiClassificaSquadra,3,FALSE),-1)=IFERROR(VLOOKUP($Z20,areaCercaPuntiClassificaSquadra,3,FALSE),-2)),SUMIFS(Dati!$D$2:$D$761,Dati!$A$2:$A$761,$H20,Dati!$H$2:$H$761,$Z20)+SUMIFS(Dati!$K$2:$K$761,Dati!$H$2:$H$761,$H20,Dati!$A$2:$A$761,$Z20)+SUMIFS(Dati!$C$2:$C$761,Dati!$A$2:$A$761,$H20,Dati!$H$2:$H$761,$Z20)+SUMIFS(Dati!$J$2:$J$761,Dati!$H$2:$H$761,$H20,Dati!$A$2:$A$761,$Z20),"-")</f>
        <v/>
      </c>
      <c r="BS20" s="22">
        <f>IF(AND($H20&lt;&gt;"",$AA20&lt;&gt;"",$H20&lt;&gt;$AA20,IFERROR(VLOOKUP($H20,areaCercaPuntiClassificaSquadra,3,FALSE),-1)=IFERROR(VLOOKUP($AA20,areaCercaPuntiClassificaSquadra,3,FALSE),-2)),SUMIFS(Dati!$D$2:$D$761,Dati!$A$2:$A$761,$H20,Dati!$H$2:$H$761,$AA20)+SUMIFS(Dati!$K$2:$K$761,Dati!$H$2:$H$761,$H20,Dati!$A$2:$A$761,$AA20)+SUMIFS(Dati!$C$2:$C$761,Dati!$A$2:$A$761,$H20,Dati!$H$2:$H$761,$AA20)+SUMIFS(Dati!$J$2:$J$761,Dati!$H$2:$H$761,$H20,Dati!$A$2:$A$761,$AA20),"-")</f>
        <v/>
      </c>
      <c r="BT20" s="22">
        <f>IF(AND($H20&lt;&gt;"",$AB20&lt;&gt;"",$H20&lt;&gt;$AB20,IFERROR(VLOOKUP($H20,areaCercaPuntiClassificaSquadra,3,FALSE),-1)=IFERROR(VLOOKUP($AB20,areaCercaPuntiClassificaSquadra,3,FALSE),-2)),SUMIFS(Dati!$D$2:$D$761,Dati!$A$2:$A$761,$H20,Dati!$H$2:$H$761,$AB20)+SUMIFS(Dati!$K$2:$K$761,Dati!$H$2:$H$761,$H20,Dati!$A$2:$A$761,$AB20)+SUMIFS(Dati!$C$2:$C$761,Dati!$A$2:$A$761,$H20,Dati!$H$2:$H$761,$AB20)+SUMIFS(Dati!$J$2:$J$761,Dati!$H$2:$H$761,$H20,Dati!$A$2:$A$761,$AB20),"-")</f>
        <v/>
      </c>
      <c r="BU20" s="22">
        <f>IF(AND($H20&lt;&gt;"",$AC20&lt;&gt;"",$H20&lt;&gt;$AC20,IFERROR(VLOOKUP($H20,areaCercaPuntiClassificaSquadra,3,FALSE),-1)=IFERROR(VLOOKUP($AC20,areaCercaPuntiClassificaSquadra,3,FALSE),-2)),SUMIFS(Dati!$D$2:$D$761,Dati!$A$2:$A$761,$H20,Dati!$H$2:$H$761,$AC20)+SUMIFS(Dati!$K$2:$K$761,Dati!$H$2:$H$761,$H20,Dati!$A$2:$A$761,$AC20)+SUMIFS(Dati!$C$2:$C$761,Dati!$A$2:$A$761,$H20,Dati!$H$2:$H$761,$AC20)+SUMIFS(Dati!$J$2:$J$761,Dati!$H$2:$H$761,$H20,Dati!$A$2:$A$761,$AC20),"-")</f>
        <v/>
      </c>
      <c r="BV20" s="22">
        <f>IF(AND($H20&lt;&gt;"",$AD20&lt;&gt;"",$H20&lt;&gt;$AD20,IFERROR(VLOOKUP($H20,areaCercaPuntiClassificaSquadra,3,FALSE),-1)=IFERROR(VLOOKUP($AD20,areaCercaPuntiClassificaSquadra,3,FALSE),-2)),SUMIFS(Dati!$D$2:$D$761,Dati!$A$2:$A$761,$H20,Dati!$H$2:$H$761,$AD20)+SUMIFS(Dati!$K$2:$K$761,Dati!$H$2:$H$761,$H20,Dati!$A$2:$A$761,$AD20)+SUMIFS(Dati!$C$2:$C$761,Dati!$A$2:$A$761,$H20,Dati!$H$2:$H$761,$AD20)+SUMIFS(Dati!$J$2:$J$761,Dati!$H$2:$H$761,$H20,Dati!$A$2:$A$761,$AD20),"-")</f>
        <v/>
      </c>
      <c r="BW20" s="22">
        <f>IF(AND($H20&lt;&gt;"",$AE20&lt;&gt;"",$H20&lt;&gt;$AE20,IFERROR(VLOOKUP($H20,areaCercaPuntiClassificaSquadra,3,FALSE),-1)=IFERROR(VLOOKUP($AE20,areaCercaPuntiClassificaSquadra,3,FALSE),-2)),SUMIFS(Dati!$D$2:$D$761,Dati!$A$2:$A$761,$H20,Dati!$H$2:$H$761,$AE20)+SUMIFS(Dati!$K$2:$K$761,Dati!$H$2:$H$761,$H20,Dati!$A$2:$A$761,$AE20)+SUMIFS(Dati!$C$2:$C$761,Dati!$A$2:$A$761,$H20,Dati!$H$2:$H$761,$AE20)+SUMIFS(Dati!$J$2:$J$761,Dati!$H$2:$H$761,$H20,Dati!$A$2:$A$761,$AE20),"-")</f>
        <v/>
      </c>
      <c r="BX20" s="22">
        <f>IF(AND($H20&lt;&gt;"",$AF20&lt;&gt;"",$H20&lt;&gt;$AF20,IFERROR(VLOOKUP($H20,areaCercaPuntiClassificaSquadra,3,FALSE),-1)=IFERROR(VLOOKUP($AF20,areaCercaPuntiClassificaSquadra,3,FALSE),-2)),SUMIFS(Dati!$D$2:$D$761,Dati!$A$2:$A$761,$H20,Dati!$H$2:$H$761,$AF20)+SUMIFS(Dati!$K$2:$K$761,Dati!$H$2:$H$761,$H20,Dati!$A$2:$A$761,$AF20)+SUMIFS(Dati!$C$2:$C$761,Dati!$A$2:$A$761,$H20,Dati!$H$2:$H$761,$AF20)+SUMIFS(Dati!$J$2:$J$761,Dati!$H$2:$H$761,$H20,Dati!$A$2:$A$761,$AF20),"-")</f>
        <v/>
      </c>
      <c r="BY20" s="22">
        <f>IF(AND($H20&lt;&gt;"",$AG20&lt;&gt;"",$H20&lt;&gt;$AG20,IFERROR(VLOOKUP($H20,areaCercaPuntiClassificaSquadra,3,FALSE),-1)=IFERROR(VLOOKUP($AG20,areaCercaPuntiClassificaSquadra,3,FALSE),-2)),SUMIFS(Dati!$D$2:$D$761,Dati!$A$2:$A$761,$H20,Dati!$H$2:$H$761,$AG20)+SUMIFS(Dati!$K$2:$K$761,Dati!$H$2:$H$761,$H20,Dati!$A$2:$A$761,$AG20)+SUMIFS(Dati!$C$2:$C$761,Dati!$A$2:$A$761,$H20,Dati!$H$2:$H$761,$AG20)+SUMIFS(Dati!$J$2:$J$761,Dati!$H$2:$H$761,$H20,Dati!$A$2:$A$761,$AG20),"-")</f>
        <v/>
      </c>
      <c r="BZ20" s="22">
        <f>IF(AND($H20&lt;&gt;"",$AH20&lt;&gt;"",$H20&lt;&gt;$AH20,IFERROR(VLOOKUP($H20,areaCercaPuntiClassificaSquadra,3,FALSE),-1)=IFERROR(VLOOKUP($AH20,areaCercaPuntiClassificaSquadra,3,FALSE),-2)),SUMIFS(Dati!$D$2:$D$761,Dati!$A$2:$A$761,$H20,Dati!$H$2:$H$761,$AH20)+SUMIFS(Dati!$K$2:$K$761,Dati!$H$2:$H$761,$H20,Dati!$A$2:$A$761,$AH20)+SUMIFS(Dati!$C$2:$C$761,Dati!$A$2:$A$761,$H20,Dati!$H$2:$H$761,$AH20)+SUMIFS(Dati!$J$2:$J$761,Dati!$H$2:$H$761,$H20,Dati!$A$2:$A$761,$AH20),"-")</f>
        <v/>
      </c>
      <c r="CA20" s="22">
        <f>IF(AND($H20&lt;&gt;"",$AI20&lt;&gt;"",$H20&lt;&gt;$AI20,IFERROR(VLOOKUP($H20,areaCercaPuntiClassificaSquadra,3,FALSE),-1)=IFERROR(VLOOKUP($AI20,areaCercaPuntiClassificaSquadra,3,FALSE),-2)),SUMIFS(Dati!$D$2:$D$761,Dati!$A$2:$A$761,$H20,Dati!$H$2:$H$761,$AI20)+SUMIFS(Dati!$K$2:$K$761,Dati!$H$2:$H$761,$H20,Dati!$A$2:$A$761,$AI20)+SUMIFS(Dati!$C$2:$C$761,Dati!$A$2:$A$761,$H20,Dati!$H$2:$H$761,$AI20)+SUMIFS(Dati!$J$2:$J$761,Dati!$H$2:$H$761,$H20,Dati!$A$2:$A$761,$AI20),"-")</f>
        <v/>
      </c>
      <c r="CB20" s="22">
        <f>IF(AND($H20&lt;&gt;"",$AJ20&lt;&gt;"",$H20&lt;&gt;$AJ20,IFERROR(VLOOKUP($H20,areaCercaPuntiClassificaSquadra,3,FALSE),-1)=IFERROR(VLOOKUP($AJ20,areaCercaPuntiClassificaSquadra,3,FALSE),-2)),SUMIFS(Dati!$D$2:$D$761,Dati!$A$2:$A$761,$H20,Dati!$H$2:$H$761,$AJ20)+SUMIFS(Dati!$K$2:$K$761,Dati!$H$2:$H$761,$H20,Dati!$A$2:$A$761,$AJ20)+SUMIFS(Dati!$C$2:$C$761,Dati!$A$2:$A$761,$H20,Dati!$H$2:$H$761,$AJ20)+SUMIFS(Dati!$J$2:$J$761,Dati!$H$2:$H$761,$H20,Dati!$A$2:$A$761,$AJ20),"-")</f>
        <v/>
      </c>
      <c r="CC20" s="22">
        <f>IF(AND($H20&lt;&gt;"",$AK20&lt;&gt;"",$H20&lt;&gt;$AK20,IFERROR(VLOOKUP($H20,areaCercaPuntiClassificaSquadra,3,FALSE),-1)=IFERROR(VLOOKUP($AK20,areaCercaPuntiClassificaSquadra,3,FALSE),-2)),SUMIFS(Dati!$D$2:$D$761,Dati!$A$2:$A$761,$H20,Dati!$H$2:$H$761,$AK20)+SUMIFS(Dati!$K$2:$K$761,Dati!$H$2:$H$761,$H20,Dati!$A$2:$A$761,$AK20)+SUMIFS(Dati!$C$2:$C$761,Dati!$A$2:$A$761,$H20,Dati!$H$2:$H$761,$AK20)+SUMIFS(Dati!$J$2:$J$761,Dati!$H$2:$H$761,$H20,Dati!$A$2:$A$761,$AK20),"-")</f>
        <v/>
      </c>
      <c r="CD20" s="22">
        <f>IF(AND($H20&lt;&gt;"",$AL20&lt;&gt;"",$H20&lt;&gt;$AL20,IFERROR(VLOOKUP($H20,areaCercaPuntiClassificaSquadra,3,FALSE),-1)=IFERROR(VLOOKUP($AL20,areaCercaPuntiClassificaSquadra,3,FALSE),-2)),SUMIFS(Dati!$D$2:$D$761,Dati!$A$2:$A$761,$H20,Dati!$H$2:$H$761,$AL20)+SUMIFS(Dati!$K$2:$K$761,Dati!$H$2:$H$761,$H20,Dati!$A$2:$A$761,$AL20)+SUMIFS(Dati!$C$2:$C$761,Dati!$A$2:$A$761,$H20,Dati!$H$2:$H$761,$AL20)+SUMIFS(Dati!$J$2:$J$761,Dati!$H$2:$H$761,$H20,Dati!$A$2:$A$761,$AL20),"-")</f>
        <v/>
      </c>
      <c r="CE20" s="22">
        <f>IF(AND($H20&lt;&gt;"",$AM20&lt;&gt;"",$H20&lt;&gt;$AM20,IFERROR(VLOOKUP($H20,areaCercaPuntiClassificaSquadra,3,FALSE),-1)=IFERROR(VLOOKUP($AM20,areaCercaPuntiClassificaSquadra,3,FALSE),-2)),SUMIFS(Dati!$D$2:$D$761,Dati!$A$2:$A$761,$H20,Dati!$H$2:$H$761,$AM20)+SUMIFS(Dati!$K$2:$K$761,Dati!$H$2:$H$761,$H20,Dati!$A$2:$A$761,$AM20)+SUMIFS(Dati!$C$2:$C$761,Dati!$A$2:$A$761,$H20,Dati!$H$2:$H$761,$AM20)+SUMIFS(Dati!$J$2:$J$761,Dati!$H$2:$H$761,$H20,Dati!$A$2:$A$761,$AM20),"-")</f>
        <v/>
      </c>
      <c r="CF20" s="22">
        <f>IF(AND($H20&lt;&gt;"",$AN20&lt;&gt;"",$H20&lt;&gt;$AN20,IFERROR(VLOOKUP($H20,areaCercaPuntiClassificaSquadra,3,FALSE),-1)=IFERROR(VLOOKUP($AN20,areaCercaPuntiClassificaSquadra,3,FALSE),-2)),SUMIFS(Dati!$D$2:$D$761,Dati!$A$2:$A$761,$H20,Dati!$H$2:$H$761,$AN20)+SUMIFS(Dati!$K$2:$K$761,Dati!$H$2:$H$761,$H20,Dati!$A$2:$A$761,$AN20)+SUMIFS(Dati!$C$2:$C$761,Dati!$A$2:$A$761,$H20,Dati!$H$2:$H$761,$AN20)+SUMIFS(Dati!$J$2:$J$761,Dati!$H$2:$H$761,$H20,Dati!$A$2:$A$761,$AN20),"-")</f>
        <v/>
      </c>
      <c r="CG20" s="22">
        <f>IF(AND($H20&lt;&gt;"",$AO20&lt;&gt;"",$H20&lt;&gt;$AO20,IFERROR(VLOOKUP($H20,areaCercaPuntiClassificaSquadra,3,FALSE),-1)=IFERROR(VLOOKUP($AO20,areaCercaPuntiClassificaSquadra,3,FALSE),-2)),SUMIFS(Dati!$D$2:$D$761,Dati!$A$2:$A$761,$H20,Dati!$H$2:$H$761,$AO20)+SUMIFS(Dati!$K$2:$K$761,Dati!$H$2:$H$761,$H20,Dati!$A$2:$A$761,$AO20)+SUMIFS(Dati!$C$2:$C$761,Dati!$A$2:$A$761,$H20,Dati!$H$2:$H$761,$AO20)+SUMIFS(Dati!$J$2:$J$761,Dati!$H$2:$H$761,$H20,Dati!$A$2:$A$761,$AO20),"-")</f>
        <v/>
      </c>
      <c r="CH20" s="22">
        <f>IF(AND($H20&lt;&gt;"",$AP20&lt;&gt;"",$H20&lt;&gt;$AP20,IFERROR(VLOOKUP($H20,areaCercaPuntiClassificaSquadra,3,FALSE),-1)=IFERROR(VLOOKUP($AP20,areaCercaPuntiClassificaSquadra,3,FALSE),-2)),SUMIFS(Dati!$D$2:$D$761,Dati!$A$2:$A$761,$H20,Dati!$H$2:$H$761,$AP20)+SUMIFS(Dati!$K$2:$K$761,Dati!$H$2:$H$761,$H20,Dati!$A$2:$A$761,$AP20)+SUMIFS(Dati!$C$2:$C$761,Dati!$A$2:$A$761,$H20,Dati!$H$2:$H$761,$AP20)+SUMIFS(Dati!$J$2:$J$761,Dati!$H$2:$H$761,$H20,Dati!$A$2:$A$761,$AP20),"-")</f>
        <v/>
      </c>
      <c r="CI20" s="22">
        <f>IF(AND($H20&lt;&gt;"",$AQ20&lt;&gt;"",$H20&lt;&gt;$AQ20,IFERROR(VLOOKUP($H20,areaCercaPuntiClassificaSquadra,3,FALSE),-1)=IFERROR(VLOOKUP($AQ20,areaCercaPuntiClassificaSquadra,3,FALSE),-2)),SUMIFS(Dati!$D$2:$D$761,Dati!$A$2:$A$761,$H20,Dati!$H$2:$H$761,$AQ20)+SUMIFS(Dati!$K$2:$K$761,Dati!$H$2:$H$761,$H20,Dati!$A$2:$A$761,$AQ20)+SUMIFS(Dati!$C$2:$C$761,Dati!$A$2:$A$761,$H20,Dati!$H$2:$H$761,$AQ20)+SUMIFS(Dati!$J$2:$J$761,Dati!$H$2:$H$761,$H20,Dati!$A$2:$A$761,$AQ20),"-")</f>
        <v/>
      </c>
      <c r="CJ20" s="22">
        <f>IF(AND($H20&lt;&gt;"",$AR20&lt;&gt;"",$H20&lt;&gt;$AR20,IFERROR(VLOOKUP($H20,areaCercaPuntiClassificaSquadra,3,FALSE),-1)=IFERROR(VLOOKUP($AR20,areaCercaPuntiClassificaSquadra,3,FALSE),-2)),SUMIFS(Dati!$D$2:$D$761,Dati!$A$2:$A$761,$H20,Dati!$H$2:$H$761,$AR20)+SUMIFS(Dati!$K$2:$K$761,Dati!$H$2:$H$761,$H20,Dati!$A$2:$A$761,$AR20)+SUMIFS(Dati!$C$2:$C$761,Dati!$A$2:$A$761,$H20,Dati!$H$2:$H$761,$AR20)+SUMIFS(Dati!$J$2:$J$761,Dati!$H$2:$H$761,$H20,Dati!$A$2:$A$761,$AR20),"-")</f>
        <v/>
      </c>
      <c r="CL20" s="21">
        <f>$C20</f>
        <v/>
      </c>
      <c r="CM20" s="22">
        <f>IF(AND($H20&lt;&gt;"",$Y20&lt;&gt;"",$H20&lt;&gt;$Y20,IFERROR(VLOOKUP($H20,areaCercaPuntiClassificaSquadra,3,FALSE),-1)=IFERROR(VLOOKUP($Y20,areaCercaPuntiClassificaSquadra,3,FALSE),-2)),SUMIFS(Dati!$E$2:$E$761,Dati!$A$2:$A$761,$H20,Dati!$H$2:$H$761,$Y20)+SUMIFS(Dati!$L$2:$L$761,Dati!$H$2:$H$761,$H20,Dati!$A$2:$A$761,$Y20),"-")</f>
        <v/>
      </c>
      <c r="CN20" s="22">
        <f>IF(AND($H20&lt;&gt;"",$Z20&lt;&gt;"",$H20&lt;&gt;$Z20,IFERROR(VLOOKUP($H20,areaCercaPuntiClassificaSquadra,3,FALSE),-1)=IFERROR(VLOOKUP($Z20,areaCercaPuntiClassificaSquadra,3,FALSE),-2)),SUMIFS(Dati!$E$2:$E$761,Dati!$A$2:$A$761,$H20,Dati!$H$2:$H$761,$Z20)+SUMIFS(Dati!$L$2:$L$761,Dati!$H$2:$H$761,$H20,Dati!$A$2:$A$761,$Z20),"-")</f>
        <v/>
      </c>
      <c r="CO20" s="22">
        <f>IF(AND($H20&lt;&gt;"",$AA20&lt;&gt;"",$H20&lt;&gt;$AA20,IFERROR(VLOOKUP($H20,areaCercaPuntiClassificaSquadra,3,FALSE),-1)=IFERROR(VLOOKUP($AA20,areaCercaPuntiClassificaSquadra,3,FALSE),-2)),SUMIFS(Dati!$E$2:$E$761,Dati!$A$2:$A$761,$H20,Dati!$H$2:$H$761,$AA20)+SUMIFS(Dati!$L$2:$L$761,Dati!$H$2:$H$761,$H20,Dati!$A$2:$A$761,$AA20),"-")</f>
        <v/>
      </c>
      <c r="CP20" s="22">
        <f>IF(AND($H20&lt;&gt;"",$AB20&lt;&gt;"",$H20&lt;&gt;$AB20,IFERROR(VLOOKUP($H20,areaCercaPuntiClassificaSquadra,3,FALSE),-1)=IFERROR(VLOOKUP($AB20,areaCercaPuntiClassificaSquadra,3,FALSE),-2)),SUMIFS(Dati!$E$2:$E$761,Dati!$A$2:$A$761,$H20,Dati!$H$2:$H$761,$AB20)+SUMIFS(Dati!$L$2:$L$761,Dati!$H$2:$H$761,$H20,Dati!$A$2:$A$761,$AB20),"-")</f>
        <v/>
      </c>
      <c r="CQ20" s="22">
        <f>IF(AND($H20&lt;&gt;"",$AC20&lt;&gt;"",$H20&lt;&gt;$AC20,IFERROR(VLOOKUP($H20,areaCercaPuntiClassificaSquadra,3,FALSE),-1)=IFERROR(VLOOKUP($AC20,areaCercaPuntiClassificaSquadra,3,FALSE),-2)),SUMIFS(Dati!$E$2:$E$761,Dati!$A$2:$A$761,$H20,Dati!$H$2:$H$761,$AC20)+SUMIFS(Dati!$L$2:$L$761,Dati!$H$2:$H$761,$H20,Dati!$A$2:$A$761,$AC20),"-")</f>
        <v/>
      </c>
      <c r="CR20" s="22">
        <f>IF(AND($H20&lt;&gt;"",$AD20&lt;&gt;"",$H20&lt;&gt;$AD20,IFERROR(VLOOKUP($H20,areaCercaPuntiClassificaSquadra,3,FALSE),-1)=IFERROR(VLOOKUP($AD20,areaCercaPuntiClassificaSquadra,3,FALSE),-2)),SUMIFS(Dati!$E$2:$E$761,Dati!$A$2:$A$761,$H20,Dati!$H$2:$H$761,$AD20)+SUMIFS(Dati!$L$2:$L$761,Dati!$H$2:$H$761,$H20,Dati!$A$2:$A$761,$AD20),"-")</f>
        <v/>
      </c>
      <c r="CS20" s="22">
        <f>IF(AND($H20&lt;&gt;"",$AE20&lt;&gt;"",$H20&lt;&gt;$AE20,IFERROR(VLOOKUP($H20,areaCercaPuntiClassificaSquadra,3,FALSE),-1)=IFERROR(VLOOKUP($AE20,areaCercaPuntiClassificaSquadra,3,FALSE),-2)),SUMIFS(Dati!$E$2:$E$761,Dati!$A$2:$A$761,$H20,Dati!$H$2:$H$761,$AE20)+SUMIFS(Dati!$L$2:$L$761,Dati!$H$2:$H$761,$H20,Dati!$A$2:$A$761,$AE20),"-")</f>
        <v/>
      </c>
      <c r="CT20" s="22">
        <f>IF(AND($H20&lt;&gt;"",$AF20&lt;&gt;"",$H20&lt;&gt;$AF20,IFERROR(VLOOKUP($H20,areaCercaPuntiClassificaSquadra,3,FALSE),-1)=IFERROR(VLOOKUP($AF20,areaCercaPuntiClassificaSquadra,3,FALSE),-2)),SUMIFS(Dati!$E$2:$E$761,Dati!$A$2:$A$761,$H20,Dati!$H$2:$H$761,$AF20)+SUMIFS(Dati!$L$2:$L$761,Dati!$H$2:$H$761,$H20,Dati!$A$2:$A$761,$AF20),"-")</f>
        <v/>
      </c>
      <c r="CU20" s="22">
        <f>IF(AND($H20&lt;&gt;"",$AG20&lt;&gt;"",$H20&lt;&gt;$AG20,IFERROR(VLOOKUP($H20,areaCercaPuntiClassificaSquadra,3,FALSE),-1)=IFERROR(VLOOKUP($AG20,areaCercaPuntiClassificaSquadra,3,FALSE),-2)),SUMIFS(Dati!$E$2:$E$761,Dati!$A$2:$A$761,$H20,Dati!$H$2:$H$761,$AG20)+SUMIFS(Dati!$L$2:$L$761,Dati!$H$2:$H$761,$H20,Dati!$A$2:$A$761,$AG20),"-")</f>
        <v/>
      </c>
      <c r="CV20" s="22">
        <f>IF(AND($H20&lt;&gt;"",$AH20&lt;&gt;"",$H20&lt;&gt;$AH20,IFERROR(VLOOKUP($H20,areaCercaPuntiClassificaSquadra,3,FALSE),-1)=IFERROR(VLOOKUP($AH20,areaCercaPuntiClassificaSquadra,3,FALSE),-2)),SUMIFS(Dati!$E$2:$E$761,Dati!$A$2:$A$761,$H20,Dati!$H$2:$H$761,$AH20)+SUMIFS(Dati!$L$2:$L$761,Dati!$H$2:$H$761,$H20,Dati!$A$2:$A$761,$AH20),"-")</f>
        <v/>
      </c>
      <c r="CW20" s="22">
        <f>IF(AND($H20&lt;&gt;"",$AI20&lt;&gt;"",$H20&lt;&gt;$AI20,IFERROR(VLOOKUP($H20,areaCercaPuntiClassificaSquadra,3,FALSE),-1)=IFERROR(VLOOKUP($AI20,areaCercaPuntiClassificaSquadra,3,FALSE),-2)),SUMIFS(Dati!$E$2:$E$761,Dati!$A$2:$A$761,$H20,Dati!$H$2:$H$761,$AI20)+SUMIFS(Dati!$L$2:$L$761,Dati!$H$2:$H$761,$H20,Dati!$A$2:$A$761,$AI20),"-")</f>
        <v/>
      </c>
      <c r="CX20" s="22">
        <f>IF(AND($H20&lt;&gt;"",$AJ20&lt;&gt;"",$H20&lt;&gt;$AJ20,IFERROR(VLOOKUP($H20,areaCercaPuntiClassificaSquadra,3,FALSE),-1)=IFERROR(VLOOKUP($AJ20,areaCercaPuntiClassificaSquadra,3,FALSE),-2)),SUMIFS(Dati!$E$2:$E$761,Dati!$A$2:$A$761,$H20,Dati!$H$2:$H$761,$AJ20)+SUMIFS(Dati!$L$2:$L$761,Dati!$H$2:$H$761,$H20,Dati!$A$2:$A$761,$AJ20),"-")</f>
        <v/>
      </c>
      <c r="CY20" s="22">
        <f>IF(AND($H20&lt;&gt;"",$AK20&lt;&gt;"",$H20&lt;&gt;$AK20,IFERROR(VLOOKUP($H20,areaCercaPuntiClassificaSquadra,3,FALSE),-1)=IFERROR(VLOOKUP($AK20,areaCercaPuntiClassificaSquadra,3,FALSE),-2)),SUMIFS(Dati!$E$2:$E$761,Dati!$A$2:$A$761,$H20,Dati!$H$2:$H$761,$AK20)+SUMIFS(Dati!$L$2:$L$761,Dati!$H$2:$H$761,$H20,Dati!$A$2:$A$761,$AK20),"-")</f>
        <v/>
      </c>
      <c r="CZ20" s="22">
        <f>IF(AND($H20&lt;&gt;"",$AL20&lt;&gt;"",$H20&lt;&gt;$AL20,IFERROR(VLOOKUP($H20,areaCercaPuntiClassificaSquadra,3,FALSE),-1)=IFERROR(VLOOKUP($AL20,areaCercaPuntiClassificaSquadra,3,FALSE),-2)),SUMIFS(Dati!$E$2:$E$761,Dati!$A$2:$A$761,$H20,Dati!$H$2:$H$761,$AL20)+SUMIFS(Dati!$L$2:$L$761,Dati!$H$2:$H$761,$H20,Dati!$A$2:$A$761,$AL20),"-")</f>
        <v/>
      </c>
      <c r="DA20" s="22">
        <f>IF(AND($H20&lt;&gt;"",$AM20&lt;&gt;"",$H20&lt;&gt;$AM20,IFERROR(VLOOKUP($H20,areaCercaPuntiClassificaSquadra,3,FALSE),-1)=IFERROR(VLOOKUP($AM20,areaCercaPuntiClassificaSquadra,3,FALSE),-2)),SUMIFS(Dati!$E$2:$E$761,Dati!$A$2:$A$761,$H20,Dati!$H$2:$H$761,$AM20)+SUMIFS(Dati!$L$2:$L$761,Dati!$H$2:$H$761,$H20,Dati!$A$2:$A$761,$AM20),"-")</f>
        <v/>
      </c>
      <c r="DB20" s="22">
        <f>IF(AND($H20&lt;&gt;"",$AN20&lt;&gt;"",$H20&lt;&gt;$AN20,IFERROR(VLOOKUP($H20,areaCercaPuntiClassificaSquadra,3,FALSE),-1)=IFERROR(VLOOKUP($AN20,areaCercaPuntiClassificaSquadra,3,FALSE),-2)),SUMIFS(Dati!$E$2:$E$761,Dati!$A$2:$A$761,$H20,Dati!$H$2:$H$761,$AN20)+SUMIFS(Dati!$L$2:$L$761,Dati!$H$2:$H$761,$H20,Dati!$A$2:$A$761,$AN20),"-")</f>
        <v/>
      </c>
      <c r="DC20" s="22">
        <f>IF(AND($H20&lt;&gt;"",$AO20&lt;&gt;"",$H20&lt;&gt;$AO20,IFERROR(VLOOKUP($H20,areaCercaPuntiClassificaSquadra,3,FALSE),-1)=IFERROR(VLOOKUP($AO20,areaCercaPuntiClassificaSquadra,3,FALSE),-2)),SUMIFS(Dati!$E$2:$E$761,Dati!$A$2:$A$761,$H20,Dati!$H$2:$H$761,$AO20)+SUMIFS(Dati!$L$2:$L$761,Dati!$H$2:$H$761,$H20,Dati!$A$2:$A$761,$AO20),"-")</f>
        <v/>
      </c>
      <c r="DD20" s="22">
        <f>IF(AND($H20&lt;&gt;"",$AP20&lt;&gt;"",$H20&lt;&gt;$AP20,IFERROR(VLOOKUP($H20,areaCercaPuntiClassificaSquadra,3,FALSE),-1)=IFERROR(VLOOKUP($AP20,areaCercaPuntiClassificaSquadra,3,FALSE),-2)),SUMIFS(Dati!$E$2:$E$761,Dati!$A$2:$A$761,$H20,Dati!$H$2:$H$761,$AP20)+SUMIFS(Dati!$L$2:$L$761,Dati!$H$2:$H$761,$H20,Dati!$A$2:$A$761,$AP20),"-")</f>
        <v/>
      </c>
      <c r="DE20" s="22">
        <f>IF(AND($H20&lt;&gt;"",$AQ20&lt;&gt;"",$H20&lt;&gt;$AQ20,IFERROR(VLOOKUP($H20,areaCercaPuntiClassificaSquadra,3,FALSE),-1)=IFERROR(VLOOKUP($AQ20,areaCercaPuntiClassificaSquadra,3,FALSE),-2)),SUMIFS(Dati!$E$2:$E$761,Dati!$A$2:$A$761,$H20,Dati!$H$2:$H$761,$AQ20)+SUMIFS(Dati!$L$2:$L$761,Dati!$H$2:$H$761,$H20,Dati!$A$2:$A$761,$AQ20),"-")</f>
        <v/>
      </c>
      <c r="DF20" s="22">
        <f>IF(AND($H20&lt;&gt;"",$AR20&lt;&gt;"",$H20&lt;&gt;$AR20,IFERROR(VLOOKUP($H20,areaCercaPuntiClassificaSquadra,3,FALSE),-1)=IFERROR(VLOOKUP($AR20,areaCercaPuntiClassificaSquadra,3,FALSE),-2)),SUMIFS(Dati!$E$2:$E$761,Dati!$A$2:$A$761,$H20,Dati!$H$2:$H$761,$AR20)+SUMIFS(Dati!$L$2:$L$761,Dati!$H$2:$H$761,$H20,Dati!$A$2:$A$761,$AR20),"-")</f>
        <v/>
      </c>
      <c r="DH20" s="21">
        <f>$C20</f>
        <v/>
      </c>
      <c r="DI20" s="22">
        <f>IF(AND($H20&lt;&gt;"",$Y20&lt;&gt;"",$H20&lt;&gt;$Y20,IFERROR(VLOOKUP($H20,areaCercaPuntiClassificaSquadra,3,FALSE),-1)=IFERROR(VLOOKUP($Y20,areaCercaPuntiClassificaSquadra,3,FALSE),-2)),SUMIFS(Dati!$F$2:$F$761,Dati!$A$2:$A$761,$H20,Dati!$H$2:$H$761,$Y20)+SUMIFS(Dati!$M$2:$M$761,Dati!$H$2:$H$761,$H20,Dati!$A$2:$A$761,$Y20),"-")</f>
        <v/>
      </c>
      <c r="DJ20" s="22">
        <f>IF(AND($H20&lt;&gt;"",$Z20&lt;&gt;"",$H20&lt;&gt;$Z20,IFERROR(VLOOKUP($H20,areaCercaPuntiClassificaSquadra,3,FALSE),-1)=IFERROR(VLOOKUP($Z20,areaCercaPuntiClassificaSquadra,3,FALSE),-2)),SUMIFS(Dati!$F$2:$F$761,Dati!$A$2:$A$761,$H20,Dati!$H$2:$H$761,$Z20)+SUMIFS(Dati!$M$2:$M$761,Dati!$H$2:$H$761,$H20,Dati!$A$2:$A$761,$Z20),"-")</f>
        <v/>
      </c>
      <c r="DK20" s="22">
        <f>IF(AND($H20&lt;&gt;"",$AA20&lt;&gt;"",$H20&lt;&gt;$AA20,IFERROR(VLOOKUP($H20,areaCercaPuntiClassificaSquadra,3,FALSE),-1)=IFERROR(VLOOKUP($AA20,areaCercaPuntiClassificaSquadra,3,FALSE),-2)),SUMIFS(Dati!$F$2:$F$761,Dati!$A$2:$A$761,$H20,Dati!$H$2:$H$761,$AA20)+SUMIFS(Dati!$M$2:$M$761,Dati!$H$2:$H$761,$H20,Dati!$A$2:$A$761,$AA20),"-")</f>
        <v/>
      </c>
      <c r="DL20" s="22">
        <f>IF(AND($H20&lt;&gt;"",$AB20&lt;&gt;"",$H20&lt;&gt;$AB20,IFERROR(VLOOKUP($H20,areaCercaPuntiClassificaSquadra,3,FALSE),-1)=IFERROR(VLOOKUP($AB20,areaCercaPuntiClassificaSquadra,3,FALSE),-2)),SUMIFS(Dati!$F$2:$F$761,Dati!$A$2:$A$761,$H20,Dati!$H$2:$H$761,$AB20)+SUMIFS(Dati!$M$2:$M$761,Dati!$H$2:$H$761,$H20,Dati!$A$2:$A$761,$AB20),"-")</f>
        <v/>
      </c>
      <c r="DM20" s="22">
        <f>IF(AND($H20&lt;&gt;"",$AC20&lt;&gt;"",$H20&lt;&gt;$AC20,IFERROR(VLOOKUP($H20,areaCercaPuntiClassificaSquadra,3,FALSE),-1)=IFERROR(VLOOKUP($AC20,areaCercaPuntiClassificaSquadra,3,FALSE),-2)),SUMIFS(Dati!$F$2:$F$761,Dati!$A$2:$A$761,$H20,Dati!$H$2:$H$761,$AC20)+SUMIFS(Dati!$M$2:$M$761,Dati!$H$2:$H$761,$H20,Dati!$A$2:$A$761,$AC20),"-")</f>
        <v/>
      </c>
      <c r="DN20" s="22">
        <f>IF(AND($H20&lt;&gt;"",$AD20&lt;&gt;"",$H20&lt;&gt;$AD20,IFERROR(VLOOKUP($H20,areaCercaPuntiClassificaSquadra,3,FALSE),-1)=IFERROR(VLOOKUP($AD20,areaCercaPuntiClassificaSquadra,3,FALSE),-2)),SUMIFS(Dati!$F$2:$F$761,Dati!$A$2:$A$761,$H20,Dati!$H$2:$H$761,$AD20)+SUMIFS(Dati!$M$2:$M$761,Dati!$H$2:$H$761,$H20,Dati!$A$2:$A$761,$AD20),"-")</f>
        <v/>
      </c>
      <c r="DO20" s="22">
        <f>IF(AND($H20&lt;&gt;"",$AE20&lt;&gt;"",$H20&lt;&gt;$AE20,IFERROR(VLOOKUP($H20,areaCercaPuntiClassificaSquadra,3,FALSE),-1)=IFERROR(VLOOKUP($AE20,areaCercaPuntiClassificaSquadra,3,FALSE),-2)),SUMIFS(Dati!$F$2:$F$761,Dati!$A$2:$A$761,$H20,Dati!$H$2:$H$761,$AE20)+SUMIFS(Dati!$M$2:$M$761,Dati!$H$2:$H$761,$H20,Dati!$A$2:$A$761,$AE20),"-")</f>
        <v/>
      </c>
      <c r="DP20" s="22">
        <f>IF(AND($H20&lt;&gt;"",$AF20&lt;&gt;"",$H20&lt;&gt;$AF20,IFERROR(VLOOKUP($H20,areaCercaPuntiClassificaSquadra,3,FALSE),-1)=IFERROR(VLOOKUP($AF20,areaCercaPuntiClassificaSquadra,3,FALSE),-2)),SUMIFS(Dati!$F$2:$F$761,Dati!$A$2:$A$761,$H20,Dati!$H$2:$H$761,$AF20)+SUMIFS(Dati!$M$2:$M$761,Dati!$H$2:$H$761,$H20,Dati!$A$2:$A$761,$AF20),"-")</f>
        <v/>
      </c>
      <c r="DQ20" s="22">
        <f>IF(AND($H20&lt;&gt;"",$AG20&lt;&gt;"",$H20&lt;&gt;$AG20,IFERROR(VLOOKUP($H20,areaCercaPuntiClassificaSquadra,3,FALSE),-1)=IFERROR(VLOOKUP($AG20,areaCercaPuntiClassificaSquadra,3,FALSE),-2)),SUMIFS(Dati!$F$2:$F$761,Dati!$A$2:$A$761,$H20,Dati!$H$2:$H$761,$AG20)+SUMIFS(Dati!$M$2:$M$761,Dati!$H$2:$H$761,$H20,Dati!$A$2:$A$761,$AG20),"-")</f>
        <v/>
      </c>
      <c r="DR20" s="22">
        <f>IF(AND($H20&lt;&gt;"",$AH20&lt;&gt;"",$H20&lt;&gt;$AH20,IFERROR(VLOOKUP($H20,areaCercaPuntiClassificaSquadra,3,FALSE),-1)=IFERROR(VLOOKUP($AH20,areaCercaPuntiClassificaSquadra,3,FALSE),-2)),SUMIFS(Dati!$F$2:$F$761,Dati!$A$2:$A$761,$H20,Dati!$H$2:$H$761,$AH20)+SUMIFS(Dati!$M$2:$M$761,Dati!$H$2:$H$761,$H20,Dati!$A$2:$A$761,$AH20),"-")</f>
        <v/>
      </c>
      <c r="DS20" s="22">
        <f>IF(AND($H20&lt;&gt;"",$AI20&lt;&gt;"",$H20&lt;&gt;$AI20,IFERROR(VLOOKUP($H20,areaCercaPuntiClassificaSquadra,3,FALSE),-1)=IFERROR(VLOOKUP($AI20,areaCercaPuntiClassificaSquadra,3,FALSE),-2)),SUMIFS(Dati!$F$2:$F$761,Dati!$A$2:$A$761,$H20,Dati!$H$2:$H$761,$AI20)+SUMIFS(Dati!$M$2:$M$761,Dati!$H$2:$H$761,$H20,Dati!$A$2:$A$761,$AI20),"-")</f>
        <v/>
      </c>
      <c r="DT20" s="22">
        <f>IF(AND($H20&lt;&gt;"",$AJ20&lt;&gt;"",$H20&lt;&gt;$AJ20,IFERROR(VLOOKUP($H20,areaCercaPuntiClassificaSquadra,3,FALSE),-1)=IFERROR(VLOOKUP($AJ20,areaCercaPuntiClassificaSquadra,3,FALSE),-2)),SUMIFS(Dati!$F$2:$F$761,Dati!$A$2:$A$761,$H20,Dati!$H$2:$H$761,$AJ20)+SUMIFS(Dati!$M$2:$M$761,Dati!$H$2:$H$761,$H20,Dati!$A$2:$A$761,$AJ20),"-")</f>
        <v/>
      </c>
      <c r="DU20" s="22">
        <f>IF(AND($H20&lt;&gt;"",$AK20&lt;&gt;"",$H20&lt;&gt;$AK20,IFERROR(VLOOKUP($H20,areaCercaPuntiClassificaSquadra,3,FALSE),-1)=IFERROR(VLOOKUP($AK20,areaCercaPuntiClassificaSquadra,3,FALSE),-2)),SUMIFS(Dati!$F$2:$F$761,Dati!$A$2:$A$761,$H20,Dati!$H$2:$H$761,$AK20)+SUMIFS(Dati!$M$2:$M$761,Dati!$H$2:$H$761,$H20,Dati!$A$2:$A$761,$AK20),"-")</f>
        <v/>
      </c>
      <c r="DV20" s="22">
        <f>IF(AND($H20&lt;&gt;"",$AL20&lt;&gt;"",$H20&lt;&gt;$AL20,IFERROR(VLOOKUP($H20,areaCercaPuntiClassificaSquadra,3,FALSE),-1)=IFERROR(VLOOKUP($AL20,areaCercaPuntiClassificaSquadra,3,FALSE),-2)),SUMIFS(Dati!$F$2:$F$761,Dati!$A$2:$A$761,$H20,Dati!$H$2:$H$761,$AL20)+SUMIFS(Dati!$M$2:$M$761,Dati!$H$2:$H$761,$H20,Dati!$A$2:$A$761,$AL20),"-")</f>
        <v/>
      </c>
      <c r="DW20" s="22">
        <f>IF(AND($H20&lt;&gt;"",$AM20&lt;&gt;"",$H20&lt;&gt;$AM20,IFERROR(VLOOKUP($H20,areaCercaPuntiClassificaSquadra,3,FALSE),-1)=IFERROR(VLOOKUP($AM20,areaCercaPuntiClassificaSquadra,3,FALSE),-2)),SUMIFS(Dati!$F$2:$F$761,Dati!$A$2:$A$761,$H20,Dati!$H$2:$H$761,$AM20)+SUMIFS(Dati!$M$2:$M$761,Dati!$H$2:$H$761,$H20,Dati!$A$2:$A$761,$AM20),"-")</f>
        <v/>
      </c>
      <c r="DX20" s="22">
        <f>IF(AND($H20&lt;&gt;"",$AN20&lt;&gt;"",$H20&lt;&gt;$AN20,IFERROR(VLOOKUP($H20,areaCercaPuntiClassificaSquadra,3,FALSE),-1)=IFERROR(VLOOKUP($AN20,areaCercaPuntiClassificaSquadra,3,FALSE),-2)),SUMIFS(Dati!$F$2:$F$761,Dati!$A$2:$A$761,$H20,Dati!$H$2:$H$761,$AN20)+SUMIFS(Dati!$M$2:$M$761,Dati!$H$2:$H$761,$H20,Dati!$A$2:$A$761,$AN20),"-")</f>
        <v/>
      </c>
      <c r="DY20" s="22">
        <f>IF(AND($H20&lt;&gt;"",$AO20&lt;&gt;"",$H20&lt;&gt;$AO20,IFERROR(VLOOKUP($H20,areaCercaPuntiClassificaSquadra,3,FALSE),-1)=IFERROR(VLOOKUP($AO20,areaCercaPuntiClassificaSquadra,3,FALSE),-2)),SUMIFS(Dati!$F$2:$F$761,Dati!$A$2:$A$761,$H20,Dati!$H$2:$H$761,$AO20)+SUMIFS(Dati!$M$2:$M$761,Dati!$H$2:$H$761,$H20,Dati!$A$2:$A$761,$AO20),"-")</f>
        <v/>
      </c>
      <c r="DZ20" s="22">
        <f>IF(AND($H20&lt;&gt;"",$AP20&lt;&gt;"",$H20&lt;&gt;$AP20,IFERROR(VLOOKUP($H20,areaCercaPuntiClassificaSquadra,3,FALSE),-1)=IFERROR(VLOOKUP($AP20,areaCercaPuntiClassificaSquadra,3,FALSE),-2)),SUMIFS(Dati!$F$2:$F$761,Dati!$A$2:$A$761,$H20,Dati!$H$2:$H$761,$AP20)+SUMIFS(Dati!$M$2:$M$761,Dati!$H$2:$H$761,$H20,Dati!$A$2:$A$761,$AP20),"-")</f>
        <v/>
      </c>
      <c r="EA20" s="22">
        <f>IF(AND($H20&lt;&gt;"",$AQ20&lt;&gt;"",$H20&lt;&gt;$AQ20,IFERROR(VLOOKUP($H20,areaCercaPuntiClassificaSquadra,3,FALSE),-1)=IFERROR(VLOOKUP($AQ20,areaCercaPuntiClassificaSquadra,3,FALSE),-2)),SUMIFS(Dati!$F$2:$F$761,Dati!$A$2:$A$761,$H20,Dati!$H$2:$H$761,$AQ20)+SUMIFS(Dati!$M$2:$M$761,Dati!$H$2:$H$761,$H20,Dati!$A$2:$A$761,$AQ20),"-")</f>
        <v/>
      </c>
      <c r="EB20" s="22">
        <f>IF(AND($H20&lt;&gt;"",$AR20&lt;&gt;"",$H20&lt;&gt;$AR20,IFERROR(VLOOKUP($H20,areaCercaPuntiClassificaSquadra,3,FALSE),-1)=IFERROR(VLOOKUP($AR20,areaCercaPuntiClassificaSquadra,3,FALSE),-2)),SUMIFS(Dati!$F$2:$F$761,Dati!$A$2:$A$761,$H20,Dati!$H$2:$H$761,$AR20)+SUMIFS(Dati!$M$2:$M$761,Dati!$H$2:$H$761,$H20,Dati!$A$2:$A$761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inlineStr">
        <is>
          <t>Ibis Instancabili-Ibisopoli II</t>
        </is>
      </c>
      <c r="D21" s="14" t="n"/>
      <c r="E21" s="15" t="inlineStr">
        <is>
          <t>A</t>
        </is>
      </c>
      <c r="G21" s="16">
        <f>IF($C21="","",$E21&amp;(COUNTIFS(I$14:I$93,"&gt;"&amp;I21,E$14:E$93,"="&amp;E21,C$14:C$93,"&lt;&gt;")+COUNTIFS(I$14:I$93,"="&amp;I21,H$14:H$93,"&lt;="&amp;H21,E$14:E$93,"="&amp;E21,C$14:C$93,"&lt;&gt;")))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L21*constPuntiVittoria+M21*constPuntiSconfitta+N21*constPuntiForfait+IF(D21="",0,D21)</f>
        <v/>
      </c>
      <c r="K21" s="12">
        <f>SUM(L21:N21)</f>
        <v/>
      </c>
      <c r="L21" s="12">
        <f>IF($H21="",0,SUMIF(Dati!$A$2:$A$761,$H21,Dati!$B$2:$B$761)+SUMIF(Dati!$H$2:$H$761,$H21,Dati!$I$2:$I$761))</f>
        <v/>
      </c>
      <c r="M21" s="12">
        <f>IF($H21="",0,SUMIF(Dati!$A$2:$A$761,$H21,Dati!$D$2:$D$761)+SUMIF(Dati!$H$2:$H$761,$H21,Dati!$K$2:$K$761))</f>
        <v/>
      </c>
      <c r="N21" s="12">
        <f>IF($H21="",0,SUMIF(Dati!$A$2:$A$761,$H21,Dati!$C$2:$C$761)+SUMIF(Dati!$H$2:$H$761,$H21,Dati!$J$2:$J$761))</f>
        <v/>
      </c>
      <c r="O21" s="12">
        <f>IF($H21="",0,SUMIF(Dati!$A$2:$A$761,$H21,Dati!$E$2:$E$761)+SUMIF(Dati!$H$2:$H$761,$H21,Dati!$L$2:$L$761))</f>
        <v/>
      </c>
      <c r="P21" s="12">
        <f>IF($H21="",0,SUMIF(Dati!$A$2:$A$761,$H21,Dati!$F$2:$F$761)+SUMIF(Dati!$H$2:$H$761,$H21,Dati!$M$2:$M$761))</f>
        <v/>
      </c>
      <c r="Q21" s="12">
        <f>IF($H21="",0,SUMIF(Dati!$A$2:$A$761,$H21,Dati!$G$2:$G$761)+SUMIF(Dati!$H$2:$H$761,$H21,Dati!$N$2:$N$761))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IF(COUNTIFS($E$14:$E$93,$E21,$J$14:$J$93,$J21,$C$14:$C$93,"&lt;&gt;")&lt;=1,"-",SUM(AU21:BN21)&amp;"-"&amp;SUM(BQ21:CJ21))</f>
        <v/>
      </c>
      <c r="V21" s="18">
        <f>IF(COUNTIFS($E$14:$E$93,$E21,$J$14:$J$93,$J21,$C$14:$C$93,"&lt;&gt;",$ED$14:$ED$93,$ED21)&lt;=1,"-",IF(SUM(DI21:EB21)=0,0,ROUND(SUM(CM21:DF21)/SUM(DI21:EB21),3)))</f>
        <v/>
      </c>
      <c r="W21" s="18">
        <f>IF(COUNTIFS($E$14:$E$93,$E21,$J$14:$J$93,$J21,$C$14:$C$93,"&lt;&gt;",$ED$14:$ED$93,$ED21,$V$14:$V$93,$V21)&lt;=1,"-",IF(P21=0,0,ROUND(O21/P21,3)))</f>
        <v/>
      </c>
      <c r="X21" s="19">
        <f>IF($C21="","",$E21&amp;"#"&amp;COUNTIFS($E$14:$E21,$E21,$C$14:$C21,"&lt;&gt;"))</f>
        <v/>
      </c>
      <c r="Y21" s="20">
        <f>IFERROR(INDEX($H$14:$H$93,MATCH($E21&amp;"#1",$X$14:$X$93,0)),"")</f>
        <v/>
      </c>
      <c r="Z21" s="20">
        <f>IFERROR(INDEX($H$14:$H$93,MATCH($E21&amp;"#2",$X$14:$X$93,0)),"")</f>
        <v/>
      </c>
      <c r="AA21" s="20">
        <f>IFERROR(INDEX($H$14:$H$93,MATCH($E21&amp;"#3",$X$14:$X$93,0)),"")</f>
        <v/>
      </c>
      <c r="AB21" s="20">
        <f>IFERROR(INDEX($H$14:$H$93,MATCH($E21&amp;"#4",$X$14:$X$93,0)),"")</f>
        <v/>
      </c>
      <c r="AC21" s="20">
        <f>IFERROR(INDEX($H$14:$H$93,MATCH($E21&amp;"#5",$X$14:$X$93,0)),"")</f>
        <v/>
      </c>
      <c r="AD21" s="20">
        <f>IFERROR(INDEX($H$14:$H$93,MATCH($E21&amp;"#6",$X$14:$X$93,0)),"")</f>
        <v/>
      </c>
      <c r="AE21" s="20">
        <f>IFERROR(INDEX($H$14:$H$93,MATCH($E21&amp;"#7",$X$14:$X$93,0)),"")</f>
        <v/>
      </c>
      <c r="AF21" s="20">
        <f>IFERROR(INDEX($H$14:$H$93,MATCH($E21&amp;"#8",$X$14:$X$93,0)),"")</f>
        <v/>
      </c>
      <c r="AG21" s="20">
        <f>IFERROR(INDEX($H$14:$H$93,MATCH($E21&amp;"#9",$X$14:$X$93,0)),"")</f>
        <v/>
      </c>
      <c r="AH21" s="20">
        <f>IFERROR(INDEX($H$14:$H$93,MATCH($E21&amp;"#10",$X$14:$X$93,0)),"")</f>
        <v/>
      </c>
      <c r="AI21" s="20">
        <f>IFERROR(INDEX($H$14:$H$93,MATCH($E21&amp;"#11",$X$14:$X$93,0)),"")</f>
        <v/>
      </c>
      <c r="AJ21" s="20">
        <f>IFERROR(INDEX($H$14:$H$93,MATCH($E21&amp;"#12",$X$14:$X$93,0)),"")</f>
        <v/>
      </c>
      <c r="AK21" s="20">
        <f>IFERROR(INDEX($H$14:$H$93,MATCH($E21&amp;"#13",$X$14:$X$93,0)),"")</f>
        <v/>
      </c>
      <c r="AL21" s="20">
        <f>IFERROR(INDEX($H$14:$H$93,MATCH($E21&amp;"#14",$X$14:$X$93,0)),"")</f>
        <v/>
      </c>
      <c r="AM21" s="20">
        <f>IFERROR(INDEX($H$14:$H$93,MATCH($E21&amp;"#15",$X$14:$X$93,0)),"")</f>
        <v/>
      </c>
      <c r="AN21" s="20">
        <f>IFERROR(INDEX($H$14:$H$93,MATCH($E21&amp;"#16",$X$14:$X$93,0)),"")</f>
        <v/>
      </c>
      <c r="AO21" s="20">
        <f>IFERROR(INDEX($H$14:$H$93,MATCH($E21&amp;"#17",$X$14:$X$93,0)),"")</f>
        <v/>
      </c>
      <c r="AP21" s="20">
        <f>IFERROR(INDEX($H$14:$H$93,MATCH($E21&amp;"#18",$X$14:$X$93,0)),"")</f>
        <v/>
      </c>
      <c r="AQ21" s="20">
        <f>IFERROR(INDEX($H$14:$H$93,MATCH($E21&amp;"#19",$X$14:$X$93,0)),"")</f>
        <v/>
      </c>
      <c r="AR21" s="20">
        <f>IFERROR(INDEX($H$14:$H$93,MATCH($E21&amp;"#20",$X$14:$X$93,0)),"")</f>
        <v/>
      </c>
      <c r="AT21" s="21">
        <f>$C21</f>
        <v/>
      </c>
      <c r="AU21" s="22">
        <f>IF(AND($H21&lt;&gt;"",$Y21&lt;&gt;"",$H21&lt;&gt;$Y21,IFERROR(VLOOKUP($H21,areaCercaPuntiClassificaSquadra,3,FALSE),-1)=IFERROR(VLOOKUP($Y21,areaCercaPuntiClassificaSquadra,3,FALSE),-2)),SUMIFS(Dati!$B$2:$B$761,Dati!$A$2:$A$761,$H21,Dati!$H$2:$H$761,$Y21)+SUMIFS(Dati!$I$2:$I$761,Dati!$H$2:$H$761,$H21,Dati!$A$2:$A$761,$Y21),"-")</f>
        <v/>
      </c>
      <c r="AV21" s="22">
        <f>IF(AND($H21&lt;&gt;"",$Z21&lt;&gt;"",$H21&lt;&gt;$Z21,IFERROR(VLOOKUP($H21,areaCercaPuntiClassificaSquadra,3,FALSE),-1)=IFERROR(VLOOKUP($Z21,areaCercaPuntiClassificaSquadra,3,FALSE),-2)),SUMIFS(Dati!$B$2:$B$761,Dati!$A$2:$A$761,$H21,Dati!$H$2:$H$761,$Z21)+SUMIFS(Dati!$I$2:$I$761,Dati!$H$2:$H$761,$H21,Dati!$A$2:$A$761,$Z21),"-")</f>
        <v/>
      </c>
      <c r="AW21" s="22">
        <f>IF(AND($H21&lt;&gt;"",$AA21&lt;&gt;"",$H21&lt;&gt;$AA21,IFERROR(VLOOKUP($H21,areaCercaPuntiClassificaSquadra,3,FALSE),-1)=IFERROR(VLOOKUP($AA21,areaCercaPuntiClassificaSquadra,3,FALSE),-2)),SUMIFS(Dati!$B$2:$B$761,Dati!$A$2:$A$761,$H21,Dati!$H$2:$H$761,$AA21)+SUMIFS(Dati!$I$2:$I$761,Dati!$H$2:$H$761,$H21,Dati!$A$2:$A$761,$AA21),"-")</f>
        <v/>
      </c>
      <c r="AX21" s="22">
        <f>IF(AND($H21&lt;&gt;"",$AB21&lt;&gt;"",$H21&lt;&gt;$AB21,IFERROR(VLOOKUP($H21,areaCercaPuntiClassificaSquadra,3,FALSE),-1)=IFERROR(VLOOKUP($AB21,areaCercaPuntiClassificaSquadra,3,FALSE),-2)),SUMIFS(Dati!$B$2:$B$761,Dati!$A$2:$A$761,$H21,Dati!$H$2:$H$761,$AB21)+SUMIFS(Dati!$I$2:$I$761,Dati!$H$2:$H$761,$H21,Dati!$A$2:$A$761,$AB21),"-")</f>
        <v/>
      </c>
      <c r="AY21" s="22">
        <f>IF(AND($H21&lt;&gt;"",$AC21&lt;&gt;"",$H21&lt;&gt;$AC21,IFERROR(VLOOKUP($H21,areaCercaPuntiClassificaSquadra,3,FALSE),-1)=IFERROR(VLOOKUP($AC21,areaCercaPuntiClassificaSquadra,3,FALSE),-2)),SUMIFS(Dati!$B$2:$B$761,Dati!$A$2:$A$761,$H21,Dati!$H$2:$H$761,$AC21)+SUMIFS(Dati!$I$2:$I$761,Dati!$H$2:$H$761,$H21,Dati!$A$2:$A$761,$AC21),"-")</f>
        <v/>
      </c>
      <c r="AZ21" s="22">
        <f>IF(AND($H21&lt;&gt;"",$AD21&lt;&gt;"",$H21&lt;&gt;$AD21,IFERROR(VLOOKUP($H21,areaCercaPuntiClassificaSquadra,3,FALSE),-1)=IFERROR(VLOOKUP($AD21,areaCercaPuntiClassificaSquadra,3,FALSE),-2)),SUMIFS(Dati!$B$2:$B$761,Dati!$A$2:$A$761,$H21,Dati!$H$2:$H$761,$AD21)+SUMIFS(Dati!$I$2:$I$761,Dati!$H$2:$H$761,$H21,Dati!$A$2:$A$761,$AD21),"-")</f>
        <v/>
      </c>
      <c r="BA21" s="22">
        <f>IF(AND($H21&lt;&gt;"",$AE21&lt;&gt;"",$H21&lt;&gt;$AE21,IFERROR(VLOOKUP($H21,areaCercaPuntiClassificaSquadra,3,FALSE),-1)=IFERROR(VLOOKUP($AE21,areaCercaPuntiClassificaSquadra,3,FALSE),-2)),SUMIFS(Dati!$B$2:$B$761,Dati!$A$2:$A$761,$H21,Dati!$H$2:$H$761,$AE21)+SUMIFS(Dati!$I$2:$I$761,Dati!$H$2:$H$761,$H21,Dati!$A$2:$A$761,$AE21),"-")</f>
        <v/>
      </c>
      <c r="BB21" s="22">
        <f>IF(AND($H21&lt;&gt;"",$AF21&lt;&gt;"",$H21&lt;&gt;$AF21,IFERROR(VLOOKUP($H21,areaCercaPuntiClassificaSquadra,3,FALSE),-1)=IFERROR(VLOOKUP($AF21,areaCercaPuntiClassificaSquadra,3,FALSE),-2)),SUMIFS(Dati!$B$2:$B$761,Dati!$A$2:$A$761,$H21,Dati!$H$2:$H$761,$AF21)+SUMIFS(Dati!$I$2:$I$761,Dati!$H$2:$H$761,$H21,Dati!$A$2:$A$761,$AF21),"-")</f>
        <v/>
      </c>
      <c r="BC21" s="22">
        <f>IF(AND($H21&lt;&gt;"",$AG21&lt;&gt;"",$H21&lt;&gt;$AG21,IFERROR(VLOOKUP($H21,areaCercaPuntiClassificaSquadra,3,FALSE),-1)=IFERROR(VLOOKUP($AG21,areaCercaPuntiClassificaSquadra,3,FALSE),-2)),SUMIFS(Dati!$B$2:$B$761,Dati!$A$2:$A$761,$H21,Dati!$H$2:$H$761,$AG21)+SUMIFS(Dati!$I$2:$I$761,Dati!$H$2:$H$761,$H21,Dati!$A$2:$A$761,$AG21),"-")</f>
        <v/>
      </c>
      <c r="BD21" s="22">
        <f>IF(AND($H21&lt;&gt;"",$AH21&lt;&gt;"",$H21&lt;&gt;$AH21,IFERROR(VLOOKUP($H21,areaCercaPuntiClassificaSquadra,3,FALSE),-1)=IFERROR(VLOOKUP($AH21,areaCercaPuntiClassificaSquadra,3,FALSE),-2)),SUMIFS(Dati!$B$2:$B$761,Dati!$A$2:$A$761,$H21,Dati!$H$2:$H$761,$AH21)+SUMIFS(Dati!$I$2:$I$761,Dati!$H$2:$H$761,$H21,Dati!$A$2:$A$761,$AH21),"-")</f>
        <v/>
      </c>
      <c r="BE21" s="22">
        <f>IF(AND($H21&lt;&gt;"",$AI21&lt;&gt;"",$H21&lt;&gt;$AI21,IFERROR(VLOOKUP($H21,areaCercaPuntiClassificaSquadra,3,FALSE),-1)=IFERROR(VLOOKUP($AI21,areaCercaPuntiClassificaSquadra,3,FALSE),-2)),SUMIFS(Dati!$B$2:$B$761,Dati!$A$2:$A$761,$H21,Dati!$H$2:$H$761,$AI21)+SUMIFS(Dati!$I$2:$I$761,Dati!$H$2:$H$761,$H21,Dati!$A$2:$A$761,$AI21),"-")</f>
        <v/>
      </c>
      <c r="BF21" s="22">
        <f>IF(AND($H21&lt;&gt;"",$AJ21&lt;&gt;"",$H21&lt;&gt;$AJ21,IFERROR(VLOOKUP($H21,areaCercaPuntiClassificaSquadra,3,FALSE),-1)=IFERROR(VLOOKUP($AJ21,areaCercaPuntiClassificaSquadra,3,FALSE),-2)),SUMIFS(Dati!$B$2:$B$761,Dati!$A$2:$A$761,$H21,Dati!$H$2:$H$761,$AJ21)+SUMIFS(Dati!$I$2:$I$761,Dati!$H$2:$H$761,$H21,Dati!$A$2:$A$761,$AJ21),"-")</f>
        <v/>
      </c>
      <c r="BG21" s="22">
        <f>IF(AND($H21&lt;&gt;"",$AK21&lt;&gt;"",$H21&lt;&gt;$AK21,IFERROR(VLOOKUP($H21,areaCercaPuntiClassificaSquadra,3,FALSE),-1)=IFERROR(VLOOKUP($AK21,areaCercaPuntiClassificaSquadra,3,FALSE),-2)),SUMIFS(Dati!$B$2:$B$761,Dati!$A$2:$A$761,$H21,Dati!$H$2:$H$761,$AK21)+SUMIFS(Dati!$I$2:$I$761,Dati!$H$2:$H$761,$H21,Dati!$A$2:$A$761,$AK21),"-")</f>
        <v/>
      </c>
      <c r="BH21" s="22">
        <f>IF(AND($H21&lt;&gt;"",$AL21&lt;&gt;"",$H21&lt;&gt;$AL21,IFERROR(VLOOKUP($H21,areaCercaPuntiClassificaSquadra,3,FALSE),-1)=IFERROR(VLOOKUP($AL21,areaCercaPuntiClassificaSquadra,3,FALSE),-2)),SUMIFS(Dati!$B$2:$B$761,Dati!$A$2:$A$761,$H21,Dati!$H$2:$H$761,$AL21)+SUMIFS(Dati!$I$2:$I$761,Dati!$H$2:$H$761,$H21,Dati!$A$2:$A$761,$AL21),"-")</f>
        <v/>
      </c>
      <c r="BI21" s="22">
        <f>IF(AND($H21&lt;&gt;"",$AM21&lt;&gt;"",$H21&lt;&gt;$AM21,IFERROR(VLOOKUP($H21,areaCercaPuntiClassificaSquadra,3,FALSE),-1)=IFERROR(VLOOKUP($AM21,areaCercaPuntiClassificaSquadra,3,FALSE),-2)),SUMIFS(Dati!$B$2:$B$761,Dati!$A$2:$A$761,$H21,Dati!$H$2:$H$761,$AM21)+SUMIFS(Dati!$I$2:$I$761,Dati!$H$2:$H$761,$H21,Dati!$A$2:$A$761,$AM21),"-")</f>
        <v/>
      </c>
      <c r="BJ21" s="22">
        <f>IF(AND($H21&lt;&gt;"",$AN21&lt;&gt;"",$H21&lt;&gt;$AN21,IFERROR(VLOOKUP($H21,areaCercaPuntiClassificaSquadra,3,FALSE),-1)=IFERROR(VLOOKUP($AN21,areaCercaPuntiClassificaSquadra,3,FALSE),-2)),SUMIFS(Dati!$B$2:$B$761,Dati!$A$2:$A$761,$H21,Dati!$H$2:$H$761,$AN21)+SUMIFS(Dati!$I$2:$I$761,Dati!$H$2:$H$761,$H21,Dati!$A$2:$A$761,$AN21),"-")</f>
        <v/>
      </c>
      <c r="BK21" s="22">
        <f>IF(AND($H21&lt;&gt;"",$AO21&lt;&gt;"",$H21&lt;&gt;$AO21,IFERROR(VLOOKUP($H21,areaCercaPuntiClassificaSquadra,3,FALSE),-1)=IFERROR(VLOOKUP($AO21,areaCercaPuntiClassificaSquadra,3,FALSE),-2)),SUMIFS(Dati!$B$2:$B$761,Dati!$A$2:$A$761,$H21,Dati!$H$2:$H$761,$AO21)+SUMIFS(Dati!$I$2:$I$761,Dati!$H$2:$H$761,$H21,Dati!$A$2:$A$761,$AO21),"-")</f>
        <v/>
      </c>
      <c r="BL21" s="22">
        <f>IF(AND($H21&lt;&gt;"",$AP21&lt;&gt;"",$H21&lt;&gt;$AP21,IFERROR(VLOOKUP($H21,areaCercaPuntiClassificaSquadra,3,FALSE),-1)=IFERROR(VLOOKUP($AP21,areaCercaPuntiClassificaSquadra,3,FALSE),-2)),SUMIFS(Dati!$B$2:$B$761,Dati!$A$2:$A$761,$H21,Dati!$H$2:$H$761,$AP21)+SUMIFS(Dati!$I$2:$I$761,Dati!$H$2:$H$761,$H21,Dati!$A$2:$A$761,$AP21),"-")</f>
        <v/>
      </c>
      <c r="BM21" s="22">
        <f>IF(AND($H21&lt;&gt;"",$AQ21&lt;&gt;"",$H21&lt;&gt;$AQ21,IFERROR(VLOOKUP($H21,areaCercaPuntiClassificaSquadra,3,FALSE),-1)=IFERROR(VLOOKUP($AQ21,areaCercaPuntiClassificaSquadra,3,FALSE),-2)),SUMIFS(Dati!$B$2:$B$761,Dati!$A$2:$A$761,$H21,Dati!$H$2:$H$761,$AQ21)+SUMIFS(Dati!$I$2:$I$761,Dati!$H$2:$H$761,$H21,Dati!$A$2:$A$761,$AQ21),"-")</f>
        <v/>
      </c>
      <c r="BN21" s="22">
        <f>IF(AND($H21&lt;&gt;"",$AR21&lt;&gt;"",$H21&lt;&gt;$AR21,IFERROR(VLOOKUP($H21,areaCercaPuntiClassificaSquadra,3,FALSE),-1)=IFERROR(VLOOKUP($AR21,areaCercaPuntiClassificaSquadra,3,FALSE),-2)),SUMIFS(Dati!$B$2:$B$761,Dati!$A$2:$A$761,$H21,Dati!$H$2:$H$761,$AR21)+SUMIFS(Dati!$I$2:$I$761,Dati!$H$2:$H$761,$H21,Dati!$A$2:$A$761,$AR21),"-")</f>
        <v/>
      </c>
      <c r="BP21" s="21">
        <f>$C21</f>
        <v/>
      </c>
      <c r="BQ21" s="22">
        <f>IF(AND($H21&lt;&gt;"",$Y21&lt;&gt;"",$H21&lt;&gt;$Y21,IFERROR(VLOOKUP($H21,areaCercaPuntiClassificaSquadra,3,FALSE),-1)=IFERROR(VLOOKUP($Y21,areaCercaPuntiClassificaSquadra,3,FALSE),-2)),SUMIFS(Dati!$D$2:$D$761,Dati!$A$2:$A$761,$H21,Dati!$H$2:$H$761,$Y21)+SUMIFS(Dati!$K$2:$K$761,Dati!$H$2:$H$761,$H21,Dati!$A$2:$A$761,$Y21)+SUMIFS(Dati!$C$2:$C$761,Dati!$A$2:$A$761,$H21,Dati!$H$2:$H$761,$Y21)+SUMIFS(Dati!$J$2:$J$761,Dati!$H$2:$H$761,$H21,Dati!$A$2:$A$761,$Y21),"-")</f>
        <v/>
      </c>
      <c r="BR21" s="22">
        <f>IF(AND($H21&lt;&gt;"",$Z21&lt;&gt;"",$H21&lt;&gt;$Z21,IFERROR(VLOOKUP($H21,areaCercaPuntiClassificaSquadra,3,FALSE),-1)=IFERROR(VLOOKUP($Z21,areaCercaPuntiClassificaSquadra,3,FALSE),-2)),SUMIFS(Dati!$D$2:$D$761,Dati!$A$2:$A$761,$H21,Dati!$H$2:$H$761,$Z21)+SUMIFS(Dati!$K$2:$K$761,Dati!$H$2:$H$761,$H21,Dati!$A$2:$A$761,$Z21)+SUMIFS(Dati!$C$2:$C$761,Dati!$A$2:$A$761,$H21,Dati!$H$2:$H$761,$Z21)+SUMIFS(Dati!$J$2:$J$761,Dati!$H$2:$H$761,$H21,Dati!$A$2:$A$761,$Z21),"-")</f>
        <v/>
      </c>
      <c r="BS21" s="22">
        <f>IF(AND($H21&lt;&gt;"",$AA21&lt;&gt;"",$H21&lt;&gt;$AA21,IFERROR(VLOOKUP($H21,areaCercaPuntiClassificaSquadra,3,FALSE),-1)=IFERROR(VLOOKUP($AA21,areaCercaPuntiClassificaSquadra,3,FALSE),-2)),SUMIFS(Dati!$D$2:$D$761,Dati!$A$2:$A$761,$H21,Dati!$H$2:$H$761,$AA21)+SUMIFS(Dati!$K$2:$K$761,Dati!$H$2:$H$761,$H21,Dati!$A$2:$A$761,$AA21)+SUMIFS(Dati!$C$2:$C$761,Dati!$A$2:$A$761,$H21,Dati!$H$2:$H$761,$AA21)+SUMIFS(Dati!$J$2:$J$761,Dati!$H$2:$H$761,$H21,Dati!$A$2:$A$761,$AA21),"-")</f>
        <v/>
      </c>
      <c r="BT21" s="22">
        <f>IF(AND($H21&lt;&gt;"",$AB21&lt;&gt;"",$H21&lt;&gt;$AB21,IFERROR(VLOOKUP($H21,areaCercaPuntiClassificaSquadra,3,FALSE),-1)=IFERROR(VLOOKUP($AB21,areaCercaPuntiClassificaSquadra,3,FALSE),-2)),SUMIFS(Dati!$D$2:$D$761,Dati!$A$2:$A$761,$H21,Dati!$H$2:$H$761,$AB21)+SUMIFS(Dati!$K$2:$K$761,Dati!$H$2:$H$761,$H21,Dati!$A$2:$A$761,$AB21)+SUMIFS(Dati!$C$2:$C$761,Dati!$A$2:$A$761,$H21,Dati!$H$2:$H$761,$AB21)+SUMIFS(Dati!$J$2:$J$761,Dati!$H$2:$H$761,$H21,Dati!$A$2:$A$761,$AB21),"-")</f>
        <v/>
      </c>
      <c r="BU21" s="22">
        <f>IF(AND($H21&lt;&gt;"",$AC21&lt;&gt;"",$H21&lt;&gt;$AC21,IFERROR(VLOOKUP($H21,areaCercaPuntiClassificaSquadra,3,FALSE),-1)=IFERROR(VLOOKUP($AC21,areaCercaPuntiClassificaSquadra,3,FALSE),-2)),SUMIFS(Dati!$D$2:$D$761,Dati!$A$2:$A$761,$H21,Dati!$H$2:$H$761,$AC21)+SUMIFS(Dati!$K$2:$K$761,Dati!$H$2:$H$761,$H21,Dati!$A$2:$A$761,$AC21)+SUMIFS(Dati!$C$2:$C$761,Dati!$A$2:$A$761,$H21,Dati!$H$2:$H$761,$AC21)+SUMIFS(Dati!$J$2:$J$761,Dati!$H$2:$H$761,$H21,Dati!$A$2:$A$761,$AC21),"-")</f>
        <v/>
      </c>
      <c r="BV21" s="22">
        <f>IF(AND($H21&lt;&gt;"",$AD21&lt;&gt;"",$H21&lt;&gt;$AD21,IFERROR(VLOOKUP($H21,areaCercaPuntiClassificaSquadra,3,FALSE),-1)=IFERROR(VLOOKUP($AD21,areaCercaPuntiClassificaSquadra,3,FALSE),-2)),SUMIFS(Dati!$D$2:$D$761,Dati!$A$2:$A$761,$H21,Dati!$H$2:$H$761,$AD21)+SUMIFS(Dati!$K$2:$K$761,Dati!$H$2:$H$761,$H21,Dati!$A$2:$A$761,$AD21)+SUMIFS(Dati!$C$2:$C$761,Dati!$A$2:$A$761,$H21,Dati!$H$2:$H$761,$AD21)+SUMIFS(Dati!$J$2:$J$761,Dati!$H$2:$H$761,$H21,Dati!$A$2:$A$761,$AD21),"-")</f>
        <v/>
      </c>
      <c r="BW21" s="22">
        <f>IF(AND($H21&lt;&gt;"",$AE21&lt;&gt;"",$H21&lt;&gt;$AE21,IFERROR(VLOOKUP($H21,areaCercaPuntiClassificaSquadra,3,FALSE),-1)=IFERROR(VLOOKUP($AE21,areaCercaPuntiClassificaSquadra,3,FALSE),-2)),SUMIFS(Dati!$D$2:$D$761,Dati!$A$2:$A$761,$H21,Dati!$H$2:$H$761,$AE21)+SUMIFS(Dati!$K$2:$K$761,Dati!$H$2:$H$761,$H21,Dati!$A$2:$A$761,$AE21)+SUMIFS(Dati!$C$2:$C$761,Dati!$A$2:$A$761,$H21,Dati!$H$2:$H$761,$AE21)+SUMIFS(Dati!$J$2:$J$761,Dati!$H$2:$H$761,$H21,Dati!$A$2:$A$761,$AE21),"-")</f>
        <v/>
      </c>
      <c r="BX21" s="22">
        <f>IF(AND($H21&lt;&gt;"",$AF21&lt;&gt;"",$H21&lt;&gt;$AF21,IFERROR(VLOOKUP($H21,areaCercaPuntiClassificaSquadra,3,FALSE),-1)=IFERROR(VLOOKUP($AF21,areaCercaPuntiClassificaSquadra,3,FALSE),-2)),SUMIFS(Dati!$D$2:$D$761,Dati!$A$2:$A$761,$H21,Dati!$H$2:$H$761,$AF21)+SUMIFS(Dati!$K$2:$K$761,Dati!$H$2:$H$761,$H21,Dati!$A$2:$A$761,$AF21)+SUMIFS(Dati!$C$2:$C$761,Dati!$A$2:$A$761,$H21,Dati!$H$2:$H$761,$AF21)+SUMIFS(Dati!$J$2:$J$761,Dati!$H$2:$H$761,$H21,Dati!$A$2:$A$761,$AF21),"-")</f>
        <v/>
      </c>
      <c r="BY21" s="22">
        <f>IF(AND($H21&lt;&gt;"",$AG21&lt;&gt;"",$H21&lt;&gt;$AG21,IFERROR(VLOOKUP($H21,areaCercaPuntiClassificaSquadra,3,FALSE),-1)=IFERROR(VLOOKUP($AG21,areaCercaPuntiClassificaSquadra,3,FALSE),-2)),SUMIFS(Dati!$D$2:$D$761,Dati!$A$2:$A$761,$H21,Dati!$H$2:$H$761,$AG21)+SUMIFS(Dati!$K$2:$K$761,Dati!$H$2:$H$761,$H21,Dati!$A$2:$A$761,$AG21)+SUMIFS(Dati!$C$2:$C$761,Dati!$A$2:$A$761,$H21,Dati!$H$2:$H$761,$AG21)+SUMIFS(Dati!$J$2:$J$761,Dati!$H$2:$H$761,$H21,Dati!$A$2:$A$761,$AG21),"-")</f>
        <v/>
      </c>
      <c r="BZ21" s="22">
        <f>IF(AND($H21&lt;&gt;"",$AH21&lt;&gt;"",$H21&lt;&gt;$AH21,IFERROR(VLOOKUP($H21,areaCercaPuntiClassificaSquadra,3,FALSE),-1)=IFERROR(VLOOKUP($AH21,areaCercaPuntiClassificaSquadra,3,FALSE),-2)),SUMIFS(Dati!$D$2:$D$761,Dati!$A$2:$A$761,$H21,Dati!$H$2:$H$761,$AH21)+SUMIFS(Dati!$K$2:$K$761,Dati!$H$2:$H$761,$H21,Dati!$A$2:$A$761,$AH21)+SUMIFS(Dati!$C$2:$C$761,Dati!$A$2:$A$761,$H21,Dati!$H$2:$H$761,$AH21)+SUMIFS(Dati!$J$2:$J$761,Dati!$H$2:$H$761,$H21,Dati!$A$2:$A$761,$AH21),"-")</f>
        <v/>
      </c>
      <c r="CA21" s="22">
        <f>IF(AND($H21&lt;&gt;"",$AI21&lt;&gt;"",$H21&lt;&gt;$AI21,IFERROR(VLOOKUP($H21,areaCercaPuntiClassificaSquadra,3,FALSE),-1)=IFERROR(VLOOKUP($AI21,areaCercaPuntiClassificaSquadra,3,FALSE),-2)),SUMIFS(Dati!$D$2:$D$761,Dati!$A$2:$A$761,$H21,Dati!$H$2:$H$761,$AI21)+SUMIFS(Dati!$K$2:$K$761,Dati!$H$2:$H$761,$H21,Dati!$A$2:$A$761,$AI21)+SUMIFS(Dati!$C$2:$C$761,Dati!$A$2:$A$761,$H21,Dati!$H$2:$H$761,$AI21)+SUMIFS(Dati!$J$2:$J$761,Dati!$H$2:$H$761,$H21,Dati!$A$2:$A$761,$AI21),"-")</f>
        <v/>
      </c>
      <c r="CB21" s="22">
        <f>IF(AND($H21&lt;&gt;"",$AJ21&lt;&gt;"",$H21&lt;&gt;$AJ21,IFERROR(VLOOKUP($H21,areaCercaPuntiClassificaSquadra,3,FALSE),-1)=IFERROR(VLOOKUP($AJ21,areaCercaPuntiClassificaSquadra,3,FALSE),-2)),SUMIFS(Dati!$D$2:$D$761,Dati!$A$2:$A$761,$H21,Dati!$H$2:$H$761,$AJ21)+SUMIFS(Dati!$K$2:$K$761,Dati!$H$2:$H$761,$H21,Dati!$A$2:$A$761,$AJ21)+SUMIFS(Dati!$C$2:$C$761,Dati!$A$2:$A$761,$H21,Dati!$H$2:$H$761,$AJ21)+SUMIFS(Dati!$J$2:$J$761,Dati!$H$2:$H$761,$H21,Dati!$A$2:$A$761,$AJ21),"-")</f>
        <v/>
      </c>
      <c r="CC21" s="22">
        <f>IF(AND($H21&lt;&gt;"",$AK21&lt;&gt;"",$H21&lt;&gt;$AK21,IFERROR(VLOOKUP($H21,areaCercaPuntiClassificaSquadra,3,FALSE),-1)=IFERROR(VLOOKUP($AK21,areaCercaPuntiClassificaSquadra,3,FALSE),-2)),SUMIFS(Dati!$D$2:$D$761,Dati!$A$2:$A$761,$H21,Dati!$H$2:$H$761,$AK21)+SUMIFS(Dati!$K$2:$K$761,Dati!$H$2:$H$761,$H21,Dati!$A$2:$A$761,$AK21)+SUMIFS(Dati!$C$2:$C$761,Dati!$A$2:$A$761,$H21,Dati!$H$2:$H$761,$AK21)+SUMIFS(Dati!$J$2:$J$761,Dati!$H$2:$H$761,$H21,Dati!$A$2:$A$761,$AK21),"-")</f>
        <v/>
      </c>
      <c r="CD21" s="22">
        <f>IF(AND($H21&lt;&gt;"",$AL21&lt;&gt;"",$H21&lt;&gt;$AL21,IFERROR(VLOOKUP($H21,areaCercaPuntiClassificaSquadra,3,FALSE),-1)=IFERROR(VLOOKUP($AL21,areaCercaPuntiClassificaSquadra,3,FALSE),-2)),SUMIFS(Dati!$D$2:$D$761,Dati!$A$2:$A$761,$H21,Dati!$H$2:$H$761,$AL21)+SUMIFS(Dati!$K$2:$K$761,Dati!$H$2:$H$761,$H21,Dati!$A$2:$A$761,$AL21)+SUMIFS(Dati!$C$2:$C$761,Dati!$A$2:$A$761,$H21,Dati!$H$2:$H$761,$AL21)+SUMIFS(Dati!$J$2:$J$761,Dati!$H$2:$H$761,$H21,Dati!$A$2:$A$761,$AL21),"-")</f>
        <v/>
      </c>
      <c r="CE21" s="22">
        <f>IF(AND($H21&lt;&gt;"",$AM21&lt;&gt;"",$H21&lt;&gt;$AM21,IFERROR(VLOOKUP($H21,areaCercaPuntiClassificaSquadra,3,FALSE),-1)=IFERROR(VLOOKUP($AM21,areaCercaPuntiClassificaSquadra,3,FALSE),-2)),SUMIFS(Dati!$D$2:$D$761,Dati!$A$2:$A$761,$H21,Dati!$H$2:$H$761,$AM21)+SUMIFS(Dati!$K$2:$K$761,Dati!$H$2:$H$761,$H21,Dati!$A$2:$A$761,$AM21)+SUMIFS(Dati!$C$2:$C$761,Dati!$A$2:$A$761,$H21,Dati!$H$2:$H$761,$AM21)+SUMIFS(Dati!$J$2:$J$761,Dati!$H$2:$H$761,$H21,Dati!$A$2:$A$761,$AM21),"-")</f>
        <v/>
      </c>
      <c r="CF21" s="22">
        <f>IF(AND($H21&lt;&gt;"",$AN21&lt;&gt;"",$H21&lt;&gt;$AN21,IFERROR(VLOOKUP($H21,areaCercaPuntiClassificaSquadra,3,FALSE),-1)=IFERROR(VLOOKUP($AN21,areaCercaPuntiClassificaSquadra,3,FALSE),-2)),SUMIFS(Dati!$D$2:$D$761,Dati!$A$2:$A$761,$H21,Dati!$H$2:$H$761,$AN21)+SUMIFS(Dati!$K$2:$K$761,Dati!$H$2:$H$761,$H21,Dati!$A$2:$A$761,$AN21)+SUMIFS(Dati!$C$2:$C$761,Dati!$A$2:$A$761,$H21,Dati!$H$2:$H$761,$AN21)+SUMIFS(Dati!$J$2:$J$761,Dati!$H$2:$H$761,$H21,Dati!$A$2:$A$761,$AN21),"-")</f>
        <v/>
      </c>
      <c r="CG21" s="22">
        <f>IF(AND($H21&lt;&gt;"",$AO21&lt;&gt;"",$H21&lt;&gt;$AO21,IFERROR(VLOOKUP($H21,areaCercaPuntiClassificaSquadra,3,FALSE),-1)=IFERROR(VLOOKUP($AO21,areaCercaPuntiClassificaSquadra,3,FALSE),-2)),SUMIFS(Dati!$D$2:$D$761,Dati!$A$2:$A$761,$H21,Dati!$H$2:$H$761,$AO21)+SUMIFS(Dati!$K$2:$K$761,Dati!$H$2:$H$761,$H21,Dati!$A$2:$A$761,$AO21)+SUMIFS(Dati!$C$2:$C$761,Dati!$A$2:$A$761,$H21,Dati!$H$2:$H$761,$AO21)+SUMIFS(Dati!$J$2:$J$761,Dati!$H$2:$H$761,$H21,Dati!$A$2:$A$761,$AO21),"-")</f>
        <v/>
      </c>
      <c r="CH21" s="22">
        <f>IF(AND($H21&lt;&gt;"",$AP21&lt;&gt;"",$H21&lt;&gt;$AP21,IFERROR(VLOOKUP($H21,areaCercaPuntiClassificaSquadra,3,FALSE),-1)=IFERROR(VLOOKUP($AP21,areaCercaPuntiClassificaSquadra,3,FALSE),-2)),SUMIFS(Dati!$D$2:$D$761,Dati!$A$2:$A$761,$H21,Dati!$H$2:$H$761,$AP21)+SUMIFS(Dati!$K$2:$K$761,Dati!$H$2:$H$761,$H21,Dati!$A$2:$A$761,$AP21)+SUMIFS(Dati!$C$2:$C$761,Dati!$A$2:$A$761,$H21,Dati!$H$2:$H$761,$AP21)+SUMIFS(Dati!$J$2:$J$761,Dati!$H$2:$H$761,$H21,Dati!$A$2:$A$761,$AP21),"-")</f>
        <v/>
      </c>
      <c r="CI21" s="22">
        <f>IF(AND($H21&lt;&gt;"",$AQ21&lt;&gt;"",$H21&lt;&gt;$AQ21,IFERROR(VLOOKUP($H21,areaCercaPuntiClassificaSquadra,3,FALSE),-1)=IFERROR(VLOOKUP($AQ21,areaCercaPuntiClassificaSquadra,3,FALSE),-2)),SUMIFS(Dati!$D$2:$D$761,Dati!$A$2:$A$761,$H21,Dati!$H$2:$H$761,$AQ21)+SUMIFS(Dati!$K$2:$K$761,Dati!$H$2:$H$761,$H21,Dati!$A$2:$A$761,$AQ21)+SUMIFS(Dati!$C$2:$C$761,Dati!$A$2:$A$761,$H21,Dati!$H$2:$H$761,$AQ21)+SUMIFS(Dati!$J$2:$J$761,Dati!$H$2:$H$761,$H21,Dati!$A$2:$A$761,$AQ21),"-")</f>
        <v/>
      </c>
      <c r="CJ21" s="22">
        <f>IF(AND($H21&lt;&gt;"",$AR21&lt;&gt;"",$H21&lt;&gt;$AR21,IFERROR(VLOOKUP($H21,areaCercaPuntiClassificaSquadra,3,FALSE),-1)=IFERROR(VLOOKUP($AR21,areaCercaPuntiClassificaSquadra,3,FALSE),-2)),SUMIFS(Dati!$D$2:$D$761,Dati!$A$2:$A$761,$H21,Dati!$H$2:$H$761,$AR21)+SUMIFS(Dati!$K$2:$K$761,Dati!$H$2:$H$761,$H21,Dati!$A$2:$A$761,$AR21)+SUMIFS(Dati!$C$2:$C$761,Dati!$A$2:$A$761,$H21,Dati!$H$2:$H$761,$AR21)+SUMIFS(Dati!$J$2:$J$761,Dati!$H$2:$H$761,$H21,Dati!$A$2:$A$761,$AR21),"-")</f>
        <v/>
      </c>
      <c r="CL21" s="21">
        <f>$C21</f>
        <v/>
      </c>
      <c r="CM21" s="22">
        <f>IF(AND($H21&lt;&gt;"",$Y21&lt;&gt;"",$H21&lt;&gt;$Y21,IFERROR(VLOOKUP($H21,areaCercaPuntiClassificaSquadra,3,FALSE),-1)=IFERROR(VLOOKUP($Y21,areaCercaPuntiClassificaSquadra,3,FALSE),-2)),SUMIFS(Dati!$E$2:$E$761,Dati!$A$2:$A$761,$H21,Dati!$H$2:$H$761,$Y21)+SUMIFS(Dati!$L$2:$L$761,Dati!$H$2:$H$761,$H21,Dati!$A$2:$A$761,$Y21),"-")</f>
        <v/>
      </c>
      <c r="CN21" s="22">
        <f>IF(AND($H21&lt;&gt;"",$Z21&lt;&gt;"",$H21&lt;&gt;$Z21,IFERROR(VLOOKUP($H21,areaCercaPuntiClassificaSquadra,3,FALSE),-1)=IFERROR(VLOOKUP($Z21,areaCercaPuntiClassificaSquadra,3,FALSE),-2)),SUMIFS(Dati!$E$2:$E$761,Dati!$A$2:$A$761,$H21,Dati!$H$2:$H$761,$Z21)+SUMIFS(Dati!$L$2:$L$761,Dati!$H$2:$H$761,$H21,Dati!$A$2:$A$761,$Z21),"-")</f>
        <v/>
      </c>
      <c r="CO21" s="22">
        <f>IF(AND($H21&lt;&gt;"",$AA21&lt;&gt;"",$H21&lt;&gt;$AA21,IFERROR(VLOOKUP($H21,areaCercaPuntiClassificaSquadra,3,FALSE),-1)=IFERROR(VLOOKUP($AA21,areaCercaPuntiClassificaSquadra,3,FALSE),-2)),SUMIFS(Dati!$E$2:$E$761,Dati!$A$2:$A$761,$H21,Dati!$H$2:$H$761,$AA21)+SUMIFS(Dati!$L$2:$L$761,Dati!$H$2:$H$761,$H21,Dati!$A$2:$A$761,$AA21),"-")</f>
        <v/>
      </c>
      <c r="CP21" s="22">
        <f>IF(AND($H21&lt;&gt;"",$AB21&lt;&gt;"",$H21&lt;&gt;$AB21,IFERROR(VLOOKUP($H21,areaCercaPuntiClassificaSquadra,3,FALSE),-1)=IFERROR(VLOOKUP($AB21,areaCercaPuntiClassificaSquadra,3,FALSE),-2)),SUMIFS(Dati!$E$2:$E$761,Dati!$A$2:$A$761,$H21,Dati!$H$2:$H$761,$AB21)+SUMIFS(Dati!$L$2:$L$761,Dati!$H$2:$H$761,$H21,Dati!$A$2:$A$761,$AB21),"-")</f>
        <v/>
      </c>
      <c r="CQ21" s="22">
        <f>IF(AND($H21&lt;&gt;"",$AC21&lt;&gt;"",$H21&lt;&gt;$AC21,IFERROR(VLOOKUP($H21,areaCercaPuntiClassificaSquadra,3,FALSE),-1)=IFERROR(VLOOKUP($AC21,areaCercaPuntiClassificaSquadra,3,FALSE),-2)),SUMIFS(Dati!$E$2:$E$761,Dati!$A$2:$A$761,$H21,Dati!$H$2:$H$761,$AC21)+SUMIFS(Dati!$L$2:$L$761,Dati!$H$2:$H$761,$H21,Dati!$A$2:$A$761,$AC21),"-")</f>
        <v/>
      </c>
      <c r="CR21" s="22">
        <f>IF(AND($H21&lt;&gt;"",$AD21&lt;&gt;"",$H21&lt;&gt;$AD21,IFERROR(VLOOKUP($H21,areaCercaPuntiClassificaSquadra,3,FALSE),-1)=IFERROR(VLOOKUP($AD21,areaCercaPuntiClassificaSquadra,3,FALSE),-2)),SUMIFS(Dati!$E$2:$E$761,Dati!$A$2:$A$761,$H21,Dati!$H$2:$H$761,$AD21)+SUMIFS(Dati!$L$2:$L$761,Dati!$H$2:$H$761,$H21,Dati!$A$2:$A$761,$AD21),"-")</f>
        <v/>
      </c>
      <c r="CS21" s="22">
        <f>IF(AND($H21&lt;&gt;"",$AE21&lt;&gt;"",$H21&lt;&gt;$AE21,IFERROR(VLOOKUP($H21,areaCercaPuntiClassificaSquadra,3,FALSE),-1)=IFERROR(VLOOKUP($AE21,areaCercaPuntiClassificaSquadra,3,FALSE),-2)),SUMIFS(Dati!$E$2:$E$761,Dati!$A$2:$A$761,$H21,Dati!$H$2:$H$761,$AE21)+SUMIFS(Dati!$L$2:$L$761,Dati!$H$2:$H$761,$H21,Dati!$A$2:$A$761,$AE21),"-")</f>
        <v/>
      </c>
      <c r="CT21" s="22">
        <f>IF(AND($H21&lt;&gt;"",$AF21&lt;&gt;"",$H21&lt;&gt;$AF21,IFERROR(VLOOKUP($H21,areaCercaPuntiClassificaSquadra,3,FALSE),-1)=IFERROR(VLOOKUP($AF21,areaCercaPuntiClassificaSquadra,3,FALSE),-2)),SUMIFS(Dati!$E$2:$E$761,Dati!$A$2:$A$761,$H21,Dati!$H$2:$H$761,$AF21)+SUMIFS(Dati!$L$2:$L$761,Dati!$H$2:$H$761,$H21,Dati!$A$2:$A$761,$AF21),"-")</f>
        <v/>
      </c>
      <c r="CU21" s="22">
        <f>IF(AND($H21&lt;&gt;"",$AG21&lt;&gt;"",$H21&lt;&gt;$AG21,IFERROR(VLOOKUP($H21,areaCercaPuntiClassificaSquadra,3,FALSE),-1)=IFERROR(VLOOKUP($AG21,areaCercaPuntiClassificaSquadra,3,FALSE),-2)),SUMIFS(Dati!$E$2:$E$761,Dati!$A$2:$A$761,$H21,Dati!$H$2:$H$761,$AG21)+SUMIFS(Dati!$L$2:$L$761,Dati!$H$2:$H$761,$H21,Dati!$A$2:$A$761,$AG21),"-")</f>
        <v/>
      </c>
      <c r="CV21" s="22">
        <f>IF(AND($H21&lt;&gt;"",$AH21&lt;&gt;"",$H21&lt;&gt;$AH21,IFERROR(VLOOKUP($H21,areaCercaPuntiClassificaSquadra,3,FALSE),-1)=IFERROR(VLOOKUP($AH21,areaCercaPuntiClassificaSquadra,3,FALSE),-2)),SUMIFS(Dati!$E$2:$E$761,Dati!$A$2:$A$761,$H21,Dati!$H$2:$H$761,$AH21)+SUMIFS(Dati!$L$2:$L$761,Dati!$H$2:$H$761,$H21,Dati!$A$2:$A$761,$AH21),"-")</f>
        <v/>
      </c>
      <c r="CW21" s="22">
        <f>IF(AND($H21&lt;&gt;"",$AI21&lt;&gt;"",$H21&lt;&gt;$AI21,IFERROR(VLOOKUP($H21,areaCercaPuntiClassificaSquadra,3,FALSE),-1)=IFERROR(VLOOKUP($AI21,areaCercaPuntiClassificaSquadra,3,FALSE),-2)),SUMIFS(Dati!$E$2:$E$761,Dati!$A$2:$A$761,$H21,Dati!$H$2:$H$761,$AI21)+SUMIFS(Dati!$L$2:$L$761,Dati!$H$2:$H$761,$H21,Dati!$A$2:$A$761,$AI21),"-")</f>
        <v/>
      </c>
      <c r="CX21" s="22">
        <f>IF(AND($H21&lt;&gt;"",$AJ21&lt;&gt;"",$H21&lt;&gt;$AJ21,IFERROR(VLOOKUP($H21,areaCercaPuntiClassificaSquadra,3,FALSE),-1)=IFERROR(VLOOKUP($AJ21,areaCercaPuntiClassificaSquadra,3,FALSE),-2)),SUMIFS(Dati!$E$2:$E$761,Dati!$A$2:$A$761,$H21,Dati!$H$2:$H$761,$AJ21)+SUMIFS(Dati!$L$2:$L$761,Dati!$H$2:$H$761,$H21,Dati!$A$2:$A$761,$AJ21),"-")</f>
        <v/>
      </c>
      <c r="CY21" s="22">
        <f>IF(AND($H21&lt;&gt;"",$AK21&lt;&gt;"",$H21&lt;&gt;$AK21,IFERROR(VLOOKUP($H21,areaCercaPuntiClassificaSquadra,3,FALSE),-1)=IFERROR(VLOOKUP($AK21,areaCercaPuntiClassificaSquadra,3,FALSE),-2)),SUMIFS(Dati!$E$2:$E$761,Dati!$A$2:$A$761,$H21,Dati!$H$2:$H$761,$AK21)+SUMIFS(Dati!$L$2:$L$761,Dati!$H$2:$H$761,$H21,Dati!$A$2:$A$761,$AK21),"-")</f>
        <v/>
      </c>
      <c r="CZ21" s="22">
        <f>IF(AND($H21&lt;&gt;"",$AL21&lt;&gt;"",$H21&lt;&gt;$AL21,IFERROR(VLOOKUP($H21,areaCercaPuntiClassificaSquadra,3,FALSE),-1)=IFERROR(VLOOKUP($AL21,areaCercaPuntiClassificaSquadra,3,FALSE),-2)),SUMIFS(Dati!$E$2:$E$761,Dati!$A$2:$A$761,$H21,Dati!$H$2:$H$761,$AL21)+SUMIFS(Dati!$L$2:$L$761,Dati!$H$2:$H$761,$H21,Dati!$A$2:$A$761,$AL21),"-")</f>
        <v/>
      </c>
      <c r="DA21" s="22">
        <f>IF(AND($H21&lt;&gt;"",$AM21&lt;&gt;"",$H21&lt;&gt;$AM21,IFERROR(VLOOKUP($H21,areaCercaPuntiClassificaSquadra,3,FALSE),-1)=IFERROR(VLOOKUP($AM21,areaCercaPuntiClassificaSquadra,3,FALSE),-2)),SUMIFS(Dati!$E$2:$E$761,Dati!$A$2:$A$761,$H21,Dati!$H$2:$H$761,$AM21)+SUMIFS(Dati!$L$2:$L$761,Dati!$H$2:$H$761,$H21,Dati!$A$2:$A$761,$AM21),"-")</f>
        <v/>
      </c>
      <c r="DB21" s="22">
        <f>IF(AND($H21&lt;&gt;"",$AN21&lt;&gt;"",$H21&lt;&gt;$AN21,IFERROR(VLOOKUP($H21,areaCercaPuntiClassificaSquadra,3,FALSE),-1)=IFERROR(VLOOKUP($AN21,areaCercaPuntiClassificaSquadra,3,FALSE),-2)),SUMIFS(Dati!$E$2:$E$761,Dati!$A$2:$A$761,$H21,Dati!$H$2:$H$761,$AN21)+SUMIFS(Dati!$L$2:$L$761,Dati!$H$2:$H$761,$H21,Dati!$A$2:$A$761,$AN21),"-")</f>
        <v/>
      </c>
      <c r="DC21" s="22">
        <f>IF(AND($H21&lt;&gt;"",$AO21&lt;&gt;"",$H21&lt;&gt;$AO21,IFERROR(VLOOKUP($H21,areaCercaPuntiClassificaSquadra,3,FALSE),-1)=IFERROR(VLOOKUP($AO21,areaCercaPuntiClassificaSquadra,3,FALSE),-2)),SUMIFS(Dati!$E$2:$E$761,Dati!$A$2:$A$761,$H21,Dati!$H$2:$H$761,$AO21)+SUMIFS(Dati!$L$2:$L$761,Dati!$H$2:$H$761,$H21,Dati!$A$2:$A$761,$AO21),"-")</f>
        <v/>
      </c>
      <c r="DD21" s="22">
        <f>IF(AND($H21&lt;&gt;"",$AP21&lt;&gt;"",$H21&lt;&gt;$AP21,IFERROR(VLOOKUP($H21,areaCercaPuntiClassificaSquadra,3,FALSE),-1)=IFERROR(VLOOKUP($AP21,areaCercaPuntiClassificaSquadra,3,FALSE),-2)),SUMIFS(Dati!$E$2:$E$761,Dati!$A$2:$A$761,$H21,Dati!$H$2:$H$761,$AP21)+SUMIFS(Dati!$L$2:$L$761,Dati!$H$2:$H$761,$H21,Dati!$A$2:$A$761,$AP21),"-")</f>
        <v/>
      </c>
      <c r="DE21" s="22">
        <f>IF(AND($H21&lt;&gt;"",$AQ21&lt;&gt;"",$H21&lt;&gt;$AQ21,IFERROR(VLOOKUP($H21,areaCercaPuntiClassificaSquadra,3,FALSE),-1)=IFERROR(VLOOKUP($AQ21,areaCercaPuntiClassificaSquadra,3,FALSE),-2)),SUMIFS(Dati!$E$2:$E$761,Dati!$A$2:$A$761,$H21,Dati!$H$2:$H$761,$AQ21)+SUMIFS(Dati!$L$2:$L$761,Dati!$H$2:$H$761,$H21,Dati!$A$2:$A$761,$AQ21),"-")</f>
        <v/>
      </c>
      <c r="DF21" s="22">
        <f>IF(AND($H21&lt;&gt;"",$AR21&lt;&gt;"",$H21&lt;&gt;$AR21,IFERROR(VLOOKUP($H21,areaCercaPuntiClassificaSquadra,3,FALSE),-1)=IFERROR(VLOOKUP($AR21,areaCercaPuntiClassificaSquadra,3,FALSE),-2)),SUMIFS(Dati!$E$2:$E$761,Dati!$A$2:$A$761,$H21,Dati!$H$2:$H$761,$AR21)+SUMIFS(Dati!$L$2:$L$761,Dati!$H$2:$H$761,$H21,Dati!$A$2:$A$761,$AR21),"-")</f>
        <v/>
      </c>
      <c r="DH21" s="21">
        <f>$C21</f>
        <v/>
      </c>
      <c r="DI21" s="22">
        <f>IF(AND($H21&lt;&gt;"",$Y21&lt;&gt;"",$H21&lt;&gt;$Y21,IFERROR(VLOOKUP($H21,areaCercaPuntiClassificaSquadra,3,FALSE),-1)=IFERROR(VLOOKUP($Y21,areaCercaPuntiClassificaSquadra,3,FALSE),-2)),SUMIFS(Dati!$F$2:$F$761,Dati!$A$2:$A$761,$H21,Dati!$H$2:$H$761,$Y21)+SUMIFS(Dati!$M$2:$M$761,Dati!$H$2:$H$761,$H21,Dati!$A$2:$A$761,$Y21),"-")</f>
        <v/>
      </c>
      <c r="DJ21" s="22">
        <f>IF(AND($H21&lt;&gt;"",$Z21&lt;&gt;"",$H21&lt;&gt;$Z21,IFERROR(VLOOKUP($H21,areaCercaPuntiClassificaSquadra,3,FALSE),-1)=IFERROR(VLOOKUP($Z21,areaCercaPuntiClassificaSquadra,3,FALSE),-2)),SUMIFS(Dati!$F$2:$F$761,Dati!$A$2:$A$761,$H21,Dati!$H$2:$H$761,$Z21)+SUMIFS(Dati!$M$2:$M$761,Dati!$H$2:$H$761,$H21,Dati!$A$2:$A$761,$Z21),"-")</f>
        <v/>
      </c>
      <c r="DK21" s="22">
        <f>IF(AND($H21&lt;&gt;"",$AA21&lt;&gt;"",$H21&lt;&gt;$AA21,IFERROR(VLOOKUP($H21,areaCercaPuntiClassificaSquadra,3,FALSE),-1)=IFERROR(VLOOKUP($AA21,areaCercaPuntiClassificaSquadra,3,FALSE),-2)),SUMIFS(Dati!$F$2:$F$761,Dati!$A$2:$A$761,$H21,Dati!$H$2:$H$761,$AA21)+SUMIFS(Dati!$M$2:$M$761,Dati!$H$2:$H$761,$H21,Dati!$A$2:$A$761,$AA21),"-")</f>
        <v/>
      </c>
      <c r="DL21" s="22">
        <f>IF(AND($H21&lt;&gt;"",$AB21&lt;&gt;"",$H21&lt;&gt;$AB21,IFERROR(VLOOKUP($H21,areaCercaPuntiClassificaSquadra,3,FALSE),-1)=IFERROR(VLOOKUP($AB21,areaCercaPuntiClassificaSquadra,3,FALSE),-2)),SUMIFS(Dati!$F$2:$F$761,Dati!$A$2:$A$761,$H21,Dati!$H$2:$H$761,$AB21)+SUMIFS(Dati!$M$2:$M$761,Dati!$H$2:$H$761,$H21,Dati!$A$2:$A$761,$AB21),"-")</f>
        <v/>
      </c>
      <c r="DM21" s="22">
        <f>IF(AND($H21&lt;&gt;"",$AC21&lt;&gt;"",$H21&lt;&gt;$AC21,IFERROR(VLOOKUP($H21,areaCercaPuntiClassificaSquadra,3,FALSE),-1)=IFERROR(VLOOKUP($AC21,areaCercaPuntiClassificaSquadra,3,FALSE),-2)),SUMIFS(Dati!$F$2:$F$761,Dati!$A$2:$A$761,$H21,Dati!$H$2:$H$761,$AC21)+SUMIFS(Dati!$M$2:$M$761,Dati!$H$2:$H$761,$H21,Dati!$A$2:$A$761,$AC21),"-")</f>
        <v/>
      </c>
      <c r="DN21" s="22">
        <f>IF(AND($H21&lt;&gt;"",$AD21&lt;&gt;"",$H21&lt;&gt;$AD21,IFERROR(VLOOKUP($H21,areaCercaPuntiClassificaSquadra,3,FALSE),-1)=IFERROR(VLOOKUP($AD21,areaCercaPuntiClassificaSquadra,3,FALSE),-2)),SUMIFS(Dati!$F$2:$F$761,Dati!$A$2:$A$761,$H21,Dati!$H$2:$H$761,$AD21)+SUMIFS(Dati!$M$2:$M$761,Dati!$H$2:$H$761,$H21,Dati!$A$2:$A$761,$AD21),"-")</f>
        <v/>
      </c>
      <c r="DO21" s="22">
        <f>IF(AND($H21&lt;&gt;"",$AE21&lt;&gt;"",$H21&lt;&gt;$AE21,IFERROR(VLOOKUP($H21,areaCercaPuntiClassificaSquadra,3,FALSE),-1)=IFERROR(VLOOKUP($AE21,areaCercaPuntiClassificaSquadra,3,FALSE),-2)),SUMIFS(Dati!$F$2:$F$761,Dati!$A$2:$A$761,$H21,Dati!$H$2:$H$761,$AE21)+SUMIFS(Dati!$M$2:$M$761,Dati!$H$2:$H$761,$H21,Dati!$A$2:$A$761,$AE21),"-")</f>
        <v/>
      </c>
      <c r="DP21" s="22">
        <f>IF(AND($H21&lt;&gt;"",$AF21&lt;&gt;"",$H21&lt;&gt;$AF21,IFERROR(VLOOKUP($H21,areaCercaPuntiClassificaSquadra,3,FALSE),-1)=IFERROR(VLOOKUP($AF21,areaCercaPuntiClassificaSquadra,3,FALSE),-2)),SUMIFS(Dati!$F$2:$F$761,Dati!$A$2:$A$761,$H21,Dati!$H$2:$H$761,$AF21)+SUMIFS(Dati!$M$2:$M$761,Dati!$H$2:$H$761,$H21,Dati!$A$2:$A$761,$AF21),"-")</f>
        <v/>
      </c>
      <c r="DQ21" s="22">
        <f>IF(AND($H21&lt;&gt;"",$AG21&lt;&gt;"",$H21&lt;&gt;$AG21,IFERROR(VLOOKUP($H21,areaCercaPuntiClassificaSquadra,3,FALSE),-1)=IFERROR(VLOOKUP($AG21,areaCercaPuntiClassificaSquadra,3,FALSE),-2)),SUMIFS(Dati!$F$2:$F$761,Dati!$A$2:$A$761,$H21,Dati!$H$2:$H$761,$AG21)+SUMIFS(Dati!$M$2:$M$761,Dati!$H$2:$H$761,$H21,Dati!$A$2:$A$761,$AG21),"-")</f>
        <v/>
      </c>
      <c r="DR21" s="22">
        <f>IF(AND($H21&lt;&gt;"",$AH21&lt;&gt;"",$H21&lt;&gt;$AH21,IFERROR(VLOOKUP($H21,areaCercaPuntiClassificaSquadra,3,FALSE),-1)=IFERROR(VLOOKUP($AH21,areaCercaPuntiClassificaSquadra,3,FALSE),-2)),SUMIFS(Dati!$F$2:$F$761,Dati!$A$2:$A$761,$H21,Dati!$H$2:$H$761,$AH21)+SUMIFS(Dati!$M$2:$M$761,Dati!$H$2:$H$761,$H21,Dati!$A$2:$A$761,$AH21),"-")</f>
        <v/>
      </c>
      <c r="DS21" s="22">
        <f>IF(AND($H21&lt;&gt;"",$AI21&lt;&gt;"",$H21&lt;&gt;$AI21,IFERROR(VLOOKUP($H21,areaCercaPuntiClassificaSquadra,3,FALSE),-1)=IFERROR(VLOOKUP($AI21,areaCercaPuntiClassificaSquadra,3,FALSE),-2)),SUMIFS(Dati!$F$2:$F$761,Dati!$A$2:$A$761,$H21,Dati!$H$2:$H$761,$AI21)+SUMIFS(Dati!$M$2:$M$761,Dati!$H$2:$H$761,$H21,Dati!$A$2:$A$761,$AI21),"-")</f>
        <v/>
      </c>
      <c r="DT21" s="22">
        <f>IF(AND($H21&lt;&gt;"",$AJ21&lt;&gt;"",$H21&lt;&gt;$AJ21,IFERROR(VLOOKUP($H21,areaCercaPuntiClassificaSquadra,3,FALSE),-1)=IFERROR(VLOOKUP($AJ21,areaCercaPuntiClassificaSquadra,3,FALSE),-2)),SUMIFS(Dati!$F$2:$F$761,Dati!$A$2:$A$761,$H21,Dati!$H$2:$H$761,$AJ21)+SUMIFS(Dati!$M$2:$M$761,Dati!$H$2:$H$761,$H21,Dati!$A$2:$A$761,$AJ21),"-")</f>
        <v/>
      </c>
      <c r="DU21" s="22">
        <f>IF(AND($H21&lt;&gt;"",$AK21&lt;&gt;"",$H21&lt;&gt;$AK21,IFERROR(VLOOKUP($H21,areaCercaPuntiClassificaSquadra,3,FALSE),-1)=IFERROR(VLOOKUP($AK21,areaCercaPuntiClassificaSquadra,3,FALSE),-2)),SUMIFS(Dati!$F$2:$F$761,Dati!$A$2:$A$761,$H21,Dati!$H$2:$H$761,$AK21)+SUMIFS(Dati!$M$2:$M$761,Dati!$H$2:$H$761,$H21,Dati!$A$2:$A$761,$AK21),"-")</f>
        <v/>
      </c>
      <c r="DV21" s="22">
        <f>IF(AND($H21&lt;&gt;"",$AL21&lt;&gt;"",$H21&lt;&gt;$AL21,IFERROR(VLOOKUP($H21,areaCercaPuntiClassificaSquadra,3,FALSE),-1)=IFERROR(VLOOKUP($AL21,areaCercaPuntiClassificaSquadra,3,FALSE),-2)),SUMIFS(Dati!$F$2:$F$761,Dati!$A$2:$A$761,$H21,Dati!$H$2:$H$761,$AL21)+SUMIFS(Dati!$M$2:$M$761,Dati!$H$2:$H$761,$H21,Dati!$A$2:$A$761,$AL21),"-")</f>
        <v/>
      </c>
      <c r="DW21" s="22">
        <f>IF(AND($H21&lt;&gt;"",$AM21&lt;&gt;"",$H21&lt;&gt;$AM21,IFERROR(VLOOKUP($H21,areaCercaPuntiClassificaSquadra,3,FALSE),-1)=IFERROR(VLOOKUP($AM21,areaCercaPuntiClassificaSquadra,3,FALSE),-2)),SUMIFS(Dati!$F$2:$F$761,Dati!$A$2:$A$761,$H21,Dati!$H$2:$H$761,$AM21)+SUMIFS(Dati!$M$2:$M$761,Dati!$H$2:$H$761,$H21,Dati!$A$2:$A$761,$AM21),"-")</f>
        <v/>
      </c>
      <c r="DX21" s="22">
        <f>IF(AND($H21&lt;&gt;"",$AN21&lt;&gt;"",$H21&lt;&gt;$AN21,IFERROR(VLOOKUP($H21,areaCercaPuntiClassificaSquadra,3,FALSE),-1)=IFERROR(VLOOKUP($AN21,areaCercaPuntiClassificaSquadra,3,FALSE),-2)),SUMIFS(Dati!$F$2:$F$761,Dati!$A$2:$A$761,$H21,Dati!$H$2:$H$761,$AN21)+SUMIFS(Dati!$M$2:$M$761,Dati!$H$2:$H$761,$H21,Dati!$A$2:$A$761,$AN21),"-")</f>
        <v/>
      </c>
      <c r="DY21" s="22">
        <f>IF(AND($H21&lt;&gt;"",$AO21&lt;&gt;"",$H21&lt;&gt;$AO21,IFERROR(VLOOKUP($H21,areaCercaPuntiClassificaSquadra,3,FALSE),-1)=IFERROR(VLOOKUP($AO21,areaCercaPuntiClassificaSquadra,3,FALSE),-2)),SUMIFS(Dati!$F$2:$F$761,Dati!$A$2:$A$761,$H21,Dati!$H$2:$H$761,$AO21)+SUMIFS(Dati!$M$2:$M$761,Dati!$H$2:$H$761,$H21,Dati!$A$2:$A$761,$AO21),"-")</f>
        <v/>
      </c>
      <c r="DZ21" s="22">
        <f>IF(AND($H21&lt;&gt;"",$AP21&lt;&gt;"",$H21&lt;&gt;$AP21,IFERROR(VLOOKUP($H21,areaCercaPuntiClassificaSquadra,3,FALSE),-1)=IFERROR(VLOOKUP($AP21,areaCercaPuntiClassificaSquadra,3,FALSE),-2)),SUMIFS(Dati!$F$2:$F$761,Dati!$A$2:$A$761,$H21,Dati!$H$2:$H$761,$AP21)+SUMIFS(Dati!$M$2:$M$761,Dati!$H$2:$H$761,$H21,Dati!$A$2:$A$761,$AP21),"-")</f>
        <v/>
      </c>
      <c r="EA21" s="22">
        <f>IF(AND($H21&lt;&gt;"",$AQ21&lt;&gt;"",$H21&lt;&gt;$AQ21,IFERROR(VLOOKUP($H21,areaCercaPuntiClassificaSquadra,3,FALSE),-1)=IFERROR(VLOOKUP($AQ21,areaCercaPuntiClassificaSquadra,3,FALSE),-2)),SUMIFS(Dati!$F$2:$F$761,Dati!$A$2:$A$761,$H21,Dati!$H$2:$H$761,$AQ21)+SUMIFS(Dati!$M$2:$M$761,Dati!$H$2:$H$761,$H21,Dati!$A$2:$A$761,$AQ21),"-")</f>
        <v/>
      </c>
      <c r="EB21" s="22">
        <f>IF(AND($H21&lt;&gt;"",$AR21&lt;&gt;"",$H21&lt;&gt;$AR21,IFERROR(VLOOKUP($H21,areaCercaPuntiClassificaSquadra,3,FALSE),-1)=IFERROR(VLOOKUP($AR21,areaCercaPuntiClassificaSquadra,3,FALSE),-2)),SUMIFS(Dati!$F$2:$F$761,Dati!$A$2:$A$761,$H21,Dati!$H$2:$H$761,$AR21)+SUMIFS(Dati!$M$2:$M$761,Dati!$H$2:$H$761,$H21,Dati!$A$2:$A$761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inlineStr">
        <is>
          <t>Lupi Leali-Lupiopoli LO</t>
        </is>
      </c>
      <c r="D22" s="14" t="n"/>
      <c r="E22" s="15" t="inlineStr">
        <is>
          <t>A</t>
        </is>
      </c>
      <c r="G22" s="16">
        <f>IF($C22="","",$E22&amp;(COUNTIFS(I$14:I$93,"&gt;"&amp;I22,E$14:E$93,"="&amp;E22,C$14:C$93,"&lt;&gt;")+COUNTIFS(I$14:I$93,"="&amp;I22,H$14:H$93,"&lt;="&amp;H22,E$14:E$93,"="&amp;E22,C$14:C$93,"&lt;&gt;")))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L22*constPuntiVittoria+M22*constPuntiSconfitta+N22*constPuntiForfait+IF(D22="",0,D22)</f>
        <v/>
      </c>
      <c r="K22" s="12">
        <f>SUM(L22:N22)</f>
        <v/>
      </c>
      <c r="L22" s="12">
        <f>IF($H22="",0,SUMIF(Dati!$A$2:$A$761,$H22,Dati!$B$2:$B$761)+SUMIF(Dati!$H$2:$H$761,$H22,Dati!$I$2:$I$761))</f>
        <v/>
      </c>
      <c r="M22" s="12">
        <f>IF($H22="",0,SUMIF(Dati!$A$2:$A$761,$H22,Dati!$D$2:$D$761)+SUMIF(Dati!$H$2:$H$761,$H22,Dati!$K$2:$K$761))</f>
        <v/>
      </c>
      <c r="N22" s="12">
        <f>IF($H22="",0,SUMIF(Dati!$A$2:$A$761,$H22,Dati!$C$2:$C$761)+SUMIF(Dati!$H$2:$H$761,$H22,Dati!$J$2:$J$761))</f>
        <v/>
      </c>
      <c r="O22" s="12">
        <f>IF($H22="",0,SUMIF(Dati!$A$2:$A$761,$H22,Dati!$E$2:$E$761)+SUMIF(Dati!$H$2:$H$761,$H22,Dati!$L$2:$L$761))</f>
        <v/>
      </c>
      <c r="P22" s="12">
        <f>IF($H22="",0,SUMIF(Dati!$A$2:$A$761,$H22,Dati!$F$2:$F$761)+SUMIF(Dati!$H$2:$H$761,$H22,Dati!$M$2:$M$761))</f>
        <v/>
      </c>
      <c r="Q22" s="12">
        <f>IF($H22="",0,SUMIF(Dati!$A$2:$A$761,$H22,Dati!$G$2:$G$761)+SUMIF(Dati!$H$2:$H$761,$H22,Dati!$N$2:$N$761))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IF(COUNTIFS($E$14:$E$93,$E22,$J$14:$J$93,$J22,$C$14:$C$93,"&lt;&gt;")&lt;=1,"-",SUM(AU22:BN22)&amp;"-"&amp;SUM(BQ22:CJ22))</f>
        <v/>
      </c>
      <c r="V22" s="18">
        <f>IF(COUNTIFS($E$14:$E$93,$E22,$J$14:$J$93,$J22,$C$14:$C$93,"&lt;&gt;",$ED$14:$ED$93,$ED22)&lt;=1,"-",IF(SUM(DI22:EB22)=0,0,ROUND(SUM(CM22:DF22)/SUM(DI22:EB22),3)))</f>
        <v/>
      </c>
      <c r="W22" s="18">
        <f>IF(COUNTIFS($E$14:$E$93,$E22,$J$14:$J$93,$J22,$C$14:$C$93,"&lt;&gt;",$ED$14:$ED$93,$ED22,$V$14:$V$93,$V22)&lt;=1,"-",IF(P22=0,0,ROUND(O22/P22,3)))</f>
        <v/>
      </c>
      <c r="X22" s="19">
        <f>IF($C22="","",$E22&amp;"#"&amp;COUNTIFS($E$14:$E22,$E22,$C$14:$C22,"&lt;&gt;"))</f>
        <v/>
      </c>
      <c r="Y22" s="20">
        <f>IFERROR(INDEX($H$14:$H$93,MATCH($E22&amp;"#1",$X$14:$X$93,0)),"")</f>
        <v/>
      </c>
      <c r="Z22" s="20">
        <f>IFERROR(INDEX($H$14:$H$93,MATCH($E22&amp;"#2",$X$14:$X$93,0)),"")</f>
        <v/>
      </c>
      <c r="AA22" s="20">
        <f>IFERROR(INDEX($H$14:$H$93,MATCH($E22&amp;"#3",$X$14:$X$93,0)),"")</f>
        <v/>
      </c>
      <c r="AB22" s="20">
        <f>IFERROR(INDEX($H$14:$H$93,MATCH($E22&amp;"#4",$X$14:$X$93,0)),"")</f>
        <v/>
      </c>
      <c r="AC22" s="20">
        <f>IFERROR(INDEX($H$14:$H$93,MATCH($E22&amp;"#5",$X$14:$X$93,0)),"")</f>
        <v/>
      </c>
      <c r="AD22" s="20">
        <f>IFERROR(INDEX($H$14:$H$93,MATCH($E22&amp;"#6",$X$14:$X$93,0)),"")</f>
        <v/>
      </c>
      <c r="AE22" s="20">
        <f>IFERROR(INDEX($H$14:$H$93,MATCH($E22&amp;"#7",$X$14:$X$93,0)),"")</f>
        <v/>
      </c>
      <c r="AF22" s="20">
        <f>IFERROR(INDEX($H$14:$H$93,MATCH($E22&amp;"#8",$X$14:$X$93,0)),"")</f>
        <v/>
      </c>
      <c r="AG22" s="20">
        <f>IFERROR(INDEX($H$14:$H$93,MATCH($E22&amp;"#9",$X$14:$X$93,0)),"")</f>
        <v/>
      </c>
      <c r="AH22" s="20">
        <f>IFERROR(INDEX($H$14:$H$93,MATCH($E22&amp;"#10",$X$14:$X$93,0)),"")</f>
        <v/>
      </c>
      <c r="AI22" s="20">
        <f>IFERROR(INDEX($H$14:$H$93,MATCH($E22&amp;"#11",$X$14:$X$93,0)),"")</f>
        <v/>
      </c>
      <c r="AJ22" s="20">
        <f>IFERROR(INDEX($H$14:$H$93,MATCH($E22&amp;"#12",$X$14:$X$93,0)),"")</f>
        <v/>
      </c>
      <c r="AK22" s="20">
        <f>IFERROR(INDEX($H$14:$H$93,MATCH($E22&amp;"#13",$X$14:$X$93,0)),"")</f>
        <v/>
      </c>
      <c r="AL22" s="20">
        <f>IFERROR(INDEX($H$14:$H$93,MATCH($E22&amp;"#14",$X$14:$X$93,0)),"")</f>
        <v/>
      </c>
      <c r="AM22" s="20">
        <f>IFERROR(INDEX($H$14:$H$93,MATCH($E22&amp;"#15",$X$14:$X$93,0)),"")</f>
        <v/>
      </c>
      <c r="AN22" s="20">
        <f>IFERROR(INDEX($H$14:$H$93,MATCH($E22&amp;"#16",$X$14:$X$93,0)),"")</f>
        <v/>
      </c>
      <c r="AO22" s="20">
        <f>IFERROR(INDEX($H$14:$H$93,MATCH($E22&amp;"#17",$X$14:$X$93,0)),"")</f>
        <v/>
      </c>
      <c r="AP22" s="20">
        <f>IFERROR(INDEX($H$14:$H$93,MATCH($E22&amp;"#18",$X$14:$X$93,0)),"")</f>
        <v/>
      </c>
      <c r="AQ22" s="20">
        <f>IFERROR(INDEX($H$14:$H$93,MATCH($E22&amp;"#19",$X$14:$X$93,0)),"")</f>
        <v/>
      </c>
      <c r="AR22" s="20">
        <f>IFERROR(INDEX($H$14:$H$93,MATCH($E22&amp;"#20",$X$14:$X$93,0)),"")</f>
        <v/>
      </c>
      <c r="AT22" s="21">
        <f>$C22</f>
        <v/>
      </c>
      <c r="AU22" s="22">
        <f>IF(AND($H22&lt;&gt;"",$Y22&lt;&gt;"",$H22&lt;&gt;$Y22,IFERROR(VLOOKUP($H22,areaCercaPuntiClassificaSquadra,3,FALSE),-1)=IFERROR(VLOOKUP($Y22,areaCercaPuntiClassificaSquadra,3,FALSE),-2)),SUMIFS(Dati!$B$2:$B$761,Dati!$A$2:$A$761,$H22,Dati!$H$2:$H$761,$Y22)+SUMIFS(Dati!$I$2:$I$761,Dati!$H$2:$H$761,$H22,Dati!$A$2:$A$761,$Y22),"-")</f>
        <v/>
      </c>
      <c r="AV22" s="22">
        <f>IF(AND($H22&lt;&gt;"",$Z22&lt;&gt;"",$H22&lt;&gt;$Z22,IFERROR(VLOOKUP($H22,areaCercaPuntiClassificaSquadra,3,FALSE),-1)=IFERROR(VLOOKUP($Z22,areaCercaPuntiClassificaSquadra,3,FALSE),-2)),SUMIFS(Dati!$B$2:$B$761,Dati!$A$2:$A$761,$H22,Dati!$H$2:$H$761,$Z22)+SUMIFS(Dati!$I$2:$I$761,Dati!$H$2:$H$761,$H22,Dati!$A$2:$A$761,$Z22),"-")</f>
        <v/>
      </c>
      <c r="AW22" s="22">
        <f>IF(AND($H22&lt;&gt;"",$AA22&lt;&gt;"",$H22&lt;&gt;$AA22,IFERROR(VLOOKUP($H22,areaCercaPuntiClassificaSquadra,3,FALSE),-1)=IFERROR(VLOOKUP($AA22,areaCercaPuntiClassificaSquadra,3,FALSE),-2)),SUMIFS(Dati!$B$2:$B$761,Dati!$A$2:$A$761,$H22,Dati!$H$2:$H$761,$AA22)+SUMIFS(Dati!$I$2:$I$761,Dati!$H$2:$H$761,$H22,Dati!$A$2:$A$761,$AA22),"-")</f>
        <v/>
      </c>
      <c r="AX22" s="22">
        <f>IF(AND($H22&lt;&gt;"",$AB22&lt;&gt;"",$H22&lt;&gt;$AB22,IFERROR(VLOOKUP($H22,areaCercaPuntiClassificaSquadra,3,FALSE),-1)=IFERROR(VLOOKUP($AB22,areaCercaPuntiClassificaSquadra,3,FALSE),-2)),SUMIFS(Dati!$B$2:$B$761,Dati!$A$2:$A$761,$H22,Dati!$H$2:$H$761,$AB22)+SUMIFS(Dati!$I$2:$I$761,Dati!$H$2:$H$761,$H22,Dati!$A$2:$A$761,$AB22),"-")</f>
        <v/>
      </c>
      <c r="AY22" s="22">
        <f>IF(AND($H22&lt;&gt;"",$AC22&lt;&gt;"",$H22&lt;&gt;$AC22,IFERROR(VLOOKUP($H22,areaCercaPuntiClassificaSquadra,3,FALSE),-1)=IFERROR(VLOOKUP($AC22,areaCercaPuntiClassificaSquadra,3,FALSE),-2)),SUMIFS(Dati!$B$2:$B$761,Dati!$A$2:$A$761,$H22,Dati!$H$2:$H$761,$AC22)+SUMIFS(Dati!$I$2:$I$761,Dati!$H$2:$H$761,$H22,Dati!$A$2:$A$761,$AC22),"-")</f>
        <v/>
      </c>
      <c r="AZ22" s="22">
        <f>IF(AND($H22&lt;&gt;"",$AD22&lt;&gt;"",$H22&lt;&gt;$AD22,IFERROR(VLOOKUP($H22,areaCercaPuntiClassificaSquadra,3,FALSE),-1)=IFERROR(VLOOKUP($AD22,areaCercaPuntiClassificaSquadra,3,FALSE),-2)),SUMIFS(Dati!$B$2:$B$761,Dati!$A$2:$A$761,$H22,Dati!$H$2:$H$761,$AD22)+SUMIFS(Dati!$I$2:$I$761,Dati!$H$2:$H$761,$H22,Dati!$A$2:$A$761,$AD22),"-")</f>
        <v/>
      </c>
      <c r="BA22" s="22">
        <f>IF(AND($H22&lt;&gt;"",$AE22&lt;&gt;"",$H22&lt;&gt;$AE22,IFERROR(VLOOKUP($H22,areaCercaPuntiClassificaSquadra,3,FALSE),-1)=IFERROR(VLOOKUP($AE22,areaCercaPuntiClassificaSquadra,3,FALSE),-2)),SUMIFS(Dati!$B$2:$B$761,Dati!$A$2:$A$761,$H22,Dati!$H$2:$H$761,$AE22)+SUMIFS(Dati!$I$2:$I$761,Dati!$H$2:$H$761,$H22,Dati!$A$2:$A$761,$AE22),"-")</f>
        <v/>
      </c>
      <c r="BB22" s="22">
        <f>IF(AND($H22&lt;&gt;"",$AF22&lt;&gt;"",$H22&lt;&gt;$AF22,IFERROR(VLOOKUP($H22,areaCercaPuntiClassificaSquadra,3,FALSE),-1)=IFERROR(VLOOKUP($AF22,areaCercaPuntiClassificaSquadra,3,FALSE),-2)),SUMIFS(Dati!$B$2:$B$761,Dati!$A$2:$A$761,$H22,Dati!$H$2:$H$761,$AF22)+SUMIFS(Dati!$I$2:$I$761,Dati!$H$2:$H$761,$H22,Dati!$A$2:$A$761,$AF22),"-")</f>
        <v/>
      </c>
      <c r="BC22" s="22">
        <f>IF(AND($H22&lt;&gt;"",$AG22&lt;&gt;"",$H22&lt;&gt;$AG22,IFERROR(VLOOKUP($H22,areaCercaPuntiClassificaSquadra,3,FALSE),-1)=IFERROR(VLOOKUP($AG22,areaCercaPuntiClassificaSquadra,3,FALSE),-2)),SUMIFS(Dati!$B$2:$B$761,Dati!$A$2:$A$761,$H22,Dati!$H$2:$H$761,$AG22)+SUMIFS(Dati!$I$2:$I$761,Dati!$H$2:$H$761,$H22,Dati!$A$2:$A$761,$AG22),"-")</f>
        <v/>
      </c>
      <c r="BD22" s="22">
        <f>IF(AND($H22&lt;&gt;"",$AH22&lt;&gt;"",$H22&lt;&gt;$AH22,IFERROR(VLOOKUP($H22,areaCercaPuntiClassificaSquadra,3,FALSE),-1)=IFERROR(VLOOKUP($AH22,areaCercaPuntiClassificaSquadra,3,FALSE),-2)),SUMIFS(Dati!$B$2:$B$761,Dati!$A$2:$A$761,$H22,Dati!$H$2:$H$761,$AH22)+SUMIFS(Dati!$I$2:$I$761,Dati!$H$2:$H$761,$H22,Dati!$A$2:$A$761,$AH22),"-")</f>
        <v/>
      </c>
      <c r="BE22" s="22">
        <f>IF(AND($H22&lt;&gt;"",$AI22&lt;&gt;"",$H22&lt;&gt;$AI22,IFERROR(VLOOKUP($H22,areaCercaPuntiClassificaSquadra,3,FALSE),-1)=IFERROR(VLOOKUP($AI22,areaCercaPuntiClassificaSquadra,3,FALSE),-2)),SUMIFS(Dati!$B$2:$B$761,Dati!$A$2:$A$761,$H22,Dati!$H$2:$H$761,$AI22)+SUMIFS(Dati!$I$2:$I$761,Dati!$H$2:$H$761,$H22,Dati!$A$2:$A$761,$AI22),"-")</f>
        <v/>
      </c>
      <c r="BF22" s="22">
        <f>IF(AND($H22&lt;&gt;"",$AJ22&lt;&gt;"",$H22&lt;&gt;$AJ22,IFERROR(VLOOKUP($H22,areaCercaPuntiClassificaSquadra,3,FALSE),-1)=IFERROR(VLOOKUP($AJ22,areaCercaPuntiClassificaSquadra,3,FALSE),-2)),SUMIFS(Dati!$B$2:$B$761,Dati!$A$2:$A$761,$H22,Dati!$H$2:$H$761,$AJ22)+SUMIFS(Dati!$I$2:$I$761,Dati!$H$2:$H$761,$H22,Dati!$A$2:$A$761,$AJ22),"-")</f>
        <v/>
      </c>
      <c r="BG22" s="22">
        <f>IF(AND($H22&lt;&gt;"",$AK22&lt;&gt;"",$H22&lt;&gt;$AK22,IFERROR(VLOOKUP($H22,areaCercaPuntiClassificaSquadra,3,FALSE),-1)=IFERROR(VLOOKUP($AK22,areaCercaPuntiClassificaSquadra,3,FALSE),-2)),SUMIFS(Dati!$B$2:$B$761,Dati!$A$2:$A$761,$H22,Dati!$H$2:$H$761,$AK22)+SUMIFS(Dati!$I$2:$I$761,Dati!$H$2:$H$761,$H22,Dati!$A$2:$A$761,$AK22),"-")</f>
        <v/>
      </c>
      <c r="BH22" s="22">
        <f>IF(AND($H22&lt;&gt;"",$AL22&lt;&gt;"",$H22&lt;&gt;$AL22,IFERROR(VLOOKUP($H22,areaCercaPuntiClassificaSquadra,3,FALSE),-1)=IFERROR(VLOOKUP($AL22,areaCercaPuntiClassificaSquadra,3,FALSE),-2)),SUMIFS(Dati!$B$2:$B$761,Dati!$A$2:$A$761,$H22,Dati!$H$2:$H$761,$AL22)+SUMIFS(Dati!$I$2:$I$761,Dati!$H$2:$H$761,$H22,Dati!$A$2:$A$761,$AL22),"-")</f>
        <v/>
      </c>
      <c r="BI22" s="22">
        <f>IF(AND($H22&lt;&gt;"",$AM22&lt;&gt;"",$H22&lt;&gt;$AM22,IFERROR(VLOOKUP($H22,areaCercaPuntiClassificaSquadra,3,FALSE),-1)=IFERROR(VLOOKUP($AM22,areaCercaPuntiClassificaSquadra,3,FALSE),-2)),SUMIFS(Dati!$B$2:$B$761,Dati!$A$2:$A$761,$H22,Dati!$H$2:$H$761,$AM22)+SUMIFS(Dati!$I$2:$I$761,Dati!$H$2:$H$761,$H22,Dati!$A$2:$A$761,$AM22),"-")</f>
        <v/>
      </c>
      <c r="BJ22" s="22">
        <f>IF(AND($H22&lt;&gt;"",$AN22&lt;&gt;"",$H22&lt;&gt;$AN22,IFERROR(VLOOKUP($H22,areaCercaPuntiClassificaSquadra,3,FALSE),-1)=IFERROR(VLOOKUP($AN22,areaCercaPuntiClassificaSquadra,3,FALSE),-2)),SUMIFS(Dati!$B$2:$B$761,Dati!$A$2:$A$761,$H22,Dati!$H$2:$H$761,$AN22)+SUMIFS(Dati!$I$2:$I$761,Dati!$H$2:$H$761,$H22,Dati!$A$2:$A$761,$AN22),"-")</f>
        <v/>
      </c>
      <c r="BK22" s="22">
        <f>IF(AND($H22&lt;&gt;"",$AO22&lt;&gt;"",$H22&lt;&gt;$AO22,IFERROR(VLOOKUP($H22,areaCercaPuntiClassificaSquadra,3,FALSE),-1)=IFERROR(VLOOKUP($AO22,areaCercaPuntiClassificaSquadra,3,FALSE),-2)),SUMIFS(Dati!$B$2:$B$761,Dati!$A$2:$A$761,$H22,Dati!$H$2:$H$761,$AO22)+SUMIFS(Dati!$I$2:$I$761,Dati!$H$2:$H$761,$H22,Dati!$A$2:$A$761,$AO22),"-")</f>
        <v/>
      </c>
      <c r="BL22" s="22">
        <f>IF(AND($H22&lt;&gt;"",$AP22&lt;&gt;"",$H22&lt;&gt;$AP22,IFERROR(VLOOKUP($H22,areaCercaPuntiClassificaSquadra,3,FALSE),-1)=IFERROR(VLOOKUP($AP22,areaCercaPuntiClassificaSquadra,3,FALSE),-2)),SUMIFS(Dati!$B$2:$B$761,Dati!$A$2:$A$761,$H22,Dati!$H$2:$H$761,$AP22)+SUMIFS(Dati!$I$2:$I$761,Dati!$H$2:$H$761,$H22,Dati!$A$2:$A$761,$AP22),"-")</f>
        <v/>
      </c>
      <c r="BM22" s="22">
        <f>IF(AND($H22&lt;&gt;"",$AQ22&lt;&gt;"",$H22&lt;&gt;$AQ22,IFERROR(VLOOKUP($H22,areaCercaPuntiClassificaSquadra,3,FALSE),-1)=IFERROR(VLOOKUP($AQ22,areaCercaPuntiClassificaSquadra,3,FALSE),-2)),SUMIFS(Dati!$B$2:$B$761,Dati!$A$2:$A$761,$H22,Dati!$H$2:$H$761,$AQ22)+SUMIFS(Dati!$I$2:$I$761,Dati!$H$2:$H$761,$H22,Dati!$A$2:$A$761,$AQ22),"-")</f>
        <v/>
      </c>
      <c r="BN22" s="22">
        <f>IF(AND($H22&lt;&gt;"",$AR22&lt;&gt;"",$H22&lt;&gt;$AR22,IFERROR(VLOOKUP($H22,areaCercaPuntiClassificaSquadra,3,FALSE),-1)=IFERROR(VLOOKUP($AR22,areaCercaPuntiClassificaSquadra,3,FALSE),-2)),SUMIFS(Dati!$B$2:$B$761,Dati!$A$2:$A$761,$H22,Dati!$H$2:$H$761,$AR22)+SUMIFS(Dati!$I$2:$I$761,Dati!$H$2:$H$761,$H22,Dati!$A$2:$A$761,$AR22),"-")</f>
        <v/>
      </c>
      <c r="BP22" s="21">
        <f>$C22</f>
        <v/>
      </c>
      <c r="BQ22" s="22">
        <f>IF(AND($H22&lt;&gt;"",$Y22&lt;&gt;"",$H22&lt;&gt;$Y22,IFERROR(VLOOKUP($H22,areaCercaPuntiClassificaSquadra,3,FALSE),-1)=IFERROR(VLOOKUP($Y22,areaCercaPuntiClassificaSquadra,3,FALSE),-2)),SUMIFS(Dati!$D$2:$D$761,Dati!$A$2:$A$761,$H22,Dati!$H$2:$H$761,$Y22)+SUMIFS(Dati!$K$2:$K$761,Dati!$H$2:$H$761,$H22,Dati!$A$2:$A$761,$Y22)+SUMIFS(Dati!$C$2:$C$761,Dati!$A$2:$A$761,$H22,Dati!$H$2:$H$761,$Y22)+SUMIFS(Dati!$J$2:$J$761,Dati!$H$2:$H$761,$H22,Dati!$A$2:$A$761,$Y22),"-")</f>
        <v/>
      </c>
      <c r="BR22" s="22">
        <f>IF(AND($H22&lt;&gt;"",$Z22&lt;&gt;"",$H22&lt;&gt;$Z22,IFERROR(VLOOKUP($H22,areaCercaPuntiClassificaSquadra,3,FALSE),-1)=IFERROR(VLOOKUP($Z22,areaCercaPuntiClassificaSquadra,3,FALSE),-2)),SUMIFS(Dati!$D$2:$D$761,Dati!$A$2:$A$761,$H22,Dati!$H$2:$H$761,$Z22)+SUMIFS(Dati!$K$2:$K$761,Dati!$H$2:$H$761,$H22,Dati!$A$2:$A$761,$Z22)+SUMIFS(Dati!$C$2:$C$761,Dati!$A$2:$A$761,$H22,Dati!$H$2:$H$761,$Z22)+SUMIFS(Dati!$J$2:$J$761,Dati!$H$2:$H$761,$H22,Dati!$A$2:$A$761,$Z22),"-")</f>
        <v/>
      </c>
      <c r="BS22" s="22">
        <f>IF(AND($H22&lt;&gt;"",$AA22&lt;&gt;"",$H22&lt;&gt;$AA22,IFERROR(VLOOKUP($H22,areaCercaPuntiClassificaSquadra,3,FALSE),-1)=IFERROR(VLOOKUP($AA22,areaCercaPuntiClassificaSquadra,3,FALSE),-2)),SUMIFS(Dati!$D$2:$D$761,Dati!$A$2:$A$761,$H22,Dati!$H$2:$H$761,$AA22)+SUMIFS(Dati!$K$2:$K$761,Dati!$H$2:$H$761,$H22,Dati!$A$2:$A$761,$AA22)+SUMIFS(Dati!$C$2:$C$761,Dati!$A$2:$A$761,$H22,Dati!$H$2:$H$761,$AA22)+SUMIFS(Dati!$J$2:$J$761,Dati!$H$2:$H$761,$H22,Dati!$A$2:$A$761,$AA22),"-")</f>
        <v/>
      </c>
      <c r="BT22" s="22">
        <f>IF(AND($H22&lt;&gt;"",$AB22&lt;&gt;"",$H22&lt;&gt;$AB22,IFERROR(VLOOKUP($H22,areaCercaPuntiClassificaSquadra,3,FALSE),-1)=IFERROR(VLOOKUP($AB22,areaCercaPuntiClassificaSquadra,3,FALSE),-2)),SUMIFS(Dati!$D$2:$D$761,Dati!$A$2:$A$761,$H22,Dati!$H$2:$H$761,$AB22)+SUMIFS(Dati!$K$2:$K$761,Dati!$H$2:$H$761,$H22,Dati!$A$2:$A$761,$AB22)+SUMIFS(Dati!$C$2:$C$761,Dati!$A$2:$A$761,$H22,Dati!$H$2:$H$761,$AB22)+SUMIFS(Dati!$J$2:$J$761,Dati!$H$2:$H$761,$H22,Dati!$A$2:$A$761,$AB22),"-")</f>
        <v/>
      </c>
      <c r="BU22" s="22">
        <f>IF(AND($H22&lt;&gt;"",$AC22&lt;&gt;"",$H22&lt;&gt;$AC22,IFERROR(VLOOKUP($H22,areaCercaPuntiClassificaSquadra,3,FALSE),-1)=IFERROR(VLOOKUP($AC22,areaCercaPuntiClassificaSquadra,3,FALSE),-2)),SUMIFS(Dati!$D$2:$D$761,Dati!$A$2:$A$761,$H22,Dati!$H$2:$H$761,$AC22)+SUMIFS(Dati!$K$2:$K$761,Dati!$H$2:$H$761,$H22,Dati!$A$2:$A$761,$AC22)+SUMIFS(Dati!$C$2:$C$761,Dati!$A$2:$A$761,$H22,Dati!$H$2:$H$761,$AC22)+SUMIFS(Dati!$J$2:$J$761,Dati!$H$2:$H$761,$H22,Dati!$A$2:$A$761,$AC22),"-")</f>
        <v/>
      </c>
      <c r="BV22" s="22">
        <f>IF(AND($H22&lt;&gt;"",$AD22&lt;&gt;"",$H22&lt;&gt;$AD22,IFERROR(VLOOKUP($H22,areaCercaPuntiClassificaSquadra,3,FALSE),-1)=IFERROR(VLOOKUP($AD22,areaCercaPuntiClassificaSquadra,3,FALSE),-2)),SUMIFS(Dati!$D$2:$D$761,Dati!$A$2:$A$761,$H22,Dati!$H$2:$H$761,$AD22)+SUMIFS(Dati!$K$2:$K$761,Dati!$H$2:$H$761,$H22,Dati!$A$2:$A$761,$AD22)+SUMIFS(Dati!$C$2:$C$761,Dati!$A$2:$A$761,$H22,Dati!$H$2:$H$761,$AD22)+SUMIFS(Dati!$J$2:$J$761,Dati!$H$2:$H$761,$H22,Dati!$A$2:$A$761,$AD22),"-")</f>
        <v/>
      </c>
      <c r="BW22" s="22">
        <f>IF(AND($H22&lt;&gt;"",$AE22&lt;&gt;"",$H22&lt;&gt;$AE22,IFERROR(VLOOKUP($H22,areaCercaPuntiClassificaSquadra,3,FALSE),-1)=IFERROR(VLOOKUP($AE22,areaCercaPuntiClassificaSquadra,3,FALSE),-2)),SUMIFS(Dati!$D$2:$D$761,Dati!$A$2:$A$761,$H22,Dati!$H$2:$H$761,$AE22)+SUMIFS(Dati!$K$2:$K$761,Dati!$H$2:$H$761,$H22,Dati!$A$2:$A$761,$AE22)+SUMIFS(Dati!$C$2:$C$761,Dati!$A$2:$A$761,$H22,Dati!$H$2:$H$761,$AE22)+SUMIFS(Dati!$J$2:$J$761,Dati!$H$2:$H$761,$H22,Dati!$A$2:$A$761,$AE22),"-")</f>
        <v/>
      </c>
      <c r="BX22" s="22">
        <f>IF(AND($H22&lt;&gt;"",$AF22&lt;&gt;"",$H22&lt;&gt;$AF22,IFERROR(VLOOKUP($H22,areaCercaPuntiClassificaSquadra,3,FALSE),-1)=IFERROR(VLOOKUP($AF22,areaCercaPuntiClassificaSquadra,3,FALSE),-2)),SUMIFS(Dati!$D$2:$D$761,Dati!$A$2:$A$761,$H22,Dati!$H$2:$H$761,$AF22)+SUMIFS(Dati!$K$2:$K$761,Dati!$H$2:$H$761,$H22,Dati!$A$2:$A$761,$AF22)+SUMIFS(Dati!$C$2:$C$761,Dati!$A$2:$A$761,$H22,Dati!$H$2:$H$761,$AF22)+SUMIFS(Dati!$J$2:$J$761,Dati!$H$2:$H$761,$H22,Dati!$A$2:$A$761,$AF22),"-")</f>
        <v/>
      </c>
      <c r="BY22" s="22">
        <f>IF(AND($H22&lt;&gt;"",$AG22&lt;&gt;"",$H22&lt;&gt;$AG22,IFERROR(VLOOKUP($H22,areaCercaPuntiClassificaSquadra,3,FALSE),-1)=IFERROR(VLOOKUP($AG22,areaCercaPuntiClassificaSquadra,3,FALSE),-2)),SUMIFS(Dati!$D$2:$D$761,Dati!$A$2:$A$761,$H22,Dati!$H$2:$H$761,$AG22)+SUMIFS(Dati!$K$2:$K$761,Dati!$H$2:$H$761,$H22,Dati!$A$2:$A$761,$AG22)+SUMIFS(Dati!$C$2:$C$761,Dati!$A$2:$A$761,$H22,Dati!$H$2:$H$761,$AG22)+SUMIFS(Dati!$J$2:$J$761,Dati!$H$2:$H$761,$H22,Dati!$A$2:$A$761,$AG22),"-")</f>
        <v/>
      </c>
      <c r="BZ22" s="22">
        <f>IF(AND($H22&lt;&gt;"",$AH22&lt;&gt;"",$H22&lt;&gt;$AH22,IFERROR(VLOOKUP($H22,areaCercaPuntiClassificaSquadra,3,FALSE),-1)=IFERROR(VLOOKUP($AH22,areaCercaPuntiClassificaSquadra,3,FALSE),-2)),SUMIFS(Dati!$D$2:$D$761,Dati!$A$2:$A$761,$H22,Dati!$H$2:$H$761,$AH22)+SUMIFS(Dati!$K$2:$K$761,Dati!$H$2:$H$761,$H22,Dati!$A$2:$A$761,$AH22)+SUMIFS(Dati!$C$2:$C$761,Dati!$A$2:$A$761,$H22,Dati!$H$2:$H$761,$AH22)+SUMIFS(Dati!$J$2:$J$761,Dati!$H$2:$H$761,$H22,Dati!$A$2:$A$761,$AH22),"-")</f>
        <v/>
      </c>
      <c r="CA22" s="22">
        <f>IF(AND($H22&lt;&gt;"",$AI22&lt;&gt;"",$H22&lt;&gt;$AI22,IFERROR(VLOOKUP($H22,areaCercaPuntiClassificaSquadra,3,FALSE),-1)=IFERROR(VLOOKUP($AI22,areaCercaPuntiClassificaSquadra,3,FALSE),-2)),SUMIFS(Dati!$D$2:$D$761,Dati!$A$2:$A$761,$H22,Dati!$H$2:$H$761,$AI22)+SUMIFS(Dati!$K$2:$K$761,Dati!$H$2:$H$761,$H22,Dati!$A$2:$A$761,$AI22)+SUMIFS(Dati!$C$2:$C$761,Dati!$A$2:$A$761,$H22,Dati!$H$2:$H$761,$AI22)+SUMIFS(Dati!$J$2:$J$761,Dati!$H$2:$H$761,$H22,Dati!$A$2:$A$761,$AI22),"-")</f>
        <v/>
      </c>
      <c r="CB22" s="22">
        <f>IF(AND($H22&lt;&gt;"",$AJ22&lt;&gt;"",$H22&lt;&gt;$AJ22,IFERROR(VLOOKUP($H22,areaCercaPuntiClassificaSquadra,3,FALSE),-1)=IFERROR(VLOOKUP($AJ22,areaCercaPuntiClassificaSquadra,3,FALSE),-2)),SUMIFS(Dati!$D$2:$D$761,Dati!$A$2:$A$761,$H22,Dati!$H$2:$H$761,$AJ22)+SUMIFS(Dati!$K$2:$K$761,Dati!$H$2:$H$761,$H22,Dati!$A$2:$A$761,$AJ22)+SUMIFS(Dati!$C$2:$C$761,Dati!$A$2:$A$761,$H22,Dati!$H$2:$H$761,$AJ22)+SUMIFS(Dati!$J$2:$J$761,Dati!$H$2:$H$761,$H22,Dati!$A$2:$A$761,$AJ22),"-")</f>
        <v/>
      </c>
      <c r="CC22" s="22">
        <f>IF(AND($H22&lt;&gt;"",$AK22&lt;&gt;"",$H22&lt;&gt;$AK22,IFERROR(VLOOKUP($H22,areaCercaPuntiClassificaSquadra,3,FALSE),-1)=IFERROR(VLOOKUP($AK22,areaCercaPuntiClassificaSquadra,3,FALSE),-2)),SUMIFS(Dati!$D$2:$D$761,Dati!$A$2:$A$761,$H22,Dati!$H$2:$H$761,$AK22)+SUMIFS(Dati!$K$2:$K$761,Dati!$H$2:$H$761,$H22,Dati!$A$2:$A$761,$AK22)+SUMIFS(Dati!$C$2:$C$761,Dati!$A$2:$A$761,$H22,Dati!$H$2:$H$761,$AK22)+SUMIFS(Dati!$J$2:$J$761,Dati!$H$2:$H$761,$H22,Dati!$A$2:$A$761,$AK22),"-")</f>
        <v/>
      </c>
      <c r="CD22" s="22">
        <f>IF(AND($H22&lt;&gt;"",$AL22&lt;&gt;"",$H22&lt;&gt;$AL22,IFERROR(VLOOKUP($H22,areaCercaPuntiClassificaSquadra,3,FALSE),-1)=IFERROR(VLOOKUP($AL22,areaCercaPuntiClassificaSquadra,3,FALSE),-2)),SUMIFS(Dati!$D$2:$D$761,Dati!$A$2:$A$761,$H22,Dati!$H$2:$H$761,$AL22)+SUMIFS(Dati!$K$2:$K$761,Dati!$H$2:$H$761,$H22,Dati!$A$2:$A$761,$AL22)+SUMIFS(Dati!$C$2:$C$761,Dati!$A$2:$A$761,$H22,Dati!$H$2:$H$761,$AL22)+SUMIFS(Dati!$J$2:$J$761,Dati!$H$2:$H$761,$H22,Dati!$A$2:$A$761,$AL22),"-")</f>
        <v/>
      </c>
      <c r="CE22" s="22">
        <f>IF(AND($H22&lt;&gt;"",$AM22&lt;&gt;"",$H22&lt;&gt;$AM22,IFERROR(VLOOKUP($H22,areaCercaPuntiClassificaSquadra,3,FALSE),-1)=IFERROR(VLOOKUP($AM22,areaCercaPuntiClassificaSquadra,3,FALSE),-2)),SUMIFS(Dati!$D$2:$D$761,Dati!$A$2:$A$761,$H22,Dati!$H$2:$H$761,$AM22)+SUMIFS(Dati!$K$2:$K$761,Dati!$H$2:$H$761,$H22,Dati!$A$2:$A$761,$AM22)+SUMIFS(Dati!$C$2:$C$761,Dati!$A$2:$A$761,$H22,Dati!$H$2:$H$761,$AM22)+SUMIFS(Dati!$J$2:$J$761,Dati!$H$2:$H$761,$H22,Dati!$A$2:$A$761,$AM22),"-")</f>
        <v/>
      </c>
      <c r="CF22" s="22">
        <f>IF(AND($H22&lt;&gt;"",$AN22&lt;&gt;"",$H22&lt;&gt;$AN22,IFERROR(VLOOKUP($H22,areaCercaPuntiClassificaSquadra,3,FALSE),-1)=IFERROR(VLOOKUP($AN22,areaCercaPuntiClassificaSquadra,3,FALSE),-2)),SUMIFS(Dati!$D$2:$D$761,Dati!$A$2:$A$761,$H22,Dati!$H$2:$H$761,$AN22)+SUMIFS(Dati!$K$2:$K$761,Dati!$H$2:$H$761,$H22,Dati!$A$2:$A$761,$AN22)+SUMIFS(Dati!$C$2:$C$761,Dati!$A$2:$A$761,$H22,Dati!$H$2:$H$761,$AN22)+SUMIFS(Dati!$J$2:$J$761,Dati!$H$2:$H$761,$H22,Dati!$A$2:$A$761,$AN22),"-")</f>
        <v/>
      </c>
      <c r="CG22" s="22">
        <f>IF(AND($H22&lt;&gt;"",$AO22&lt;&gt;"",$H22&lt;&gt;$AO22,IFERROR(VLOOKUP($H22,areaCercaPuntiClassificaSquadra,3,FALSE),-1)=IFERROR(VLOOKUP($AO22,areaCercaPuntiClassificaSquadra,3,FALSE),-2)),SUMIFS(Dati!$D$2:$D$761,Dati!$A$2:$A$761,$H22,Dati!$H$2:$H$761,$AO22)+SUMIFS(Dati!$K$2:$K$761,Dati!$H$2:$H$761,$H22,Dati!$A$2:$A$761,$AO22)+SUMIFS(Dati!$C$2:$C$761,Dati!$A$2:$A$761,$H22,Dati!$H$2:$H$761,$AO22)+SUMIFS(Dati!$J$2:$J$761,Dati!$H$2:$H$761,$H22,Dati!$A$2:$A$761,$AO22),"-")</f>
        <v/>
      </c>
      <c r="CH22" s="22">
        <f>IF(AND($H22&lt;&gt;"",$AP22&lt;&gt;"",$H22&lt;&gt;$AP22,IFERROR(VLOOKUP($H22,areaCercaPuntiClassificaSquadra,3,FALSE),-1)=IFERROR(VLOOKUP($AP22,areaCercaPuntiClassificaSquadra,3,FALSE),-2)),SUMIFS(Dati!$D$2:$D$761,Dati!$A$2:$A$761,$H22,Dati!$H$2:$H$761,$AP22)+SUMIFS(Dati!$K$2:$K$761,Dati!$H$2:$H$761,$H22,Dati!$A$2:$A$761,$AP22)+SUMIFS(Dati!$C$2:$C$761,Dati!$A$2:$A$761,$H22,Dati!$H$2:$H$761,$AP22)+SUMIFS(Dati!$J$2:$J$761,Dati!$H$2:$H$761,$H22,Dati!$A$2:$A$761,$AP22),"-")</f>
        <v/>
      </c>
      <c r="CI22" s="22">
        <f>IF(AND($H22&lt;&gt;"",$AQ22&lt;&gt;"",$H22&lt;&gt;$AQ22,IFERROR(VLOOKUP($H22,areaCercaPuntiClassificaSquadra,3,FALSE),-1)=IFERROR(VLOOKUP($AQ22,areaCercaPuntiClassificaSquadra,3,FALSE),-2)),SUMIFS(Dati!$D$2:$D$761,Dati!$A$2:$A$761,$H22,Dati!$H$2:$H$761,$AQ22)+SUMIFS(Dati!$K$2:$K$761,Dati!$H$2:$H$761,$H22,Dati!$A$2:$A$761,$AQ22)+SUMIFS(Dati!$C$2:$C$761,Dati!$A$2:$A$761,$H22,Dati!$H$2:$H$761,$AQ22)+SUMIFS(Dati!$J$2:$J$761,Dati!$H$2:$H$761,$H22,Dati!$A$2:$A$761,$AQ22),"-")</f>
        <v/>
      </c>
      <c r="CJ22" s="22">
        <f>IF(AND($H22&lt;&gt;"",$AR22&lt;&gt;"",$H22&lt;&gt;$AR22,IFERROR(VLOOKUP($H22,areaCercaPuntiClassificaSquadra,3,FALSE),-1)=IFERROR(VLOOKUP($AR22,areaCercaPuntiClassificaSquadra,3,FALSE),-2)),SUMIFS(Dati!$D$2:$D$761,Dati!$A$2:$A$761,$H22,Dati!$H$2:$H$761,$AR22)+SUMIFS(Dati!$K$2:$K$761,Dati!$H$2:$H$761,$H22,Dati!$A$2:$A$761,$AR22)+SUMIFS(Dati!$C$2:$C$761,Dati!$A$2:$A$761,$H22,Dati!$H$2:$H$761,$AR22)+SUMIFS(Dati!$J$2:$J$761,Dati!$H$2:$H$761,$H22,Dati!$A$2:$A$761,$AR22),"-")</f>
        <v/>
      </c>
      <c r="CL22" s="21">
        <f>$C22</f>
        <v/>
      </c>
      <c r="CM22" s="22">
        <f>IF(AND($H22&lt;&gt;"",$Y22&lt;&gt;"",$H22&lt;&gt;$Y22,IFERROR(VLOOKUP($H22,areaCercaPuntiClassificaSquadra,3,FALSE),-1)=IFERROR(VLOOKUP($Y22,areaCercaPuntiClassificaSquadra,3,FALSE),-2)),SUMIFS(Dati!$E$2:$E$761,Dati!$A$2:$A$761,$H22,Dati!$H$2:$H$761,$Y22)+SUMIFS(Dati!$L$2:$L$761,Dati!$H$2:$H$761,$H22,Dati!$A$2:$A$761,$Y22),"-")</f>
        <v/>
      </c>
      <c r="CN22" s="22">
        <f>IF(AND($H22&lt;&gt;"",$Z22&lt;&gt;"",$H22&lt;&gt;$Z22,IFERROR(VLOOKUP($H22,areaCercaPuntiClassificaSquadra,3,FALSE),-1)=IFERROR(VLOOKUP($Z22,areaCercaPuntiClassificaSquadra,3,FALSE),-2)),SUMIFS(Dati!$E$2:$E$761,Dati!$A$2:$A$761,$H22,Dati!$H$2:$H$761,$Z22)+SUMIFS(Dati!$L$2:$L$761,Dati!$H$2:$H$761,$H22,Dati!$A$2:$A$761,$Z22),"-")</f>
        <v/>
      </c>
      <c r="CO22" s="22">
        <f>IF(AND($H22&lt;&gt;"",$AA22&lt;&gt;"",$H22&lt;&gt;$AA22,IFERROR(VLOOKUP($H22,areaCercaPuntiClassificaSquadra,3,FALSE),-1)=IFERROR(VLOOKUP($AA22,areaCercaPuntiClassificaSquadra,3,FALSE),-2)),SUMIFS(Dati!$E$2:$E$761,Dati!$A$2:$A$761,$H22,Dati!$H$2:$H$761,$AA22)+SUMIFS(Dati!$L$2:$L$761,Dati!$H$2:$H$761,$H22,Dati!$A$2:$A$761,$AA22),"-")</f>
        <v/>
      </c>
      <c r="CP22" s="22">
        <f>IF(AND($H22&lt;&gt;"",$AB22&lt;&gt;"",$H22&lt;&gt;$AB22,IFERROR(VLOOKUP($H22,areaCercaPuntiClassificaSquadra,3,FALSE),-1)=IFERROR(VLOOKUP($AB22,areaCercaPuntiClassificaSquadra,3,FALSE),-2)),SUMIFS(Dati!$E$2:$E$761,Dati!$A$2:$A$761,$H22,Dati!$H$2:$H$761,$AB22)+SUMIFS(Dati!$L$2:$L$761,Dati!$H$2:$H$761,$H22,Dati!$A$2:$A$761,$AB22),"-")</f>
        <v/>
      </c>
      <c r="CQ22" s="22">
        <f>IF(AND($H22&lt;&gt;"",$AC22&lt;&gt;"",$H22&lt;&gt;$AC22,IFERROR(VLOOKUP($H22,areaCercaPuntiClassificaSquadra,3,FALSE),-1)=IFERROR(VLOOKUP($AC22,areaCercaPuntiClassificaSquadra,3,FALSE),-2)),SUMIFS(Dati!$E$2:$E$761,Dati!$A$2:$A$761,$H22,Dati!$H$2:$H$761,$AC22)+SUMIFS(Dati!$L$2:$L$761,Dati!$H$2:$H$761,$H22,Dati!$A$2:$A$761,$AC22),"-")</f>
        <v/>
      </c>
      <c r="CR22" s="22">
        <f>IF(AND($H22&lt;&gt;"",$AD22&lt;&gt;"",$H22&lt;&gt;$AD22,IFERROR(VLOOKUP($H22,areaCercaPuntiClassificaSquadra,3,FALSE),-1)=IFERROR(VLOOKUP($AD22,areaCercaPuntiClassificaSquadra,3,FALSE),-2)),SUMIFS(Dati!$E$2:$E$761,Dati!$A$2:$A$761,$H22,Dati!$H$2:$H$761,$AD22)+SUMIFS(Dati!$L$2:$L$761,Dati!$H$2:$H$761,$H22,Dati!$A$2:$A$761,$AD22),"-")</f>
        <v/>
      </c>
      <c r="CS22" s="22">
        <f>IF(AND($H22&lt;&gt;"",$AE22&lt;&gt;"",$H22&lt;&gt;$AE22,IFERROR(VLOOKUP($H22,areaCercaPuntiClassificaSquadra,3,FALSE),-1)=IFERROR(VLOOKUP($AE22,areaCercaPuntiClassificaSquadra,3,FALSE),-2)),SUMIFS(Dati!$E$2:$E$761,Dati!$A$2:$A$761,$H22,Dati!$H$2:$H$761,$AE22)+SUMIFS(Dati!$L$2:$L$761,Dati!$H$2:$H$761,$H22,Dati!$A$2:$A$761,$AE22),"-")</f>
        <v/>
      </c>
      <c r="CT22" s="22">
        <f>IF(AND($H22&lt;&gt;"",$AF22&lt;&gt;"",$H22&lt;&gt;$AF22,IFERROR(VLOOKUP($H22,areaCercaPuntiClassificaSquadra,3,FALSE),-1)=IFERROR(VLOOKUP($AF22,areaCercaPuntiClassificaSquadra,3,FALSE),-2)),SUMIFS(Dati!$E$2:$E$761,Dati!$A$2:$A$761,$H22,Dati!$H$2:$H$761,$AF22)+SUMIFS(Dati!$L$2:$L$761,Dati!$H$2:$H$761,$H22,Dati!$A$2:$A$761,$AF22),"-")</f>
        <v/>
      </c>
      <c r="CU22" s="22">
        <f>IF(AND($H22&lt;&gt;"",$AG22&lt;&gt;"",$H22&lt;&gt;$AG22,IFERROR(VLOOKUP($H22,areaCercaPuntiClassificaSquadra,3,FALSE),-1)=IFERROR(VLOOKUP($AG22,areaCercaPuntiClassificaSquadra,3,FALSE),-2)),SUMIFS(Dati!$E$2:$E$761,Dati!$A$2:$A$761,$H22,Dati!$H$2:$H$761,$AG22)+SUMIFS(Dati!$L$2:$L$761,Dati!$H$2:$H$761,$H22,Dati!$A$2:$A$761,$AG22),"-")</f>
        <v/>
      </c>
      <c r="CV22" s="22">
        <f>IF(AND($H22&lt;&gt;"",$AH22&lt;&gt;"",$H22&lt;&gt;$AH22,IFERROR(VLOOKUP($H22,areaCercaPuntiClassificaSquadra,3,FALSE),-1)=IFERROR(VLOOKUP($AH22,areaCercaPuntiClassificaSquadra,3,FALSE),-2)),SUMIFS(Dati!$E$2:$E$761,Dati!$A$2:$A$761,$H22,Dati!$H$2:$H$761,$AH22)+SUMIFS(Dati!$L$2:$L$761,Dati!$H$2:$H$761,$H22,Dati!$A$2:$A$761,$AH22),"-")</f>
        <v/>
      </c>
      <c r="CW22" s="22">
        <f>IF(AND($H22&lt;&gt;"",$AI22&lt;&gt;"",$H22&lt;&gt;$AI22,IFERROR(VLOOKUP($H22,areaCercaPuntiClassificaSquadra,3,FALSE),-1)=IFERROR(VLOOKUP($AI22,areaCercaPuntiClassificaSquadra,3,FALSE),-2)),SUMIFS(Dati!$E$2:$E$761,Dati!$A$2:$A$761,$H22,Dati!$H$2:$H$761,$AI22)+SUMIFS(Dati!$L$2:$L$761,Dati!$H$2:$H$761,$H22,Dati!$A$2:$A$761,$AI22),"-")</f>
        <v/>
      </c>
      <c r="CX22" s="22">
        <f>IF(AND($H22&lt;&gt;"",$AJ22&lt;&gt;"",$H22&lt;&gt;$AJ22,IFERROR(VLOOKUP($H22,areaCercaPuntiClassificaSquadra,3,FALSE),-1)=IFERROR(VLOOKUP($AJ22,areaCercaPuntiClassificaSquadra,3,FALSE),-2)),SUMIFS(Dati!$E$2:$E$761,Dati!$A$2:$A$761,$H22,Dati!$H$2:$H$761,$AJ22)+SUMIFS(Dati!$L$2:$L$761,Dati!$H$2:$H$761,$H22,Dati!$A$2:$A$761,$AJ22),"-")</f>
        <v/>
      </c>
      <c r="CY22" s="22">
        <f>IF(AND($H22&lt;&gt;"",$AK22&lt;&gt;"",$H22&lt;&gt;$AK22,IFERROR(VLOOKUP($H22,areaCercaPuntiClassificaSquadra,3,FALSE),-1)=IFERROR(VLOOKUP($AK22,areaCercaPuntiClassificaSquadra,3,FALSE),-2)),SUMIFS(Dati!$E$2:$E$761,Dati!$A$2:$A$761,$H22,Dati!$H$2:$H$761,$AK22)+SUMIFS(Dati!$L$2:$L$761,Dati!$H$2:$H$761,$H22,Dati!$A$2:$A$761,$AK22),"-")</f>
        <v/>
      </c>
      <c r="CZ22" s="22">
        <f>IF(AND($H22&lt;&gt;"",$AL22&lt;&gt;"",$H22&lt;&gt;$AL22,IFERROR(VLOOKUP($H22,areaCercaPuntiClassificaSquadra,3,FALSE),-1)=IFERROR(VLOOKUP($AL22,areaCercaPuntiClassificaSquadra,3,FALSE),-2)),SUMIFS(Dati!$E$2:$E$761,Dati!$A$2:$A$761,$H22,Dati!$H$2:$H$761,$AL22)+SUMIFS(Dati!$L$2:$L$761,Dati!$H$2:$H$761,$H22,Dati!$A$2:$A$761,$AL22),"-")</f>
        <v/>
      </c>
      <c r="DA22" s="22">
        <f>IF(AND($H22&lt;&gt;"",$AM22&lt;&gt;"",$H22&lt;&gt;$AM22,IFERROR(VLOOKUP($H22,areaCercaPuntiClassificaSquadra,3,FALSE),-1)=IFERROR(VLOOKUP($AM22,areaCercaPuntiClassificaSquadra,3,FALSE),-2)),SUMIFS(Dati!$E$2:$E$761,Dati!$A$2:$A$761,$H22,Dati!$H$2:$H$761,$AM22)+SUMIFS(Dati!$L$2:$L$761,Dati!$H$2:$H$761,$H22,Dati!$A$2:$A$761,$AM22),"-")</f>
        <v/>
      </c>
      <c r="DB22" s="22">
        <f>IF(AND($H22&lt;&gt;"",$AN22&lt;&gt;"",$H22&lt;&gt;$AN22,IFERROR(VLOOKUP($H22,areaCercaPuntiClassificaSquadra,3,FALSE),-1)=IFERROR(VLOOKUP($AN22,areaCercaPuntiClassificaSquadra,3,FALSE),-2)),SUMIFS(Dati!$E$2:$E$761,Dati!$A$2:$A$761,$H22,Dati!$H$2:$H$761,$AN22)+SUMIFS(Dati!$L$2:$L$761,Dati!$H$2:$H$761,$H22,Dati!$A$2:$A$761,$AN22),"-")</f>
        <v/>
      </c>
      <c r="DC22" s="22">
        <f>IF(AND($H22&lt;&gt;"",$AO22&lt;&gt;"",$H22&lt;&gt;$AO22,IFERROR(VLOOKUP($H22,areaCercaPuntiClassificaSquadra,3,FALSE),-1)=IFERROR(VLOOKUP($AO22,areaCercaPuntiClassificaSquadra,3,FALSE),-2)),SUMIFS(Dati!$E$2:$E$761,Dati!$A$2:$A$761,$H22,Dati!$H$2:$H$761,$AO22)+SUMIFS(Dati!$L$2:$L$761,Dati!$H$2:$H$761,$H22,Dati!$A$2:$A$761,$AO22),"-")</f>
        <v/>
      </c>
      <c r="DD22" s="22">
        <f>IF(AND($H22&lt;&gt;"",$AP22&lt;&gt;"",$H22&lt;&gt;$AP22,IFERROR(VLOOKUP($H22,areaCercaPuntiClassificaSquadra,3,FALSE),-1)=IFERROR(VLOOKUP($AP22,areaCercaPuntiClassificaSquadra,3,FALSE),-2)),SUMIFS(Dati!$E$2:$E$761,Dati!$A$2:$A$761,$H22,Dati!$H$2:$H$761,$AP22)+SUMIFS(Dati!$L$2:$L$761,Dati!$H$2:$H$761,$H22,Dati!$A$2:$A$761,$AP22),"-")</f>
        <v/>
      </c>
      <c r="DE22" s="22">
        <f>IF(AND($H22&lt;&gt;"",$AQ22&lt;&gt;"",$H22&lt;&gt;$AQ22,IFERROR(VLOOKUP($H22,areaCercaPuntiClassificaSquadra,3,FALSE),-1)=IFERROR(VLOOKUP($AQ22,areaCercaPuntiClassificaSquadra,3,FALSE),-2)),SUMIFS(Dati!$E$2:$E$761,Dati!$A$2:$A$761,$H22,Dati!$H$2:$H$761,$AQ22)+SUMIFS(Dati!$L$2:$L$761,Dati!$H$2:$H$761,$H22,Dati!$A$2:$A$761,$AQ22),"-")</f>
        <v/>
      </c>
      <c r="DF22" s="22">
        <f>IF(AND($H22&lt;&gt;"",$AR22&lt;&gt;"",$H22&lt;&gt;$AR22,IFERROR(VLOOKUP($H22,areaCercaPuntiClassificaSquadra,3,FALSE),-1)=IFERROR(VLOOKUP($AR22,areaCercaPuntiClassificaSquadra,3,FALSE),-2)),SUMIFS(Dati!$E$2:$E$761,Dati!$A$2:$A$761,$H22,Dati!$H$2:$H$761,$AR22)+SUMIFS(Dati!$L$2:$L$761,Dati!$H$2:$H$761,$H22,Dati!$A$2:$A$761,$AR22),"-")</f>
        <v/>
      </c>
      <c r="DH22" s="21">
        <f>$C22</f>
        <v/>
      </c>
      <c r="DI22" s="22">
        <f>IF(AND($H22&lt;&gt;"",$Y22&lt;&gt;"",$H22&lt;&gt;$Y22,IFERROR(VLOOKUP($H22,areaCercaPuntiClassificaSquadra,3,FALSE),-1)=IFERROR(VLOOKUP($Y22,areaCercaPuntiClassificaSquadra,3,FALSE),-2)),SUMIFS(Dati!$F$2:$F$761,Dati!$A$2:$A$761,$H22,Dati!$H$2:$H$761,$Y22)+SUMIFS(Dati!$M$2:$M$761,Dati!$H$2:$H$761,$H22,Dati!$A$2:$A$761,$Y22),"-")</f>
        <v/>
      </c>
      <c r="DJ22" s="22">
        <f>IF(AND($H22&lt;&gt;"",$Z22&lt;&gt;"",$H22&lt;&gt;$Z22,IFERROR(VLOOKUP($H22,areaCercaPuntiClassificaSquadra,3,FALSE),-1)=IFERROR(VLOOKUP($Z22,areaCercaPuntiClassificaSquadra,3,FALSE),-2)),SUMIFS(Dati!$F$2:$F$761,Dati!$A$2:$A$761,$H22,Dati!$H$2:$H$761,$Z22)+SUMIFS(Dati!$M$2:$M$761,Dati!$H$2:$H$761,$H22,Dati!$A$2:$A$761,$Z22),"-")</f>
        <v/>
      </c>
      <c r="DK22" s="22">
        <f>IF(AND($H22&lt;&gt;"",$AA22&lt;&gt;"",$H22&lt;&gt;$AA22,IFERROR(VLOOKUP($H22,areaCercaPuntiClassificaSquadra,3,FALSE),-1)=IFERROR(VLOOKUP($AA22,areaCercaPuntiClassificaSquadra,3,FALSE),-2)),SUMIFS(Dati!$F$2:$F$761,Dati!$A$2:$A$761,$H22,Dati!$H$2:$H$761,$AA22)+SUMIFS(Dati!$M$2:$M$761,Dati!$H$2:$H$761,$H22,Dati!$A$2:$A$761,$AA22),"-")</f>
        <v/>
      </c>
      <c r="DL22" s="22">
        <f>IF(AND($H22&lt;&gt;"",$AB22&lt;&gt;"",$H22&lt;&gt;$AB22,IFERROR(VLOOKUP($H22,areaCercaPuntiClassificaSquadra,3,FALSE),-1)=IFERROR(VLOOKUP($AB22,areaCercaPuntiClassificaSquadra,3,FALSE),-2)),SUMIFS(Dati!$F$2:$F$761,Dati!$A$2:$A$761,$H22,Dati!$H$2:$H$761,$AB22)+SUMIFS(Dati!$M$2:$M$761,Dati!$H$2:$H$761,$H22,Dati!$A$2:$A$761,$AB22),"-")</f>
        <v/>
      </c>
      <c r="DM22" s="22">
        <f>IF(AND($H22&lt;&gt;"",$AC22&lt;&gt;"",$H22&lt;&gt;$AC22,IFERROR(VLOOKUP($H22,areaCercaPuntiClassificaSquadra,3,FALSE),-1)=IFERROR(VLOOKUP($AC22,areaCercaPuntiClassificaSquadra,3,FALSE),-2)),SUMIFS(Dati!$F$2:$F$761,Dati!$A$2:$A$761,$H22,Dati!$H$2:$H$761,$AC22)+SUMIFS(Dati!$M$2:$M$761,Dati!$H$2:$H$761,$H22,Dati!$A$2:$A$761,$AC22),"-")</f>
        <v/>
      </c>
      <c r="DN22" s="22">
        <f>IF(AND($H22&lt;&gt;"",$AD22&lt;&gt;"",$H22&lt;&gt;$AD22,IFERROR(VLOOKUP($H22,areaCercaPuntiClassificaSquadra,3,FALSE),-1)=IFERROR(VLOOKUP($AD22,areaCercaPuntiClassificaSquadra,3,FALSE),-2)),SUMIFS(Dati!$F$2:$F$761,Dati!$A$2:$A$761,$H22,Dati!$H$2:$H$761,$AD22)+SUMIFS(Dati!$M$2:$M$761,Dati!$H$2:$H$761,$H22,Dati!$A$2:$A$761,$AD22),"-")</f>
        <v/>
      </c>
      <c r="DO22" s="22">
        <f>IF(AND($H22&lt;&gt;"",$AE22&lt;&gt;"",$H22&lt;&gt;$AE22,IFERROR(VLOOKUP($H22,areaCercaPuntiClassificaSquadra,3,FALSE),-1)=IFERROR(VLOOKUP($AE22,areaCercaPuntiClassificaSquadra,3,FALSE),-2)),SUMIFS(Dati!$F$2:$F$761,Dati!$A$2:$A$761,$H22,Dati!$H$2:$H$761,$AE22)+SUMIFS(Dati!$M$2:$M$761,Dati!$H$2:$H$761,$H22,Dati!$A$2:$A$761,$AE22),"-")</f>
        <v/>
      </c>
      <c r="DP22" s="22">
        <f>IF(AND($H22&lt;&gt;"",$AF22&lt;&gt;"",$H22&lt;&gt;$AF22,IFERROR(VLOOKUP($H22,areaCercaPuntiClassificaSquadra,3,FALSE),-1)=IFERROR(VLOOKUP($AF22,areaCercaPuntiClassificaSquadra,3,FALSE),-2)),SUMIFS(Dati!$F$2:$F$761,Dati!$A$2:$A$761,$H22,Dati!$H$2:$H$761,$AF22)+SUMIFS(Dati!$M$2:$M$761,Dati!$H$2:$H$761,$H22,Dati!$A$2:$A$761,$AF22),"-")</f>
        <v/>
      </c>
      <c r="DQ22" s="22">
        <f>IF(AND($H22&lt;&gt;"",$AG22&lt;&gt;"",$H22&lt;&gt;$AG22,IFERROR(VLOOKUP($H22,areaCercaPuntiClassificaSquadra,3,FALSE),-1)=IFERROR(VLOOKUP($AG22,areaCercaPuntiClassificaSquadra,3,FALSE),-2)),SUMIFS(Dati!$F$2:$F$761,Dati!$A$2:$A$761,$H22,Dati!$H$2:$H$761,$AG22)+SUMIFS(Dati!$M$2:$M$761,Dati!$H$2:$H$761,$H22,Dati!$A$2:$A$761,$AG22),"-")</f>
        <v/>
      </c>
      <c r="DR22" s="22">
        <f>IF(AND($H22&lt;&gt;"",$AH22&lt;&gt;"",$H22&lt;&gt;$AH22,IFERROR(VLOOKUP($H22,areaCercaPuntiClassificaSquadra,3,FALSE),-1)=IFERROR(VLOOKUP($AH22,areaCercaPuntiClassificaSquadra,3,FALSE),-2)),SUMIFS(Dati!$F$2:$F$761,Dati!$A$2:$A$761,$H22,Dati!$H$2:$H$761,$AH22)+SUMIFS(Dati!$M$2:$M$761,Dati!$H$2:$H$761,$H22,Dati!$A$2:$A$761,$AH22),"-")</f>
        <v/>
      </c>
      <c r="DS22" s="22">
        <f>IF(AND($H22&lt;&gt;"",$AI22&lt;&gt;"",$H22&lt;&gt;$AI22,IFERROR(VLOOKUP($H22,areaCercaPuntiClassificaSquadra,3,FALSE),-1)=IFERROR(VLOOKUP($AI22,areaCercaPuntiClassificaSquadra,3,FALSE),-2)),SUMIFS(Dati!$F$2:$F$761,Dati!$A$2:$A$761,$H22,Dati!$H$2:$H$761,$AI22)+SUMIFS(Dati!$M$2:$M$761,Dati!$H$2:$H$761,$H22,Dati!$A$2:$A$761,$AI22),"-")</f>
        <v/>
      </c>
      <c r="DT22" s="22">
        <f>IF(AND($H22&lt;&gt;"",$AJ22&lt;&gt;"",$H22&lt;&gt;$AJ22,IFERROR(VLOOKUP($H22,areaCercaPuntiClassificaSquadra,3,FALSE),-1)=IFERROR(VLOOKUP($AJ22,areaCercaPuntiClassificaSquadra,3,FALSE),-2)),SUMIFS(Dati!$F$2:$F$761,Dati!$A$2:$A$761,$H22,Dati!$H$2:$H$761,$AJ22)+SUMIFS(Dati!$M$2:$M$761,Dati!$H$2:$H$761,$H22,Dati!$A$2:$A$761,$AJ22),"-")</f>
        <v/>
      </c>
      <c r="DU22" s="22">
        <f>IF(AND($H22&lt;&gt;"",$AK22&lt;&gt;"",$H22&lt;&gt;$AK22,IFERROR(VLOOKUP($H22,areaCercaPuntiClassificaSquadra,3,FALSE),-1)=IFERROR(VLOOKUP($AK22,areaCercaPuntiClassificaSquadra,3,FALSE),-2)),SUMIFS(Dati!$F$2:$F$761,Dati!$A$2:$A$761,$H22,Dati!$H$2:$H$761,$AK22)+SUMIFS(Dati!$M$2:$M$761,Dati!$H$2:$H$761,$H22,Dati!$A$2:$A$761,$AK22),"-")</f>
        <v/>
      </c>
      <c r="DV22" s="22">
        <f>IF(AND($H22&lt;&gt;"",$AL22&lt;&gt;"",$H22&lt;&gt;$AL22,IFERROR(VLOOKUP($H22,areaCercaPuntiClassificaSquadra,3,FALSE),-1)=IFERROR(VLOOKUP($AL22,areaCercaPuntiClassificaSquadra,3,FALSE),-2)),SUMIFS(Dati!$F$2:$F$761,Dati!$A$2:$A$761,$H22,Dati!$H$2:$H$761,$AL22)+SUMIFS(Dati!$M$2:$M$761,Dati!$H$2:$H$761,$H22,Dati!$A$2:$A$761,$AL22),"-")</f>
        <v/>
      </c>
      <c r="DW22" s="22">
        <f>IF(AND($H22&lt;&gt;"",$AM22&lt;&gt;"",$H22&lt;&gt;$AM22,IFERROR(VLOOKUP($H22,areaCercaPuntiClassificaSquadra,3,FALSE),-1)=IFERROR(VLOOKUP($AM22,areaCercaPuntiClassificaSquadra,3,FALSE),-2)),SUMIFS(Dati!$F$2:$F$761,Dati!$A$2:$A$761,$H22,Dati!$H$2:$H$761,$AM22)+SUMIFS(Dati!$M$2:$M$761,Dati!$H$2:$H$761,$H22,Dati!$A$2:$A$761,$AM22),"-")</f>
        <v/>
      </c>
      <c r="DX22" s="22">
        <f>IF(AND($H22&lt;&gt;"",$AN22&lt;&gt;"",$H22&lt;&gt;$AN22,IFERROR(VLOOKUP($H22,areaCercaPuntiClassificaSquadra,3,FALSE),-1)=IFERROR(VLOOKUP($AN22,areaCercaPuntiClassificaSquadra,3,FALSE),-2)),SUMIFS(Dati!$F$2:$F$761,Dati!$A$2:$A$761,$H22,Dati!$H$2:$H$761,$AN22)+SUMIFS(Dati!$M$2:$M$761,Dati!$H$2:$H$761,$H22,Dati!$A$2:$A$761,$AN22),"-")</f>
        <v/>
      </c>
      <c r="DY22" s="22">
        <f>IF(AND($H22&lt;&gt;"",$AO22&lt;&gt;"",$H22&lt;&gt;$AO22,IFERROR(VLOOKUP($H22,areaCercaPuntiClassificaSquadra,3,FALSE),-1)=IFERROR(VLOOKUP($AO22,areaCercaPuntiClassificaSquadra,3,FALSE),-2)),SUMIFS(Dati!$F$2:$F$761,Dati!$A$2:$A$761,$H22,Dati!$H$2:$H$761,$AO22)+SUMIFS(Dati!$M$2:$M$761,Dati!$H$2:$H$761,$H22,Dati!$A$2:$A$761,$AO22),"-")</f>
        <v/>
      </c>
      <c r="DZ22" s="22">
        <f>IF(AND($H22&lt;&gt;"",$AP22&lt;&gt;"",$H22&lt;&gt;$AP22,IFERROR(VLOOKUP($H22,areaCercaPuntiClassificaSquadra,3,FALSE),-1)=IFERROR(VLOOKUP($AP22,areaCercaPuntiClassificaSquadra,3,FALSE),-2)),SUMIFS(Dati!$F$2:$F$761,Dati!$A$2:$A$761,$H22,Dati!$H$2:$H$761,$AP22)+SUMIFS(Dati!$M$2:$M$761,Dati!$H$2:$H$761,$H22,Dati!$A$2:$A$761,$AP22),"-")</f>
        <v/>
      </c>
      <c r="EA22" s="22">
        <f>IF(AND($H22&lt;&gt;"",$AQ22&lt;&gt;"",$H22&lt;&gt;$AQ22,IFERROR(VLOOKUP($H22,areaCercaPuntiClassificaSquadra,3,FALSE),-1)=IFERROR(VLOOKUP($AQ22,areaCercaPuntiClassificaSquadra,3,FALSE),-2)),SUMIFS(Dati!$F$2:$F$761,Dati!$A$2:$A$761,$H22,Dati!$H$2:$H$761,$AQ22)+SUMIFS(Dati!$M$2:$M$761,Dati!$H$2:$H$761,$H22,Dati!$A$2:$A$761,$AQ22),"-")</f>
        <v/>
      </c>
      <c r="EB22" s="22">
        <f>IF(AND($H22&lt;&gt;"",$AR22&lt;&gt;"",$H22&lt;&gt;$AR22,IFERROR(VLOOKUP($H22,areaCercaPuntiClassificaSquadra,3,FALSE),-1)=IFERROR(VLOOKUP($AR22,areaCercaPuntiClassificaSquadra,3,FALSE),-2)),SUMIFS(Dati!$F$2:$F$761,Dati!$A$2:$A$761,$H22,Dati!$H$2:$H$761,$AR22)+SUMIFS(Dati!$M$2:$M$761,Dati!$H$2:$H$761,$H22,Dati!$A$2:$A$761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inlineStr">
        <is>
          <t>Marmotte Mobili-Marmotteopoli MU</t>
        </is>
      </c>
      <c r="D23" s="14" t="n"/>
      <c r="E23" s="15" t="inlineStr">
        <is>
          <t>A</t>
        </is>
      </c>
      <c r="G23" s="16">
        <f>IF($C23="","",$E23&amp;(COUNTIFS(I$14:I$93,"&gt;"&amp;I23,E$14:E$93,"="&amp;E23,C$14:C$93,"&lt;&gt;")+COUNTIFS(I$14:I$93,"="&amp;I23,H$14:H$93,"&lt;="&amp;H23,E$14:E$93,"="&amp;E23,C$14:C$93,"&lt;&gt;")))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L23*constPuntiVittoria+M23*constPuntiSconfitta+N23*constPuntiForfait+IF(D23="",0,D23)</f>
        <v/>
      </c>
      <c r="K23" s="12">
        <f>SUM(L23:N23)</f>
        <v/>
      </c>
      <c r="L23" s="12">
        <f>IF($H23="",0,SUMIF(Dati!$A$2:$A$761,$H23,Dati!$B$2:$B$761)+SUMIF(Dati!$H$2:$H$761,$H23,Dati!$I$2:$I$761))</f>
        <v/>
      </c>
      <c r="M23" s="12">
        <f>IF($H23="",0,SUMIF(Dati!$A$2:$A$761,$H23,Dati!$D$2:$D$761)+SUMIF(Dati!$H$2:$H$761,$H23,Dati!$K$2:$K$761))</f>
        <v/>
      </c>
      <c r="N23" s="12">
        <f>IF($H23="",0,SUMIF(Dati!$A$2:$A$761,$H23,Dati!$C$2:$C$761)+SUMIF(Dati!$H$2:$H$761,$H23,Dati!$J$2:$J$761))</f>
        <v/>
      </c>
      <c r="O23" s="12">
        <f>IF($H23="",0,SUMIF(Dati!$A$2:$A$761,$H23,Dati!$E$2:$E$761)+SUMIF(Dati!$H$2:$H$761,$H23,Dati!$L$2:$L$761))</f>
        <v/>
      </c>
      <c r="P23" s="12">
        <f>IF($H23="",0,SUMIF(Dati!$A$2:$A$761,$H23,Dati!$F$2:$F$761)+SUMIF(Dati!$H$2:$H$761,$H23,Dati!$M$2:$M$761))</f>
        <v/>
      </c>
      <c r="Q23" s="12">
        <f>IF($H23="",0,SUMIF(Dati!$A$2:$A$761,$H23,Dati!$G$2:$G$761)+SUMIF(Dati!$H$2:$H$761,$H23,Dati!$N$2:$N$761))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IF(COUNTIFS($E$14:$E$93,$E23,$J$14:$J$93,$J23,$C$14:$C$93,"&lt;&gt;")&lt;=1,"-",SUM(AU23:BN23)&amp;"-"&amp;SUM(BQ23:CJ23))</f>
        <v/>
      </c>
      <c r="V23" s="18">
        <f>IF(COUNTIFS($E$14:$E$93,$E23,$J$14:$J$93,$J23,$C$14:$C$93,"&lt;&gt;",$ED$14:$ED$93,$ED23)&lt;=1,"-",IF(SUM(DI23:EB23)=0,0,ROUND(SUM(CM23:DF23)/SUM(DI23:EB23),3)))</f>
        <v/>
      </c>
      <c r="W23" s="18">
        <f>IF(COUNTIFS($E$14:$E$93,$E23,$J$14:$J$93,$J23,$C$14:$C$93,"&lt;&gt;",$ED$14:$ED$93,$ED23,$V$14:$V$93,$V23)&lt;=1,"-",IF(P23=0,0,ROUND(O23/P23,3)))</f>
        <v/>
      </c>
      <c r="X23" s="19">
        <f>IF($C23="","",$E23&amp;"#"&amp;COUNTIFS($E$14:$E23,$E23,$C$14:$C23,"&lt;&gt;"))</f>
        <v/>
      </c>
      <c r="Y23" s="20">
        <f>IFERROR(INDEX($H$14:$H$93,MATCH($E23&amp;"#1",$X$14:$X$93,0)),"")</f>
        <v/>
      </c>
      <c r="Z23" s="20">
        <f>IFERROR(INDEX($H$14:$H$93,MATCH($E23&amp;"#2",$X$14:$X$93,0)),"")</f>
        <v/>
      </c>
      <c r="AA23" s="20">
        <f>IFERROR(INDEX($H$14:$H$93,MATCH($E23&amp;"#3",$X$14:$X$93,0)),"")</f>
        <v/>
      </c>
      <c r="AB23" s="20">
        <f>IFERROR(INDEX($H$14:$H$93,MATCH($E23&amp;"#4",$X$14:$X$93,0)),"")</f>
        <v/>
      </c>
      <c r="AC23" s="20">
        <f>IFERROR(INDEX($H$14:$H$93,MATCH($E23&amp;"#5",$X$14:$X$93,0)),"")</f>
        <v/>
      </c>
      <c r="AD23" s="20">
        <f>IFERROR(INDEX($H$14:$H$93,MATCH($E23&amp;"#6",$X$14:$X$93,0)),"")</f>
        <v/>
      </c>
      <c r="AE23" s="20">
        <f>IFERROR(INDEX($H$14:$H$93,MATCH($E23&amp;"#7",$X$14:$X$93,0)),"")</f>
        <v/>
      </c>
      <c r="AF23" s="20">
        <f>IFERROR(INDEX($H$14:$H$93,MATCH($E23&amp;"#8",$X$14:$X$93,0)),"")</f>
        <v/>
      </c>
      <c r="AG23" s="20">
        <f>IFERROR(INDEX($H$14:$H$93,MATCH($E23&amp;"#9",$X$14:$X$93,0)),"")</f>
        <v/>
      </c>
      <c r="AH23" s="20">
        <f>IFERROR(INDEX($H$14:$H$93,MATCH($E23&amp;"#10",$X$14:$X$93,0)),"")</f>
        <v/>
      </c>
      <c r="AI23" s="20">
        <f>IFERROR(INDEX($H$14:$H$93,MATCH($E23&amp;"#11",$X$14:$X$93,0)),"")</f>
        <v/>
      </c>
      <c r="AJ23" s="20">
        <f>IFERROR(INDEX($H$14:$H$93,MATCH($E23&amp;"#12",$X$14:$X$93,0)),"")</f>
        <v/>
      </c>
      <c r="AK23" s="20">
        <f>IFERROR(INDEX($H$14:$H$93,MATCH($E23&amp;"#13",$X$14:$X$93,0)),"")</f>
        <v/>
      </c>
      <c r="AL23" s="20">
        <f>IFERROR(INDEX($H$14:$H$93,MATCH($E23&amp;"#14",$X$14:$X$93,0)),"")</f>
        <v/>
      </c>
      <c r="AM23" s="20">
        <f>IFERROR(INDEX($H$14:$H$93,MATCH($E23&amp;"#15",$X$14:$X$93,0)),"")</f>
        <v/>
      </c>
      <c r="AN23" s="20">
        <f>IFERROR(INDEX($H$14:$H$93,MATCH($E23&amp;"#16",$X$14:$X$93,0)),"")</f>
        <v/>
      </c>
      <c r="AO23" s="20">
        <f>IFERROR(INDEX($H$14:$H$93,MATCH($E23&amp;"#17",$X$14:$X$93,0)),"")</f>
        <v/>
      </c>
      <c r="AP23" s="20">
        <f>IFERROR(INDEX($H$14:$H$93,MATCH($E23&amp;"#18",$X$14:$X$93,0)),"")</f>
        <v/>
      </c>
      <c r="AQ23" s="20">
        <f>IFERROR(INDEX($H$14:$H$93,MATCH($E23&amp;"#19",$X$14:$X$93,0)),"")</f>
        <v/>
      </c>
      <c r="AR23" s="20">
        <f>IFERROR(INDEX($H$14:$H$93,MATCH($E23&amp;"#20",$X$14:$X$93,0)),"")</f>
        <v/>
      </c>
      <c r="AT23" s="21">
        <f>$C23</f>
        <v/>
      </c>
      <c r="AU23" s="22">
        <f>IF(AND($H23&lt;&gt;"",$Y23&lt;&gt;"",$H23&lt;&gt;$Y23,IFERROR(VLOOKUP($H23,areaCercaPuntiClassificaSquadra,3,FALSE),-1)=IFERROR(VLOOKUP($Y23,areaCercaPuntiClassificaSquadra,3,FALSE),-2)),SUMIFS(Dati!$B$2:$B$761,Dati!$A$2:$A$761,$H23,Dati!$H$2:$H$761,$Y23)+SUMIFS(Dati!$I$2:$I$761,Dati!$H$2:$H$761,$H23,Dati!$A$2:$A$761,$Y23),"-")</f>
        <v/>
      </c>
      <c r="AV23" s="22">
        <f>IF(AND($H23&lt;&gt;"",$Z23&lt;&gt;"",$H23&lt;&gt;$Z23,IFERROR(VLOOKUP($H23,areaCercaPuntiClassificaSquadra,3,FALSE),-1)=IFERROR(VLOOKUP($Z23,areaCercaPuntiClassificaSquadra,3,FALSE),-2)),SUMIFS(Dati!$B$2:$B$761,Dati!$A$2:$A$761,$H23,Dati!$H$2:$H$761,$Z23)+SUMIFS(Dati!$I$2:$I$761,Dati!$H$2:$H$761,$H23,Dati!$A$2:$A$761,$Z23),"-")</f>
        <v/>
      </c>
      <c r="AW23" s="22">
        <f>IF(AND($H23&lt;&gt;"",$AA23&lt;&gt;"",$H23&lt;&gt;$AA23,IFERROR(VLOOKUP($H23,areaCercaPuntiClassificaSquadra,3,FALSE),-1)=IFERROR(VLOOKUP($AA23,areaCercaPuntiClassificaSquadra,3,FALSE),-2)),SUMIFS(Dati!$B$2:$B$761,Dati!$A$2:$A$761,$H23,Dati!$H$2:$H$761,$AA23)+SUMIFS(Dati!$I$2:$I$761,Dati!$H$2:$H$761,$H23,Dati!$A$2:$A$761,$AA23),"-")</f>
        <v/>
      </c>
      <c r="AX23" s="22">
        <f>IF(AND($H23&lt;&gt;"",$AB23&lt;&gt;"",$H23&lt;&gt;$AB23,IFERROR(VLOOKUP($H23,areaCercaPuntiClassificaSquadra,3,FALSE),-1)=IFERROR(VLOOKUP($AB23,areaCercaPuntiClassificaSquadra,3,FALSE),-2)),SUMIFS(Dati!$B$2:$B$761,Dati!$A$2:$A$761,$H23,Dati!$H$2:$H$761,$AB23)+SUMIFS(Dati!$I$2:$I$761,Dati!$H$2:$H$761,$H23,Dati!$A$2:$A$761,$AB23),"-")</f>
        <v/>
      </c>
      <c r="AY23" s="22">
        <f>IF(AND($H23&lt;&gt;"",$AC23&lt;&gt;"",$H23&lt;&gt;$AC23,IFERROR(VLOOKUP($H23,areaCercaPuntiClassificaSquadra,3,FALSE),-1)=IFERROR(VLOOKUP($AC23,areaCercaPuntiClassificaSquadra,3,FALSE),-2)),SUMIFS(Dati!$B$2:$B$761,Dati!$A$2:$A$761,$H23,Dati!$H$2:$H$761,$AC23)+SUMIFS(Dati!$I$2:$I$761,Dati!$H$2:$H$761,$H23,Dati!$A$2:$A$761,$AC23),"-")</f>
        <v/>
      </c>
      <c r="AZ23" s="22">
        <f>IF(AND($H23&lt;&gt;"",$AD23&lt;&gt;"",$H23&lt;&gt;$AD23,IFERROR(VLOOKUP($H23,areaCercaPuntiClassificaSquadra,3,FALSE),-1)=IFERROR(VLOOKUP($AD23,areaCercaPuntiClassificaSquadra,3,FALSE),-2)),SUMIFS(Dati!$B$2:$B$761,Dati!$A$2:$A$761,$H23,Dati!$H$2:$H$761,$AD23)+SUMIFS(Dati!$I$2:$I$761,Dati!$H$2:$H$761,$H23,Dati!$A$2:$A$761,$AD23),"-")</f>
        <v/>
      </c>
      <c r="BA23" s="22">
        <f>IF(AND($H23&lt;&gt;"",$AE23&lt;&gt;"",$H23&lt;&gt;$AE23,IFERROR(VLOOKUP($H23,areaCercaPuntiClassificaSquadra,3,FALSE),-1)=IFERROR(VLOOKUP($AE23,areaCercaPuntiClassificaSquadra,3,FALSE),-2)),SUMIFS(Dati!$B$2:$B$761,Dati!$A$2:$A$761,$H23,Dati!$H$2:$H$761,$AE23)+SUMIFS(Dati!$I$2:$I$761,Dati!$H$2:$H$761,$H23,Dati!$A$2:$A$761,$AE23),"-")</f>
        <v/>
      </c>
      <c r="BB23" s="22">
        <f>IF(AND($H23&lt;&gt;"",$AF23&lt;&gt;"",$H23&lt;&gt;$AF23,IFERROR(VLOOKUP($H23,areaCercaPuntiClassificaSquadra,3,FALSE),-1)=IFERROR(VLOOKUP($AF23,areaCercaPuntiClassificaSquadra,3,FALSE),-2)),SUMIFS(Dati!$B$2:$B$761,Dati!$A$2:$A$761,$H23,Dati!$H$2:$H$761,$AF23)+SUMIFS(Dati!$I$2:$I$761,Dati!$H$2:$H$761,$H23,Dati!$A$2:$A$761,$AF23),"-")</f>
        <v/>
      </c>
      <c r="BC23" s="22">
        <f>IF(AND($H23&lt;&gt;"",$AG23&lt;&gt;"",$H23&lt;&gt;$AG23,IFERROR(VLOOKUP($H23,areaCercaPuntiClassificaSquadra,3,FALSE),-1)=IFERROR(VLOOKUP($AG23,areaCercaPuntiClassificaSquadra,3,FALSE),-2)),SUMIFS(Dati!$B$2:$B$761,Dati!$A$2:$A$761,$H23,Dati!$H$2:$H$761,$AG23)+SUMIFS(Dati!$I$2:$I$761,Dati!$H$2:$H$761,$H23,Dati!$A$2:$A$761,$AG23),"-")</f>
        <v/>
      </c>
      <c r="BD23" s="22">
        <f>IF(AND($H23&lt;&gt;"",$AH23&lt;&gt;"",$H23&lt;&gt;$AH23,IFERROR(VLOOKUP($H23,areaCercaPuntiClassificaSquadra,3,FALSE),-1)=IFERROR(VLOOKUP($AH23,areaCercaPuntiClassificaSquadra,3,FALSE),-2)),SUMIFS(Dati!$B$2:$B$761,Dati!$A$2:$A$761,$H23,Dati!$H$2:$H$761,$AH23)+SUMIFS(Dati!$I$2:$I$761,Dati!$H$2:$H$761,$H23,Dati!$A$2:$A$761,$AH23),"-")</f>
        <v/>
      </c>
      <c r="BE23" s="22">
        <f>IF(AND($H23&lt;&gt;"",$AI23&lt;&gt;"",$H23&lt;&gt;$AI23,IFERROR(VLOOKUP($H23,areaCercaPuntiClassificaSquadra,3,FALSE),-1)=IFERROR(VLOOKUP($AI23,areaCercaPuntiClassificaSquadra,3,FALSE),-2)),SUMIFS(Dati!$B$2:$B$761,Dati!$A$2:$A$761,$H23,Dati!$H$2:$H$761,$AI23)+SUMIFS(Dati!$I$2:$I$761,Dati!$H$2:$H$761,$H23,Dati!$A$2:$A$761,$AI23),"-")</f>
        <v/>
      </c>
      <c r="BF23" s="22">
        <f>IF(AND($H23&lt;&gt;"",$AJ23&lt;&gt;"",$H23&lt;&gt;$AJ23,IFERROR(VLOOKUP($H23,areaCercaPuntiClassificaSquadra,3,FALSE),-1)=IFERROR(VLOOKUP($AJ23,areaCercaPuntiClassificaSquadra,3,FALSE),-2)),SUMIFS(Dati!$B$2:$B$761,Dati!$A$2:$A$761,$H23,Dati!$H$2:$H$761,$AJ23)+SUMIFS(Dati!$I$2:$I$761,Dati!$H$2:$H$761,$H23,Dati!$A$2:$A$761,$AJ23),"-")</f>
        <v/>
      </c>
      <c r="BG23" s="22">
        <f>IF(AND($H23&lt;&gt;"",$AK23&lt;&gt;"",$H23&lt;&gt;$AK23,IFERROR(VLOOKUP($H23,areaCercaPuntiClassificaSquadra,3,FALSE),-1)=IFERROR(VLOOKUP($AK23,areaCercaPuntiClassificaSquadra,3,FALSE),-2)),SUMIFS(Dati!$B$2:$B$761,Dati!$A$2:$A$761,$H23,Dati!$H$2:$H$761,$AK23)+SUMIFS(Dati!$I$2:$I$761,Dati!$H$2:$H$761,$H23,Dati!$A$2:$A$761,$AK23),"-")</f>
        <v/>
      </c>
      <c r="BH23" s="22">
        <f>IF(AND($H23&lt;&gt;"",$AL23&lt;&gt;"",$H23&lt;&gt;$AL23,IFERROR(VLOOKUP($H23,areaCercaPuntiClassificaSquadra,3,FALSE),-1)=IFERROR(VLOOKUP($AL23,areaCercaPuntiClassificaSquadra,3,FALSE),-2)),SUMIFS(Dati!$B$2:$B$761,Dati!$A$2:$A$761,$H23,Dati!$H$2:$H$761,$AL23)+SUMIFS(Dati!$I$2:$I$761,Dati!$H$2:$H$761,$H23,Dati!$A$2:$A$761,$AL23),"-")</f>
        <v/>
      </c>
      <c r="BI23" s="22">
        <f>IF(AND($H23&lt;&gt;"",$AM23&lt;&gt;"",$H23&lt;&gt;$AM23,IFERROR(VLOOKUP($H23,areaCercaPuntiClassificaSquadra,3,FALSE),-1)=IFERROR(VLOOKUP($AM23,areaCercaPuntiClassificaSquadra,3,FALSE),-2)),SUMIFS(Dati!$B$2:$B$761,Dati!$A$2:$A$761,$H23,Dati!$H$2:$H$761,$AM23)+SUMIFS(Dati!$I$2:$I$761,Dati!$H$2:$H$761,$H23,Dati!$A$2:$A$761,$AM23),"-")</f>
        <v/>
      </c>
      <c r="BJ23" s="22">
        <f>IF(AND($H23&lt;&gt;"",$AN23&lt;&gt;"",$H23&lt;&gt;$AN23,IFERROR(VLOOKUP($H23,areaCercaPuntiClassificaSquadra,3,FALSE),-1)=IFERROR(VLOOKUP($AN23,areaCercaPuntiClassificaSquadra,3,FALSE),-2)),SUMIFS(Dati!$B$2:$B$761,Dati!$A$2:$A$761,$H23,Dati!$H$2:$H$761,$AN23)+SUMIFS(Dati!$I$2:$I$761,Dati!$H$2:$H$761,$H23,Dati!$A$2:$A$761,$AN23),"-")</f>
        <v/>
      </c>
      <c r="BK23" s="22">
        <f>IF(AND($H23&lt;&gt;"",$AO23&lt;&gt;"",$H23&lt;&gt;$AO23,IFERROR(VLOOKUP($H23,areaCercaPuntiClassificaSquadra,3,FALSE),-1)=IFERROR(VLOOKUP($AO23,areaCercaPuntiClassificaSquadra,3,FALSE),-2)),SUMIFS(Dati!$B$2:$B$761,Dati!$A$2:$A$761,$H23,Dati!$H$2:$H$761,$AO23)+SUMIFS(Dati!$I$2:$I$761,Dati!$H$2:$H$761,$H23,Dati!$A$2:$A$761,$AO23),"-")</f>
        <v/>
      </c>
      <c r="BL23" s="22">
        <f>IF(AND($H23&lt;&gt;"",$AP23&lt;&gt;"",$H23&lt;&gt;$AP23,IFERROR(VLOOKUP($H23,areaCercaPuntiClassificaSquadra,3,FALSE),-1)=IFERROR(VLOOKUP($AP23,areaCercaPuntiClassificaSquadra,3,FALSE),-2)),SUMIFS(Dati!$B$2:$B$761,Dati!$A$2:$A$761,$H23,Dati!$H$2:$H$761,$AP23)+SUMIFS(Dati!$I$2:$I$761,Dati!$H$2:$H$761,$H23,Dati!$A$2:$A$761,$AP23),"-")</f>
        <v/>
      </c>
      <c r="BM23" s="22">
        <f>IF(AND($H23&lt;&gt;"",$AQ23&lt;&gt;"",$H23&lt;&gt;$AQ23,IFERROR(VLOOKUP($H23,areaCercaPuntiClassificaSquadra,3,FALSE),-1)=IFERROR(VLOOKUP($AQ23,areaCercaPuntiClassificaSquadra,3,FALSE),-2)),SUMIFS(Dati!$B$2:$B$761,Dati!$A$2:$A$761,$H23,Dati!$H$2:$H$761,$AQ23)+SUMIFS(Dati!$I$2:$I$761,Dati!$H$2:$H$761,$H23,Dati!$A$2:$A$761,$AQ23),"-")</f>
        <v/>
      </c>
      <c r="BN23" s="22">
        <f>IF(AND($H23&lt;&gt;"",$AR23&lt;&gt;"",$H23&lt;&gt;$AR23,IFERROR(VLOOKUP($H23,areaCercaPuntiClassificaSquadra,3,FALSE),-1)=IFERROR(VLOOKUP($AR23,areaCercaPuntiClassificaSquadra,3,FALSE),-2)),SUMIFS(Dati!$B$2:$B$761,Dati!$A$2:$A$761,$H23,Dati!$H$2:$H$761,$AR23)+SUMIFS(Dati!$I$2:$I$761,Dati!$H$2:$H$761,$H23,Dati!$A$2:$A$761,$AR23),"-")</f>
        <v/>
      </c>
      <c r="BP23" s="21">
        <f>$C23</f>
        <v/>
      </c>
      <c r="BQ23" s="22">
        <f>IF(AND($H23&lt;&gt;"",$Y23&lt;&gt;"",$H23&lt;&gt;$Y23,IFERROR(VLOOKUP($H23,areaCercaPuntiClassificaSquadra,3,FALSE),-1)=IFERROR(VLOOKUP($Y23,areaCercaPuntiClassificaSquadra,3,FALSE),-2)),SUMIFS(Dati!$D$2:$D$761,Dati!$A$2:$A$761,$H23,Dati!$H$2:$H$761,$Y23)+SUMIFS(Dati!$K$2:$K$761,Dati!$H$2:$H$761,$H23,Dati!$A$2:$A$761,$Y23)+SUMIFS(Dati!$C$2:$C$761,Dati!$A$2:$A$761,$H23,Dati!$H$2:$H$761,$Y23)+SUMIFS(Dati!$J$2:$J$761,Dati!$H$2:$H$761,$H23,Dati!$A$2:$A$761,$Y23),"-")</f>
        <v/>
      </c>
      <c r="BR23" s="22">
        <f>IF(AND($H23&lt;&gt;"",$Z23&lt;&gt;"",$H23&lt;&gt;$Z23,IFERROR(VLOOKUP($H23,areaCercaPuntiClassificaSquadra,3,FALSE),-1)=IFERROR(VLOOKUP($Z23,areaCercaPuntiClassificaSquadra,3,FALSE),-2)),SUMIFS(Dati!$D$2:$D$761,Dati!$A$2:$A$761,$H23,Dati!$H$2:$H$761,$Z23)+SUMIFS(Dati!$K$2:$K$761,Dati!$H$2:$H$761,$H23,Dati!$A$2:$A$761,$Z23)+SUMIFS(Dati!$C$2:$C$761,Dati!$A$2:$A$761,$H23,Dati!$H$2:$H$761,$Z23)+SUMIFS(Dati!$J$2:$J$761,Dati!$H$2:$H$761,$H23,Dati!$A$2:$A$761,$Z23),"-")</f>
        <v/>
      </c>
      <c r="BS23" s="22">
        <f>IF(AND($H23&lt;&gt;"",$AA23&lt;&gt;"",$H23&lt;&gt;$AA23,IFERROR(VLOOKUP($H23,areaCercaPuntiClassificaSquadra,3,FALSE),-1)=IFERROR(VLOOKUP($AA23,areaCercaPuntiClassificaSquadra,3,FALSE),-2)),SUMIFS(Dati!$D$2:$D$761,Dati!$A$2:$A$761,$H23,Dati!$H$2:$H$761,$AA23)+SUMIFS(Dati!$K$2:$K$761,Dati!$H$2:$H$761,$H23,Dati!$A$2:$A$761,$AA23)+SUMIFS(Dati!$C$2:$C$761,Dati!$A$2:$A$761,$H23,Dati!$H$2:$H$761,$AA23)+SUMIFS(Dati!$J$2:$J$761,Dati!$H$2:$H$761,$H23,Dati!$A$2:$A$761,$AA23),"-")</f>
        <v/>
      </c>
      <c r="BT23" s="22">
        <f>IF(AND($H23&lt;&gt;"",$AB23&lt;&gt;"",$H23&lt;&gt;$AB23,IFERROR(VLOOKUP($H23,areaCercaPuntiClassificaSquadra,3,FALSE),-1)=IFERROR(VLOOKUP($AB23,areaCercaPuntiClassificaSquadra,3,FALSE),-2)),SUMIFS(Dati!$D$2:$D$761,Dati!$A$2:$A$761,$H23,Dati!$H$2:$H$761,$AB23)+SUMIFS(Dati!$K$2:$K$761,Dati!$H$2:$H$761,$H23,Dati!$A$2:$A$761,$AB23)+SUMIFS(Dati!$C$2:$C$761,Dati!$A$2:$A$761,$H23,Dati!$H$2:$H$761,$AB23)+SUMIFS(Dati!$J$2:$J$761,Dati!$H$2:$H$761,$H23,Dati!$A$2:$A$761,$AB23),"-")</f>
        <v/>
      </c>
      <c r="BU23" s="22">
        <f>IF(AND($H23&lt;&gt;"",$AC23&lt;&gt;"",$H23&lt;&gt;$AC23,IFERROR(VLOOKUP($H23,areaCercaPuntiClassificaSquadra,3,FALSE),-1)=IFERROR(VLOOKUP($AC23,areaCercaPuntiClassificaSquadra,3,FALSE),-2)),SUMIFS(Dati!$D$2:$D$761,Dati!$A$2:$A$761,$H23,Dati!$H$2:$H$761,$AC23)+SUMIFS(Dati!$K$2:$K$761,Dati!$H$2:$H$761,$H23,Dati!$A$2:$A$761,$AC23)+SUMIFS(Dati!$C$2:$C$761,Dati!$A$2:$A$761,$H23,Dati!$H$2:$H$761,$AC23)+SUMIFS(Dati!$J$2:$J$761,Dati!$H$2:$H$761,$H23,Dati!$A$2:$A$761,$AC23),"-")</f>
        <v/>
      </c>
      <c r="BV23" s="22">
        <f>IF(AND($H23&lt;&gt;"",$AD23&lt;&gt;"",$H23&lt;&gt;$AD23,IFERROR(VLOOKUP($H23,areaCercaPuntiClassificaSquadra,3,FALSE),-1)=IFERROR(VLOOKUP($AD23,areaCercaPuntiClassificaSquadra,3,FALSE),-2)),SUMIFS(Dati!$D$2:$D$761,Dati!$A$2:$A$761,$H23,Dati!$H$2:$H$761,$AD23)+SUMIFS(Dati!$K$2:$K$761,Dati!$H$2:$H$761,$H23,Dati!$A$2:$A$761,$AD23)+SUMIFS(Dati!$C$2:$C$761,Dati!$A$2:$A$761,$H23,Dati!$H$2:$H$761,$AD23)+SUMIFS(Dati!$J$2:$J$761,Dati!$H$2:$H$761,$H23,Dati!$A$2:$A$761,$AD23),"-")</f>
        <v/>
      </c>
      <c r="BW23" s="22">
        <f>IF(AND($H23&lt;&gt;"",$AE23&lt;&gt;"",$H23&lt;&gt;$AE23,IFERROR(VLOOKUP($H23,areaCercaPuntiClassificaSquadra,3,FALSE),-1)=IFERROR(VLOOKUP($AE23,areaCercaPuntiClassificaSquadra,3,FALSE),-2)),SUMIFS(Dati!$D$2:$D$761,Dati!$A$2:$A$761,$H23,Dati!$H$2:$H$761,$AE23)+SUMIFS(Dati!$K$2:$K$761,Dati!$H$2:$H$761,$H23,Dati!$A$2:$A$761,$AE23)+SUMIFS(Dati!$C$2:$C$761,Dati!$A$2:$A$761,$H23,Dati!$H$2:$H$761,$AE23)+SUMIFS(Dati!$J$2:$J$761,Dati!$H$2:$H$761,$H23,Dati!$A$2:$A$761,$AE23),"-")</f>
        <v/>
      </c>
      <c r="BX23" s="22">
        <f>IF(AND($H23&lt;&gt;"",$AF23&lt;&gt;"",$H23&lt;&gt;$AF23,IFERROR(VLOOKUP($H23,areaCercaPuntiClassificaSquadra,3,FALSE),-1)=IFERROR(VLOOKUP($AF23,areaCercaPuntiClassificaSquadra,3,FALSE),-2)),SUMIFS(Dati!$D$2:$D$761,Dati!$A$2:$A$761,$H23,Dati!$H$2:$H$761,$AF23)+SUMIFS(Dati!$K$2:$K$761,Dati!$H$2:$H$761,$H23,Dati!$A$2:$A$761,$AF23)+SUMIFS(Dati!$C$2:$C$761,Dati!$A$2:$A$761,$H23,Dati!$H$2:$H$761,$AF23)+SUMIFS(Dati!$J$2:$J$761,Dati!$H$2:$H$761,$H23,Dati!$A$2:$A$761,$AF23),"-")</f>
        <v/>
      </c>
      <c r="BY23" s="22">
        <f>IF(AND($H23&lt;&gt;"",$AG23&lt;&gt;"",$H23&lt;&gt;$AG23,IFERROR(VLOOKUP($H23,areaCercaPuntiClassificaSquadra,3,FALSE),-1)=IFERROR(VLOOKUP($AG23,areaCercaPuntiClassificaSquadra,3,FALSE),-2)),SUMIFS(Dati!$D$2:$D$761,Dati!$A$2:$A$761,$H23,Dati!$H$2:$H$761,$AG23)+SUMIFS(Dati!$K$2:$K$761,Dati!$H$2:$H$761,$H23,Dati!$A$2:$A$761,$AG23)+SUMIFS(Dati!$C$2:$C$761,Dati!$A$2:$A$761,$H23,Dati!$H$2:$H$761,$AG23)+SUMIFS(Dati!$J$2:$J$761,Dati!$H$2:$H$761,$H23,Dati!$A$2:$A$761,$AG23),"-")</f>
        <v/>
      </c>
      <c r="BZ23" s="22">
        <f>IF(AND($H23&lt;&gt;"",$AH23&lt;&gt;"",$H23&lt;&gt;$AH23,IFERROR(VLOOKUP($H23,areaCercaPuntiClassificaSquadra,3,FALSE),-1)=IFERROR(VLOOKUP($AH23,areaCercaPuntiClassificaSquadra,3,FALSE),-2)),SUMIFS(Dati!$D$2:$D$761,Dati!$A$2:$A$761,$H23,Dati!$H$2:$H$761,$AH23)+SUMIFS(Dati!$K$2:$K$761,Dati!$H$2:$H$761,$H23,Dati!$A$2:$A$761,$AH23)+SUMIFS(Dati!$C$2:$C$761,Dati!$A$2:$A$761,$H23,Dati!$H$2:$H$761,$AH23)+SUMIFS(Dati!$J$2:$J$761,Dati!$H$2:$H$761,$H23,Dati!$A$2:$A$761,$AH23),"-")</f>
        <v/>
      </c>
      <c r="CA23" s="22">
        <f>IF(AND($H23&lt;&gt;"",$AI23&lt;&gt;"",$H23&lt;&gt;$AI23,IFERROR(VLOOKUP($H23,areaCercaPuntiClassificaSquadra,3,FALSE),-1)=IFERROR(VLOOKUP($AI23,areaCercaPuntiClassificaSquadra,3,FALSE),-2)),SUMIFS(Dati!$D$2:$D$761,Dati!$A$2:$A$761,$H23,Dati!$H$2:$H$761,$AI23)+SUMIFS(Dati!$K$2:$K$761,Dati!$H$2:$H$761,$H23,Dati!$A$2:$A$761,$AI23)+SUMIFS(Dati!$C$2:$C$761,Dati!$A$2:$A$761,$H23,Dati!$H$2:$H$761,$AI23)+SUMIFS(Dati!$J$2:$J$761,Dati!$H$2:$H$761,$H23,Dati!$A$2:$A$761,$AI23),"-")</f>
        <v/>
      </c>
      <c r="CB23" s="22">
        <f>IF(AND($H23&lt;&gt;"",$AJ23&lt;&gt;"",$H23&lt;&gt;$AJ23,IFERROR(VLOOKUP($H23,areaCercaPuntiClassificaSquadra,3,FALSE),-1)=IFERROR(VLOOKUP($AJ23,areaCercaPuntiClassificaSquadra,3,FALSE),-2)),SUMIFS(Dati!$D$2:$D$761,Dati!$A$2:$A$761,$H23,Dati!$H$2:$H$761,$AJ23)+SUMIFS(Dati!$K$2:$K$761,Dati!$H$2:$H$761,$H23,Dati!$A$2:$A$761,$AJ23)+SUMIFS(Dati!$C$2:$C$761,Dati!$A$2:$A$761,$H23,Dati!$H$2:$H$761,$AJ23)+SUMIFS(Dati!$J$2:$J$761,Dati!$H$2:$H$761,$H23,Dati!$A$2:$A$761,$AJ23),"-")</f>
        <v/>
      </c>
      <c r="CC23" s="22">
        <f>IF(AND($H23&lt;&gt;"",$AK23&lt;&gt;"",$H23&lt;&gt;$AK23,IFERROR(VLOOKUP($H23,areaCercaPuntiClassificaSquadra,3,FALSE),-1)=IFERROR(VLOOKUP($AK23,areaCercaPuntiClassificaSquadra,3,FALSE),-2)),SUMIFS(Dati!$D$2:$D$761,Dati!$A$2:$A$761,$H23,Dati!$H$2:$H$761,$AK23)+SUMIFS(Dati!$K$2:$K$761,Dati!$H$2:$H$761,$H23,Dati!$A$2:$A$761,$AK23)+SUMIFS(Dati!$C$2:$C$761,Dati!$A$2:$A$761,$H23,Dati!$H$2:$H$761,$AK23)+SUMIFS(Dati!$J$2:$J$761,Dati!$H$2:$H$761,$H23,Dati!$A$2:$A$761,$AK23),"-")</f>
        <v/>
      </c>
      <c r="CD23" s="22">
        <f>IF(AND($H23&lt;&gt;"",$AL23&lt;&gt;"",$H23&lt;&gt;$AL23,IFERROR(VLOOKUP($H23,areaCercaPuntiClassificaSquadra,3,FALSE),-1)=IFERROR(VLOOKUP($AL23,areaCercaPuntiClassificaSquadra,3,FALSE),-2)),SUMIFS(Dati!$D$2:$D$761,Dati!$A$2:$A$761,$H23,Dati!$H$2:$H$761,$AL23)+SUMIFS(Dati!$K$2:$K$761,Dati!$H$2:$H$761,$H23,Dati!$A$2:$A$761,$AL23)+SUMIFS(Dati!$C$2:$C$761,Dati!$A$2:$A$761,$H23,Dati!$H$2:$H$761,$AL23)+SUMIFS(Dati!$J$2:$J$761,Dati!$H$2:$H$761,$H23,Dati!$A$2:$A$761,$AL23),"-")</f>
        <v/>
      </c>
      <c r="CE23" s="22">
        <f>IF(AND($H23&lt;&gt;"",$AM23&lt;&gt;"",$H23&lt;&gt;$AM23,IFERROR(VLOOKUP($H23,areaCercaPuntiClassificaSquadra,3,FALSE),-1)=IFERROR(VLOOKUP($AM23,areaCercaPuntiClassificaSquadra,3,FALSE),-2)),SUMIFS(Dati!$D$2:$D$761,Dati!$A$2:$A$761,$H23,Dati!$H$2:$H$761,$AM23)+SUMIFS(Dati!$K$2:$K$761,Dati!$H$2:$H$761,$H23,Dati!$A$2:$A$761,$AM23)+SUMIFS(Dati!$C$2:$C$761,Dati!$A$2:$A$761,$H23,Dati!$H$2:$H$761,$AM23)+SUMIFS(Dati!$J$2:$J$761,Dati!$H$2:$H$761,$H23,Dati!$A$2:$A$761,$AM23),"-")</f>
        <v/>
      </c>
      <c r="CF23" s="22">
        <f>IF(AND($H23&lt;&gt;"",$AN23&lt;&gt;"",$H23&lt;&gt;$AN23,IFERROR(VLOOKUP($H23,areaCercaPuntiClassificaSquadra,3,FALSE),-1)=IFERROR(VLOOKUP($AN23,areaCercaPuntiClassificaSquadra,3,FALSE),-2)),SUMIFS(Dati!$D$2:$D$761,Dati!$A$2:$A$761,$H23,Dati!$H$2:$H$761,$AN23)+SUMIFS(Dati!$K$2:$K$761,Dati!$H$2:$H$761,$H23,Dati!$A$2:$A$761,$AN23)+SUMIFS(Dati!$C$2:$C$761,Dati!$A$2:$A$761,$H23,Dati!$H$2:$H$761,$AN23)+SUMIFS(Dati!$J$2:$J$761,Dati!$H$2:$H$761,$H23,Dati!$A$2:$A$761,$AN23),"-")</f>
        <v/>
      </c>
      <c r="CG23" s="22">
        <f>IF(AND($H23&lt;&gt;"",$AO23&lt;&gt;"",$H23&lt;&gt;$AO23,IFERROR(VLOOKUP($H23,areaCercaPuntiClassificaSquadra,3,FALSE),-1)=IFERROR(VLOOKUP($AO23,areaCercaPuntiClassificaSquadra,3,FALSE),-2)),SUMIFS(Dati!$D$2:$D$761,Dati!$A$2:$A$761,$H23,Dati!$H$2:$H$761,$AO23)+SUMIFS(Dati!$K$2:$K$761,Dati!$H$2:$H$761,$H23,Dati!$A$2:$A$761,$AO23)+SUMIFS(Dati!$C$2:$C$761,Dati!$A$2:$A$761,$H23,Dati!$H$2:$H$761,$AO23)+SUMIFS(Dati!$J$2:$J$761,Dati!$H$2:$H$761,$H23,Dati!$A$2:$A$761,$AO23),"-")</f>
        <v/>
      </c>
      <c r="CH23" s="22">
        <f>IF(AND($H23&lt;&gt;"",$AP23&lt;&gt;"",$H23&lt;&gt;$AP23,IFERROR(VLOOKUP($H23,areaCercaPuntiClassificaSquadra,3,FALSE),-1)=IFERROR(VLOOKUP($AP23,areaCercaPuntiClassificaSquadra,3,FALSE),-2)),SUMIFS(Dati!$D$2:$D$761,Dati!$A$2:$A$761,$H23,Dati!$H$2:$H$761,$AP23)+SUMIFS(Dati!$K$2:$K$761,Dati!$H$2:$H$761,$H23,Dati!$A$2:$A$761,$AP23)+SUMIFS(Dati!$C$2:$C$761,Dati!$A$2:$A$761,$H23,Dati!$H$2:$H$761,$AP23)+SUMIFS(Dati!$J$2:$J$761,Dati!$H$2:$H$761,$H23,Dati!$A$2:$A$761,$AP23),"-")</f>
        <v/>
      </c>
      <c r="CI23" s="22">
        <f>IF(AND($H23&lt;&gt;"",$AQ23&lt;&gt;"",$H23&lt;&gt;$AQ23,IFERROR(VLOOKUP($H23,areaCercaPuntiClassificaSquadra,3,FALSE),-1)=IFERROR(VLOOKUP($AQ23,areaCercaPuntiClassificaSquadra,3,FALSE),-2)),SUMIFS(Dati!$D$2:$D$761,Dati!$A$2:$A$761,$H23,Dati!$H$2:$H$761,$AQ23)+SUMIFS(Dati!$K$2:$K$761,Dati!$H$2:$H$761,$H23,Dati!$A$2:$A$761,$AQ23)+SUMIFS(Dati!$C$2:$C$761,Dati!$A$2:$A$761,$H23,Dati!$H$2:$H$761,$AQ23)+SUMIFS(Dati!$J$2:$J$761,Dati!$H$2:$H$761,$H23,Dati!$A$2:$A$761,$AQ23),"-")</f>
        <v/>
      </c>
      <c r="CJ23" s="22">
        <f>IF(AND($H23&lt;&gt;"",$AR23&lt;&gt;"",$H23&lt;&gt;$AR23,IFERROR(VLOOKUP($H23,areaCercaPuntiClassificaSquadra,3,FALSE),-1)=IFERROR(VLOOKUP($AR23,areaCercaPuntiClassificaSquadra,3,FALSE),-2)),SUMIFS(Dati!$D$2:$D$761,Dati!$A$2:$A$761,$H23,Dati!$H$2:$H$761,$AR23)+SUMIFS(Dati!$K$2:$K$761,Dati!$H$2:$H$761,$H23,Dati!$A$2:$A$761,$AR23)+SUMIFS(Dati!$C$2:$C$761,Dati!$A$2:$A$761,$H23,Dati!$H$2:$H$761,$AR23)+SUMIFS(Dati!$J$2:$J$761,Dati!$H$2:$H$761,$H23,Dati!$A$2:$A$761,$AR23),"-")</f>
        <v/>
      </c>
      <c r="CL23" s="21">
        <f>$C23</f>
        <v/>
      </c>
      <c r="CM23" s="22">
        <f>IF(AND($H23&lt;&gt;"",$Y23&lt;&gt;"",$H23&lt;&gt;$Y23,IFERROR(VLOOKUP($H23,areaCercaPuntiClassificaSquadra,3,FALSE),-1)=IFERROR(VLOOKUP($Y23,areaCercaPuntiClassificaSquadra,3,FALSE),-2)),SUMIFS(Dati!$E$2:$E$761,Dati!$A$2:$A$761,$H23,Dati!$H$2:$H$761,$Y23)+SUMIFS(Dati!$L$2:$L$761,Dati!$H$2:$H$761,$H23,Dati!$A$2:$A$761,$Y23),"-")</f>
        <v/>
      </c>
      <c r="CN23" s="22">
        <f>IF(AND($H23&lt;&gt;"",$Z23&lt;&gt;"",$H23&lt;&gt;$Z23,IFERROR(VLOOKUP($H23,areaCercaPuntiClassificaSquadra,3,FALSE),-1)=IFERROR(VLOOKUP($Z23,areaCercaPuntiClassificaSquadra,3,FALSE),-2)),SUMIFS(Dati!$E$2:$E$761,Dati!$A$2:$A$761,$H23,Dati!$H$2:$H$761,$Z23)+SUMIFS(Dati!$L$2:$L$761,Dati!$H$2:$H$761,$H23,Dati!$A$2:$A$761,$Z23),"-")</f>
        <v/>
      </c>
      <c r="CO23" s="22">
        <f>IF(AND($H23&lt;&gt;"",$AA23&lt;&gt;"",$H23&lt;&gt;$AA23,IFERROR(VLOOKUP($H23,areaCercaPuntiClassificaSquadra,3,FALSE),-1)=IFERROR(VLOOKUP($AA23,areaCercaPuntiClassificaSquadra,3,FALSE),-2)),SUMIFS(Dati!$E$2:$E$761,Dati!$A$2:$A$761,$H23,Dati!$H$2:$H$761,$AA23)+SUMIFS(Dati!$L$2:$L$761,Dati!$H$2:$H$761,$H23,Dati!$A$2:$A$761,$AA23),"-")</f>
        <v/>
      </c>
      <c r="CP23" s="22">
        <f>IF(AND($H23&lt;&gt;"",$AB23&lt;&gt;"",$H23&lt;&gt;$AB23,IFERROR(VLOOKUP($H23,areaCercaPuntiClassificaSquadra,3,FALSE),-1)=IFERROR(VLOOKUP($AB23,areaCercaPuntiClassificaSquadra,3,FALSE),-2)),SUMIFS(Dati!$E$2:$E$761,Dati!$A$2:$A$761,$H23,Dati!$H$2:$H$761,$AB23)+SUMIFS(Dati!$L$2:$L$761,Dati!$H$2:$H$761,$H23,Dati!$A$2:$A$761,$AB23),"-")</f>
        <v/>
      </c>
      <c r="CQ23" s="22">
        <f>IF(AND($H23&lt;&gt;"",$AC23&lt;&gt;"",$H23&lt;&gt;$AC23,IFERROR(VLOOKUP($H23,areaCercaPuntiClassificaSquadra,3,FALSE),-1)=IFERROR(VLOOKUP($AC23,areaCercaPuntiClassificaSquadra,3,FALSE),-2)),SUMIFS(Dati!$E$2:$E$761,Dati!$A$2:$A$761,$H23,Dati!$H$2:$H$761,$AC23)+SUMIFS(Dati!$L$2:$L$761,Dati!$H$2:$H$761,$H23,Dati!$A$2:$A$761,$AC23),"-")</f>
        <v/>
      </c>
      <c r="CR23" s="22">
        <f>IF(AND($H23&lt;&gt;"",$AD23&lt;&gt;"",$H23&lt;&gt;$AD23,IFERROR(VLOOKUP($H23,areaCercaPuntiClassificaSquadra,3,FALSE),-1)=IFERROR(VLOOKUP($AD23,areaCercaPuntiClassificaSquadra,3,FALSE),-2)),SUMIFS(Dati!$E$2:$E$761,Dati!$A$2:$A$761,$H23,Dati!$H$2:$H$761,$AD23)+SUMIFS(Dati!$L$2:$L$761,Dati!$H$2:$H$761,$H23,Dati!$A$2:$A$761,$AD23),"-")</f>
        <v/>
      </c>
      <c r="CS23" s="22">
        <f>IF(AND($H23&lt;&gt;"",$AE23&lt;&gt;"",$H23&lt;&gt;$AE23,IFERROR(VLOOKUP($H23,areaCercaPuntiClassificaSquadra,3,FALSE),-1)=IFERROR(VLOOKUP($AE23,areaCercaPuntiClassificaSquadra,3,FALSE),-2)),SUMIFS(Dati!$E$2:$E$761,Dati!$A$2:$A$761,$H23,Dati!$H$2:$H$761,$AE23)+SUMIFS(Dati!$L$2:$L$761,Dati!$H$2:$H$761,$H23,Dati!$A$2:$A$761,$AE23),"-")</f>
        <v/>
      </c>
      <c r="CT23" s="22">
        <f>IF(AND($H23&lt;&gt;"",$AF23&lt;&gt;"",$H23&lt;&gt;$AF23,IFERROR(VLOOKUP($H23,areaCercaPuntiClassificaSquadra,3,FALSE),-1)=IFERROR(VLOOKUP($AF23,areaCercaPuntiClassificaSquadra,3,FALSE),-2)),SUMIFS(Dati!$E$2:$E$761,Dati!$A$2:$A$761,$H23,Dati!$H$2:$H$761,$AF23)+SUMIFS(Dati!$L$2:$L$761,Dati!$H$2:$H$761,$H23,Dati!$A$2:$A$761,$AF23),"-")</f>
        <v/>
      </c>
      <c r="CU23" s="22">
        <f>IF(AND($H23&lt;&gt;"",$AG23&lt;&gt;"",$H23&lt;&gt;$AG23,IFERROR(VLOOKUP($H23,areaCercaPuntiClassificaSquadra,3,FALSE),-1)=IFERROR(VLOOKUP($AG23,areaCercaPuntiClassificaSquadra,3,FALSE),-2)),SUMIFS(Dati!$E$2:$E$761,Dati!$A$2:$A$761,$H23,Dati!$H$2:$H$761,$AG23)+SUMIFS(Dati!$L$2:$L$761,Dati!$H$2:$H$761,$H23,Dati!$A$2:$A$761,$AG23),"-")</f>
        <v/>
      </c>
      <c r="CV23" s="22">
        <f>IF(AND($H23&lt;&gt;"",$AH23&lt;&gt;"",$H23&lt;&gt;$AH23,IFERROR(VLOOKUP($H23,areaCercaPuntiClassificaSquadra,3,FALSE),-1)=IFERROR(VLOOKUP($AH23,areaCercaPuntiClassificaSquadra,3,FALSE),-2)),SUMIFS(Dati!$E$2:$E$761,Dati!$A$2:$A$761,$H23,Dati!$H$2:$H$761,$AH23)+SUMIFS(Dati!$L$2:$L$761,Dati!$H$2:$H$761,$H23,Dati!$A$2:$A$761,$AH23),"-")</f>
        <v/>
      </c>
      <c r="CW23" s="22">
        <f>IF(AND($H23&lt;&gt;"",$AI23&lt;&gt;"",$H23&lt;&gt;$AI23,IFERROR(VLOOKUP($H23,areaCercaPuntiClassificaSquadra,3,FALSE),-1)=IFERROR(VLOOKUP($AI23,areaCercaPuntiClassificaSquadra,3,FALSE),-2)),SUMIFS(Dati!$E$2:$E$761,Dati!$A$2:$A$761,$H23,Dati!$H$2:$H$761,$AI23)+SUMIFS(Dati!$L$2:$L$761,Dati!$H$2:$H$761,$H23,Dati!$A$2:$A$761,$AI23),"-")</f>
        <v/>
      </c>
      <c r="CX23" s="22">
        <f>IF(AND($H23&lt;&gt;"",$AJ23&lt;&gt;"",$H23&lt;&gt;$AJ23,IFERROR(VLOOKUP($H23,areaCercaPuntiClassificaSquadra,3,FALSE),-1)=IFERROR(VLOOKUP($AJ23,areaCercaPuntiClassificaSquadra,3,FALSE),-2)),SUMIFS(Dati!$E$2:$E$761,Dati!$A$2:$A$761,$H23,Dati!$H$2:$H$761,$AJ23)+SUMIFS(Dati!$L$2:$L$761,Dati!$H$2:$H$761,$H23,Dati!$A$2:$A$761,$AJ23),"-")</f>
        <v/>
      </c>
      <c r="CY23" s="22">
        <f>IF(AND($H23&lt;&gt;"",$AK23&lt;&gt;"",$H23&lt;&gt;$AK23,IFERROR(VLOOKUP($H23,areaCercaPuntiClassificaSquadra,3,FALSE),-1)=IFERROR(VLOOKUP($AK23,areaCercaPuntiClassificaSquadra,3,FALSE),-2)),SUMIFS(Dati!$E$2:$E$761,Dati!$A$2:$A$761,$H23,Dati!$H$2:$H$761,$AK23)+SUMIFS(Dati!$L$2:$L$761,Dati!$H$2:$H$761,$H23,Dati!$A$2:$A$761,$AK23),"-")</f>
        <v/>
      </c>
      <c r="CZ23" s="22">
        <f>IF(AND($H23&lt;&gt;"",$AL23&lt;&gt;"",$H23&lt;&gt;$AL23,IFERROR(VLOOKUP($H23,areaCercaPuntiClassificaSquadra,3,FALSE),-1)=IFERROR(VLOOKUP($AL23,areaCercaPuntiClassificaSquadra,3,FALSE),-2)),SUMIFS(Dati!$E$2:$E$761,Dati!$A$2:$A$761,$H23,Dati!$H$2:$H$761,$AL23)+SUMIFS(Dati!$L$2:$L$761,Dati!$H$2:$H$761,$H23,Dati!$A$2:$A$761,$AL23),"-")</f>
        <v/>
      </c>
      <c r="DA23" s="22">
        <f>IF(AND($H23&lt;&gt;"",$AM23&lt;&gt;"",$H23&lt;&gt;$AM23,IFERROR(VLOOKUP($H23,areaCercaPuntiClassificaSquadra,3,FALSE),-1)=IFERROR(VLOOKUP($AM23,areaCercaPuntiClassificaSquadra,3,FALSE),-2)),SUMIFS(Dati!$E$2:$E$761,Dati!$A$2:$A$761,$H23,Dati!$H$2:$H$761,$AM23)+SUMIFS(Dati!$L$2:$L$761,Dati!$H$2:$H$761,$H23,Dati!$A$2:$A$761,$AM23),"-")</f>
        <v/>
      </c>
      <c r="DB23" s="22">
        <f>IF(AND($H23&lt;&gt;"",$AN23&lt;&gt;"",$H23&lt;&gt;$AN23,IFERROR(VLOOKUP($H23,areaCercaPuntiClassificaSquadra,3,FALSE),-1)=IFERROR(VLOOKUP($AN23,areaCercaPuntiClassificaSquadra,3,FALSE),-2)),SUMIFS(Dati!$E$2:$E$761,Dati!$A$2:$A$761,$H23,Dati!$H$2:$H$761,$AN23)+SUMIFS(Dati!$L$2:$L$761,Dati!$H$2:$H$761,$H23,Dati!$A$2:$A$761,$AN23),"-")</f>
        <v/>
      </c>
      <c r="DC23" s="22">
        <f>IF(AND($H23&lt;&gt;"",$AO23&lt;&gt;"",$H23&lt;&gt;$AO23,IFERROR(VLOOKUP($H23,areaCercaPuntiClassificaSquadra,3,FALSE),-1)=IFERROR(VLOOKUP($AO23,areaCercaPuntiClassificaSquadra,3,FALSE),-2)),SUMIFS(Dati!$E$2:$E$761,Dati!$A$2:$A$761,$H23,Dati!$H$2:$H$761,$AO23)+SUMIFS(Dati!$L$2:$L$761,Dati!$H$2:$H$761,$H23,Dati!$A$2:$A$761,$AO23),"-")</f>
        <v/>
      </c>
      <c r="DD23" s="22">
        <f>IF(AND($H23&lt;&gt;"",$AP23&lt;&gt;"",$H23&lt;&gt;$AP23,IFERROR(VLOOKUP($H23,areaCercaPuntiClassificaSquadra,3,FALSE),-1)=IFERROR(VLOOKUP($AP23,areaCercaPuntiClassificaSquadra,3,FALSE),-2)),SUMIFS(Dati!$E$2:$E$761,Dati!$A$2:$A$761,$H23,Dati!$H$2:$H$761,$AP23)+SUMIFS(Dati!$L$2:$L$761,Dati!$H$2:$H$761,$H23,Dati!$A$2:$A$761,$AP23),"-")</f>
        <v/>
      </c>
      <c r="DE23" s="22">
        <f>IF(AND($H23&lt;&gt;"",$AQ23&lt;&gt;"",$H23&lt;&gt;$AQ23,IFERROR(VLOOKUP($H23,areaCercaPuntiClassificaSquadra,3,FALSE),-1)=IFERROR(VLOOKUP($AQ23,areaCercaPuntiClassificaSquadra,3,FALSE),-2)),SUMIFS(Dati!$E$2:$E$761,Dati!$A$2:$A$761,$H23,Dati!$H$2:$H$761,$AQ23)+SUMIFS(Dati!$L$2:$L$761,Dati!$H$2:$H$761,$H23,Dati!$A$2:$A$761,$AQ23),"-")</f>
        <v/>
      </c>
      <c r="DF23" s="22">
        <f>IF(AND($H23&lt;&gt;"",$AR23&lt;&gt;"",$H23&lt;&gt;$AR23,IFERROR(VLOOKUP($H23,areaCercaPuntiClassificaSquadra,3,FALSE),-1)=IFERROR(VLOOKUP($AR23,areaCercaPuntiClassificaSquadra,3,FALSE),-2)),SUMIFS(Dati!$E$2:$E$761,Dati!$A$2:$A$761,$H23,Dati!$H$2:$H$761,$AR23)+SUMIFS(Dati!$L$2:$L$761,Dati!$H$2:$H$761,$H23,Dati!$A$2:$A$761,$AR23),"-")</f>
        <v/>
      </c>
      <c r="DH23" s="21">
        <f>$C23</f>
        <v/>
      </c>
      <c r="DI23" s="22">
        <f>IF(AND($H23&lt;&gt;"",$Y23&lt;&gt;"",$H23&lt;&gt;$Y23,IFERROR(VLOOKUP($H23,areaCercaPuntiClassificaSquadra,3,FALSE),-1)=IFERROR(VLOOKUP($Y23,areaCercaPuntiClassificaSquadra,3,FALSE),-2)),SUMIFS(Dati!$F$2:$F$761,Dati!$A$2:$A$761,$H23,Dati!$H$2:$H$761,$Y23)+SUMIFS(Dati!$M$2:$M$761,Dati!$H$2:$H$761,$H23,Dati!$A$2:$A$761,$Y23),"-")</f>
        <v/>
      </c>
      <c r="DJ23" s="22">
        <f>IF(AND($H23&lt;&gt;"",$Z23&lt;&gt;"",$H23&lt;&gt;$Z23,IFERROR(VLOOKUP($H23,areaCercaPuntiClassificaSquadra,3,FALSE),-1)=IFERROR(VLOOKUP($Z23,areaCercaPuntiClassificaSquadra,3,FALSE),-2)),SUMIFS(Dati!$F$2:$F$761,Dati!$A$2:$A$761,$H23,Dati!$H$2:$H$761,$Z23)+SUMIFS(Dati!$M$2:$M$761,Dati!$H$2:$H$761,$H23,Dati!$A$2:$A$761,$Z23),"-")</f>
        <v/>
      </c>
      <c r="DK23" s="22">
        <f>IF(AND($H23&lt;&gt;"",$AA23&lt;&gt;"",$H23&lt;&gt;$AA23,IFERROR(VLOOKUP($H23,areaCercaPuntiClassificaSquadra,3,FALSE),-1)=IFERROR(VLOOKUP($AA23,areaCercaPuntiClassificaSquadra,3,FALSE),-2)),SUMIFS(Dati!$F$2:$F$761,Dati!$A$2:$A$761,$H23,Dati!$H$2:$H$761,$AA23)+SUMIFS(Dati!$M$2:$M$761,Dati!$H$2:$H$761,$H23,Dati!$A$2:$A$761,$AA23),"-")</f>
        <v/>
      </c>
      <c r="DL23" s="22">
        <f>IF(AND($H23&lt;&gt;"",$AB23&lt;&gt;"",$H23&lt;&gt;$AB23,IFERROR(VLOOKUP($H23,areaCercaPuntiClassificaSquadra,3,FALSE),-1)=IFERROR(VLOOKUP($AB23,areaCercaPuntiClassificaSquadra,3,FALSE),-2)),SUMIFS(Dati!$F$2:$F$761,Dati!$A$2:$A$761,$H23,Dati!$H$2:$H$761,$AB23)+SUMIFS(Dati!$M$2:$M$761,Dati!$H$2:$H$761,$H23,Dati!$A$2:$A$761,$AB23),"-")</f>
        <v/>
      </c>
      <c r="DM23" s="22">
        <f>IF(AND($H23&lt;&gt;"",$AC23&lt;&gt;"",$H23&lt;&gt;$AC23,IFERROR(VLOOKUP($H23,areaCercaPuntiClassificaSquadra,3,FALSE),-1)=IFERROR(VLOOKUP($AC23,areaCercaPuntiClassificaSquadra,3,FALSE),-2)),SUMIFS(Dati!$F$2:$F$761,Dati!$A$2:$A$761,$H23,Dati!$H$2:$H$761,$AC23)+SUMIFS(Dati!$M$2:$M$761,Dati!$H$2:$H$761,$H23,Dati!$A$2:$A$761,$AC23),"-")</f>
        <v/>
      </c>
      <c r="DN23" s="22">
        <f>IF(AND($H23&lt;&gt;"",$AD23&lt;&gt;"",$H23&lt;&gt;$AD23,IFERROR(VLOOKUP($H23,areaCercaPuntiClassificaSquadra,3,FALSE),-1)=IFERROR(VLOOKUP($AD23,areaCercaPuntiClassificaSquadra,3,FALSE),-2)),SUMIFS(Dati!$F$2:$F$761,Dati!$A$2:$A$761,$H23,Dati!$H$2:$H$761,$AD23)+SUMIFS(Dati!$M$2:$M$761,Dati!$H$2:$H$761,$H23,Dati!$A$2:$A$761,$AD23),"-")</f>
        <v/>
      </c>
      <c r="DO23" s="22">
        <f>IF(AND($H23&lt;&gt;"",$AE23&lt;&gt;"",$H23&lt;&gt;$AE23,IFERROR(VLOOKUP($H23,areaCercaPuntiClassificaSquadra,3,FALSE),-1)=IFERROR(VLOOKUP($AE23,areaCercaPuntiClassificaSquadra,3,FALSE),-2)),SUMIFS(Dati!$F$2:$F$761,Dati!$A$2:$A$761,$H23,Dati!$H$2:$H$761,$AE23)+SUMIFS(Dati!$M$2:$M$761,Dati!$H$2:$H$761,$H23,Dati!$A$2:$A$761,$AE23),"-")</f>
        <v/>
      </c>
      <c r="DP23" s="22">
        <f>IF(AND($H23&lt;&gt;"",$AF23&lt;&gt;"",$H23&lt;&gt;$AF23,IFERROR(VLOOKUP($H23,areaCercaPuntiClassificaSquadra,3,FALSE),-1)=IFERROR(VLOOKUP($AF23,areaCercaPuntiClassificaSquadra,3,FALSE),-2)),SUMIFS(Dati!$F$2:$F$761,Dati!$A$2:$A$761,$H23,Dati!$H$2:$H$761,$AF23)+SUMIFS(Dati!$M$2:$M$761,Dati!$H$2:$H$761,$H23,Dati!$A$2:$A$761,$AF23),"-")</f>
        <v/>
      </c>
      <c r="DQ23" s="22">
        <f>IF(AND($H23&lt;&gt;"",$AG23&lt;&gt;"",$H23&lt;&gt;$AG23,IFERROR(VLOOKUP($H23,areaCercaPuntiClassificaSquadra,3,FALSE),-1)=IFERROR(VLOOKUP($AG23,areaCercaPuntiClassificaSquadra,3,FALSE),-2)),SUMIFS(Dati!$F$2:$F$761,Dati!$A$2:$A$761,$H23,Dati!$H$2:$H$761,$AG23)+SUMIFS(Dati!$M$2:$M$761,Dati!$H$2:$H$761,$H23,Dati!$A$2:$A$761,$AG23),"-")</f>
        <v/>
      </c>
      <c r="DR23" s="22">
        <f>IF(AND($H23&lt;&gt;"",$AH23&lt;&gt;"",$H23&lt;&gt;$AH23,IFERROR(VLOOKUP($H23,areaCercaPuntiClassificaSquadra,3,FALSE),-1)=IFERROR(VLOOKUP($AH23,areaCercaPuntiClassificaSquadra,3,FALSE),-2)),SUMIFS(Dati!$F$2:$F$761,Dati!$A$2:$A$761,$H23,Dati!$H$2:$H$761,$AH23)+SUMIFS(Dati!$M$2:$M$761,Dati!$H$2:$H$761,$H23,Dati!$A$2:$A$761,$AH23),"-")</f>
        <v/>
      </c>
      <c r="DS23" s="22">
        <f>IF(AND($H23&lt;&gt;"",$AI23&lt;&gt;"",$H23&lt;&gt;$AI23,IFERROR(VLOOKUP($H23,areaCercaPuntiClassificaSquadra,3,FALSE),-1)=IFERROR(VLOOKUP($AI23,areaCercaPuntiClassificaSquadra,3,FALSE),-2)),SUMIFS(Dati!$F$2:$F$761,Dati!$A$2:$A$761,$H23,Dati!$H$2:$H$761,$AI23)+SUMIFS(Dati!$M$2:$M$761,Dati!$H$2:$H$761,$H23,Dati!$A$2:$A$761,$AI23),"-")</f>
        <v/>
      </c>
      <c r="DT23" s="22">
        <f>IF(AND($H23&lt;&gt;"",$AJ23&lt;&gt;"",$H23&lt;&gt;$AJ23,IFERROR(VLOOKUP($H23,areaCercaPuntiClassificaSquadra,3,FALSE),-1)=IFERROR(VLOOKUP($AJ23,areaCercaPuntiClassificaSquadra,3,FALSE),-2)),SUMIFS(Dati!$F$2:$F$761,Dati!$A$2:$A$761,$H23,Dati!$H$2:$H$761,$AJ23)+SUMIFS(Dati!$M$2:$M$761,Dati!$H$2:$H$761,$H23,Dati!$A$2:$A$761,$AJ23),"-")</f>
        <v/>
      </c>
      <c r="DU23" s="22">
        <f>IF(AND($H23&lt;&gt;"",$AK23&lt;&gt;"",$H23&lt;&gt;$AK23,IFERROR(VLOOKUP($H23,areaCercaPuntiClassificaSquadra,3,FALSE),-1)=IFERROR(VLOOKUP($AK23,areaCercaPuntiClassificaSquadra,3,FALSE),-2)),SUMIFS(Dati!$F$2:$F$761,Dati!$A$2:$A$761,$H23,Dati!$H$2:$H$761,$AK23)+SUMIFS(Dati!$M$2:$M$761,Dati!$H$2:$H$761,$H23,Dati!$A$2:$A$761,$AK23),"-")</f>
        <v/>
      </c>
      <c r="DV23" s="22">
        <f>IF(AND($H23&lt;&gt;"",$AL23&lt;&gt;"",$H23&lt;&gt;$AL23,IFERROR(VLOOKUP($H23,areaCercaPuntiClassificaSquadra,3,FALSE),-1)=IFERROR(VLOOKUP($AL23,areaCercaPuntiClassificaSquadra,3,FALSE),-2)),SUMIFS(Dati!$F$2:$F$761,Dati!$A$2:$A$761,$H23,Dati!$H$2:$H$761,$AL23)+SUMIFS(Dati!$M$2:$M$761,Dati!$H$2:$H$761,$H23,Dati!$A$2:$A$761,$AL23),"-")</f>
        <v/>
      </c>
      <c r="DW23" s="22">
        <f>IF(AND($H23&lt;&gt;"",$AM23&lt;&gt;"",$H23&lt;&gt;$AM23,IFERROR(VLOOKUP($H23,areaCercaPuntiClassificaSquadra,3,FALSE),-1)=IFERROR(VLOOKUP($AM23,areaCercaPuntiClassificaSquadra,3,FALSE),-2)),SUMIFS(Dati!$F$2:$F$761,Dati!$A$2:$A$761,$H23,Dati!$H$2:$H$761,$AM23)+SUMIFS(Dati!$M$2:$M$761,Dati!$H$2:$H$761,$H23,Dati!$A$2:$A$761,$AM23),"-")</f>
        <v/>
      </c>
      <c r="DX23" s="22">
        <f>IF(AND($H23&lt;&gt;"",$AN23&lt;&gt;"",$H23&lt;&gt;$AN23,IFERROR(VLOOKUP($H23,areaCercaPuntiClassificaSquadra,3,FALSE),-1)=IFERROR(VLOOKUP($AN23,areaCercaPuntiClassificaSquadra,3,FALSE),-2)),SUMIFS(Dati!$F$2:$F$761,Dati!$A$2:$A$761,$H23,Dati!$H$2:$H$761,$AN23)+SUMIFS(Dati!$M$2:$M$761,Dati!$H$2:$H$761,$H23,Dati!$A$2:$A$761,$AN23),"-")</f>
        <v/>
      </c>
      <c r="DY23" s="22">
        <f>IF(AND($H23&lt;&gt;"",$AO23&lt;&gt;"",$H23&lt;&gt;$AO23,IFERROR(VLOOKUP($H23,areaCercaPuntiClassificaSquadra,3,FALSE),-1)=IFERROR(VLOOKUP($AO23,areaCercaPuntiClassificaSquadra,3,FALSE),-2)),SUMIFS(Dati!$F$2:$F$761,Dati!$A$2:$A$761,$H23,Dati!$H$2:$H$761,$AO23)+SUMIFS(Dati!$M$2:$M$761,Dati!$H$2:$H$761,$H23,Dati!$A$2:$A$761,$AO23),"-")</f>
        <v/>
      </c>
      <c r="DZ23" s="22">
        <f>IF(AND($H23&lt;&gt;"",$AP23&lt;&gt;"",$H23&lt;&gt;$AP23,IFERROR(VLOOKUP($H23,areaCercaPuntiClassificaSquadra,3,FALSE),-1)=IFERROR(VLOOKUP($AP23,areaCercaPuntiClassificaSquadra,3,FALSE),-2)),SUMIFS(Dati!$F$2:$F$761,Dati!$A$2:$A$761,$H23,Dati!$H$2:$H$761,$AP23)+SUMIFS(Dati!$M$2:$M$761,Dati!$H$2:$H$761,$H23,Dati!$A$2:$A$761,$AP23),"-")</f>
        <v/>
      </c>
      <c r="EA23" s="22">
        <f>IF(AND($H23&lt;&gt;"",$AQ23&lt;&gt;"",$H23&lt;&gt;$AQ23,IFERROR(VLOOKUP($H23,areaCercaPuntiClassificaSquadra,3,FALSE),-1)=IFERROR(VLOOKUP($AQ23,areaCercaPuntiClassificaSquadra,3,FALSE),-2)),SUMIFS(Dati!$F$2:$F$761,Dati!$A$2:$A$761,$H23,Dati!$H$2:$H$761,$AQ23)+SUMIFS(Dati!$M$2:$M$761,Dati!$H$2:$H$761,$H23,Dati!$A$2:$A$761,$AQ23),"-")</f>
        <v/>
      </c>
      <c r="EB23" s="22">
        <f>IF(AND($H23&lt;&gt;"",$AR23&lt;&gt;"",$H23&lt;&gt;$AR23,IFERROR(VLOOKUP($H23,areaCercaPuntiClassificaSquadra,3,FALSE),-1)=IFERROR(VLOOKUP($AR23,areaCercaPuntiClassificaSquadra,3,FALSE),-2)),SUMIFS(Dati!$F$2:$F$761,Dati!$A$2:$A$761,$H23,Dati!$H$2:$H$761,$AR23)+SUMIFS(Dati!$M$2:$M$761,Dati!$H$2:$H$761,$H23,Dati!$A$2:$A$761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inlineStr">
        <is>
          <t>Narvali Nobili-Narvaliopoli NA</t>
        </is>
      </c>
      <c r="D24" s="14" t="n"/>
      <c r="E24" s="15" t="inlineStr">
        <is>
          <t>A</t>
        </is>
      </c>
      <c r="G24" s="16">
        <f>IF($C24="","",$E24&amp;(COUNTIFS(I$14:I$93,"&gt;"&amp;I24,E$14:E$93,"="&amp;E24,C$14:C$93,"&lt;&gt;")+COUNTIFS(I$14:I$93,"="&amp;I24,H$14:H$93,"&lt;="&amp;H24,E$14:E$93,"="&amp;E24,C$14:C$93,"&lt;&gt;")))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L24*constPuntiVittoria+M24*constPuntiSconfitta+N24*constPuntiForfait+IF(D24="",0,D24)</f>
        <v/>
      </c>
      <c r="K24" s="12">
        <f>SUM(L24:N24)</f>
        <v/>
      </c>
      <c r="L24" s="12">
        <f>IF($H24="",0,SUMIF(Dati!$A$2:$A$761,$H24,Dati!$B$2:$B$761)+SUMIF(Dati!$H$2:$H$761,$H24,Dati!$I$2:$I$761))</f>
        <v/>
      </c>
      <c r="M24" s="12">
        <f>IF($H24="",0,SUMIF(Dati!$A$2:$A$761,$H24,Dati!$D$2:$D$761)+SUMIF(Dati!$H$2:$H$761,$H24,Dati!$K$2:$K$761))</f>
        <v/>
      </c>
      <c r="N24" s="12">
        <f>IF($H24="",0,SUMIF(Dati!$A$2:$A$761,$H24,Dati!$C$2:$C$761)+SUMIF(Dati!$H$2:$H$761,$H24,Dati!$J$2:$J$761))</f>
        <v/>
      </c>
      <c r="O24" s="12">
        <f>IF($H24="",0,SUMIF(Dati!$A$2:$A$761,$H24,Dati!$E$2:$E$761)+SUMIF(Dati!$H$2:$H$761,$H24,Dati!$L$2:$L$761))</f>
        <v/>
      </c>
      <c r="P24" s="12">
        <f>IF($H24="",0,SUMIF(Dati!$A$2:$A$761,$H24,Dati!$F$2:$F$761)+SUMIF(Dati!$H$2:$H$761,$H24,Dati!$M$2:$M$761))</f>
        <v/>
      </c>
      <c r="Q24" s="12">
        <f>IF($H24="",0,SUMIF(Dati!$A$2:$A$761,$H24,Dati!$G$2:$G$761)+SUMIF(Dati!$H$2:$H$761,$H24,Dati!$N$2:$N$761))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IF(COUNTIFS($E$14:$E$93,$E24,$J$14:$J$93,$J24,$C$14:$C$93,"&lt;&gt;")&lt;=1,"-",SUM(AU24:BN24)&amp;"-"&amp;SUM(BQ24:CJ24))</f>
        <v/>
      </c>
      <c r="V24" s="18">
        <f>IF(COUNTIFS($E$14:$E$93,$E24,$J$14:$J$93,$J24,$C$14:$C$93,"&lt;&gt;",$ED$14:$ED$93,$ED24)&lt;=1,"-",IF(SUM(DI24:EB24)=0,0,ROUND(SUM(CM24:DF24)/SUM(DI24:EB24),3)))</f>
        <v/>
      </c>
      <c r="W24" s="18">
        <f>IF(COUNTIFS($E$14:$E$93,$E24,$J$14:$J$93,$J24,$C$14:$C$93,"&lt;&gt;",$ED$14:$ED$93,$ED24,$V$14:$V$93,$V24)&lt;=1,"-",IF(P24=0,0,ROUND(O24/P24,3)))</f>
        <v/>
      </c>
      <c r="X24" s="19">
        <f>IF($C24="","",$E24&amp;"#"&amp;COUNTIFS($E$14:$E24,$E24,$C$14:$C24,"&lt;&gt;"))</f>
        <v/>
      </c>
      <c r="Y24" s="20">
        <f>IFERROR(INDEX($H$14:$H$93,MATCH($E24&amp;"#1",$X$14:$X$93,0)),"")</f>
        <v/>
      </c>
      <c r="Z24" s="20">
        <f>IFERROR(INDEX($H$14:$H$93,MATCH($E24&amp;"#2",$X$14:$X$93,0)),"")</f>
        <v/>
      </c>
      <c r="AA24" s="20">
        <f>IFERROR(INDEX($H$14:$H$93,MATCH($E24&amp;"#3",$X$14:$X$93,0)),"")</f>
        <v/>
      </c>
      <c r="AB24" s="20">
        <f>IFERROR(INDEX($H$14:$H$93,MATCH($E24&amp;"#4",$X$14:$X$93,0)),"")</f>
        <v/>
      </c>
      <c r="AC24" s="20">
        <f>IFERROR(INDEX($H$14:$H$93,MATCH($E24&amp;"#5",$X$14:$X$93,0)),"")</f>
        <v/>
      </c>
      <c r="AD24" s="20">
        <f>IFERROR(INDEX($H$14:$H$93,MATCH($E24&amp;"#6",$X$14:$X$93,0)),"")</f>
        <v/>
      </c>
      <c r="AE24" s="20">
        <f>IFERROR(INDEX($H$14:$H$93,MATCH($E24&amp;"#7",$X$14:$X$93,0)),"")</f>
        <v/>
      </c>
      <c r="AF24" s="20">
        <f>IFERROR(INDEX($H$14:$H$93,MATCH($E24&amp;"#8",$X$14:$X$93,0)),"")</f>
        <v/>
      </c>
      <c r="AG24" s="20">
        <f>IFERROR(INDEX($H$14:$H$93,MATCH($E24&amp;"#9",$X$14:$X$93,0)),"")</f>
        <v/>
      </c>
      <c r="AH24" s="20">
        <f>IFERROR(INDEX($H$14:$H$93,MATCH($E24&amp;"#10",$X$14:$X$93,0)),"")</f>
        <v/>
      </c>
      <c r="AI24" s="20">
        <f>IFERROR(INDEX($H$14:$H$93,MATCH($E24&amp;"#11",$X$14:$X$93,0)),"")</f>
        <v/>
      </c>
      <c r="AJ24" s="20">
        <f>IFERROR(INDEX($H$14:$H$93,MATCH($E24&amp;"#12",$X$14:$X$93,0)),"")</f>
        <v/>
      </c>
      <c r="AK24" s="20">
        <f>IFERROR(INDEX($H$14:$H$93,MATCH($E24&amp;"#13",$X$14:$X$93,0)),"")</f>
        <v/>
      </c>
      <c r="AL24" s="20">
        <f>IFERROR(INDEX($H$14:$H$93,MATCH($E24&amp;"#14",$X$14:$X$93,0)),"")</f>
        <v/>
      </c>
      <c r="AM24" s="20">
        <f>IFERROR(INDEX($H$14:$H$93,MATCH($E24&amp;"#15",$X$14:$X$93,0)),"")</f>
        <v/>
      </c>
      <c r="AN24" s="20">
        <f>IFERROR(INDEX($H$14:$H$93,MATCH($E24&amp;"#16",$X$14:$X$93,0)),"")</f>
        <v/>
      </c>
      <c r="AO24" s="20">
        <f>IFERROR(INDEX($H$14:$H$93,MATCH($E24&amp;"#17",$X$14:$X$93,0)),"")</f>
        <v/>
      </c>
      <c r="AP24" s="20">
        <f>IFERROR(INDEX($H$14:$H$93,MATCH($E24&amp;"#18",$X$14:$X$93,0)),"")</f>
        <v/>
      </c>
      <c r="AQ24" s="20">
        <f>IFERROR(INDEX($H$14:$H$93,MATCH($E24&amp;"#19",$X$14:$X$93,0)),"")</f>
        <v/>
      </c>
      <c r="AR24" s="20">
        <f>IFERROR(INDEX($H$14:$H$93,MATCH($E24&amp;"#20",$X$14:$X$93,0)),"")</f>
        <v/>
      </c>
      <c r="AT24" s="21">
        <f>$C24</f>
        <v/>
      </c>
      <c r="AU24" s="22">
        <f>IF(AND($H24&lt;&gt;"",$Y24&lt;&gt;"",$H24&lt;&gt;$Y24,IFERROR(VLOOKUP($H24,areaCercaPuntiClassificaSquadra,3,FALSE),-1)=IFERROR(VLOOKUP($Y24,areaCercaPuntiClassificaSquadra,3,FALSE),-2)),SUMIFS(Dati!$B$2:$B$761,Dati!$A$2:$A$761,$H24,Dati!$H$2:$H$761,$Y24)+SUMIFS(Dati!$I$2:$I$761,Dati!$H$2:$H$761,$H24,Dati!$A$2:$A$761,$Y24),"-")</f>
        <v/>
      </c>
      <c r="AV24" s="22">
        <f>IF(AND($H24&lt;&gt;"",$Z24&lt;&gt;"",$H24&lt;&gt;$Z24,IFERROR(VLOOKUP($H24,areaCercaPuntiClassificaSquadra,3,FALSE),-1)=IFERROR(VLOOKUP($Z24,areaCercaPuntiClassificaSquadra,3,FALSE),-2)),SUMIFS(Dati!$B$2:$B$761,Dati!$A$2:$A$761,$H24,Dati!$H$2:$H$761,$Z24)+SUMIFS(Dati!$I$2:$I$761,Dati!$H$2:$H$761,$H24,Dati!$A$2:$A$761,$Z24),"-")</f>
        <v/>
      </c>
      <c r="AW24" s="22">
        <f>IF(AND($H24&lt;&gt;"",$AA24&lt;&gt;"",$H24&lt;&gt;$AA24,IFERROR(VLOOKUP($H24,areaCercaPuntiClassificaSquadra,3,FALSE),-1)=IFERROR(VLOOKUP($AA24,areaCercaPuntiClassificaSquadra,3,FALSE),-2)),SUMIFS(Dati!$B$2:$B$761,Dati!$A$2:$A$761,$H24,Dati!$H$2:$H$761,$AA24)+SUMIFS(Dati!$I$2:$I$761,Dati!$H$2:$H$761,$H24,Dati!$A$2:$A$761,$AA24),"-")</f>
        <v/>
      </c>
      <c r="AX24" s="22">
        <f>IF(AND($H24&lt;&gt;"",$AB24&lt;&gt;"",$H24&lt;&gt;$AB24,IFERROR(VLOOKUP($H24,areaCercaPuntiClassificaSquadra,3,FALSE),-1)=IFERROR(VLOOKUP($AB24,areaCercaPuntiClassificaSquadra,3,FALSE),-2)),SUMIFS(Dati!$B$2:$B$761,Dati!$A$2:$A$761,$H24,Dati!$H$2:$H$761,$AB24)+SUMIFS(Dati!$I$2:$I$761,Dati!$H$2:$H$761,$H24,Dati!$A$2:$A$761,$AB24),"-")</f>
        <v/>
      </c>
      <c r="AY24" s="22">
        <f>IF(AND($H24&lt;&gt;"",$AC24&lt;&gt;"",$H24&lt;&gt;$AC24,IFERROR(VLOOKUP($H24,areaCercaPuntiClassificaSquadra,3,FALSE),-1)=IFERROR(VLOOKUP($AC24,areaCercaPuntiClassificaSquadra,3,FALSE),-2)),SUMIFS(Dati!$B$2:$B$761,Dati!$A$2:$A$761,$H24,Dati!$H$2:$H$761,$AC24)+SUMIFS(Dati!$I$2:$I$761,Dati!$H$2:$H$761,$H24,Dati!$A$2:$A$761,$AC24),"-")</f>
        <v/>
      </c>
      <c r="AZ24" s="22">
        <f>IF(AND($H24&lt;&gt;"",$AD24&lt;&gt;"",$H24&lt;&gt;$AD24,IFERROR(VLOOKUP($H24,areaCercaPuntiClassificaSquadra,3,FALSE),-1)=IFERROR(VLOOKUP($AD24,areaCercaPuntiClassificaSquadra,3,FALSE),-2)),SUMIFS(Dati!$B$2:$B$761,Dati!$A$2:$A$761,$H24,Dati!$H$2:$H$761,$AD24)+SUMIFS(Dati!$I$2:$I$761,Dati!$H$2:$H$761,$H24,Dati!$A$2:$A$761,$AD24),"-")</f>
        <v/>
      </c>
      <c r="BA24" s="22">
        <f>IF(AND($H24&lt;&gt;"",$AE24&lt;&gt;"",$H24&lt;&gt;$AE24,IFERROR(VLOOKUP($H24,areaCercaPuntiClassificaSquadra,3,FALSE),-1)=IFERROR(VLOOKUP($AE24,areaCercaPuntiClassificaSquadra,3,FALSE),-2)),SUMIFS(Dati!$B$2:$B$761,Dati!$A$2:$A$761,$H24,Dati!$H$2:$H$761,$AE24)+SUMIFS(Dati!$I$2:$I$761,Dati!$H$2:$H$761,$H24,Dati!$A$2:$A$761,$AE24),"-")</f>
        <v/>
      </c>
      <c r="BB24" s="22">
        <f>IF(AND($H24&lt;&gt;"",$AF24&lt;&gt;"",$H24&lt;&gt;$AF24,IFERROR(VLOOKUP($H24,areaCercaPuntiClassificaSquadra,3,FALSE),-1)=IFERROR(VLOOKUP($AF24,areaCercaPuntiClassificaSquadra,3,FALSE),-2)),SUMIFS(Dati!$B$2:$B$761,Dati!$A$2:$A$761,$H24,Dati!$H$2:$H$761,$AF24)+SUMIFS(Dati!$I$2:$I$761,Dati!$H$2:$H$761,$H24,Dati!$A$2:$A$761,$AF24),"-")</f>
        <v/>
      </c>
      <c r="BC24" s="22">
        <f>IF(AND($H24&lt;&gt;"",$AG24&lt;&gt;"",$H24&lt;&gt;$AG24,IFERROR(VLOOKUP($H24,areaCercaPuntiClassificaSquadra,3,FALSE),-1)=IFERROR(VLOOKUP($AG24,areaCercaPuntiClassificaSquadra,3,FALSE),-2)),SUMIFS(Dati!$B$2:$B$761,Dati!$A$2:$A$761,$H24,Dati!$H$2:$H$761,$AG24)+SUMIFS(Dati!$I$2:$I$761,Dati!$H$2:$H$761,$H24,Dati!$A$2:$A$761,$AG24),"-")</f>
        <v/>
      </c>
      <c r="BD24" s="22">
        <f>IF(AND($H24&lt;&gt;"",$AH24&lt;&gt;"",$H24&lt;&gt;$AH24,IFERROR(VLOOKUP($H24,areaCercaPuntiClassificaSquadra,3,FALSE),-1)=IFERROR(VLOOKUP($AH24,areaCercaPuntiClassificaSquadra,3,FALSE),-2)),SUMIFS(Dati!$B$2:$B$761,Dati!$A$2:$A$761,$H24,Dati!$H$2:$H$761,$AH24)+SUMIFS(Dati!$I$2:$I$761,Dati!$H$2:$H$761,$H24,Dati!$A$2:$A$761,$AH24),"-")</f>
        <v/>
      </c>
      <c r="BE24" s="22">
        <f>IF(AND($H24&lt;&gt;"",$AI24&lt;&gt;"",$H24&lt;&gt;$AI24,IFERROR(VLOOKUP($H24,areaCercaPuntiClassificaSquadra,3,FALSE),-1)=IFERROR(VLOOKUP($AI24,areaCercaPuntiClassificaSquadra,3,FALSE),-2)),SUMIFS(Dati!$B$2:$B$761,Dati!$A$2:$A$761,$H24,Dati!$H$2:$H$761,$AI24)+SUMIFS(Dati!$I$2:$I$761,Dati!$H$2:$H$761,$H24,Dati!$A$2:$A$761,$AI24),"-")</f>
        <v/>
      </c>
      <c r="BF24" s="22">
        <f>IF(AND($H24&lt;&gt;"",$AJ24&lt;&gt;"",$H24&lt;&gt;$AJ24,IFERROR(VLOOKUP($H24,areaCercaPuntiClassificaSquadra,3,FALSE),-1)=IFERROR(VLOOKUP($AJ24,areaCercaPuntiClassificaSquadra,3,FALSE),-2)),SUMIFS(Dati!$B$2:$B$761,Dati!$A$2:$A$761,$H24,Dati!$H$2:$H$761,$AJ24)+SUMIFS(Dati!$I$2:$I$761,Dati!$H$2:$H$761,$H24,Dati!$A$2:$A$761,$AJ24),"-")</f>
        <v/>
      </c>
      <c r="BG24" s="22">
        <f>IF(AND($H24&lt;&gt;"",$AK24&lt;&gt;"",$H24&lt;&gt;$AK24,IFERROR(VLOOKUP($H24,areaCercaPuntiClassificaSquadra,3,FALSE),-1)=IFERROR(VLOOKUP($AK24,areaCercaPuntiClassificaSquadra,3,FALSE),-2)),SUMIFS(Dati!$B$2:$B$761,Dati!$A$2:$A$761,$H24,Dati!$H$2:$H$761,$AK24)+SUMIFS(Dati!$I$2:$I$761,Dati!$H$2:$H$761,$H24,Dati!$A$2:$A$761,$AK24),"-")</f>
        <v/>
      </c>
      <c r="BH24" s="22">
        <f>IF(AND($H24&lt;&gt;"",$AL24&lt;&gt;"",$H24&lt;&gt;$AL24,IFERROR(VLOOKUP($H24,areaCercaPuntiClassificaSquadra,3,FALSE),-1)=IFERROR(VLOOKUP($AL24,areaCercaPuntiClassificaSquadra,3,FALSE),-2)),SUMIFS(Dati!$B$2:$B$761,Dati!$A$2:$A$761,$H24,Dati!$H$2:$H$761,$AL24)+SUMIFS(Dati!$I$2:$I$761,Dati!$H$2:$H$761,$H24,Dati!$A$2:$A$761,$AL24),"-")</f>
        <v/>
      </c>
      <c r="BI24" s="22">
        <f>IF(AND($H24&lt;&gt;"",$AM24&lt;&gt;"",$H24&lt;&gt;$AM24,IFERROR(VLOOKUP($H24,areaCercaPuntiClassificaSquadra,3,FALSE),-1)=IFERROR(VLOOKUP($AM24,areaCercaPuntiClassificaSquadra,3,FALSE),-2)),SUMIFS(Dati!$B$2:$B$761,Dati!$A$2:$A$761,$H24,Dati!$H$2:$H$761,$AM24)+SUMIFS(Dati!$I$2:$I$761,Dati!$H$2:$H$761,$H24,Dati!$A$2:$A$761,$AM24),"-")</f>
        <v/>
      </c>
      <c r="BJ24" s="22">
        <f>IF(AND($H24&lt;&gt;"",$AN24&lt;&gt;"",$H24&lt;&gt;$AN24,IFERROR(VLOOKUP($H24,areaCercaPuntiClassificaSquadra,3,FALSE),-1)=IFERROR(VLOOKUP($AN24,areaCercaPuntiClassificaSquadra,3,FALSE),-2)),SUMIFS(Dati!$B$2:$B$761,Dati!$A$2:$A$761,$H24,Dati!$H$2:$H$761,$AN24)+SUMIFS(Dati!$I$2:$I$761,Dati!$H$2:$H$761,$H24,Dati!$A$2:$A$761,$AN24),"-")</f>
        <v/>
      </c>
      <c r="BK24" s="22">
        <f>IF(AND($H24&lt;&gt;"",$AO24&lt;&gt;"",$H24&lt;&gt;$AO24,IFERROR(VLOOKUP($H24,areaCercaPuntiClassificaSquadra,3,FALSE),-1)=IFERROR(VLOOKUP($AO24,areaCercaPuntiClassificaSquadra,3,FALSE),-2)),SUMIFS(Dati!$B$2:$B$761,Dati!$A$2:$A$761,$H24,Dati!$H$2:$H$761,$AO24)+SUMIFS(Dati!$I$2:$I$761,Dati!$H$2:$H$761,$H24,Dati!$A$2:$A$761,$AO24),"-")</f>
        <v/>
      </c>
      <c r="BL24" s="22">
        <f>IF(AND($H24&lt;&gt;"",$AP24&lt;&gt;"",$H24&lt;&gt;$AP24,IFERROR(VLOOKUP($H24,areaCercaPuntiClassificaSquadra,3,FALSE),-1)=IFERROR(VLOOKUP($AP24,areaCercaPuntiClassificaSquadra,3,FALSE),-2)),SUMIFS(Dati!$B$2:$B$761,Dati!$A$2:$A$761,$H24,Dati!$H$2:$H$761,$AP24)+SUMIFS(Dati!$I$2:$I$761,Dati!$H$2:$H$761,$H24,Dati!$A$2:$A$761,$AP24),"-")</f>
        <v/>
      </c>
      <c r="BM24" s="22">
        <f>IF(AND($H24&lt;&gt;"",$AQ24&lt;&gt;"",$H24&lt;&gt;$AQ24,IFERROR(VLOOKUP($H24,areaCercaPuntiClassificaSquadra,3,FALSE),-1)=IFERROR(VLOOKUP($AQ24,areaCercaPuntiClassificaSquadra,3,FALSE),-2)),SUMIFS(Dati!$B$2:$B$761,Dati!$A$2:$A$761,$H24,Dati!$H$2:$H$761,$AQ24)+SUMIFS(Dati!$I$2:$I$761,Dati!$H$2:$H$761,$H24,Dati!$A$2:$A$761,$AQ24),"-")</f>
        <v/>
      </c>
      <c r="BN24" s="22">
        <f>IF(AND($H24&lt;&gt;"",$AR24&lt;&gt;"",$H24&lt;&gt;$AR24,IFERROR(VLOOKUP($H24,areaCercaPuntiClassificaSquadra,3,FALSE),-1)=IFERROR(VLOOKUP($AR24,areaCercaPuntiClassificaSquadra,3,FALSE),-2)),SUMIFS(Dati!$B$2:$B$761,Dati!$A$2:$A$761,$H24,Dati!$H$2:$H$761,$AR24)+SUMIFS(Dati!$I$2:$I$761,Dati!$H$2:$H$761,$H24,Dati!$A$2:$A$761,$AR24),"-")</f>
        <v/>
      </c>
      <c r="BP24" s="21">
        <f>$C24</f>
        <v/>
      </c>
      <c r="BQ24" s="22">
        <f>IF(AND($H24&lt;&gt;"",$Y24&lt;&gt;"",$H24&lt;&gt;$Y24,IFERROR(VLOOKUP($H24,areaCercaPuntiClassificaSquadra,3,FALSE),-1)=IFERROR(VLOOKUP($Y24,areaCercaPuntiClassificaSquadra,3,FALSE),-2)),SUMIFS(Dati!$D$2:$D$761,Dati!$A$2:$A$761,$H24,Dati!$H$2:$H$761,$Y24)+SUMIFS(Dati!$K$2:$K$761,Dati!$H$2:$H$761,$H24,Dati!$A$2:$A$761,$Y24)+SUMIFS(Dati!$C$2:$C$761,Dati!$A$2:$A$761,$H24,Dati!$H$2:$H$761,$Y24)+SUMIFS(Dati!$J$2:$J$761,Dati!$H$2:$H$761,$H24,Dati!$A$2:$A$761,$Y24),"-")</f>
        <v/>
      </c>
      <c r="BR24" s="22">
        <f>IF(AND($H24&lt;&gt;"",$Z24&lt;&gt;"",$H24&lt;&gt;$Z24,IFERROR(VLOOKUP($H24,areaCercaPuntiClassificaSquadra,3,FALSE),-1)=IFERROR(VLOOKUP($Z24,areaCercaPuntiClassificaSquadra,3,FALSE),-2)),SUMIFS(Dati!$D$2:$D$761,Dati!$A$2:$A$761,$H24,Dati!$H$2:$H$761,$Z24)+SUMIFS(Dati!$K$2:$K$761,Dati!$H$2:$H$761,$H24,Dati!$A$2:$A$761,$Z24)+SUMIFS(Dati!$C$2:$C$761,Dati!$A$2:$A$761,$H24,Dati!$H$2:$H$761,$Z24)+SUMIFS(Dati!$J$2:$J$761,Dati!$H$2:$H$761,$H24,Dati!$A$2:$A$761,$Z24),"-")</f>
        <v/>
      </c>
      <c r="BS24" s="22">
        <f>IF(AND($H24&lt;&gt;"",$AA24&lt;&gt;"",$H24&lt;&gt;$AA24,IFERROR(VLOOKUP($H24,areaCercaPuntiClassificaSquadra,3,FALSE),-1)=IFERROR(VLOOKUP($AA24,areaCercaPuntiClassificaSquadra,3,FALSE),-2)),SUMIFS(Dati!$D$2:$D$761,Dati!$A$2:$A$761,$H24,Dati!$H$2:$H$761,$AA24)+SUMIFS(Dati!$K$2:$K$761,Dati!$H$2:$H$761,$H24,Dati!$A$2:$A$761,$AA24)+SUMIFS(Dati!$C$2:$C$761,Dati!$A$2:$A$761,$H24,Dati!$H$2:$H$761,$AA24)+SUMIFS(Dati!$J$2:$J$761,Dati!$H$2:$H$761,$H24,Dati!$A$2:$A$761,$AA24),"-")</f>
        <v/>
      </c>
      <c r="BT24" s="22">
        <f>IF(AND($H24&lt;&gt;"",$AB24&lt;&gt;"",$H24&lt;&gt;$AB24,IFERROR(VLOOKUP($H24,areaCercaPuntiClassificaSquadra,3,FALSE),-1)=IFERROR(VLOOKUP($AB24,areaCercaPuntiClassificaSquadra,3,FALSE),-2)),SUMIFS(Dati!$D$2:$D$761,Dati!$A$2:$A$761,$H24,Dati!$H$2:$H$761,$AB24)+SUMIFS(Dati!$K$2:$K$761,Dati!$H$2:$H$761,$H24,Dati!$A$2:$A$761,$AB24)+SUMIFS(Dati!$C$2:$C$761,Dati!$A$2:$A$761,$H24,Dati!$H$2:$H$761,$AB24)+SUMIFS(Dati!$J$2:$J$761,Dati!$H$2:$H$761,$H24,Dati!$A$2:$A$761,$AB24),"-")</f>
        <v/>
      </c>
      <c r="BU24" s="22">
        <f>IF(AND($H24&lt;&gt;"",$AC24&lt;&gt;"",$H24&lt;&gt;$AC24,IFERROR(VLOOKUP($H24,areaCercaPuntiClassificaSquadra,3,FALSE),-1)=IFERROR(VLOOKUP($AC24,areaCercaPuntiClassificaSquadra,3,FALSE),-2)),SUMIFS(Dati!$D$2:$D$761,Dati!$A$2:$A$761,$H24,Dati!$H$2:$H$761,$AC24)+SUMIFS(Dati!$K$2:$K$761,Dati!$H$2:$H$761,$H24,Dati!$A$2:$A$761,$AC24)+SUMIFS(Dati!$C$2:$C$761,Dati!$A$2:$A$761,$H24,Dati!$H$2:$H$761,$AC24)+SUMIFS(Dati!$J$2:$J$761,Dati!$H$2:$H$761,$H24,Dati!$A$2:$A$761,$AC24),"-")</f>
        <v/>
      </c>
      <c r="BV24" s="22">
        <f>IF(AND($H24&lt;&gt;"",$AD24&lt;&gt;"",$H24&lt;&gt;$AD24,IFERROR(VLOOKUP($H24,areaCercaPuntiClassificaSquadra,3,FALSE),-1)=IFERROR(VLOOKUP($AD24,areaCercaPuntiClassificaSquadra,3,FALSE),-2)),SUMIFS(Dati!$D$2:$D$761,Dati!$A$2:$A$761,$H24,Dati!$H$2:$H$761,$AD24)+SUMIFS(Dati!$K$2:$K$761,Dati!$H$2:$H$761,$H24,Dati!$A$2:$A$761,$AD24)+SUMIFS(Dati!$C$2:$C$761,Dati!$A$2:$A$761,$H24,Dati!$H$2:$H$761,$AD24)+SUMIFS(Dati!$J$2:$J$761,Dati!$H$2:$H$761,$H24,Dati!$A$2:$A$761,$AD24),"-")</f>
        <v/>
      </c>
      <c r="BW24" s="22">
        <f>IF(AND($H24&lt;&gt;"",$AE24&lt;&gt;"",$H24&lt;&gt;$AE24,IFERROR(VLOOKUP($H24,areaCercaPuntiClassificaSquadra,3,FALSE),-1)=IFERROR(VLOOKUP($AE24,areaCercaPuntiClassificaSquadra,3,FALSE),-2)),SUMIFS(Dati!$D$2:$D$761,Dati!$A$2:$A$761,$H24,Dati!$H$2:$H$761,$AE24)+SUMIFS(Dati!$K$2:$K$761,Dati!$H$2:$H$761,$H24,Dati!$A$2:$A$761,$AE24)+SUMIFS(Dati!$C$2:$C$761,Dati!$A$2:$A$761,$H24,Dati!$H$2:$H$761,$AE24)+SUMIFS(Dati!$J$2:$J$761,Dati!$H$2:$H$761,$H24,Dati!$A$2:$A$761,$AE24),"-")</f>
        <v/>
      </c>
      <c r="BX24" s="22">
        <f>IF(AND($H24&lt;&gt;"",$AF24&lt;&gt;"",$H24&lt;&gt;$AF24,IFERROR(VLOOKUP($H24,areaCercaPuntiClassificaSquadra,3,FALSE),-1)=IFERROR(VLOOKUP($AF24,areaCercaPuntiClassificaSquadra,3,FALSE),-2)),SUMIFS(Dati!$D$2:$D$761,Dati!$A$2:$A$761,$H24,Dati!$H$2:$H$761,$AF24)+SUMIFS(Dati!$K$2:$K$761,Dati!$H$2:$H$761,$H24,Dati!$A$2:$A$761,$AF24)+SUMIFS(Dati!$C$2:$C$761,Dati!$A$2:$A$761,$H24,Dati!$H$2:$H$761,$AF24)+SUMIFS(Dati!$J$2:$J$761,Dati!$H$2:$H$761,$H24,Dati!$A$2:$A$761,$AF24),"-")</f>
        <v/>
      </c>
      <c r="BY24" s="22">
        <f>IF(AND($H24&lt;&gt;"",$AG24&lt;&gt;"",$H24&lt;&gt;$AG24,IFERROR(VLOOKUP($H24,areaCercaPuntiClassificaSquadra,3,FALSE),-1)=IFERROR(VLOOKUP($AG24,areaCercaPuntiClassificaSquadra,3,FALSE),-2)),SUMIFS(Dati!$D$2:$D$761,Dati!$A$2:$A$761,$H24,Dati!$H$2:$H$761,$AG24)+SUMIFS(Dati!$K$2:$K$761,Dati!$H$2:$H$761,$H24,Dati!$A$2:$A$761,$AG24)+SUMIFS(Dati!$C$2:$C$761,Dati!$A$2:$A$761,$H24,Dati!$H$2:$H$761,$AG24)+SUMIFS(Dati!$J$2:$J$761,Dati!$H$2:$H$761,$H24,Dati!$A$2:$A$761,$AG24),"-")</f>
        <v/>
      </c>
      <c r="BZ24" s="22">
        <f>IF(AND($H24&lt;&gt;"",$AH24&lt;&gt;"",$H24&lt;&gt;$AH24,IFERROR(VLOOKUP($H24,areaCercaPuntiClassificaSquadra,3,FALSE),-1)=IFERROR(VLOOKUP($AH24,areaCercaPuntiClassificaSquadra,3,FALSE),-2)),SUMIFS(Dati!$D$2:$D$761,Dati!$A$2:$A$761,$H24,Dati!$H$2:$H$761,$AH24)+SUMIFS(Dati!$K$2:$K$761,Dati!$H$2:$H$761,$H24,Dati!$A$2:$A$761,$AH24)+SUMIFS(Dati!$C$2:$C$761,Dati!$A$2:$A$761,$H24,Dati!$H$2:$H$761,$AH24)+SUMIFS(Dati!$J$2:$J$761,Dati!$H$2:$H$761,$H24,Dati!$A$2:$A$761,$AH24),"-")</f>
        <v/>
      </c>
      <c r="CA24" s="22">
        <f>IF(AND($H24&lt;&gt;"",$AI24&lt;&gt;"",$H24&lt;&gt;$AI24,IFERROR(VLOOKUP($H24,areaCercaPuntiClassificaSquadra,3,FALSE),-1)=IFERROR(VLOOKUP($AI24,areaCercaPuntiClassificaSquadra,3,FALSE),-2)),SUMIFS(Dati!$D$2:$D$761,Dati!$A$2:$A$761,$H24,Dati!$H$2:$H$761,$AI24)+SUMIFS(Dati!$K$2:$K$761,Dati!$H$2:$H$761,$H24,Dati!$A$2:$A$761,$AI24)+SUMIFS(Dati!$C$2:$C$761,Dati!$A$2:$A$761,$H24,Dati!$H$2:$H$761,$AI24)+SUMIFS(Dati!$J$2:$J$761,Dati!$H$2:$H$761,$H24,Dati!$A$2:$A$761,$AI24),"-")</f>
        <v/>
      </c>
      <c r="CB24" s="22">
        <f>IF(AND($H24&lt;&gt;"",$AJ24&lt;&gt;"",$H24&lt;&gt;$AJ24,IFERROR(VLOOKUP($H24,areaCercaPuntiClassificaSquadra,3,FALSE),-1)=IFERROR(VLOOKUP($AJ24,areaCercaPuntiClassificaSquadra,3,FALSE),-2)),SUMIFS(Dati!$D$2:$D$761,Dati!$A$2:$A$761,$H24,Dati!$H$2:$H$761,$AJ24)+SUMIFS(Dati!$K$2:$K$761,Dati!$H$2:$H$761,$H24,Dati!$A$2:$A$761,$AJ24)+SUMIFS(Dati!$C$2:$C$761,Dati!$A$2:$A$761,$H24,Dati!$H$2:$H$761,$AJ24)+SUMIFS(Dati!$J$2:$J$761,Dati!$H$2:$H$761,$H24,Dati!$A$2:$A$761,$AJ24),"-")</f>
        <v/>
      </c>
      <c r="CC24" s="22">
        <f>IF(AND($H24&lt;&gt;"",$AK24&lt;&gt;"",$H24&lt;&gt;$AK24,IFERROR(VLOOKUP($H24,areaCercaPuntiClassificaSquadra,3,FALSE),-1)=IFERROR(VLOOKUP($AK24,areaCercaPuntiClassificaSquadra,3,FALSE),-2)),SUMIFS(Dati!$D$2:$D$761,Dati!$A$2:$A$761,$H24,Dati!$H$2:$H$761,$AK24)+SUMIFS(Dati!$K$2:$K$761,Dati!$H$2:$H$761,$H24,Dati!$A$2:$A$761,$AK24)+SUMIFS(Dati!$C$2:$C$761,Dati!$A$2:$A$761,$H24,Dati!$H$2:$H$761,$AK24)+SUMIFS(Dati!$J$2:$J$761,Dati!$H$2:$H$761,$H24,Dati!$A$2:$A$761,$AK24),"-")</f>
        <v/>
      </c>
      <c r="CD24" s="22">
        <f>IF(AND($H24&lt;&gt;"",$AL24&lt;&gt;"",$H24&lt;&gt;$AL24,IFERROR(VLOOKUP($H24,areaCercaPuntiClassificaSquadra,3,FALSE),-1)=IFERROR(VLOOKUP($AL24,areaCercaPuntiClassificaSquadra,3,FALSE),-2)),SUMIFS(Dati!$D$2:$D$761,Dati!$A$2:$A$761,$H24,Dati!$H$2:$H$761,$AL24)+SUMIFS(Dati!$K$2:$K$761,Dati!$H$2:$H$761,$H24,Dati!$A$2:$A$761,$AL24)+SUMIFS(Dati!$C$2:$C$761,Dati!$A$2:$A$761,$H24,Dati!$H$2:$H$761,$AL24)+SUMIFS(Dati!$J$2:$J$761,Dati!$H$2:$H$761,$H24,Dati!$A$2:$A$761,$AL24),"-")</f>
        <v/>
      </c>
      <c r="CE24" s="22">
        <f>IF(AND($H24&lt;&gt;"",$AM24&lt;&gt;"",$H24&lt;&gt;$AM24,IFERROR(VLOOKUP($H24,areaCercaPuntiClassificaSquadra,3,FALSE),-1)=IFERROR(VLOOKUP($AM24,areaCercaPuntiClassificaSquadra,3,FALSE),-2)),SUMIFS(Dati!$D$2:$D$761,Dati!$A$2:$A$761,$H24,Dati!$H$2:$H$761,$AM24)+SUMIFS(Dati!$K$2:$K$761,Dati!$H$2:$H$761,$H24,Dati!$A$2:$A$761,$AM24)+SUMIFS(Dati!$C$2:$C$761,Dati!$A$2:$A$761,$H24,Dati!$H$2:$H$761,$AM24)+SUMIFS(Dati!$J$2:$J$761,Dati!$H$2:$H$761,$H24,Dati!$A$2:$A$761,$AM24),"-")</f>
        <v/>
      </c>
      <c r="CF24" s="22">
        <f>IF(AND($H24&lt;&gt;"",$AN24&lt;&gt;"",$H24&lt;&gt;$AN24,IFERROR(VLOOKUP($H24,areaCercaPuntiClassificaSquadra,3,FALSE),-1)=IFERROR(VLOOKUP($AN24,areaCercaPuntiClassificaSquadra,3,FALSE),-2)),SUMIFS(Dati!$D$2:$D$761,Dati!$A$2:$A$761,$H24,Dati!$H$2:$H$761,$AN24)+SUMIFS(Dati!$K$2:$K$761,Dati!$H$2:$H$761,$H24,Dati!$A$2:$A$761,$AN24)+SUMIFS(Dati!$C$2:$C$761,Dati!$A$2:$A$761,$H24,Dati!$H$2:$H$761,$AN24)+SUMIFS(Dati!$J$2:$J$761,Dati!$H$2:$H$761,$H24,Dati!$A$2:$A$761,$AN24),"-")</f>
        <v/>
      </c>
      <c r="CG24" s="22">
        <f>IF(AND($H24&lt;&gt;"",$AO24&lt;&gt;"",$H24&lt;&gt;$AO24,IFERROR(VLOOKUP($H24,areaCercaPuntiClassificaSquadra,3,FALSE),-1)=IFERROR(VLOOKUP($AO24,areaCercaPuntiClassificaSquadra,3,FALSE),-2)),SUMIFS(Dati!$D$2:$D$761,Dati!$A$2:$A$761,$H24,Dati!$H$2:$H$761,$AO24)+SUMIFS(Dati!$K$2:$K$761,Dati!$H$2:$H$761,$H24,Dati!$A$2:$A$761,$AO24)+SUMIFS(Dati!$C$2:$C$761,Dati!$A$2:$A$761,$H24,Dati!$H$2:$H$761,$AO24)+SUMIFS(Dati!$J$2:$J$761,Dati!$H$2:$H$761,$H24,Dati!$A$2:$A$761,$AO24),"-")</f>
        <v/>
      </c>
      <c r="CH24" s="22">
        <f>IF(AND($H24&lt;&gt;"",$AP24&lt;&gt;"",$H24&lt;&gt;$AP24,IFERROR(VLOOKUP($H24,areaCercaPuntiClassificaSquadra,3,FALSE),-1)=IFERROR(VLOOKUP($AP24,areaCercaPuntiClassificaSquadra,3,FALSE),-2)),SUMIFS(Dati!$D$2:$D$761,Dati!$A$2:$A$761,$H24,Dati!$H$2:$H$761,$AP24)+SUMIFS(Dati!$K$2:$K$761,Dati!$H$2:$H$761,$H24,Dati!$A$2:$A$761,$AP24)+SUMIFS(Dati!$C$2:$C$761,Dati!$A$2:$A$761,$H24,Dati!$H$2:$H$761,$AP24)+SUMIFS(Dati!$J$2:$J$761,Dati!$H$2:$H$761,$H24,Dati!$A$2:$A$761,$AP24),"-")</f>
        <v/>
      </c>
      <c r="CI24" s="22">
        <f>IF(AND($H24&lt;&gt;"",$AQ24&lt;&gt;"",$H24&lt;&gt;$AQ24,IFERROR(VLOOKUP($H24,areaCercaPuntiClassificaSquadra,3,FALSE),-1)=IFERROR(VLOOKUP($AQ24,areaCercaPuntiClassificaSquadra,3,FALSE),-2)),SUMIFS(Dati!$D$2:$D$761,Dati!$A$2:$A$761,$H24,Dati!$H$2:$H$761,$AQ24)+SUMIFS(Dati!$K$2:$K$761,Dati!$H$2:$H$761,$H24,Dati!$A$2:$A$761,$AQ24)+SUMIFS(Dati!$C$2:$C$761,Dati!$A$2:$A$761,$H24,Dati!$H$2:$H$761,$AQ24)+SUMIFS(Dati!$J$2:$J$761,Dati!$H$2:$H$761,$H24,Dati!$A$2:$A$761,$AQ24),"-")</f>
        <v/>
      </c>
      <c r="CJ24" s="22">
        <f>IF(AND($H24&lt;&gt;"",$AR24&lt;&gt;"",$H24&lt;&gt;$AR24,IFERROR(VLOOKUP($H24,areaCercaPuntiClassificaSquadra,3,FALSE),-1)=IFERROR(VLOOKUP($AR24,areaCercaPuntiClassificaSquadra,3,FALSE),-2)),SUMIFS(Dati!$D$2:$D$761,Dati!$A$2:$A$761,$H24,Dati!$H$2:$H$761,$AR24)+SUMIFS(Dati!$K$2:$K$761,Dati!$H$2:$H$761,$H24,Dati!$A$2:$A$761,$AR24)+SUMIFS(Dati!$C$2:$C$761,Dati!$A$2:$A$761,$H24,Dati!$H$2:$H$761,$AR24)+SUMIFS(Dati!$J$2:$J$761,Dati!$H$2:$H$761,$H24,Dati!$A$2:$A$761,$AR24),"-")</f>
        <v/>
      </c>
      <c r="CL24" s="21">
        <f>$C24</f>
        <v/>
      </c>
      <c r="CM24" s="22">
        <f>IF(AND($H24&lt;&gt;"",$Y24&lt;&gt;"",$H24&lt;&gt;$Y24,IFERROR(VLOOKUP($H24,areaCercaPuntiClassificaSquadra,3,FALSE),-1)=IFERROR(VLOOKUP($Y24,areaCercaPuntiClassificaSquadra,3,FALSE),-2)),SUMIFS(Dati!$E$2:$E$761,Dati!$A$2:$A$761,$H24,Dati!$H$2:$H$761,$Y24)+SUMIFS(Dati!$L$2:$L$761,Dati!$H$2:$H$761,$H24,Dati!$A$2:$A$761,$Y24),"-")</f>
        <v/>
      </c>
      <c r="CN24" s="22">
        <f>IF(AND($H24&lt;&gt;"",$Z24&lt;&gt;"",$H24&lt;&gt;$Z24,IFERROR(VLOOKUP($H24,areaCercaPuntiClassificaSquadra,3,FALSE),-1)=IFERROR(VLOOKUP($Z24,areaCercaPuntiClassificaSquadra,3,FALSE),-2)),SUMIFS(Dati!$E$2:$E$761,Dati!$A$2:$A$761,$H24,Dati!$H$2:$H$761,$Z24)+SUMIFS(Dati!$L$2:$L$761,Dati!$H$2:$H$761,$H24,Dati!$A$2:$A$761,$Z24),"-")</f>
        <v/>
      </c>
      <c r="CO24" s="22">
        <f>IF(AND($H24&lt;&gt;"",$AA24&lt;&gt;"",$H24&lt;&gt;$AA24,IFERROR(VLOOKUP($H24,areaCercaPuntiClassificaSquadra,3,FALSE),-1)=IFERROR(VLOOKUP($AA24,areaCercaPuntiClassificaSquadra,3,FALSE),-2)),SUMIFS(Dati!$E$2:$E$761,Dati!$A$2:$A$761,$H24,Dati!$H$2:$H$761,$AA24)+SUMIFS(Dati!$L$2:$L$761,Dati!$H$2:$H$761,$H24,Dati!$A$2:$A$761,$AA24),"-")</f>
        <v/>
      </c>
      <c r="CP24" s="22">
        <f>IF(AND($H24&lt;&gt;"",$AB24&lt;&gt;"",$H24&lt;&gt;$AB24,IFERROR(VLOOKUP($H24,areaCercaPuntiClassificaSquadra,3,FALSE),-1)=IFERROR(VLOOKUP($AB24,areaCercaPuntiClassificaSquadra,3,FALSE),-2)),SUMIFS(Dati!$E$2:$E$761,Dati!$A$2:$A$761,$H24,Dati!$H$2:$H$761,$AB24)+SUMIFS(Dati!$L$2:$L$761,Dati!$H$2:$H$761,$H24,Dati!$A$2:$A$761,$AB24),"-")</f>
        <v/>
      </c>
      <c r="CQ24" s="22">
        <f>IF(AND($H24&lt;&gt;"",$AC24&lt;&gt;"",$H24&lt;&gt;$AC24,IFERROR(VLOOKUP($H24,areaCercaPuntiClassificaSquadra,3,FALSE),-1)=IFERROR(VLOOKUP($AC24,areaCercaPuntiClassificaSquadra,3,FALSE),-2)),SUMIFS(Dati!$E$2:$E$761,Dati!$A$2:$A$761,$H24,Dati!$H$2:$H$761,$AC24)+SUMIFS(Dati!$L$2:$L$761,Dati!$H$2:$H$761,$H24,Dati!$A$2:$A$761,$AC24),"-")</f>
        <v/>
      </c>
      <c r="CR24" s="22">
        <f>IF(AND($H24&lt;&gt;"",$AD24&lt;&gt;"",$H24&lt;&gt;$AD24,IFERROR(VLOOKUP($H24,areaCercaPuntiClassificaSquadra,3,FALSE),-1)=IFERROR(VLOOKUP($AD24,areaCercaPuntiClassificaSquadra,3,FALSE),-2)),SUMIFS(Dati!$E$2:$E$761,Dati!$A$2:$A$761,$H24,Dati!$H$2:$H$761,$AD24)+SUMIFS(Dati!$L$2:$L$761,Dati!$H$2:$H$761,$H24,Dati!$A$2:$A$761,$AD24),"-")</f>
        <v/>
      </c>
      <c r="CS24" s="22">
        <f>IF(AND($H24&lt;&gt;"",$AE24&lt;&gt;"",$H24&lt;&gt;$AE24,IFERROR(VLOOKUP($H24,areaCercaPuntiClassificaSquadra,3,FALSE),-1)=IFERROR(VLOOKUP($AE24,areaCercaPuntiClassificaSquadra,3,FALSE),-2)),SUMIFS(Dati!$E$2:$E$761,Dati!$A$2:$A$761,$H24,Dati!$H$2:$H$761,$AE24)+SUMIFS(Dati!$L$2:$L$761,Dati!$H$2:$H$761,$H24,Dati!$A$2:$A$761,$AE24),"-")</f>
        <v/>
      </c>
      <c r="CT24" s="22">
        <f>IF(AND($H24&lt;&gt;"",$AF24&lt;&gt;"",$H24&lt;&gt;$AF24,IFERROR(VLOOKUP($H24,areaCercaPuntiClassificaSquadra,3,FALSE),-1)=IFERROR(VLOOKUP($AF24,areaCercaPuntiClassificaSquadra,3,FALSE),-2)),SUMIFS(Dati!$E$2:$E$761,Dati!$A$2:$A$761,$H24,Dati!$H$2:$H$761,$AF24)+SUMIFS(Dati!$L$2:$L$761,Dati!$H$2:$H$761,$H24,Dati!$A$2:$A$761,$AF24),"-")</f>
        <v/>
      </c>
      <c r="CU24" s="22">
        <f>IF(AND($H24&lt;&gt;"",$AG24&lt;&gt;"",$H24&lt;&gt;$AG24,IFERROR(VLOOKUP($H24,areaCercaPuntiClassificaSquadra,3,FALSE),-1)=IFERROR(VLOOKUP($AG24,areaCercaPuntiClassificaSquadra,3,FALSE),-2)),SUMIFS(Dati!$E$2:$E$761,Dati!$A$2:$A$761,$H24,Dati!$H$2:$H$761,$AG24)+SUMIFS(Dati!$L$2:$L$761,Dati!$H$2:$H$761,$H24,Dati!$A$2:$A$761,$AG24),"-")</f>
        <v/>
      </c>
      <c r="CV24" s="22">
        <f>IF(AND($H24&lt;&gt;"",$AH24&lt;&gt;"",$H24&lt;&gt;$AH24,IFERROR(VLOOKUP($H24,areaCercaPuntiClassificaSquadra,3,FALSE),-1)=IFERROR(VLOOKUP($AH24,areaCercaPuntiClassificaSquadra,3,FALSE),-2)),SUMIFS(Dati!$E$2:$E$761,Dati!$A$2:$A$761,$H24,Dati!$H$2:$H$761,$AH24)+SUMIFS(Dati!$L$2:$L$761,Dati!$H$2:$H$761,$H24,Dati!$A$2:$A$761,$AH24),"-")</f>
        <v/>
      </c>
      <c r="CW24" s="22">
        <f>IF(AND($H24&lt;&gt;"",$AI24&lt;&gt;"",$H24&lt;&gt;$AI24,IFERROR(VLOOKUP($H24,areaCercaPuntiClassificaSquadra,3,FALSE),-1)=IFERROR(VLOOKUP($AI24,areaCercaPuntiClassificaSquadra,3,FALSE),-2)),SUMIFS(Dati!$E$2:$E$761,Dati!$A$2:$A$761,$H24,Dati!$H$2:$H$761,$AI24)+SUMIFS(Dati!$L$2:$L$761,Dati!$H$2:$H$761,$H24,Dati!$A$2:$A$761,$AI24),"-")</f>
        <v/>
      </c>
      <c r="CX24" s="22">
        <f>IF(AND($H24&lt;&gt;"",$AJ24&lt;&gt;"",$H24&lt;&gt;$AJ24,IFERROR(VLOOKUP($H24,areaCercaPuntiClassificaSquadra,3,FALSE),-1)=IFERROR(VLOOKUP($AJ24,areaCercaPuntiClassificaSquadra,3,FALSE),-2)),SUMIFS(Dati!$E$2:$E$761,Dati!$A$2:$A$761,$H24,Dati!$H$2:$H$761,$AJ24)+SUMIFS(Dati!$L$2:$L$761,Dati!$H$2:$H$761,$H24,Dati!$A$2:$A$761,$AJ24),"-")</f>
        <v/>
      </c>
      <c r="CY24" s="22">
        <f>IF(AND($H24&lt;&gt;"",$AK24&lt;&gt;"",$H24&lt;&gt;$AK24,IFERROR(VLOOKUP($H24,areaCercaPuntiClassificaSquadra,3,FALSE),-1)=IFERROR(VLOOKUP($AK24,areaCercaPuntiClassificaSquadra,3,FALSE),-2)),SUMIFS(Dati!$E$2:$E$761,Dati!$A$2:$A$761,$H24,Dati!$H$2:$H$761,$AK24)+SUMIFS(Dati!$L$2:$L$761,Dati!$H$2:$H$761,$H24,Dati!$A$2:$A$761,$AK24),"-")</f>
        <v/>
      </c>
      <c r="CZ24" s="22">
        <f>IF(AND($H24&lt;&gt;"",$AL24&lt;&gt;"",$H24&lt;&gt;$AL24,IFERROR(VLOOKUP($H24,areaCercaPuntiClassificaSquadra,3,FALSE),-1)=IFERROR(VLOOKUP($AL24,areaCercaPuntiClassificaSquadra,3,FALSE),-2)),SUMIFS(Dati!$E$2:$E$761,Dati!$A$2:$A$761,$H24,Dati!$H$2:$H$761,$AL24)+SUMIFS(Dati!$L$2:$L$761,Dati!$H$2:$H$761,$H24,Dati!$A$2:$A$761,$AL24),"-")</f>
        <v/>
      </c>
      <c r="DA24" s="22">
        <f>IF(AND($H24&lt;&gt;"",$AM24&lt;&gt;"",$H24&lt;&gt;$AM24,IFERROR(VLOOKUP($H24,areaCercaPuntiClassificaSquadra,3,FALSE),-1)=IFERROR(VLOOKUP($AM24,areaCercaPuntiClassificaSquadra,3,FALSE),-2)),SUMIFS(Dati!$E$2:$E$761,Dati!$A$2:$A$761,$H24,Dati!$H$2:$H$761,$AM24)+SUMIFS(Dati!$L$2:$L$761,Dati!$H$2:$H$761,$H24,Dati!$A$2:$A$761,$AM24),"-")</f>
        <v/>
      </c>
      <c r="DB24" s="22">
        <f>IF(AND($H24&lt;&gt;"",$AN24&lt;&gt;"",$H24&lt;&gt;$AN24,IFERROR(VLOOKUP($H24,areaCercaPuntiClassificaSquadra,3,FALSE),-1)=IFERROR(VLOOKUP($AN24,areaCercaPuntiClassificaSquadra,3,FALSE),-2)),SUMIFS(Dati!$E$2:$E$761,Dati!$A$2:$A$761,$H24,Dati!$H$2:$H$761,$AN24)+SUMIFS(Dati!$L$2:$L$761,Dati!$H$2:$H$761,$H24,Dati!$A$2:$A$761,$AN24),"-")</f>
        <v/>
      </c>
      <c r="DC24" s="22">
        <f>IF(AND($H24&lt;&gt;"",$AO24&lt;&gt;"",$H24&lt;&gt;$AO24,IFERROR(VLOOKUP($H24,areaCercaPuntiClassificaSquadra,3,FALSE),-1)=IFERROR(VLOOKUP($AO24,areaCercaPuntiClassificaSquadra,3,FALSE),-2)),SUMIFS(Dati!$E$2:$E$761,Dati!$A$2:$A$761,$H24,Dati!$H$2:$H$761,$AO24)+SUMIFS(Dati!$L$2:$L$761,Dati!$H$2:$H$761,$H24,Dati!$A$2:$A$761,$AO24),"-")</f>
        <v/>
      </c>
      <c r="DD24" s="22">
        <f>IF(AND($H24&lt;&gt;"",$AP24&lt;&gt;"",$H24&lt;&gt;$AP24,IFERROR(VLOOKUP($H24,areaCercaPuntiClassificaSquadra,3,FALSE),-1)=IFERROR(VLOOKUP($AP24,areaCercaPuntiClassificaSquadra,3,FALSE),-2)),SUMIFS(Dati!$E$2:$E$761,Dati!$A$2:$A$761,$H24,Dati!$H$2:$H$761,$AP24)+SUMIFS(Dati!$L$2:$L$761,Dati!$H$2:$H$761,$H24,Dati!$A$2:$A$761,$AP24),"-")</f>
        <v/>
      </c>
      <c r="DE24" s="22">
        <f>IF(AND($H24&lt;&gt;"",$AQ24&lt;&gt;"",$H24&lt;&gt;$AQ24,IFERROR(VLOOKUP($H24,areaCercaPuntiClassificaSquadra,3,FALSE),-1)=IFERROR(VLOOKUP($AQ24,areaCercaPuntiClassificaSquadra,3,FALSE),-2)),SUMIFS(Dati!$E$2:$E$761,Dati!$A$2:$A$761,$H24,Dati!$H$2:$H$761,$AQ24)+SUMIFS(Dati!$L$2:$L$761,Dati!$H$2:$H$761,$H24,Dati!$A$2:$A$761,$AQ24),"-")</f>
        <v/>
      </c>
      <c r="DF24" s="22">
        <f>IF(AND($H24&lt;&gt;"",$AR24&lt;&gt;"",$H24&lt;&gt;$AR24,IFERROR(VLOOKUP($H24,areaCercaPuntiClassificaSquadra,3,FALSE),-1)=IFERROR(VLOOKUP($AR24,areaCercaPuntiClassificaSquadra,3,FALSE),-2)),SUMIFS(Dati!$E$2:$E$761,Dati!$A$2:$A$761,$H24,Dati!$H$2:$H$761,$AR24)+SUMIFS(Dati!$L$2:$L$761,Dati!$H$2:$H$761,$H24,Dati!$A$2:$A$761,$AR24),"-")</f>
        <v/>
      </c>
      <c r="DH24" s="21">
        <f>$C24</f>
        <v/>
      </c>
      <c r="DI24" s="22">
        <f>IF(AND($H24&lt;&gt;"",$Y24&lt;&gt;"",$H24&lt;&gt;$Y24,IFERROR(VLOOKUP($H24,areaCercaPuntiClassificaSquadra,3,FALSE),-1)=IFERROR(VLOOKUP($Y24,areaCercaPuntiClassificaSquadra,3,FALSE),-2)),SUMIFS(Dati!$F$2:$F$761,Dati!$A$2:$A$761,$H24,Dati!$H$2:$H$761,$Y24)+SUMIFS(Dati!$M$2:$M$761,Dati!$H$2:$H$761,$H24,Dati!$A$2:$A$761,$Y24),"-")</f>
        <v/>
      </c>
      <c r="DJ24" s="22">
        <f>IF(AND($H24&lt;&gt;"",$Z24&lt;&gt;"",$H24&lt;&gt;$Z24,IFERROR(VLOOKUP($H24,areaCercaPuntiClassificaSquadra,3,FALSE),-1)=IFERROR(VLOOKUP($Z24,areaCercaPuntiClassificaSquadra,3,FALSE),-2)),SUMIFS(Dati!$F$2:$F$761,Dati!$A$2:$A$761,$H24,Dati!$H$2:$H$761,$Z24)+SUMIFS(Dati!$M$2:$M$761,Dati!$H$2:$H$761,$H24,Dati!$A$2:$A$761,$Z24),"-")</f>
        <v/>
      </c>
      <c r="DK24" s="22">
        <f>IF(AND($H24&lt;&gt;"",$AA24&lt;&gt;"",$H24&lt;&gt;$AA24,IFERROR(VLOOKUP($H24,areaCercaPuntiClassificaSquadra,3,FALSE),-1)=IFERROR(VLOOKUP($AA24,areaCercaPuntiClassificaSquadra,3,FALSE),-2)),SUMIFS(Dati!$F$2:$F$761,Dati!$A$2:$A$761,$H24,Dati!$H$2:$H$761,$AA24)+SUMIFS(Dati!$M$2:$M$761,Dati!$H$2:$H$761,$H24,Dati!$A$2:$A$761,$AA24),"-")</f>
        <v/>
      </c>
      <c r="DL24" s="22">
        <f>IF(AND($H24&lt;&gt;"",$AB24&lt;&gt;"",$H24&lt;&gt;$AB24,IFERROR(VLOOKUP($H24,areaCercaPuntiClassificaSquadra,3,FALSE),-1)=IFERROR(VLOOKUP($AB24,areaCercaPuntiClassificaSquadra,3,FALSE),-2)),SUMIFS(Dati!$F$2:$F$761,Dati!$A$2:$A$761,$H24,Dati!$H$2:$H$761,$AB24)+SUMIFS(Dati!$M$2:$M$761,Dati!$H$2:$H$761,$H24,Dati!$A$2:$A$761,$AB24),"-")</f>
        <v/>
      </c>
      <c r="DM24" s="22">
        <f>IF(AND($H24&lt;&gt;"",$AC24&lt;&gt;"",$H24&lt;&gt;$AC24,IFERROR(VLOOKUP($H24,areaCercaPuntiClassificaSquadra,3,FALSE),-1)=IFERROR(VLOOKUP($AC24,areaCercaPuntiClassificaSquadra,3,FALSE),-2)),SUMIFS(Dati!$F$2:$F$761,Dati!$A$2:$A$761,$H24,Dati!$H$2:$H$761,$AC24)+SUMIFS(Dati!$M$2:$M$761,Dati!$H$2:$H$761,$H24,Dati!$A$2:$A$761,$AC24),"-")</f>
        <v/>
      </c>
      <c r="DN24" s="22">
        <f>IF(AND($H24&lt;&gt;"",$AD24&lt;&gt;"",$H24&lt;&gt;$AD24,IFERROR(VLOOKUP($H24,areaCercaPuntiClassificaSquadra,3,FALSE),-1)=IFERROR(VLOOKUP($AD24,areaCercaPuntiClassificaSquadra,3,FALSE),-2)),SUMIFS(Dati!$F$2:$F$761,Dati!$A$2:$A$761,$H24,Dati!$H$2:$H$761,$AD24)+SUMIFS(Dati!$M$2:$M$761,Dati!$H$2:$H$761,$H24,Dati!$A$2:$A$761,$AD24),"-")</f>
        <v/>
      </c>
      <c r="DO24" s="22">
        <f>IF(AND($H24&lt;&gt;"",$AE24&lt;&gt;"",$H24&lt;&gt;$AE24,IFERROR(VLOOKUP($H24,areaCercaPuntiClassificaSquadra,3,FALSE),-1)=IFERROR(VLOOKUP($AE24,areaCercaPuntiClassificaSquadra,3,FALSE),-2)),SUMIFS(Dati!$F$2:$F$761,Dati!$A$2:$A$761,$H24,Dati!$H$2:$H$761,$AE24)+SUMIFS(Dati!$M$2:$M$761,Dati!$H$2:$H$761,$H24,Dati!$A$2:$A$761,$AE24),"-")</f>
        <v/>
      </c>
      <c r="DP24" s="22">
        <f>IF(AND($H24&lt;&gt;"",$AF24&lt;&gt;"",$H24&lt;&gt;$AF24,IFERROR(VLOOKUP($H24,areaCercaPuntiClassificaSquadra,3,FALSE),-1)=IFERROR(VLOOKUP($AF24,areaCercaPuntiClassificaSquadra,3,FALSE),-2)),SUMIFS(Dati!$F$2:$F$761,Dati!$A$2:$A$761,$H24,Dati!$H$2:$H$761,$AF24)+SUMIFS(Dati!$M$2:$M$761,Dati!$H$2:$H$761,$H24,Dati!$A$2:$A$761,$AF24),"-")</f>
        <v/>
      </c>
      <c r="DQ24" s="22">
        <f>IF(AND($H24&lt;&gt;"",$AG24&lt;&gt;"",$H24&lt;&gt;$AG24,IFERROR(VLOOKUP($H24,areaCercaPuntiClassificaSquadra,3,FALSE),-1)=IFERROR(VLOOKUP($AG24,areaCercaPuntiClassificaSquadra,3,FALSE),-2)),SUMIFS(Dati!$F$2:$F$761,Dati!$A$2:$A$761,$H24,Dati!$H$2:$H$761,$AG24)+SUMIFS(Dati!$M$2:$M$761,Dati!$H$2:$H$761,$H24,Dati!$A$2:$A$761,$AG24),"-")</f>
        <v/>
      </c>
      <c r="DR24" s="22">
        <f>IF(AND($H24&lt;&gt;"",$AH24&lt;&gt;"",$H24&lt;&gt;$AH24,IFERROR(VLOOKUP($H24,areaCercaPuntiClassificaSquadra,3,FALSE),-1)=IFERROR(VLOOKUP($AH24,areaCercaPuntiClassificaSquadra,3,FALSE),-2)),SUMIFS(Dati!$F$2:$F$761,Dati!$A$2:$A$761,$H24,Dati!$H$2:$H$761,$AH24)+SUMIFS(Dati!$M$2:$M$761,Dati!$H$2:$H$761,$H24,Dati!$A$2:$A$761,$AH24),"-")</f>
        <v/>
      </c>
      <c r="DS24" s="22">
        <f>IF(AND($H24&lt;&gt;"",$AI24&lt;&gt;"",$H24&lt;&gt;$AI24,IFERROR(VLOOKUP($H24,areaCercaPuntiClassificaSquadra,3,FALSE),-1)=IFERROR(VLOOKUP($AI24,areaCercaPuntiClassificaSquadra,3,FALSE),-2)),SUMIFS(Dati!$F$2:$F$761,Dati!$A$2:$A$761,$H24,Dati!$H$2:$H$761,$AI24)+SUMIFS(Dati!$M$2:$M$761,Dati!$H$2:$H$761,$H24,Dati!$A$2:$A$761,$AI24),"-")</f>
        <v/>
      </c>
      <c r="DT24" s="22">
        <f>IF(AND($H24&lt;&gt;"",$AJ24&lt;&gt;"",$H24&lt;&gt;$AJ24,IFERROR(VLOOKUP($H24,areaCercaPuntiClassificaSquadra,3,FALSE),-1)=IFERROR(VLOOKUP($AJ24,areaCercaPuntiClassificaSquadra,3,FALSE),-2)),SUMIFS(Dati!$F$2:$F$761,Dati!$A$2:$A$761,$H24,Dati!$H$2:$H$761,$AJ24)+SUMIFS(Dati!$M$2:$M$761,Dati!$H$2:$H$761,$H24,Dati!$A$2:$A$761,$AJ24),"-")</f>
        <v/>
      </c>
      <c r="DU24" s="22">
        <f>IF(AND($H24&lt;&gt;"",$AK24&lt;&gt;"",$H24&lt;&gt;$AK24,IFERROR(VLOOKUP($H24,areaCercaPuntiClassificaSquadra,3,FALSE),-1)=IFERROR(VLOOKUP($AK24,areaCercaPuntiClassificaSquadra,3,FALSE),-2)),SUMIFS(Dati!$F$2:$F$761,Dati!$A$2:$A$761,$H24,Dati!$H$2:$H$761,$AK24)+SUMIFS(Dati!$M$2:$M$761,Dati!$H$2:$H$761,$H24,Dati!$A$2:$A$761,$AK24),"-")</f>
        <v/>
      </c>
      <c r="DV24" s="22">
        <f>IF(AND($H24&lt;&gt;"",$AL24&lt;&gt;"",$H24&lt;&gt;$AL24,IFERROR(VLOOKUP($H24,areaCercaPuntiClassificaSquadra,3,FALSE),-1)=IFERROR(VLOOKUP($AL24,areaCercaPuntiClassificaSquadra,3,FALSE),-2)),SUMIFS(Dati!$F$2:$F$761,Dati!$A$2:$A$761,$H24,Dati!$H$2:$H$761,$AL24)+SUMIFS(Dati!$M$2:$M$761,Dati!$H$2:$H$761,$H24,Dati!$A$2:$A$761,$AL24),"-")</f>
        <v/>
      </c>
      <c r="DW24" s="22">
        <f>IF(AND($H24&lt;&gt;"",$AM24&lt;&gt;"",$H24&lt;&gt;$AM24,IFERROR(VLOOKUP($H24,areaCercaPuntiClassificaSquadra,3,FALSE),-1)=IFERROR(VLOOKUP($AM24,areaCercaPuntiClassificaSquadra,3,FALSE),-2)),SUMIFS(Dati!$F$2:$F$761,Dati!$A$2:$A$761,$H24,Dati!$H$2:$H$761,$AM24)+SUMIFS(Dati!$M$2:$M$761,Dati!$H$2:$H$761,$H24,Dati!$A$2:$A$761,$AM24),"-")</f>
        <v/>
      </c>
      <c r="DX24" s="22">
        <f>IF(AND($H24&lt;&gt;"",$AN24&lt;&gt;"",$H24&lt;&gt;$AN24,IFERROR(VLOOKUP($H24,areaCercaPuntiClassificaSquadra,3,FALSE),-1)=IFERROR(VLOOKUP($AN24,areaCercaPuntiClassificaSquadra,3,FALSE),-2)),SUMIFS(Dati!$F$2:$F$761,Dati!$A$2:$A$761,$H24,Dati!$H$2:$H$761,$AN24)+SUMIFS(Dati!$M$2:$M$761,Dati!$H$2:$H$761,$H24,Dati!$A$2:$A$761,$AN24),"-")</f>
        <v/>
      </c>
      <c r="DY24" s="22">
        <f>IF(AND($H24&lt;&gt;"",$AO24&lt;&gt;"",$H24&lt;&gt;$AO24,IFERROR(VLOOKUP($H24,areaCercaPuntiClassificaSquadra,3,FALSE),-1)=IFERROR(VLOOKUP($AO24,areaCercaPuntiClassificaSquadra,3,FALSE),-2)),SUMIFS(Dati!$F$2:$F$761,Dati!$A$2:$A$761,$H24,Dati!$H$2:$H$761,$AO24)+SUMIFS(Dati!$M$2:$M$761,Dati!$H$2:$H$761,$H24,Dati!$A$2:$A$761,$AO24),"-")</f>
        <v/>
      </c>
      <c r="DZ24" s="22">
        <f>IF(AND($H24&lt;&gt;"",$AP24&lt;&gt;"",$H24&lt;&gt;$AP24,IFERROR(VLOOKUP($H24,areaCercaPuntiClassificaSquadra,3,FALSE),-1)=IFERROR(VLOOKUP($AP24,areaCercaPuntiClassificaSquadra,3,FALSE),-2)),SUMIFS(Dati!$F$2:$F$761,Dati!$A$2:$A$761,$H24,Dati!$H$2:$H$761,$AP24)+SUMIFS(Dati!$M$2:$M$761,Dati!$H$2:$H$761,$H24,Dati!$A$2:$A$761,$AP24),"-")</f>
        <v/>
      </c>
      <c r="EA24" s="22">
        <f>IF(AND($H24&lt;&gt;"",$AQ24&lt;&gt;"",$H24&lt;&gt;$AQ24,IFERROR(VLOOKUP($H24,areaCercaPuntiClassificaSquadra,3,FALSE),-1)=IFERROR(VLOOKUP($AQ24,areaCercaPuntiClassificaSquadra,3,FALSE),-2)),SUMIFS(Dati!$F$2:$F$761,Dati!$A$2:$A$761,$H24,Dati!$H$2:$H$761,$AQ24)+SUMIFS(Dati!$M$2:$M$761,Dati!$H$2:$H$761,$H24,Dati!$A$2:$A$761,$AQ24),"-")</f>
        <v/>
      </c>
      <c r="EB24" s="22">
        <f>IF(AND($H24&lt;&gt;"",$AR24&lt;&gt;"",$H24&lt;&gt;$AR24,IFERROR(VLOOKUP($H24,areaCercaPuntiClassificaSquadra,3,FALSE),-1)=IFERROR(VLOOKUP($AR24,areaCercaPuntiClassificaSquadra,3,FALSE),-2)),SUMIFS(Dati!$F$2:$F$761,Dati!$A$2:$A$761,$H24,Dati!$H$2:$H$761,$AR24)+SUMIFS(Dati!$M$2:$M$761,Dati!$H$2:$H$761,$H24,Dati!$A$2:$A$761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inlineStr">
        <is>
          <t>Orsi Onorevoli-Orsiopoli OE</t>
        </is>
      </c>
      <c r="D25" s="14" t="n"/>
      <c r="E25" s="15" t="inlineStr">
        <is>
          <t>A</t>
        </is>
      </c>
      <c r="G25" s="16">
        <f>IF($C25="","",$E25&amp;(COUNTIFS(I$14:I$93,"&gt;"&amp;I25,E$14:E$93,"="&amp;E25,C$14:C$93,"&lt;&gt;")+COUNTIFS(I$14:I$93,"="&amp;I25,H$14:H$93,"&lt;="&amp;H25,E$14:E$93,"="&amp;E25,C$14:C$93,"&lt;&gt;")))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L25*constPuntiVittoria+M25*constPuntiSconfitta+N25*constPuntiForfait+IF(D25="",0,D25)</f>
        <v/>
      </c>
      <c r="K25" s="12">
        <f>SUM(L25:N25)</f>
        <v/>
      </c>
      <c r="L25" s="12">
        <f>IF($H25="",0,SUMIF(Dati!$A$2:$A$761,$H25,Dati!$B$2:$B$761)+SUMIF(Dati!$H$2:$H$761,$H25,Dati!$I$2:$I$761))</f>
        <v/>
      </c>
      <c r="M25" s="12">
        <f>IF($H25="",0,SUMIF(Dati!$A$2:$A$761,$H25,Dati!$D$2:$D$761)+SUMIF(Dati!$H$2:$H$761,$H25,Dati!$K$2:$K$761))</f>
        <v/>
      </c>
      <c r="N25" s="12">
        <f>IF($H25="",0,SUMIF(Dati!$A$2:$A$761,$H25,Dati!$C$2:$C$761)+SUMIF(Dati!$H$2:$H$761,$H25,Dati!$J$2:$J$761))</f>
        <v/>
      </c>
      <c r="O25" s="12">
        <f>IF($H25="",0,SUMIF(Dati!$A$2:$A$761,$H25,Dati!$E$2:$E$761)+SUMIF(Dati!$H$2:$H$761,$H25,Dati!$L$2:$L$761))</f>
        <v/>
      </c>
      <c r="P25" s="12">
        <f>IF($H25="",0,SUMIF(Dati!$A$2:$A$761,$H25,Dati!$F$2:$F$761)+SUMIF(Dati!$H$2:$H$761,$H25,Dati!$M$2:$M$761))</f>
        <v/>
      </c>
      <c r="Q25" s="12">
        <f>IF($H25="",0,SUMIF(Dati!$A$2:$A$761,$H25,Dati!$G$2:$G$761)+SUMIF(Dati!$H$2:$H$761,$H25,Dati!$N$2:$N$761))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IF(COUNTIFS($E$14:$E$93,$E25,$J$14:$J$93,$J25,$C$14:$C$93,"&lt;&gt;")&lt;=1,"-",SUM(AU25:BN25)&amp;"-"&amp;SUM(BQ25:CJ25))</f>
        <v/>
      </c>
      <c r="V25" s="18">
        <f>IF(COUNTIFS($E$14:$E$93,$E25,$J$14:$J$93,$J25,$C$14:$C$93,"&lt;&gt;",$ED$14:$ED$93,$ED25)&lt;=1,"-",IF(SUM(DI25:EB25)=0,0,ROUND(SUM(CM25:DF25)/SUM(DI25:EB25),3)))</f>
        <v/>
      </c>
      <c r="W25" s="18">
        <f>IF(COUNTIFS($E$14:$E$93,$E25,$J$14:$J$93,$J25,$C$14:$C$93,"&lt;&gt;",$ED$14:$ED$93,$ED25,$V$14:$V$93,$V25)&lt;=1,"-",IF(P25=0,0,ROUND(O25/P25,3)))</f>
        <v/>
      </c>
      <c r="X25" s="19">
        <f>IF($C25="","",$E25&amp;"#"&amp;COUNTIFS($E$14:$E25,$E25,$C$14:$C25,"&lt;&gt;"))</f>
        <v/>
      </c>
      <c r="Y25" s="20">
        <f>IFERROR(INDEX($H$14:$H$93,MATCH($E25&amp;"#1",$X$14:$X$93,0)),"")</f>
        <v/>
      </c>
      <c r="Z25" s="20">
        <f>IFERROR(INDEX($H$14:$H$93,MATCH($E25&amp;"#2",$X$14:$X$93,0)),"")</f>
        <v/>
      </c>
      <c r="AA25" s="20">
        <f>IFERROR(INDEX($H$14:$H$93,MATCH($E25&amp;"#3",$X$14:$X$93,0)),"")</f>
        <v/>
      </c>
      <c r="AB25" s="20">
        <f>IFERROR(INDEX($H$14:$H$93,MATCH($E25&amp;"#4",$X$14:$X$93,0)),"")</f>
        <v/>
      </c>
      <c r="AC25" s="20">
        <f>IFERROR(INDEX($H$14:$H$93,MATCH($E25&amp;"#5",$X$14:$X$93,0)),"")</f>
        <v/>
      </c>
      <c r="AD25" s="20">
        <f>IFERROR(INDEX($H$14:$H$93,MATCH($E25&amp;"#6",$X$14:$X$93,0)),"")</f>
        <v/>
      </c>
      <c r="AE25" s="20">
        <f>IFERROR(INDEX($H$14:$H$93,MATCH($E25&amp;"#7",$X$14:$X$93,0)),"")</f>
        <v/>
      </c>
      <c r="AF25" s="20">
        <f>IFERROR(INDEX($H$14:$H$93,MATCH($E25&amp;"#8",$X$14:$X$93,0)),"")</f>
        <v/>
      </c>
      <c r="AG25" s="20">
        <f>IFERROR(INDEX($H$14:$H$93,MATCH($E25&amp;"#9",$X$14:$X$93,0)),"")</f>
        <v/>
      </c>
      <c r="AH25" s="20">
        <f>IFERROR(INDEX($H$14:$H$93,MATCH($E25&amp;"#10",$X$14:$X$93,0)),"")</f>
        <v/>
      </c>
      <c r="AI25" s="20">
        <f>IFERROR(INDEX($H$14:$H$93,MATCH($E25&amp;"#11",$X$14:$X$93,0)),"")</f>
        <v/>
      </c>
      <c r="AJ25" s="20">
        <f>IFERROR(INDEX($H$14:$H$93,MATCH($E25&amp;"#12",$X$14:$X$93,0)),"")</f>
        <v/>
      </c>
      <c r="AK25" s="20">
        <f>IFERROR(INDEX($H$14:$H$93,MATCH($E25&amp;"#13",$X$14:$X$93,0)),"")</f>
        <v/>
      </c>
      <c r="AL25" s="20">
        <f>IFERROR(INDEX($H$14:$H$93,MATCH($E25&amp;"#14",$X$14:$X$93,0)),"")</f>
        <v/>
      </c>
      <c r="AM25" s="20">
        <f>IFERROR(INDEX($H$14:$H$93,MATCH($E25&amp;"#15",$X$14:$X$93,0)),"")</f>
        <v/>
      </c>
      <c r="AN25" s="20">
        <f>IFERROR(INDEX($H$14:$H$93,MATCH($E25&amp;"#16",$X$14:$X$93,0)),"")</f>
        <v/>
      </c>
      <c r="AO25" s="20">
        <f>IFERROR(INDEX($H$14:$H$93,MATCH($E25&amp;"#17",$X$14:$X$93,0)),"")</f>
        <v/>
      </c>
      <c r="AP25" s="20">
        <f>IFERROR(INDEX($H$14:$H$93,MATCH($E25&amp;"#18",$X$14:$X$93,0)),"")</f>
        <v/>
      </c>
      <c r="AQ25" s="20">
        <f>IFERROR(INDEX($H$14:$H$93,MATCH($E25&amp;"#19",$X$14:$X$93,0)),"")</f>
        <v/>
      </c>
      <c r="AR25" s="20">
        <f>IFERROR(INDEX($H$14:$H$93,MATCH($E25&amp;"#20",$X$14:$X$93,0)),"")</f>
        <v/>
      </c>
      <c r="AT25" s="21">
        <f>$C25</f>
        <v/>
      </c>
      <c r="AU25" s="22">
        <f>IF(AND($H25&lt;&gt;"",$Y25&lt;&gt;"",$H25&lt;&gt;$Y25,IFERROR(VLOOKUP($H25,areaCercaPuntiClassificaSquadra,3,FALSE),-1)=IFERROR(VLOOKUP($Y25,areaCercaPuntiClassificaSquadra,3,FALSE),-2)),SUMIFS(Dati!$B$2:$B$761,Dati!$A$2:$A$761,$H25,Dati!$H$2:$H$761,$Y25)+SUMIFS(Dati!$I$2:$I$761,Dati!$H$2:$H$761,$H25,Dati!$A$2:$A$761,$Y25),"-")</f>
        <v/>
      </c>
      <c r="AV25" s="22">
        <f>IF(AND($H25&lt;&gt;"",$Z25&lt;&gt;"",$H25&lt;&gt;$Z25,IFERROR(VLOOKUP($H25,areaCercaPuntiClassificaSquadra,3,FALSE),-1)=IFERROR(VLOOKUP($Z25,areaCercaPuntiClassificaSquadra,3,FALSE),-2)),SUMIFS(Dati!$B$2:$B$761,Dati!$A$2:$A$761,$H25,Dati!$H$2:$H$761,$Z25)+SUMIFS(Dati!$I$2:$I$761,Dati!$H$2:$H$761,$H25,Dati!$A$2:$A$761,$Z25),"-")</f>
        <v/>
      </c>
      <c r="AW25" s="22">
        <f>IF(AND($H25&lt;&gt;"",$AA25&lt;&gt;"",$H25&lt;&gt;$AA25,IFERROR(VLOOKUP($H25,areaCercaPuntiClassificaSquadra,3,FALSE),-1)=IFERROR(VLOOKUP($AA25,areaCercaPuntiClassificaSquadra,3,FALSE),-2)),SUMIFS(Dati!$B$2:$B$761,Dati!$A$2:$A$761,$H25,Dati!$H$2:$H$761,$AA25)+SUMIFS(Dati!$I$2:$I$761,Dati!$H$2:$H$761,$H25,Dati!$A$2:$A$761,$AA25),"-")</f>
        <v/>
      </c>
      <c r="AX25" s="22">
        <f>IF(AND($H25&lt;&gt;"",$AB25&lt;&gt;"",$H25&lt;&gt;$AB25,IFERROR(VLOOKUP($H25,areaCercaPuntiClassificaSquadra,3,FALSE),-1)=IFERROR(VLOOKUP($AB25,areaCercaPuntiClassificaSquadra,3,FALSE),-2)),SUMIFS(Dati!$B$2:$B$761,Dati!$A$2:$A$761,$H25,Dati!$H$2:$H$761,$AB25)+SUMIFS(Dati!$I$2:$I$761,Dati!$H$2:$H$761,$H25,Dati!$A$2:$A$761,$AB25),"-")</f>
        <v/>
      </c>
      <c r="AY25" s="22">
        <f>IF(AND($H25&lt;&gt;"",$AC25&lt;&gt;"",$H25&lt;&gt;$AC25,IFERROR(VLOOKUP($H25,areaCercaPuntiClassificaSquadra,3,FALSE),-1)=IFERROR(VLOOKUP($AC25,areaCercaPuntiClassificaSquadra,3,FALSE),-2)),SUMIFS(Dati!$B$2:$B$761,Dati!$A$2:$A$761,$H25,Dati!$H$2:$H$761,$AC25)+SUMIFS(Dati!$I$2:$I$761,Dati!$H$2:$H$761,$H25,Dati!$A$2:$A$761,$AC25),"-")</f>
        <v/>
      </c>
      <c r="AZ25" s="22">
        <f>IF(AND($H25&lt;&gt;"",$AD25&lt;&gt;"",$H25&lt;&gt;$AD25,IFERROR(VLOOKUP($H25,areaCercaPuntiClassificaSquadra,3,FALSE),-1)=IFERROR(VLOOKUP($AD25,areaCercaPuntiClassificaSquadra,3,FALSE),-2)),SUMIFS(Dati!$B$2:$B$761,Dati!$A$2:$A$761,$H25,Dati!$H$2:$H$761,$AD25)+SUMIFS(Dati!$I$2:$I$761,Dati!$H$2:$H$761,$H25,Dati!$A$2:$A$761,$AD25),"-")</f>
        <v/>
      </c>
      <c r="BA25" s="22">
        <f>IF(AND($H25&lt;&gt;"",$AE25&lt;&gt;"",$H25&lt;&gt;$AE25,IFERROR(VLOOKUP($H25,areaCercaPuntiClassificaSquadra,3,FALSE),-1)=IFERROR(VLOOKUP($AE25,areaCercaPuntiClassificaSquadra,3,FALSE),-2)),SUMIFS(Dati!$B$2:$B$761,Dati!$A$2:$A$761,$H25,Dati!$H$2:$H$761,$AE25)+SUMIFS(Dati!$I$2:$I$761,Dati!$H$2:$H$761,$H25,Dati!$A$2:$A$761,$AE25),"-")</f>
        <v/>
      </c>
      <c r="BB25" s="22">
        <f>IF(AND($H25&lt;&gt;"",$AF25&lt;&gt;"",$H25&lt;&gt;$AF25,IFERROR(VLOOKUP($H25,areaCercaPuntiClassificaSquadra,3,FALSE),-1)=IFERROR(VLOOKUP($AF25,areaCercaPuntiClassificaSquadra,3,FALSE),-2)),SUMIFS(Dati!$B$2:$B$761,Dati!$A$2:$A$761,$H25,Dati!$H$2:$H$761,$AF25)+SUMIFS(Dati!$I$2:$I$761,Dati!$H$2:$H$761,$H25,Dati!$A$2:$A$761,$AF25),"-")</f>
        <v/>
      </c>
      <c r="BC25" s="22">
        <f>IF(AND($H25&lt;&gt;"",$AG25&lt;&gt;"",$H25&lt;&gt;$AG25,IFERROR(VLOOKUP($H25,areaCercaPuntiClassificaSquadra,3,FALSE),-1)=IFERROR(VLOOKUP($AG25,areaCercaPuntiClassificaSquadra,3,FALSE),-2)),SUMIFS(Dati!$B$2:$B$761,Dati!$A$2:$A$761,$H25,Dati!$H$2:$H$761,$AG25)+SUMIFS(Dati!$I$2:$I$761,Dati!$H$2:$H$761,$H25,Dati!$A$2:$A$761,$AG25),"-")</f>
        <v/>
      </c>
      <c r="BD25" s="22">
        <f>IF(AND($H25&lt;&gt;"",$AH25&lt;&gt;"",$H25&lt;&gt;$AH25,IFERROR(VLOOKUP($H25,areaCercaPuntiClassificaSquadra,3,FALSE),-1)=IFERROR(VLOOKUP($AH25,areaCercaPuntiClassificaSquadra,3,FALSE),-2)),SUMIFS(Dati!$B$2:$B$761,Dati!$A$2:$A$761,$H25,Dati!$H$2:$H$761,$AH25)+SUMIFS(Dati!$I$2:$I$761,Dati!$H$2:$H$761,$H25,Dati!$A$2:$A$761,$AH25),"-")</f>
        <v/>
      </c>
      <c r="BE25" s="22">
        <f>IF(AND($H25&lt;&gt;"",$AI25&lt;&gt;"",$H25&lt;&gt;$AI25,IFERROR(VLOOKUP($H25,areaCercaPuntiClassificaSquadra,3,FALSE),-1)=IFERROR(VLOOKUP($AI25,areaCercaPuntiClassificaSquadra,3,FALSE),-2)),SUMIFS(Dati!$B$2:$B$761,Dati!$A$2:$A$761,$H25,Dati!$H$2:$H$761,$AI25)+SUMIFS(Dati!$I$2:$I$761,Dati!$H$2:$H$761,$H25,Dati!$A$2:$A$761,$AI25),"-")</f>
        <v/>
      </c>
      <c r="BF25" s="22">
        <f>IF(AND($H25&lt;&gt;"",$AJ25&lt;&gt;"",$H25&lt;&gt;$AJ25,IFERROR(VLOOKUP($H25,areaCercaPuntiClassificaSquadra,3,FALSE),-1)=IFERROR(VLOOKUP($AJ25,areaCercaPuntiClassificaSquadra,3,FALSE),-2)),SUMIFS(Dati!$B$2:$B$761,Dati!$A$2:$A$761,$H25,Dati!$H$2:$H$761,$AJ25)+SUMIFS(Dati!$I$2:$I$761,Dati!$H$2:$H$761,$H25,Dati!$A$2:$A$761,$AJ25),"-")</f>
        <v/>
      </c>
      <c r="BG25" s="22">
        <f>IF(AND($H25&lt;&gt;"",$AK25&lt;&gt;"",$H25&lt;&gt;$AK25,IFERROR(VLOOKUP($H25,areaCercaPuntiClassificaSquadra,3,FALSE),-1)=IFERROR(VLOOKUP($AK25,areaCercaPuntiClassificaSquadra,3,FALSE),-2)),SUMIFS(Dati!$B$2:$B$761,Dati!$A$2:$A$761,$H25,Dati!$H$2:$H$761,$AK25)+SUMIFS(Dati!$I$2:$I$761,Dati!$H$2:$H$761,$H25,Dati!$A$2:$A$761,$AK25),"-")</f>
        <v/>
      </c>
      <c r="BH25" s="22">
        <f>IF(AND($H25&lt;&gt;"",$AL25&lt;&gt;"",$H25&lt;&gt;$AL25,IFERROR(VLOOKUP($H25,areaCercaPuntiClassificaSquadra,3,FALSE),-1)=IFERROR(VLOOKUP($AL25,areaCercaPuntiClassificaSquadra,3,FALSE),-2)),SUMIFS(Dati!$B$2:$B$761,Dati!$A$2:$A$761,$H25,Dati!$H$2:$H$761,$AL25)+SUMIFS(Dati!$I$2:$I$761,Dati!$H$2:$H$761,$H25,Dati!$A$2:$A$761,$AL25),"-")</f>
        <v/>
      </c>
      <c r="BI25" s="22">
        <f>IF(AND($H25&lt;&gt;"",$AM25&lt;&gt;"",$H25&lt;&gt;$AM25,IFERROR(VLOOKUP($H25,areaCercaPuntiClassificaSquadra,3,FALSE),-1)=IFERROR(VLOOKUP($AM25,areaCercaPuntiClassificaSquadra,3,FALSE),-2)),SUMIFS(Dati!$B$2:$B$761,Dati!$A$2:$A$761,$H25,Dati!$H$2:$H$761,$AM25)+SUMIFS(Dati!$I$2:$I$761,Dati!$H$2:$H$761,$H25,Dati!$A$2:$A$761,$AM25),"-")</f>
        <v/>
      </c>
      <c r="BJ25" s="22">
        <f>IF(AND($H25&lt;&gt;"",$AN25&lt;&gt;"",$H25&lt;&gt;$AN25,IFERROR(VLOOKUP($H25,areaCercaPuntiClassificaSquadra,3,FALSE),-1)=IFERROR(VLOOKUP($AN25,areaCercaPuntiClassificaSquadra,3,FALSE),-2)),SUMIFS(Dati!$B$2:$B$761,Dati!$A$2:$A$761,$H25,Dati!$H$2:$H$761,$AN25)+SUMIFS(Dati!$I$2:$I$761,Dati!$H$2:$H$761,$H25,Dati!$A$2:$A$761,$AN25),"-")</f>
        <v/>
      </c>
      <c r="BK25" s="22">
        <f>IF(AND($H25&lt;&gt;"",$AO25&lt;&gt;"",$H25&lt;&gt;$AO25,IFERROR(VLOOKUP($H25,areaCercaPuntiClassificaSquadra,3,FALSE),-1)=IFERROR(VLOOKUP($AO25,areaCercaPuntiClassificaSquadra,3,FALSE),-2)),SUMIFS(Dati!$B$2:$B$761,Dati!$A$2:$A$761,$H25,Dati!$H$2:$H$761,$AO25)+SUMIFS(Dati!$I$2:$I$761,Dati!$H$2:$H$761,$H25,Dati!$A$2:$A$761,$AO25),"-")</f>
        <v/>
      </c>
      <c r="BL25" s="22">
        <f>IF(AND($H25&lt;&gt;"",$AP25&lt;&gt;"",$H25&lt;&gt;$AP25,IFERROR(VLOOKUP($H25,areaCercaPuntiClassificaSquadra,3,FALSE),-1)=IFERROR(VLOOKUP($AP25,areaCercaPuntiClassificaSquadra,3,FALSE),-2)),SUMIFS(Dati!$B$2:$B$761,Dati!$A$2:$A$761,$H25,Dati!$H$2:$H$761,$AP25)+SUMIFS(Dati!$I$2:$I$761,Dati!$H$2:$H$761,$H25,Dati!$A$2:$A$761,$AP25),"-")</f>
        <v/>
      </c>
      <c r="BM25" s="22">
        <f>IF(AND($H25&lt;&gt;"",$AQ25&lt;&gt;"",$H25&lt;&gt;$AQ25,IFERROR(VLOOKUP($H25,areaCercaPuntiClassificaSquadra,3,FALSE),-1)=IFERROR(VLOOKUP($AQ25,areaCercaPuntiClassificaSquadra,3,FALSE),-2)),SUMIFS(Dati!$B$2:$B$761,Dati!$A$2:$A$761,$H25,Dati!$H$2:$H$761,$AQ25)+SUMIFS(Dati!$I$2:$I$761,Dati!$H$2:$H$761,$H25,Dati!$A$2:$A$761,$AQ25),"-")</f>
        <v/>
      </c>
      <c r="BN25" s="22">
        <f>IF(AND($H25&lt;&gt;"",$AR25&lt;&gt;"",$H25&lt;&gt;$AR25,IFERROR(VLOOKUP($H25,areaCercaPuntiClassificaSquadra,3,FALSE),-1)=IFERROR(VLOOKUP($AR25,areaCercaPuntiClassificaSquadra,3,FALSE),-2)),SUMIFS(Dati!$B$2:$B$761,Dati!$A$2:$A$761,$H25,Dati!$H$2:$H$761,$AR25)+SUMIFS(Dati!$I$2:$I$761,Dati!$H$2:$H$761,$H25,Dati!$A$2:$A$761,$AR25),"-")</f>
        <v/>
      </c>
      <c r="BP25" s="21">
        <f>$C25</f>
        <v/>
      </c>
      <c r="BQ25" s="22">
        <f>IF(AND($H25&lt;&gt;"",$Y25&lt;&gt;"",$H25&lt;&gt;$Y25,IFERROR(VLOOKUP($H25,areaCercaPuntiClassificaSquadra,3,FALSE),-1)=IFERROR(VLOOKUP($Y25,areaCercaPuntiClassificaSquadra,3,FALSE),-2)),SUMIFS(Dati!$D$2:$D$761,Dati!$A$2:$A$761,$H25,Dati!$H$2:$H$761,$Y25)+SUMIFS(Dati!$K$2:$K$761,Dati!$H$2:$H$761,$H25,Dati!$A$2:$A$761,$Y25)+SUMIFS(Dati!$C$2:$C$761,Dati!$A$2:$A$761,$H25,Dati!$H$2:$H$761,$Y25)+SUMIFS(Dati!$J$2:$J$761,Dati!$H$2:$H$761,$H25,Dati!$A$2:$A$761,$Y25),"-")</f>
        <v/>
      </c>
      <c r="BR25" s="22">
        <f>IF(AND($H25&lt;&gt;"",$Z25&lt;&gt;"",$H25&lt;&gt;$Z25,IFERROR(VLOOKUP($H25,areaCercaPuntiClassificaSquadra,3,FALSE),-1)=IFERROR(VLOOKUP($Z25,areaCercaPuntiClassificaSquadra,3,FALSE),-2)),SUMIFS(Dati!$D$2:$D$761,Dati!$A$2:$A$761,$H25,Dati!$H$2:$H$761,$Z25)+SUMIFS(Dati!$K$2:$K$761,Dati!$H$2:$H$761,$H25,Dati!$A$2:$A$761,$Z25)+SUMIFS(Dati!$C$2:$C$761,Dati!$A$2:$A$761,$H25,Dati!$H$2:$H$761,$Z25)+SUMIFS(Dati!$J$2:$J$761,Dati!$H$2:$H$761,$H25,Dati!$A$2:$A$761,$Z25),"-")</f>
        <v/>
      </c>
      <c r="BS25" s="22">
        <f>IF(AND($H25&lt;&gt;"",$AA25&lt;&gt;"",$H25&lt;&gt;$AA25,IFERROR(VLOOKUP($H25,areaCercaPuntiClassificaSquadra,3,FALSE),-1)=IFERROR(VLOOKUP($AA25,areaCercaPuntiClassificaSquadra,3,FALSE),-2)),SUMIFS(Dati!$D$2:$D$761,Dati!$A$2:$A$761,$H25,Dati!$H$2:$H$761,$AA25)+SUMIFS(Dati!$K$2:$K$761,Dati!$H$2:$H$761,$H25,Dati!$A$2:$A$761,$AA25)+SUMIFS(Dati!$C$2:$C$761,Dati!$A$2:$A$761,$H25,Dati!$H$2:$H$761,$AA25)+SUMIFS(Dati!$J$2:$J$761,Dati!$H$2:$H$761,$H25,Dati!$A$2:$A$761,$AA25),"-")</f>
        <v/>
      </c>
      <c r="BT25" s="22">
        <f>IF(AND($H25&lt;&gt;"",$AB25&lt;&gt;"",$H25&lt;&gt;$AB25,IFERROR(VLOOKUP($H25,areaCercaPuntiClassificaSquadra,3,FALSE),-1)=IFERROR(VLOOKUP($AB25,areaCercaPuntiClassificaSquadra,3,FALSE),-2)),SUMIFS(Dati!$D$2:$D$761,Dati!$A$2:$A$761,$H25,Dati!$H$2:$H$761,$AB25)+SUMIFS(Dati!$K$2:$K$761,Dati!$H$2:$H$761,$H25,Dati!$A$2:$A$761,$AB25)+SUMIFS(Dati!$C$2:$C$761,Dati!$A$2:$A$761,$H25,Dati!$H$2:$H$761,$AB25)+SUMIFS(Dati!$J$2:$J$761,Dati!$H$2:$H$761,$H25,Dati!$A$2:$A$761,$AB25),"-")</f>
        <v/>
      </c>
      <c r="BU25" s="22">
        <f>IF(AND($H25&lt;&gt;"",$AC25&lt;&gt;"",$H25&lt;&gt;$AC25,IFERROR(VLOOKUP($H25,areaCercaPuntiClassificaSquadra,3,FALSE),-1)=IFERROR(VLOOKUP($AC25,areaCercaPuntiClassificaSquadra,3,FALSE),-2)),SUMIFS(Dati!$D$2:$D$761,Dati!$A$2:$A$761,$H25,Dati!$H$2:$H$761,$AC25)+SUMIFS(Dati!$K$2:$K$761,Dati!$H$2:$H$761,$H25,Dati!$A$2:$A$761,$AC25)+SUMIFS(Dati!$C$2:$C$761,Dati!$A$2:$A$761,$H25,Dati!$H$2:$H$761,$AC25)+SUMIFS(Dati!$J$2:$J$761,Dati!$H$2:$H$761,$H25,Dati!$A$2:$A$761,$AC25),"-")</f>
        <v/>
      </c>
      <c r="BV25" s="22">
        <f>IF(AND($H25&lt;&gt;"",$AD25&lt;&gt;"",$H25&lt;&gt;$AD25,IFERROR(VLOOKUP($H25,areaCercaPuntiClassificaSquadra,3,FALSE),-1)=IFERROR(VLOOKUP($AD25,areaCercaPuntiClassificaSquadra,3,FALSE),-2)),SUMIFS(Dati!$D$2:$D$761,Dati!$A$2:$A$761,$H25,Dati!$H$2:$H$761,$AD25)+SUMIFS(Dati!$K$2:$K$761,Dati!$H$2:$H$761,$H25,Dati!$A$2:$A$761,$AD25)+SUMIFS(Dati!$C$2:$C$761,Dati!$A$2:$A$761,$H25,Dati!$H$2:$H$761,$AD25)+SUMIFS(Dati!$J$2:$J$761,Dati!$H$2:$H$761,$H25,Dati!$A$2:$A$761,$AD25),"-")</f>
        <v/>
      </c>
      <c r="BW25" s="22">
        <f>IF(AND($H25&lt;&gt;"",$AE25&lt;&gt;"",$H25&lt;&gt;$AE25,IFERROR(VLOOKUP($H25,areaCercaPuntiClassificaSquadra,3,FALSE),-1)=IFERROR(VLOOKUP($AE25,areaCercaPuntiClassificaSquadra,3,FALSE),-2)),SUMIFS(Dati!$D$2:$D$761,Dati!$A$2:$A$761,$H25,Dati!$H$2:$H$761,$AE25)+SUMIFS(Dati!$K$2:$K$761,Dati!$H$2:$H$761,$H25,Dati!$A$2:$A$761,$AE25)+SUMIFS(Dati!$C$2:$C$761,Dati!$A$2:$A$761,$H25,Dati!$H$2:$H$761,$AE25)+SUMIFS(Dati!$J$2:$J$761,Dati!$H$2:$H$761,$H25,Dati!$A$2:$A$761,$AE25),"-")</f>
        <v/>
      </c>
      <c r="BX25" s="22">
        <f>IF(AND($H25&lt;&gt;"",$AF25&lt;&gt;"",$H25&lt;&gt;$AF25,IFERROR(VLOOKUP($H25,areaCercaPuntiClassificaSquadra,3,FALSE),-1)=IFERROR(VLOOKUP($AF25,areaCercaPuntiClassificaSquadra,3,FALSE),-2)),SUMIFS(Dati!$D$2:$D$761,Dati!$A$2:$A$761,$H25,Dati!$H$2:$H$761,$AF25)+SUMIFS(Dati!$K$2:$K$761,Dati!$H$2:$H$761,$H25,Dati!$A$2:$A$761,$AF25)+SUMIFS(Dati!$C$2:$C$761,Dati!$A$2:$A$761,$H25,Dati!$H$2:$H$761,$AF25)+SUMIFS(Dati!$J$2:$J$761,Dati!$H$2:$H$761,$H25,Dati!$A$2:$A$761,$AF25),"-")</f>
        <v/>
      </c>
      <c r="BY25" s="22">
        <f>IF(AND($H25&lt;&gt;"",$AG25&lt;&gt;"",$H25&lt;&gt;$AG25,IFERROR(VLOOKUP($H25,areaCercaPuntiClassificaSquadra,3,FALSE),-1)=IFERROR(VLOOKUP($AG25,areaCercaPuntiClassificaSquadra,3,FALSE),-2)),SUMIFS(Dati!$D$2:$D$761,Dati!$A$2:$A$761,$H25,Dati!$H$2:$H$761,$AG25)+SUMIFS(Dati!$K$2:$K$761,Dati!$H$2:$H$761,$H25,Dati!$A$2:$A$761,$AG25)+SUMIFS(Dati!$C$2:$C$761,Dati!$A$2:$A$761,$H25,Dati!$H$2:$H$761,$AG25)+SUMIFS(Dati!$J$2:$J$761,Dati!$H$2:$H$761,$H25,Dati!$A$2:$A$761,$AG25),"-")</f>
        <v/>
      </c>
      <c r="BZ25" s="22">
        <f>IF(AND($H25&lt;&gt;"",$AH25&lt;&gt;"",$H25&lt;&gt;$AH25,IFERROR(VLOOKUP($H25,areaCercaPuntiClassificaSquadra,3,FALSE),-1)=IFERROR(VLOOKUP($AH25,areaCercaPuntiClassificaSquadra,3,FALSE),-2)),SUMIFS(Dati!$D$2:$D$761,Dati!$A$2:$A$761,$H25,Dati!$H$2:$H$761,$AH25)+SUMIFS(Dati!$K$2:$K$761,Dati!$H$2:$H$761,$H25,Dati!$A$2:$A$761,$AH25)+SUMIFS(Dati!$C$2:$C$761,Dati!$A$2:$A$761,$H25,Dati!$H$2:$H$761,$AH25)+SUMIFS(Dati!$J$2:$J$761,Dati!$H$2:$H$761,$H25,Dati!$A$2:$A$761,$AH25),"-")</f>
        <v/>
      </c>
      <c r="CA25" s="22">
        <f>IF(AND($H25&lt;&gt;"",$AI25&lt;&gt;"",$H25&lt;&gt;$AI25,IFERROR(VLOOKUP($H25,areaCercaPuntiClassificaSquadra,3,FALSE),-1)=IFERROR(VLOOKUP($AI25,areaCercaPuntiClassificaSquadra,3,FALSE),-2)),SUMIFS(Dati!$D$2:$D$761,Dati!$A$2:$A$761,$H25,Dati!$H$2:$H$761,$AI25)+SUMIFS(Dati!$K$2:$K$761,Dati!$H$2:$H$761,$H25,Dati!$A$2:$A$761,$AI25)+SUMIFS(Dati!$C$2:$C$761,Dati!$A$2:$A$761,$H25,Dati!$H$2:$H$761,$AI25)+SUMIFS(Dati!$J$2:$J$761,Dati!$H$2:$H$761,$H25,Dati!$A$2:$A$761,$AI25),"-")</f>
        <v/>
      </c>
      <c r="CB25" s="22">
        <f>IF(AND($H25&lt;&gt;"",$AJ25&lt;&gt;"",$H25&lt;&gt;$AJ25,IFERROR(VLOOKUP($H25,areaCercaPuntiClassificaSquadra,3,FALSE),-1)=IFERROR(VLOOKUP($AJ25,areaCercaPuntiClassificaSquadra,3,FALSE),-2)),SUMIFS(Dati!$D$2:$D$761,Dati!$A$2:$A$761,$H25,Dati!$H$2:$H$761,$AJ25)+SUMIFS(Dati!$K$2:$K$761,Dati!$H$2:$H$761,$H25,Dati!$A$2:$A$761,$AJ25)+SUMIFS(Dati!$C$2:$C$761,Dati!$A$2:$A$761,$H25,Dati!$H$2:$H$761,$AJ25)+SUMIFS(Dati!$J$2:$J$761,Dati!$H$2:$H$761,$H25,Dati!$A$2:$A$761,$AJ25),"-")</f>
        <v/>
      </c>
      <c r="CC25" s="22">
        <f>IF(AND($H25&lt;&gt;"",$AK25&lt;&gt;"",$H25&lt;&gt;$AK25,IFERROR(VLOOKUP($H25,areaCercaPuntiClassificaSquadra,3,FALSE),-1)=IFERROR(VLOOKUP($AK25,areaCercaPuntiClassificaSquadra,3,FALSE),-2)),SUMIFS(Dati!$D$2:$D$761,Dati!$A$2:$A$761,$H25,Dati!$H$2:$H$761,$AK25)+SUMIFS(Dati!$K$2:$K$761,Dati!$H$2:$H$761,$H25,Dati!$A$2:$A$761,$AK25)+SUMIFS(Dati!$C$2:$C$761,Dati!$A$2:$A$761,$H25,Dati!$H$2:$H$761,$AK25)+SUMIFS(Dati!$J$2:$J$761,Dati!$H$2:$H$761,$H25,Dati!$A$2:$A$761,$AK25),"-")</f>
        <v/>
      </c>
      <c r="CD25" s="22">
        <f>IF(AND($H25&lt;&gt;"",$AL25&lt;&gt;"",$H25&lt;&gt;$AL25,IFERROR(VLOOKUP($H25,areaCercaPuntiClassificaSquadra,3,FALSE),-1)=IFERROR(VLOOKUP($AL25,areaCercaPuntiClassificaSquadra,3,FALSE),-2)),SUMIFS(Dati!$D$2:$D$761,Dati!$A$2:$A$761,$H25,Dati!$H$2:$H$761,$AL25)+SUMIFS(Dati!$K$2:$K$761,Dati!$H$2:$H$761,$H25,Dati!$A$2:$A$761,$AL25)+SUMIFS(Dati!$C$2:$C$761,Dati!$A$2:$A$761,$H25,Dati!$H$2:$H$761,$AL25)+SUMIFS(Dati!$J$2:$J$761,Dati!$H$2:$H$761,$H25,Dati!$A$2:$A$761,$AL25),"-")</f>
        <v/>
      </c>
      <c r="CE25" s="22">
        <f>IF(AND($H25&lt;&gt;"",$AM25&lt;&gt;"",$H25&lt;&gt;$AM25,IFERROR(VLOOKUP($H25,areaCercaPuntiClassificaSquadra,3,FALSE),-1)=IFERROR(VLOOKUP($AM25,areaCercaPuntiClassificaSquadra,3,FALSE),-2)),SUMIFS(Dati!$D$2:$D$761,Dati!$A$2:$A$761,$H25,Dati!$H$2:$H$761,$AM25)+SUMIFS(Dati!$K$2:$K$761,Dati!$H$2:$H$761,$H25,Dati!$A$2:$A$761,$AM25)+SUMIFS(Dati!$C$2:$C$761,Dati!$A$2:$A$761,$H25,Dati!$H$2:$H$761,$AM25)+SUMIFS(Dati!$J$2:$J$761,Dati!$H$2:$H$761,$H25,Dati!$A$2:$A$761,$AM25),"-")</f>
        <v/>
      </c>
      <c r="CF25" s="22">
        <f>IF(AND($H25&lt;&gt;"",$AN25&lt;&gt;"",$H25&lt;&gt;$AN25,IFERROR(VLOOKUP($H25,areaCercaPuntiClassificaSquadra,3,FALSE),-1)=IFERROR(VLOOKUP($AN25,areaCercaPuntiClassificaSquadra,3,FALSE),-2)),SUMIFS(Dati!$D$2:$D$761,Dati!$A$2:$A$761,$H25,Dati!$H$2:$H$761,$AN25)+SUMIFS(Dati!$K$2:$K$761,Dati!$H$2:$H$761,$H25,Dati!$A$2:$A$761,$AN25)+SUMIFS(Dati!$C$2:$C$761,Dati!$A$2:$A$761,$H25,Dati!$H$2:$H$761,$AN25)+SUMIFS(Dati!$J$2:$J$761,Dati!$H$2:$H$761,$H25,Dati!$A$2:$A$761,$AN25),"-")</f>
        <v/>
      </c>
      <c r="CG25" s="22">
        <f>IF(AND($H25&lt;&gt;"",$AO25&lt;&gt;"",$H25&lt;&gt;$AO25,IFERROR(VLOOKUP($H25,areaCercaPuntiClassificaSquadra,3,FALSE),-1)=IFERROR(VLOOKUP($AO25,areaCercaPuntiClassificaSquadra,3,FALSE),-2)),SUMIFS(Dati!$D$2:$D$761,Dati!$A$2:$A$761,$H25,Dati!$H$2:$H$761,$AO25)+SUMIFS(Dati!$K$2:$K$761,Dati!$H$2:$H$761,$H25,Dati!$A$2:$A$761,$AO25)+SUMIFS(Dati!$C$2:$C$761,Dati!$A$2:$A$761,$H25,Dati!$H$2:$H$761,$AO25)+SUMIFS(Dati!$J$2:$J$761,Dati!$H$2:$H$761,$H25,Dati!$A$2:$A$761,$AO25),"-")</f>
        <v/>
      </c>
      <c r="CH25" s="22">
        <f>IF(AND($H25&lt;&gt;"",$AP25&lt;&gt;"",$H25&lt;&gt;$AP25,IFERROR(VLOOKUP($H25,areaCercaPuntiClassificaSquadra,3,FALSE),-1)=IFERROR(VLOOKUP($AP25,areaCercaPuntiClassificaSquadra,3,FALSE),-2)),SUMIFS(Dati!$D$2:$D$761,Dati!$A$2:$A$761,$H25,Dati!$H$2:$H$761,$AP25)+SUMIFS(Dati!$K$2:$K$761,Dati!$H$2:$H$761,$H25,Dati!$A$2:$A$761,$AP25)+SUMIFS(Dati!$C$2:$C$761,Dati!$A$2:$A$761,$H25,Dati!$H$2:$H$761,$AP25)+SUMIFS(Dati!$J$2:$J$761,Dati!$H$2:$H$761,$H25,Dati!$A$2:$A$761,$AP25),"-")</f>
        <v/>
      </c>
      <c r="CI25" s="22">
        <f>IF(AND($H25&lt;&gt;"",$AQ25&lt;&gt;"",$H25&lt;&gt;$AQ25,IFERROR(VLOOKUP($H25,areaCercaPuntiClassificaSquadra,3,FALSE),-1)=IFERROR(VLOOKUP($AQ25,areaCercaPuntiClassificaSquadra,3,FALSE),-2)),SUMIFS(Dati!$D$2:$D$761,Dati!$A$2:$A$761,$H25,Dati!$H$2:$H$761,$AQ25)+SUMIFS(Dati!$K$2:$K$761,Dati!$H$2:$H$761,$H25,Dati!$A$2:$A$761,$AQ25)+SUMIFS(Dati!$C$2:$C$761,Dati!$A$2:$A$761,$H25,Dati!$H$2:$H$761,$AQ25)+SUMIFS(Dati!$J$2:$J$761,Dati!$H$2:$H$761,$H25,Dati!$A$2:$A$761,$AQ25),"-")</f>
        <v/>
      </c>
      <c r="CJ25" s="22">
        <f>IF(AND($H25&lt;&gt;"",$AR25&lt;&gt;"",$H25&lt;&gt;$AR25,IFERROR(VLOOKUP($H25,areaCercaPuntiClassificaSquadra,3,FALSE),-1)=IFERROR(VLOOKUP($AR25,areaCercaPuntiClassificaSquadra,3,FALSE),-2)),SUMIFS(Dati!$D$2:$D$761,Dati!$A$2:$A$761,$H25,Dati!$H$2:$H$761,$AR25)+SUMIFS(Dati!$K$2:$K$761,Dati!$H$2:$H$761,$H25,Dati!$A$2:$A$761,$AR25)+SUMIFS(Dati!$C$2:$C$761,Dati!$A$2:$A$761,$H25,Dati!$H$2:$H$761,$AR25)+SUMIFS(Dati!$J$2:$J$761,Dati!$H$2:$H$761,$H25,Dati!$A$2:$A$761,$AR25),"-")</f>
        <v/>
      </c>
      <c r="CL25" s="21">
        <f>$C25</f>
        <v/>
      </c>
      <c r="CM25" s="22">
        <f>IF(AND($H25&lt;&gt;"",$Y25&lt;&gt;"",$H25&lt;&gt;$Y25,IFERROR(VLOOKUP($H25,areaCercaPuntiClassificaSquadra,3,FALSE),-1)=IFERROR(VLOOKUP($Y25,areaCercaPuntiClassificaSquadra,3,FALSE),-2)),SUMIFS(Dati!$E$2:$E$761,Dati!$A$2:$A$761,$H25,Dati!$H$2:$H$761,$Y25)+SUMIFS(Dati!$L$2:$L$761,Dati!$H$2:$H$761,$H25,Dati!$A$2:$A$761,$Y25),"-")</f>
        <v/>
      </c>
      <c r="CN25" s="22">
        <f>IF(AND($H25&lt;&gt;"",$Z25&lt;&gt;"",$H25&lt;&gt;$Z25,IFERROR(VLOOKUP($H25,areaCercaPuntiClassificaSquadra,3,FALSE),-1)=IFERROR(VLOOKUP($Z25,areaCercaPuntiClassificaSquadra,3,FALSE),-2)),SUMIFS(Dati!$E$2:$E$761,Dati!$A$2:$A$761,$H25,Dati!$H$2:$H$761,$Z25)+SUMIFS(Dati!$L$2:$L$761,Dati!$H$2:$H$761,$H25,Dati!$A$2:$A$761,$Z25),"-")</f>
        <v/>
      </c>
      <c r="CO25" s="22">
        <f>IF(AND($H25&lt;&gt;"",$AA25&lt;&gt;"",$H25&lt;&gt;$AA25,IFERROR(VLOOKUP($H25,areaCercaPuntiClassificaSquadra,3,FALSE),-1)=IFERROR(VLOOKUP($AA25,areaCercaPuntiClassificaSquadra,3,FALSE),-2)),SUMIFS(Dati!$E$2:$E$761,Dati!$A$2:$A$761,$H25,Dati!$H$2:$H$761,$AA25)+SUMIFS(Dati!$L$2:$L$761,Dati!$H$2:$H$761,$H25,Dati!$A$2:$A$761,$AA25),"-")</f>
        <v/>
      </c>
      <c r="CP25" s="22">
        <f>IF(AND($H25&lt;&gt;"",$AB25&lt;&gt;"",$H25&lt;&gt;$AB25,IFERROR(VLOOKUP($H25,areaCercaPuntiClassificaSquadra,3,FALSE),-1)=IFERROR(VLOOKUP($AB25,areaCercaPuntiClassificaSquadra,3,FALSE),-2)),SUMIFS(Dati!$E$2:$E$761,Dati!$A$2:$A$761,$H25,Dati!$H$2:$H$761,$AB25)+SUMIFS(Dati!$L$2:$L$761,Dati!$H$2:$H$761,$H25,Dati!$A$2:$A$761,$AB25),"-")</f>
        <v/>
      </c>
      <c r="CQ25" s="22">
        <f>IF(AND($H25&lt;&gt;"",$AC25&lt;&gt;"",$H25&lt;&gt;$AC25,IFERROR(VLOOKUP($H25,areaCercaPuntiClassificaSquadra,3,FALSE),-1)=IFERROR(VLOOKUP($AC25,areaCercaPuntiClassificaSquadra,3,FALSE),-2)),SUMIFS(Dati!$E$2:$E$761,Dati!$A$2:$A$761,$H25,Dati!$H$2:$H$761,$AC25)+SUMIFS(Dati!$L$2:$L$761,Dati!$H$2:$H$761,$H25,Dati!$A$2:$A$761,$AC25),"-")</f>
        <v/>
      </c>
      <c r="CR25" s="22">
        <f>IF(AND($H25&lt;&gt;"",$AD25&lt;&gt;"",$H25&lt;&gt;$AD25,IFERROR(VLOOKUP($H25,areaCercaPuntiClassificaSquadra,3,FALSE),-1)=IFERROR(VLOOKUP($AD25,areaCercaPuntiClassificaSquadra,3,FALSE),-2)),SUMIFS(Dati!$E$2:$E$761,Dati!$A$2:$A$761,$H25,Dati!$H$2:$H$761,$AD25)+SUMIFS(Dati!$L$2:$L$761,Dati!$H$2:$H$761,$H25,Dati!$A$2:$A$761,$AD25),"-")</f>
        <v/>
      </c>
      <c r="CS25" s="22">
        <f>IF(AND($H25&lt;&gt;"",$AE25&lt;&gt;"",$H25&lt;&gt;$AE25,IFERROR(VLOOKUP($H25,areaCercaPuntiClassificaSquadra,3,FALSE),-1)=IFERROR(VLOOKUP($AE25,areaCercaPuntiClassificaSquadra,3,FALSE),-2)),SUMIFS(Dati!$E$2:$E$761,Dati!$A$2:$A$761,$H25,Dati!$H$2:$H$761,$AE25)+SUMIFS(Dati!$L$2:$L$761,Dati!$H$2:$H$761,$H25,Dati!$A$2:$A$761,$AE25),"-")</f>
        <v/>
      </c>
      <c r="CT25" s="22">
        <f>IF(AND($H25&lt;&gt;"",$AF25&lt;&gt;"",$H25&lt;&gt;$AF25,IFERROR(VLOOKUP($H25,areaCercaPuntiClassificaSquadra,3,FALSE),-1)=IFERROR(VLOOKUP($AF25,areaCercaPuntiClassificaSquadra,3,FALSE),-2)),SUMIFS(Dati!$E$2:$E$761,Dati!$A$2:$A$761,$H25,Dati!$H$2:$H$761,$AF25)+SUMIFS(Dati!$L$2:$L$761,Dati!$H$2:$H$761,$H25,Dati!$A$2:$A$761,$AF25),"-")</f>
        <v/>
      </c>
      <c r="CU25" s="22">
        <f>IF(AND($H25&lt;&gt;"",$AG25&lt;&gt;"",$H25&lt;&gt;$AG25,IFERROR(VLOOKUP($H25,areaCercaPuntiClassificaSquadra,3,FALSE),-1)=IFERROR(VLOOKUP($AG25,areaCercaPuntiClassificaSquadra,3,FALSE),-2)),SUMIFS(Dati!$E$2:$E$761,Dati!$A$2:$A$761,$H25,Dati!$H$2:$H$761,$AG25)+SUMIFS(Dati!$L$2:$L$761,Dati!$H$2:$H$761,$H25,Dati!$A$2:$A$761,$AG25),"-")</f>
        <v/>
      </c>
      <c r="CV25" s="22">
        <f>IF(AND($H25&lt;&gt;"",$AH25&lt;&gt;"",$H25&lt;&gt;$AH25,IFERROR(VLOOKUP($H25,areaCercaPuntiClassificaSquadra,3,FALSE),-1)=IFERROR(VLOOKUP($AH25,areaCercaPuntiClassificaSquadra,3,FALSE),-2)),SUMIFS(Dati!$E$2:$E$761,Dati!$A$2:$A$761,$H25,Dati!$H$2:$H$761,$AH25)+SUMIFS(Dati!$L$2:$L$761,Dati!$H$2:$H$761,$H25,Dati!$A$2:$A$761,$AH25),"-")</f>
        <v/>
      </c>
      <c r="CW25" s="22">
        <f>IF(AND($H25&lt;&gt;"",$AI25&lt;&gt;"",$H25&lt;&gt;$AI25,IFERROR(VLOOKUP($H25,areaCercaPuntiClassificaSquadra,3,FALSE),-1)=IFERROR(VLOOKUP($AI25,areaCercaPuntiClassificaSquadra,3,FALSE),-2)),SUMIFS(Dati!$E$2:$E$761,Dati!$A$2:$A$761,$H25,Dati!$H$2:$H$761,$AI25)+SUMIFS(Dati!$L$2:$L$761,Dati!$H$2:$H$761,$H25,Dati!$A$2:$A$761,$AI25),"-")</f>
        <v/>
      </c>
      <c r="CX25" s="22">
        <f>IF(AND($H25&lt;&gt;"",$AJ25&lt;&gt;"",$H25&lt;&gt;$AJ25,IFERROR(VLOOKUP($H25,areaCercaPuntiClassificaSquadra,3,FALSE),-1)=IFERROR(VLOOKUP($AJ25,areaCercaPuntiClassificaSquadra,3,FALSE),-2)),SUMIFS(Dati!$E$2:$E$761,Dati!$A$2:$A$761,$H25,Dati!$H$2:$H$761,$AJ25)+SUMIFS(Dati!$L$2:$L$761,Dati!$H$2:$H$761,$H25,Dati!$A$2:$A$761,$AJ25),"-")</f>
        <v/>
      </c>
      <c r="CY25" s="22">
        <f>IF(AND($H25&lt;&gt;"",$AK25&lt;&gt;"",$H25&lt;&gt;$AK25,IFERROR(VLOOKUP($H25,areaCercaPuntiClassificaSquadra,3,FALSE),-1)=IFERROR(VLOOKUP($AK25,areaCercaPuntiClassificaSquadra,3,FALSE),-2)),SUMIFS(Dati!$E$2:$E$761,Dati!$A$2:$A$761,$H25,Dati!$H$2:$H$761,$AK25)+SUMIFS(Dati!$L$2:$L$761,Dati!$H$2:$H$761,$H25,Dati!$A$2:$A$761,$AK25),"-")</f>
        <v/>
      </c>
      <c r="CZ25" s="22">
        <f>IF(AND($H25&lt;&gt;"",$AL25&lt;&gt;"",$H25&lt;&gt;$AL25,IFERROR(VLOOKUP($H25,areaCercaPuntiClassificaSquadra,3,FALSE),-1)=IFERROR(VLOOKUP($AL25,areaCercaPuntiClassificaSquadra,3,FALSE),-2)),SUMIFS(Dati!$E$2:$E$761,Dati!$A$2:$A$761,$H25,Dati!$H$2:$H$761,$AL25)+SUMIFS(Dati!$L$2:$L$761,Dati!$H$2:$H$761,$H25,Dati!$A$2:$A$761,$AL25),"-")</f>
        <v/>
      </c>
      <c r="DA25" s="22">
        <f>IF(AND($H25&lt;&gt;"",$AM25&lt;&gt;"",$H25&lt;&gt;$AM25,IFERROR(VLOOKUP($H25,areaCercaPuntiClassificaSquadra,3,FALSE),-1)=IFERROR(VLOOKUP($AM25,areaCercaPuntiClassificaSquadra,3,FALSE),-2)),SUMIFS(Dati!$E$2:$E$761,Dati!$A$2:$A$761,$H25,Dati!$H$2:$H$761,$AM25)+SUMIFS(Dati!$L$2:$L$761,Dati!$H$2:$H$761,$H25,Dati!$A$2:$A$761,$AM25),"-")</f>
        <v/>
      </c>
      <c r="DB25" s="22">
        <f>IF(AND($H25&lt;&gt;"",$AN25&lt;&gt;"",$H25&lt;&gt;$AN25,IFERROR(VLOOKUP($H25,areaCercaPuntiClassificaSquadra,3,FALSE),-1)=IFERROR(VLOOKUP($AN25,areaCercaPuntiClassificaSquadra,3,FALSE),-2)),SUMIFS(Dati!$E$2:$E$761,Dati!$A$2:$A$761,$H25,Dati!$H$2:$H$761,$AN25)+SUMIFS(Dati!$L$2:$L$761,Dati!$H$2:$H$761,$H25,Dati!$A$2:$A$761,$AN25),"-")</f>
        <v/>
      </c>
      <c r="DC25" s="22">
        <f>IF(AND($H25&lt;&gt;"",$AO25&lt;&gt;"",$H25&lt;&gt;$AO25,IFERROR(VLOOKUP($H25,areaCercaPuntiClassificaSquadra,3,FALSE),-1)=IFERROR(VLOOKUP($AO25,areaCercaPuntiClassificaSquadra,3,FALSE),-2)),SUMIFS(Dati!$E$2:$E$761,Dati!$A$2:$A$761,$H25,Dati!$H$2:$H$761,$AO25)+SUMIFS(Dati!$L$2:$L$761,Dati!$H$2:$H$761,$H25,Dati!$A$2:$A$761,$AO25),"-")</f>
        <v/>
      </c>
      <c r="DD25" s="22">
        <f>IF(AND($H25&lt;&gt;"",$AP25&lt;&gt;"",$H25&lt;&gt;$AP25,IFERROR(VLOOKUP($H25,areaCercaPuntiClassificaSquadra,3,FALSE),-1)=IFERROR(VLOOKUP($AP25,areaCercaPuntiClassificaSquadra,3,FALSE),-2)),SUMIFS(Dati!$E$2:$E$761,Dati!$A$2:$A$761,$H25,Dati!$H$2:$H$761,$AP25)+SUMIFS(Dati!$L$2:$L$761,Dati!$H$2:$H$761,$H25,Dati!$A$2:$A$761,$AP25),"-")</f>
        <v/>
      </c>
      <c r="DE25" s="22">
        <f>IF(AND($H25&lt;&gt;"",$AQ25&lt;&gt;"",$H25&lt;&gt;$AQ25,IFERROR(VLOOKUP($H25,areaCercaPuntiClassificaSquadra,3,FALSE),-1)=IFERROR(VLOOKUP($AQ25,areaCercaPuntiClassificaSquadra,3,FALSE),-2)),SUMIFS(Dati!$E$2:$E$761,Dati!$A$2:$A$761,$H25,Dati!$H$2:$H$761,$AQ25)+SUMIFS(Dati!$L$2:$L$761,Dati!$H$2:$H$761,$H25,Dati!$A$2:$A$761,$AQ25),"-")</f>
        <v/>
      </c>
      <c r="DF25" s="22">
        <f>IF(AND($H25&lt;&gt;"",$AR25&lt;&gt;"",$H25&lt;&gt;$AR25,IFERROR(VLOOKUP($H25,areaCercaPuntiClassificaSquadra,3,FALSE),-1)=IFERROR(VLOOKUP($AR25,areaCercaPuntiClassificaSquadra,3,FALSE),-2)),SUMIFS(Dati!$E$2:$E$761,Dati!$A$2:$A$761,$H25,Dati!$H$2:$H$761,$AR25)+SUMIFS(Dati!$L$2:$L$761,Dati!$H$2:$H$761,$H25,Dati!$A$2:$A$761,$AR25),"-")</f>
        <v/>
      </c>
      <c r="DH25" s="21">
        <f>$C25</f>
        <v/>
      </c>
      <c r="DI25" s="22">
        <f>IF(AND($H25&lt;&gt;"",$Y25&lt;&gt;"",$H25&lt;&gt;$Y25,IFERROR(VLOOKUP($H25,areaCercaPuntiClassificaSquadra,3,FALSE),-1)=IFERROR(VLOOKUP($Y25,areaCercaPuntiClassificaSquadra,3,FALSE),-2)),SUMIFS(Dati!$F$2:$F$761,Dati!$A$2:$A$761,$H25,Dati!$H$2:$H$761,$Y25)+SUMIFS(Dati!$M$2:$M$761,Dati!$H$2:$H$761,$H25,Dati!$A$2:$A$761,$Y25),"-")</f>
        <v/>
      </c>
      <c r="DJ25" s="22">
        <f>IF(AND($H25&lt;&gt;"",$Z25&lt;&gt;"",$H25&lt;&gt;$Z25,IFERROR(VLOOKUP($H25,areaCercaPuntiClassificaSquadra,3,FALSE),-1)=IFERROR(VLOOKUP($Z25,areaCercaPuntiClassificaSquadra,3,FALSE),-2)),SUMIFS(Dati!$F$2:$F$761,Dati!$A$2:$A$761,$H25,Dati!$H$2:$H$761,$Z25)+SUMIFS(Dati!$M$2:$M$761,Dati!$H$2:$H$761,$H25,Dati!$A$2:$A$761,$Z25),"-")</f>
        <v/>
      </c>
      <c r="DK25" s="22">
        <f>IF(AND($H25&lt;&gt;"",$AA25&lt;&gt;"",$H25&lt;&gt;$AA25,IFERROR(VLOOKUP($H25,areaCercaPuntiClassificaSquadra,3,FALSE),-1)=IFERROR(VLOOKUP($AA25,areaCercaPuntiClassificaSquadra,3,FALSE),-2)),SUMIFS(Dati!$F$2:$F$761,Dati!$A$2:$A$761,$H25,Dati!$H$2:$H$761,$AA25)+SUMIFS(Dati!$M$2:$M$761,Dati!$H$2:$H$761,$H25,Dati!$A$2:$A$761,$AA25),"-")</f>
        <v/>
      </c>
      <c r="DL25" s="22">
        <f>IF(AND($H25&lt;&gt;"",$AB25&lt;&gt;"",$H25&lt;&gt;$AB25,IFERROR(VLOOKUP($H25,areaCercaPuntiClassificaSquadra,3,FALSE),-1)=IFERROR(VLOOKUP($AB25,areaCercaPuntiClassificaSquadra,3,FALSE),-2)),SUMIFS(Dati!$F$2:$F$761,Dati!$A$2:$A$761,$H25,Dati!$H$2:$H$761,$AB25)+SUMIFS(Dati!$M$2:$M$761,Dati!$H$2:$H$761,$H25,Dati!$A$2:$A$761,$AB25),"-")</f>
        <v/>
      </c>
      <c r="DM25" s="22">
        <f>IF(AND($H25&lt;&gt;"",$AC25&lt;&gt;"",$H25&lt;&gt;$AC25,IFERROR(VLOOKUP($H25,areaCercaPuntiClassificaSquadra,3,FALSE),-1)=IFERROR(VLOOKUP($AC25,areaCercaPuntiClassificaSquadra,3,FALSE),-2)),SUMIFS(Dati!$F$2:$F$761,Dati!$A$2:$A$761,$H25,Dati!$H$2:$H$761,$AC25)+SUMIFS(Dati!$M$2:$M$761,Dati!$H$2:$H$761,$H25,Dati!$A$2:$A$761,$AC25),"-")</f>
        <v/>
      </c>
      <c r="DN25" s="22">
        <f>IF(AND($H25&lt;&gt;"",$AD25&lt;&gt;"",$H25&lt;&gt;$AD25,IFERROR(VLOOKUP($H25,areaCercaPuntiClassificaSquadra,3,FALSE),-1)=IFERROR(VLOOKUP($AD25,areaCercaPuntiClassificaSquadra,3,FALSE),-2)),SUMIFS(Dati!$F$2:$F$761,Dati!$A$2:$A$761,$H25,Dati!$H$2:$H$761,$AD25)+SUMIFS(Dati!$M$2:$M$761,Dati!$H$2:$H$761,$H25,Dati!$A$2:$A$761,$AD25),"-")</f>
        <v/>
      </c>
      <c r="DO25" s="22">
        <f>IF(AND($H25&lt;&gt;"",$AE25&lt;&gt;"",$H25&lt;&gt;$AE25,IFERROR(VLOOKUP($H25,areaCercaPuntiClassificaSquadra,3,FALSE),-1)=IFERROR(VLOOKUP($AE25,areaCercaPuntiClassificaSquadra,3,FALSE),-2)),SUMIFS(Dati!$F$2:$F$761,Dati!$A$2:$A$761,$H25,Dati!$H$2:$H$761,$AE25)+SUMIFS(Dati!$M$2:$M$761,Dati!$H$2:$H$761,$H25,Dati!$A$2:$A$761,$AE25),"-")</f>
        <v/>
      </c>
      <c r="DP25" s="22">
        <f>IF(AND($H25&lt;&gt;"",$AF25&lt;&gt;"",$H25&lt;&gt;$AF25,IFERROR(VLOOKUP($H25,areaCercaPuntiClassificaSquadra,3,FALSE),-1)=IFERROR(VLOOKUP($AF25,areaCercaPuntiClassificaSquadra,3,FALSE),-2)),SUMIFS(Dati!$F$2:$F$761,Dati!$A$2:$A$761,$H25,Dati!$H$2:$H$761,$AF25)+SUMIFS(Dati!$M$2:$M$761,Dati!$H$2:$H$761,$H25,Dati!$A$2:$A$761,$AF25),"-")</f>
        <v/>
      </c>
      <c r="DQ25" s="22">
        <f>IF(AND($H25&lt;&gt;"",$AG25&lt;&gt;"",$H25&lt;&gt;$AG25,IFERROR(VLOOKUP($H25,areaCercaPuntiClassificaSquadra,3,FALSE),-1)=IFERROR(VLOOKUP($AG25,areaCercaPuntiClassificaSquadra,3,FALSE),-2)),SUMIFS(Dati!$F$2:$F$761,Dati!$A$2:$A$761,$H25,Dati!$H$2:$H$761,$AG25)+SUMIFS(Dati!$M$2:$M$761,Dati!$H$2:$H$761,$H25,Dati!$A$2:$A$761,$AG25),"-")</f>
        <v/>
      </c>
      <c r="DR25" s="22">
        <f>IF(AND($H25&lt;&gt;"",$AH25&lt;&gt;"",$H25&lt;&gt;$AH25,IFERROR(VLOOKUP($H25,areaCercaPuntiClassificaSquadra,3,FALSE),-1)=IFERROR(VLOOKUP($AH25,areaCercaPuntiClassificaSquadra,3,FALSE),-2)),SUMIFS(Dati!$F$2:$F$761,Dati!$A$2:$A$761,$H25,Dati!$H$2:$H$761,$AH25)+SUMIFS(Dati!$M$2:$M$761,Dati!$H$2:$H$761,$H25,Dati!$A$2:$A$761,$AH25),"-")</f>
        <v/>
      </c>
      <c r="DS25" s="22">
        <f>IF(AND($H25&lt;&gt;"",$AI25&lt;&gt;"",$H25&lt;&gt;$AI25,IFERROR(VLOOKUP($H25,areaCercaPuntiClassificaSquadra,3,FALSE),-1)=IFERROR(VLOOKUP($AI25,areaCercaPuntiClassificaSquadra,3,FALSE),-2)),SUMIFS(Dati!$F$2:$F$761,Dati!$A$2:$A$761,$H25,Dati!$H$2:$H$761,$AI25)+SUMIFS(Dati!$M$2:$M$761,Dati!$H$2:$H$761,$H25,Dati!$A$2:$A$761,$AI25),"-")</f>
        <v/>
      </c>
      <c r="DT25" s="22">
        <f>IF(AND($H25&lt;&gt;"",$AJ25&lt;&gt;"",$H25&lt;&gt;$AJ25,IFERROR(VLOOKUP($H25,areaCercaPuntiClassificaSquadra,3,FALSE),-1)=IFERROR(VLOOKUP($AJ25,areaCercaPuntiClassificaSquadra,3,FALSE),-2)),SUMIFS(Dati!$F$2:$F$761,Dati!$A$2:$A$761,$H25,Dati!$H$2:$H$761,$AJ25)+SUMIFS(Dati!$M$2:$M$761,Dati!$H$2:$H$761,$H25,Dati!$A$2:$A$761,$AJ25),"-")</f>
        <v/>
      </c>
      <c r="DU25" s="22">
        <f>IF(AND($H25&lt;&gt;"",$AK25&lt;&gt;"",$H25&lt;&gt;$AK25,IFERROR(VLOOKUP($H25,areaCercaPuntiClassificaSquadra,3,FALSE),-1)=IFERROR(VLOOKUP($AK25,areaCercaPuntiClassificaSquadra,3,FALSE),-2)),SUMIFS(Dati!$F$2:$F$761,Dati!$A$2:$A$761,$H25,Dati!$H$2:$H$761,$AK25)+SUMIFS(Dati!$M$2:$M$761,Dati!$H$2:$H$761,$H25,Dati!$A$2:$A$761,$AK25),"-")</f>
        <v/>
      </c>
      <c r="DV25" s="22">
        <f>IF(AND($H25&lt;&gt;"",$AL25&lt;&gt;"",$H25&lt;&gt;$AL25,IFERROR(VLOOKUP($H25,areaCercaPuntiClassificaSquadra,3,FALSE),-1)=IFERROR(VLOOKUP($AL25,areaCercaPuntiClassificaSquadra,3,FALSE),-2)),SUMIFS(Dati!$F$2:$F$761,Dati!$A$2:$A$761,$H25,Dati!$H$2:$H$761,$AL25)+SUMIFS(Dati!$M$2:$M$761,Dati!$H$2:$H$761,$H25,Dati!$A$2:$A$761,$AL25),"-")</f>
        <v/>
      </c>
      <c r="DW25" s="22">
        <f>IF(AND($H25&lt;&gt;"",$AM25&lt;&gt;"",$H25&lt;&gt;$AM25,IFERROR(VLOOKUP($H25,areaCercaPuntiClassificaSquadra,3,FALSE),-1)=IFERROR(VLOOKUP($AM25,areaCercaPuntiClassificaSquadra,3,FALSE),-2)),SUMIFS(Dati!$F$2:$F$761,Dati!$A$2:$A$761,$H25,Dati!$H$2:$H$761,$AM25)+SUMIFS(Dati!$M$2:$M$761,Dati!$H$2:$H$761,$H25,Dati!$A$2:$A$761,$AM25),"-")</f>
        <v/>
      </c>
      <c r="DX25" s="22">
        <f>IF(AND($H25&lt;&gt;"",$AN25&lt;&gt;"",$H25&lt;&gt;$AN25,IFERROR(VLOOKUP($H25,areaCercaPuntiClassificaSquadra,3,FALSE),-1)=IFERROR(VLOOKUP($AN25,areaCercaPuntiClassificaSquadra,3,FALSE),-2)),SUMIFS(Dati!$F$2:$F$761,Dati!$A$2:$A$761,$H25,Dati!$H$2:$H$761,$AN25)+SUMIFS(Dati!$M$2:$M$761,Dati!$H$2:$H$761,$H25,Dati!$A$2:$A$761,$AN25),"-")</f>
        <v/>
      </c>
      <c r="DY25" s="22">
        <f>IF(AND($H25&lt;&gt;"",$AO25&lt;&gt;"",$H25&lt;&gt;$AO25,IFERROR(VLOOKUP($H25,areaCercaPuntiClassificaSquadra,3,FALSE),-1)=IFERROR(VLOOKUP($AO25,areaCercaPuntiClassificaSquadra,3,FALSE),-2)),SUMIFS(Dati!$F$2:$F$761,Dati!$A$2:$A$761,$H25,Dati!$H$2:$H$761,$AO25)+SUMIFS(Dati!$M$2:$M$761,Dati!$H$2:$H$761,$H25,Dati!$A$2:$A$761,$AO25),"-")</f>
        <v/>
      </c>
      <c r="DZ25" s="22">
        <f>IF(AND($H25&lt;&gt;"",$AP25&lt;&gt;"",$H25&lt;&gt;$AP25,IFERROR(VLOOKUP($H25,areaCercaPuntiClassificaSquadra,3,FALSE),-1)=IFERROR(VLOOKUP($AP25,areaCercaPuntiClassificaSquadra,3,FALSE),-2)),SUMIFS(Dati!$F$2:$F$761,Dati!$A$2:$A$761,$H25,Dati!$H$2:$H$761,$AP25)+SUMIFS(Dati!$M$2:$M$761,Dati!$H$2:$H$761,$H25,Dati!$A$2:$A$761,$AP25),"-")</f>
        <v/>
      </c>
      <c r="EA25" s="22">
        <f>IF(AND($H25&lt;&gt;"",$AQ25&lt;&gt;"",$H25&lt;&gt;$AQ25,IFERROR(VLOOKUP($H25,areaCercaPuntiClassificaSquadra,3,FALSE),-1)=IFERROR(VLOOKUP($AQ25,areaCercaPuntiClassificaSquadra,3,FALSE),-2)),SUMIFS(Dati!$F$2:$F$761,Dati!$A$2:$A$761,$H25,Dati!$H$2:$H$761,$AQ25)+SUMIFS(Dati!$M$2:$M$761,Dati!$H$2:$H$761,$H25,Dati!$A$2:$A$761,$AQ25),"-")</f>
        <v/>
      </c>
      <c r="EB25" s="22">
        <f>IF(AND($H25&lt;&gt;"",$AR25&lt;&gt;"",$H25&lt;&gt;$AR25,IFERROR(VLOOKUP($H25,areaCercaPuntiClassificaSquadra,3,FALSE),-1)=IFERROR(VLOOKUP($AR25,areaCercaPuntiClassificaSquadra,3,FALSE),-2)),SUMIFS(Dati!$F$2:$F$761,Dati!$A$2:$A$761,$H25,Dati!$H$2:$H$761,$AR25)+SUMIFS(Dati!$M$2:$M$761,Dati!$H$2:$H$761,$H25,Dati!$A$2:$A$761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inlineStr">
        <is>
          <t>Pantere Prudenti-Pantereopoli PI</t>
        </is>
      </c>
      <c r="D26" s="14" t="n"/>
      <c r="E26" s="15" t="inlineStr">
        <is>
          <t>A</t>
        </is>
      </c>
      <c r="G26" s="16">
        <f>IF($C26="","",$E26&amp;(COUNTIFS(I$14:I$93,"&gt;"&amp;I26,E$14:E$93,"="&amp;E26,C$14:C$93,"&lt;&gt;")+COUNTIFS(I$14:I$93,"="&amp;I26,H$14:H$93,"&lt;="&amp;H26,E$14:E$93,"="&amp;E26,C$14:C$93,"&lt;&gt;")))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L26*constPuntiVittoria+M26*constPuntiSconfitta+N26*constPuntiForfait+IF(D26="",0,D26)</f>
        <v/>
      </c>
      <c r="K26" s="12">
        <f>SUM(L26:N26)</f>
        <v/>
      </c>
      <c r="L26" s="12">
        <f>IF($H26="",0,SUMIF(Dati!$A$2:$A$761,$H26,Dati!$B$2:$B$761)+SUMIF(Dati!$H$2:$H$761,$H26,Dati!$I$2:$I$761))</f>
        <v/>
      </c>
      <c r="M26" s="12">
        <f>IF($H26="",0,SUMIF(Dati!$A$2:$A$761,$H26,Dati!$D$2:$D$761)+SUMIF(Dati!$H$2:$H$761,$H26,Dati!$K$2:$K$761))</f>
        <v/>
      </c>
      <c r="N26" s="12">
        <f>IF($H26="",0,SUMIF(Dati!$A$2:$A$761,$H26,Dati!$C$2:$C$761)+SUMIF(Dati!$H$2:$H$761,$H26,Dati!$J$2:$J$761))</f>
        <v/>
      </c>
      <c r="O26" s="12">
        <f>IF($H26="",0,SUMIF(Dati!$A$2:$A$761,$H26,Dati!$E$2:$E$761)+SUMIF(Dati!$H$2:$H$761,$H26,Dati!$L$2:$L$761))</f>
        <v/>
      </c>
      <c r="P26" s="12">
        <f>IF($H26="",0,SUMIF(Dati!$A$2:$A$761,$H26,Dati!$F$2:$F$761)+SUMIF(Dati!$H$2:$H$761,$H26,Dati!$M$2:$M$761))</f>
        <v/>
      </c>
      <c r="Q26" s="12">
        <f>IF($H26="",0,SUMIF(Dati!$A$2:$A$761,$H26,Dati!$G$2:$G$761)+SUMIF(Dati!$H$2:$H$761,$H26,Dati!$N$2:$N$761))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IF(COUNTIFS($E$14:$E$93,$E26,$J$14:$J$93,$J26,$C$14:$C$93,"&lt;&gt;")&lt;=1,"-",SUM(AU26:BN26)&amp;"-"&amp;SUM(BQ26:CJ26))</f>
        <v/>
      </c>
      <c r="V26" s="18">
        <f>IF(COUNTIFS($E$14:$E$93,$E26,$J$14:$J$93,$J26,$C$14:$C$93,"&lt;&gt;",$ED$14:$ED$93,$ED26)&lt;=1,"-",IF(SUM(DI26:EB26)=0,0,ROUND(SUM(CM26:DF26)/SUM(DI26:EB26),3)))</f>
        <v/>
      </c>
      <c r="W26" s="18">
        <f>IF(COUNTIFS($E$14:$E$93,$E26,$J$14:$J$93,$J26,$C$14:$C$93,"&lt;&gt;",$ED$14:$ED$93,$ED26,$V$14:$V$93,$V26)&lt;=1,"-",IF(P26=0,0,ROUND(O26/P26,3)))</f>
        <v/>
      </c>
      <c r="X26" s="19">
        <f>IF($C26="","",$E26&amp;"#"&amp;COUNTIFS($E$14:$E26,$E26,$C$14:$C26,"&lt;&gt;"))</f>
        <v/>
      </c>
      <c r="Y26" s="20">
        <f>IFERROR(INDEX($H$14:$H$93,MATCH($E26&amp;"#1",$X$14:$X$93,0)),"")</f>
        <v/>
      </c>
      <c r="Z26" s="20">
        <f>IFERROR(INDEX($H$14:$H$93,MATCH($E26&amp;"#2",$X$14:$X$93,0)),"")</f>
        <v/>
      </c>
      <c r="AA26" s="20">
        <f>IFERROR(INDEX($H$14:$H$93,MATCH($E26&amp;"#3",$X$14:$X$93,0)),"")</f>
        <v/>
      </c>
      <c r="AB26" s="20">
        <f>IFERROR(INDEX($H$14:$H$93,MATCH($E26&amp;"#4",$X$14:$X$93,0)),"")</f>
        <v/>
      </c>
      <c r="AC26" s="20">
        <f>IFERROR(INDEX($H$14:$H$93,MATCH($E26&amp;"#5",$X$14:$X$93,0)),"")</f>
        <v/>
      </c>
      <c r="AD26" s="20">
        <f>IFERROR(INDEX($H$14:$H$93,MATCH($E26&amp;"#6",$X$14:$X$93,0)),"")</f>
        <v/>
      </c>
      <c r="AE26" s="20">
        <f>IFERROR(INDEX($H$14:$H$93,MATCH($E26&amp;"#7",$X$14:$X$93,0)),"")</f>
        <v/>
      </c>
      <c r="AF26" s="20">
        <f>IFERROR(INDEX($H$14:$H$93,MATCH($E26&amp;"#8",$X$14:$X$93,0)),"")</f>
        <v/>
      </c>
      <c r="AG26" s="20">
        <f>IFERROR(INDEX($H$14:$H$93,MATCH($E26&amp;"#9",$X$14:$X$93,0)),"")</f>
        <v/>
      </c>
      <c r="AH26" s="20">
        <f>IFERROR(INDEX($H$14:$H$93,MATCH($E26&amp;"#10",$X$14:$X$93,0)),"")</f>
        <v/>
      </c>
      <c r="AI26" s="20">
        <f>IFERROR(INDEX($H$14:$H$93,MATCH($E26&amp;"#11",$X$14:$X$93,0)),"")</f>
        <v/>
      </c>
      <c r="AJ26" s="20">
        <f>IFERROR(INDEX($H$14:$H$93,MATCH($E26&amp;"#12",$X$14:$X$93,0)),"")</f>
        <v/>
      </c>
      <c r="AK26" s="20">
        <f>IFERROR(INDEX($H$14:$H$93,MATCH($E26&amp;"#13",$X$14:$X$93,0)),"")</f>
        <v/>
      </c>
      <c r="AL26" s="20">
        <f>IFERROR(INDEX($H$14:$H$93,MATCH($E26&amp;"#14",$X$14:$X$93,0)),"")</f>
        <v/>
      </c>
      <c r="AM26" s="20">
        <f>IFERROR(INDEX($H$14:$H$93,MATCH($E26&amp;"#15",$X$14:$X$93,0)),"")</f>
        <v/>
      </c>
      <c r="AN26" s="20">
        <f>IFERROR(INDEX($H$14:$H$93,MATCH($E26&amp;"#16",$X$14:$X$93,0)),"")</f>
        <v/>
      </c>
      <c r="AO26" s="20">
        <f>IFERROR(INDEX($H$14:$H$93,MATCH($E26&amp;"#17",$X$14:$X$93,0)),"")</f>
        <v/>
      </c>
      <c r="AP26" s="20">
        <f>IFERROR(INDEX($H$14:$H$93,MATCH($E26&amp;"#18",$X$14:$X$93,0)),"")</f>
        <v/>
      </c>
      <c r="AQ26" s="20">
        <f>IFERROR(INDEX($H$14:$H$93,MATCH($E26&amp;"#19",$X$14:$X$93,0)),"")</f>
        <v/>
      </c>
      <c r="AR26" s="20">
        <f>IFERROR(INDEX($H$14:$H$93,MATCH($E26&amp;"#20",$X$14:$X$93,0)),"")</f>
        <v/>
      </c>
      <c r="AT26" s="21">
        <f>$C26</f>
        <v/>
      </c>
      <c r="AU26" s="22">
        <f>IF(AND($H26&lt;&gt;"",$Y26&lt;&gt;"",$H26&lt;&gt;$Y26,IFERROR(VLOOKUP($H26,areaCercaPuntiClassificaSquadra,3,FALSE),-1)=IFERROR(VLOOKUP($Y26,areaCercaPuntiClassificaSquadra,3,FALSE),-2)),SUMIFS(Dati!$B$2:$B$761,Dati!$A$2:$A$761,$H26,Dati!$H$2:$H$761,$Y26)+SUMIFS(Dati!$I$2:$I$761,Dati!$H$2:$H$761,$H26,Dati!$A$2:$A$761,$Y26),"-")</f>
        <v/>
      </c>
      <c r="AV26" s="22">
        <f>IF(AND($H26&lt;&gt;"",$Z26&lt;&gt;"",$H26&lt;&gt;$Z26,IFERROR(VLOOKUP($H26,areaCercaPuntiClassificaSquadra,3,FALSE),-1)=IFERROR(VLOOKUP($Z26,areaCercaPuntiClassificaSquadra,3,FALSE),-2)),SUMIFS(Dati!$B$2:$B$761,Dati!$A$2:$A$761,$H26,Dati!$H$2:$H$761,$Z26)+SUMIFS(Dati!$I$2:$I$761,Dati!$H$2:$H$761,$H26,Dati!$A$2:$A$761,$Z26),"-")</f>
        <v/>
      </c>
      <c r="AW26" s="22">
        <f>IF(AND($H26&lt;&gt;"",$AA26&lt;&gt;"",$H26&lt;&gt;$AA26,IFERROR(VLOOKUP($H26,areaCercaPuntiClassificaSquadra,3,FALSE),-1)=IFERROR(VLOOKUP($AA26,areaCercaPuntiClassificaSquadra,3,FALSE),-2)),SUMIFS(Dati!$B$2:$B$761,Dati!$A$2:$A$761,$H26,Dati!$H$2:$H$761,$AA26)+SUMIFS(Dati!$I$2:$I$761,Dati!$H$2:$H$761,$H26,Dati!$A$2:$A$761,$AA26),"-")</f>
        <v/>
      </c>
      <c r="AX26" s="22">
        <f>IF(AND($H26&lt;&gt;"",$AB26&lt;&gt;"",$H26&lt;&gt;$AB26,IFERROR(VLOOKUP($H26,areaCercaPuntiClassificaSquadra,3,FALSE),-1)=IFERROR(VLOOKUP($AB26,areaCercaPuntiClassificaSquadra,3,FALSE),-2)),SUMIFS(Dati!$B$2:$B$761,Dati!$A$2:$A$761,$H26,Dati!$H$2:$H$761,$AB26)+SUMIFS(Dati!$I$2:$I$761,Dati!$H$2:$H$761,$H26,Dati!$A$2:$A$761,$AB26),"-")</f>
        <v/>
      </c>
      <c r="AY26" s="22">
        <f>IF(AND($H26&lt;&gt;"",$AC26&lt;&gt;"",$H26&lt;&gt;$AC26,IFERROR(VLOOKUP($H26,areaCercaPuntiClassificaSquadra,3,FALSE),-1)=IFERROR(VLOOKUP($AC26,areaCercaPuntiClassificaSquadra,3,FALSE),-2)),SUMIFS(Dati!$B$2:$B$761,Dati!$A$2:$A$761,$H26,Dati!$H$2:$H$761,$AC26)+SUMIFS(Dati!$I$2:$I$761,Dati!$H$2:$H$761,$H26,Dati!$A$2:$A$761,$AC26),"-")</f>
        <v/>
      </c>
      <c r="AZ26" s="22">
        <f>IF(AND($H26&lt;&gt;"",$AD26&lt;&gt;"",$H26&lt;&gt;$AD26,IFERROR(VLOOKUP($H26,areaCercaPuntiClassificaSquadra,3,FALSE),-1)=IFERROR(VLOOKUP($AD26,areaCercaPuntiClassificaSquadra,3,FALSE),-2)),SUMIFS(Dati!$B$2:$B$761,Dati!$A$2:$A$761,$H26,Dati!$H$2:$H$761,$AD26)+SUMIFS(Dati!$I$2:$I$761,Dati!$H$2:$H$761,$H26,Dati!$A$2:$A$761,$AD26),"-")</f>
        <v/>
      </c>
      <c r="BA26" s="22">
        <f>IF(AND($H26&lt;&gt;"",$AE26&lt;&gt;"",$H26&lt;&gt;$AE26,IFERROR(VLOOKUP($H26,areaCercaPuntiClassificaSquadra,3,FALSE),-1)=IFERROR(VLOOKUP($AE26,areaCercaPuntiClassificaSquadra,3,FALSE),-2)),SUMIFS(Dati!$B$2:$B$761,Dati!$A$2:$A$761,$H26,Dati!$H$2:$H$761,$AE26)+SUMIFS(Dati!$I$2:$I$761,Dati!$H$2:$H$761,$H26,Dati!$A$2:$A$761,$AE26),"-")</f>
        <v/>
      </c>
      <c r="BB26" s="22">
        <f>IF(AND($H26&lt;&gt;"",$AF26&lt;&gt;"",$H26&lt;&gt;$AF26,IFERROR(VLOOKUP($H26,areaCercaPuntiClassificaSquadra,3,FALSE),-1)=IFERROR(VLOOKUP($AF26,areaCercaPuntiClassificaSquadra,3,FALSE),-2)),SUMIFS(Dati!$B$2:$B$761,Dati!$A$2:$A$761,$H26,Dati!$H$2:$H$761,$AF26)+SUMIFS(Dati!$I$2:$I$761,Dati!$H$2:$H$761,$H26,Dati!$A$2:$A$761,$AF26),"-")</f>
        <v/>
      </c>
      <c r="BC26" s="22">
        <f>IF(AND($H26&lt;&gt;"",$AG26&lt;&gt;"",$H26&lt;&gt;$AG26,IFERROR(VLOOKUP($H26,areaCercaPuntiClassificaSquadra,3,FALSE),-1)=IFERROR(VLOOKUP($AG26,areaCercaPuntiClassificaSquadra,3,FALSE),-2)),SUMIFS(Dati!$B$2:$B$761,Dati!$A$2:$A$761,$H26,Dati!$H$2:$H$761,$AG26)+SUMIFS(Dati!$I$2:$I$761,Dati!$H$2:$H$761,$H26,Dati!$A$2:$A$761,$AG26),"-")</f>
        <v/>
      </c>
      <c r="BD26" s="22">
        <f>IF(AND($H26&lt;&gt;"",$AH26&lt;&gt;"",$H26&lt;&gt;$AH26,IFERROR(VLOOKUP($H26,areaCercaPuntiClassificaSquadra,3,FALSE),-1)=IFERROR(VLOOKUP($AH26,areaCercaPuntiClassificaSquadra,3,FALSE),-2)),SUMIFS(Dati!$B$2:$B$761,Dati!$A$2:$A$761,$H26,Dati!$H$2:$H$761,$AH26)+SUMIFS(Dati!$I$2:$I$761,Dati!$H$2:$H$761,$H26,Dati!$A$2:$A$761,$AH26),"-")</f>
        <v/>
      </c>
      <c r="BE26" s="22">
        <f>IF(AND($H26&lt;&gt;"",$AI26&lt;&gt;"",$H26&lt;&gt;$AI26,IFERROR(VLOOKUP($H26,areaCercaPuntiClassificaSquadra,3,FALSE),-1)=IFERROR(VLOOKUP($AI26,areaCercaPuntiClassificaSquadra,3,FALSE),-2)),SUMIFS(Dati!$B$2:$B$761,Dati!$A$2:$A$761,$H26,Dati!$H$2:$H$761,$AI26)+SUMIFS(Dati!$I$2:$I$761,Dati!$H$2:$H$761,$H26,Dati!$A$2:$A$761,$AI26),"-")</f>
        <v/>
      </c>
      <c r="BF26" s="22">
        <f>IF(AND($H26&lt;&gt;"",$AJ26&lt;&gt;"",$H26&lt;&gt;$AJ26,IFERROR(VLOOKUP($H26,areaCercaPuntiClassificaSquadra,3,FALSE),-1)=IFERROR(VLOOKUP($AJ26,areaCercaPuntiClassificaSquadra,3,FALSE),-2)),SUMIFS(Dati!$B$2:$B$761,Dati!$A$2:$A$761,$H26,Dati!$H$2:$H$761,$AJ26)+SUMIFS(Dati!$I$2:$I$761,Dati!$H$2:$H$761,$H26,Dati!$A$2:$A$761,$AJ26),"-")</f>
        <v/>
      </c>
      <c r="BG26" s="22">
        <f>IF(AND($H26&lt;&gt;"",$AK26&lt;&gt;"",$H26&lt;&gt;$AK26,IFERROR(VLOOKUP($H26,areaCercaPuntiClassificaSquadra,3,FALSE),-1)=IFERROR(VLOOKUP($AK26,areaCercaPuntiClassificaSquadra,3,FALSE),-2)),SUMIFS(Dati!$B$2:$B$761,Dati!$A$2:$A$761,$H26,Dati!$H$2:$H$761,$AK26)+SUMIFS(Dati!$I$2:$I$761,Dati!$H$2:$H$761,$H26,Dati!$A$2:$A$761,$AK26),"-")</f>
        <v/>
      </c>
      <c r="BH26" s="22">
        <f>IF(AND($H26&lt;&gt;"",$AL26&lt;&gt;"",$H26&lt;&gt;$AL26,IFERROR(VLOOKUP($H26,areaCercaPuntiClassificaSquadra,3,FALSE),-1)=IFERROR(VLOOKUP($AL26,areaCercaPuntiClassificaSquadra,3,FALSE),-2)),SUMIFS(Dati!$B$2:$B$761,Dati!$A$2:$A$761,$H26,Dati!$H$2:$H$761,$AL26)+SUMIFS(Dati!$I$2:$I$761,Dati!$H$2:$H$761,$H26,Dati!$A$2:$A$761,$AL26),"-")</f>
        <v/>
      </c>
      <c r="BI26" s="22">
        <f>IF(AND($H26&lt;&gt;"",$AM26&lt;&gt;"",$H26&lt;&gt;$AM26,IFERROR(VLOOKUP($H26,areaCercaPuntiClassificaSquadra,3,FALSE),-1)=IFERROR(VLOOKUP($AM26,areaCercaPuntiClassificaSquadra,3,FALSE),-2)),SUMIFS(Dati!$B$2:$B$761,Dati!$A$2:$A$761,$H26,Dati!$H$2:$H$761,$AM26)+SUMIFS(Dati!$I$2:$I$761,Dati!$H$2:$H$761,$H26,Dati!$A$2:$A$761,$AM26),"-")</f>
        <v/>
      </c>
      <c r="BJ26" s="22">
        <f>IF(AND($H26&lt;&gt;"",$AN26&lt;&gt;"",$H26&lt;&gt;$AN26,IFERROR(VLOOKUP($H26,areaCercaPuntiClassificaSquadra,3,FALSE),-1)=IFERROR(VLOOKUP($AN26,areaCercaPuntiClassificaSquadra,3,FALSE),-2)),SUMIFS(Dati!$B$2:$B$761,Dati!$A$2:$A$761,$H26,Dati!$H$2:$H$761,$AN26)+SUMIFS(Dati!$I$2:$I$761,Dati!$H$2:$H$761,$H26,Dati!$A$2:$A$761,$AN26),"-")</f>
        <v/>
      </c>
      <c r="BK26" s="22">
        <f>IF(AND($H26&lt;&gt;"",$AO26&lt;&gt;"",$H26&lt;&gt;$AO26,IFERROR(VLOOKUP($H26,areaCercaPuntiClassificaSquadra,3,FALSE),-1)=IFERROR(VLOOKUP($AO26,areaCercaPuntiClassificaSquadra,3,FALSE),-2)),SUMIFS(Dati!$B$2:$B$761,Dati!$A$2:$A$761,$H26,Dati!$H$2:$H$761,$AO26)+SUMIFS(Dati!$I$2:$I$761,Dati!$H$2:$H$761,$H26,Dati!$A$2:$A$761,$AO26),"-")</f>
        <v/>
      </c>
      <c r="BL26" s="22">
        <f>IF(AND($H26&lt;&gt;"",$AP26&lt;&gt;"",$H26&lt;&gt;$AP26,IFERROR(VLOOKUP($H26,areaCercaPuntiClassificaSquadra,3,FALSE),-1)=IFERROR(VLOOKUP($AP26,areaCercaPuntiClassificaSquadra,3,FALSE),-2)),SUMIFS(Dati!$B$2:$B$761,Dati!$A$2:$A$761,$H26,Dati!$H$2:$H$761,$AP26)+SUMIFS(Dati!$I$2:$I$761,Dati!$H$2:$H$761,$H26,Dati!$A$2:$A$761,$AP26),"-")</f>
        <v/>
      </c>
      <c r="BM26" s="22">
        <f>IF(AND($H26&lt;&gt;"",$AQ26&lt;&gt;"",$H26&lt;&gt;$AQ26,IFERROR(VLOOKUP($H26,areaCercaPuntiClassificaSquadra,3,FALSE),-1)=IFERROR(VLOOKUP($AQ26,areaCercaPuntiClassificaSquadra,3,FALSE),-2)),SUMIFS(Dati!$B$2:$B$761,Dati!$A$2:$A$761,$H26,Dati!$H$2:$H$761,$AQ26)+SUMIFS(Dati!$I$2:$I$761,Dati!$H$2:$H$761,$H26,Dati!$A$2:$A$761,$AQ26),"-")</f>
        <v/>
      </c>
      <c r="BN26" s="22">
        <f>IF(AND($H26&lt;&gt;"",$AR26&lt;&gt;"",$H26&lt;&gt;$AR26,IFERROR(VLOOKUP($H26,areaCercaPuntiClassificaSquadra,3,FALSE),-1)=IFERROR(VLOOKUP($AR26,areaCercaPuntiClassificaSquadra,3,FALSE),-2)),SUMIFS(Dati!$B$2:$B$761,Dati!$A$2:$A$761,$H26,Dati!$H$2:$H$761,$AR26)+SUMIFS(Dati!$I$2:$I$761,Dati!$H$2:$H$761,$H26,Dati!$A$2:$A$761,$AR26),"-")</f>
        <v/>
      </c>
      <c r="BP26" s="21">
        <f>$C26</f>
        <v/>
      </c>
      <c r="BQ26" s="22">
        <f>IF(AND($H26&lt;&gt;"",$Y26&lt;&gt;"",$H26&lt;&gt;$Y26,IFERROR(VLOOKUP($H26,areaCercaPuntiClassificaSquadra,3,FALSE),-1)=IFERROR(VLOOKUP($Y26,areaCercaPuntiClassificaSquadra,3,FALSE),-2)),SUMIFS(Dati!$D$2:$D$761,Dati!$A$2:$A$761,$H26,Dati!$H$2:$H$761,$Y26)+SUMIFS(Dati!$K$2:$K$761,Dati!$H$2:$H$761,$H26,Dati!$A$2:$A$761,$Y26)+SUMIFS(Dati!$C$2:$C$761,Dati!$A$2:$A$761,$H26,Dati!$H$2:$H$761,$Y26)+SUMIFS(Dati!$J$2:$J$761,Dati!$H$2:$H$761,$H26,Dati!$A$2:$A$761,$Y26),"-")</f>
        <v/>
      </c>
      <c r="BR26" s="22">
        <f>IF(AND($H26&lt;&gt;"",$Z26&lt;&gt;"",$H26&lt;&gt;$Z26,IFERROR(VLOOKUP($H26,areaCercaPuntiClassificaSquadra,3,FALSE),-1)=IFERROR(VLOOKUP($Z26,areaCercaPuntiClassificaSquadra,3,FALSE),-2)),SUMIFS(Dati!$D$2:$D$761,Dati!$A$2:$A$761,$H26,Dati!$H$2:$H$761,$Z26)+SUMIFS(Dati!$K$2:$K$761,Dati!$H$2:$H$761,$H26,Dati!$A$2:$A$761,$Z26)+SUMIFS(Dati!$C$2:$C$761,Dati!$A$2:$A$761,$H26,Dati!$H$2:$H$761,$Z26)+SUMIFS(Dati!$J$2:$J$761,Dati!$H$2:$H$761,$H26,Dati!$A$2:$A$761,$Z26),"-")</f>
        <v/>
      </c>
      <c r="BS26" s="22">
        <f>IF(AND($H26&lt;&gt;"",$AA26&lt;&gt;"",$H26&lt;&gt;$AA26,IFERROR(VLOOKUP($H26,areaCercaPuntiClassificaSquadra,3,FALSE),-1)=IFERROR(VLOOKUP($AA26,areaCercaPuntiClassificaSquadra,3,FALSE),-2)),SUMIFS(Dati!$D$2:$D$761,Dati!$A$2:$A$761,$H26,Dati!$H$2:$H$761,$AA26)+SUMIFS(Dati!$K$2:$K$761,Dati!$H$2:$H$761,$H26,Dati!$A$2:$A$761,$AA26)+SUMIFS(Dati!$C$2:$C$761,Dati!$A$2:$A$761,$H26,Dati!$H$2:$H$761,$AA26)+SUMIFS(Dati!$J$2:$J$761,Dati!$H$2:$H$761,$H26,Dati!$A$2:$A$761,$AA26),"-")</f>
        <v/>
      </c>
      <c r="BT26" s="22">
        <f>IF(AND($H26&lt;&gt;"",$AB26&lt;&gt;"",$H26&lt;&gt;$AB26,IFERROR(VLOOKUP($H26,areaCercaPuntiClassificaSquadra,3,FALSE),-1)=IFERROR(VLOOKUP($AB26,areaCercaPuntiClassificaSquadra,3,FALSE),-2)),SUMIFS(Dati!$D$2:$D$761,Dati!$A$2:$A$761,$H26,Dati!$H$2:$H$761,$AB26)+SUMIFS(Dati!$K$2:$K$761,Dati!$H$2:$H$761,$H26,Dati!$A$2:$A$761,$AB26)+SUMIFS(Dati!$C$2:$C$761,Dati!$A$2:$A$761,$H26,Dati!$H$2:$H$761,$AB26)+SUMIFS(Dati!$J$2:$J$761,Dati!$H$2:$H$761,$H26,Dati!$A$2:$A$761,$AB26),"-")</f>
        <v/>
      </c>
      <c r="BU26" s="22">
        <f>IF(AND($H26&lt;&gt;"",$AC26&lt;&gt;"",$H26&lt;&gt;$AC26,IFERROR(VLOOKUP($H26,areaCercaPuntiClassificaSquadra,3,FALSE),-1)=IFERROR(VLOOKUP($AC26,areaCercaPuntiClassificaSquadra,3,FALSE),-2)),SUMIFS(Dati!$D$2:$D$761,Dati!$A$2:$A$761,$H26,Dati!$H$2:$H$761,$AC26)+SUMIFS(Dati!$K$2:$K$761,Dati!$H$2:$H$761,$H26,Dati!$A$2:$A$761,$AC26)+SUMIFS(Dati!$C$2:$C$761,Dati!$A$2:$A$761,$H26,Dati!$H$2:$H$761,$AC26)+SUMIFS(Dati!$J$2:$J$761,Dati!$H$2:$H$761,$H26,Dati!$A$2:$A$761,$AC26),"-")</f>
        <v/>
      </c>
      <c r="BV26" s="22">
        <f>IF(AND($H26&lt;&gt;"",$AD26&lt;&gt;"",$H26&lt;&gt;$AD26,IFERROR(VLOOKUP($H26,areaCercaPuntiClassificaSquadra,3,FALSE),-1)=IFERROR(VLOOKUP($AD26,areaCercaPuntiClassificaSquadra,3,FALSE),-2)),SUMIFS(Dati!$D$2:$D$761,Dati!$A$2:$A$761,$H26,Dati!$H$2:$H$761,$AD26)+SUMIFS(Dati!$K$2:$K$761,Dati!$H$2:$H$761,$H26,Dati!$A$2:$A$761,$AD26)+SUMIFS(Dati!$C$2:$C$761,Dati!$A$2:$A$761,$H26,Dati!$H$2:$H$761,$AD26)+SUMIFS(Dati!$J$2:$J$761,Dati!$H$2:$H$761,$H26,Dati!$A$2:$A$761,$AD26),"-")</f>
        <v/>
      </c>
      <c r="BW26" s="22">
        <f>IF(AND($H26&lt;&gt;"",$AE26&lt;&gt;"",$H26&lt;&gt;$AE26,IFERROR(VLOOKUP($H26,areaCercaPuntiClassificaSquadra,3,FALSE),-1)=IFERROR(VLOOKUP($AE26,areaCercaPuntiClassificaSquadra,3,FALSE),-2)),SUMIFS(Dati!$D$2:$D$761,Dati!$A$2:$A$761,$H26,Dati!$H$2:$H$761,$AE26)+SUMIFS(Dati!$K$2:$K$761,Dati!$H$2:$H$761,$H26,Dati!$A$2:$A$761,$AE26)+SUMIFS(Dati!$C$2:$C$761,Dati!$A$2:$A$761,$H26,Dati!$H$2:$H$761,$AE26)+SUMIFS(Dati!$J$2:$J$761,Dati!$H$2:$H$761,$H26,Dati!$A$2:$A$761,$AE26),"-")</f>
        <v/>
      </c>
      <c r="BX26" s="22">
        <f>IF(AND($H26&lt;&gt;"",$AF26&lt;&gt;"",$H26&lt;&gt;$AF26,IFERROR(VLOOKUP($H26,areaCercaPuntiClassificaSquadra,3,FALSE),-1)=IFERROR(VLOOKUP($AF26,areaCercaPuntiClassificaSquadra,3,FALSE),-2)),SUMIFS(Dati!$D$2:$D$761,Dati!$A$2:$A$761,$H26,Dati!$H$2:$H$761,$AF26)+SUMIFS(Dati!$K$2:$K$761,Dati!$H$2:$H$761,$H26,Dati!$A$2:$A$761,$AF26)+SUMIFS(Dati!$C$2:$C$761,Dati!$A$2:$A$761,$H26,Dati!$H$2:$H$761,$AF26)+SUMIFS(Dati!$J$2:$J$761,Dati!$H$2:$H$761,$H26,Dati!$A$2:$A$761,$AF26),"-")</f>
        <v/>
      </c>
      <c r="BY26" s="22">
        <f>IF(AND($H26&lt;&gt;"",$AG26&lt;&gt;"",$H26&lt;&gt;$AG26,IFERROR(VLOOKUP($H26,areaCercaPuntiClassificaSquadra,3,FALSE),-1)=IFERROR(VLOOKUP($AG26,areaCercaPuntiClassificaSquadra,3,FALSE),-2)),SUMIFS(Dati!$D$2:$D$761,Dati!$A$2:$A$761,$H26,Dati!$H$2:$H$761,$AG26)+SUMIFS(Dati!$K$2:$K$761,Dati!$H$2:$H$761,$H26,Dati!$A$2:$A$761,$AG26)+SUMIFS(Dati!$C$2:$C$761,Dati!$A$2:$A$761,$H26,Dati!$H$2:$H$761,$AG26)+SUMIFS(Dati!$J$2:$J$761,Dati!$H$2:$H$761,$H26,Dati!$A$2:$A$761,$AG26),"-")</f>
        <v/>
      </c>
      <c r="BZ26" s="22">
        <f>IF(AND($H26&lt;&gt;"",$AH26&lt;&gt;"",$H26&lt;&gt;$AH26,IFERROR(VLOOKUP($H26,areaCercaPuntiClassificaSquadra,3,FALSE),-1)=IFERROR(VLOOKUP($AH26,areaCercaPuntiClassificaSquadra,3,FALSE),-2)),SUMIFS(Dati!$D$2:$D$761,Dati!$A$2:$A$761,$H26,Dati!$H$2:$H$761,$AH26)+SUMIFS(Dati!$K$2:$K$761,Dati!$H$2:$H$761,$H26,Dati!$A$2:$A$761,$AH26)+SUMIFS(Dati!$C$2:$C$761,Dati!$A$2:$A$761,$H26,Dati!$H$2:$H$761,$AH26)+SUMIFS(Dati!$J$2:$J$761,Dati!$H$2:$H$761,$H26,Dati!$A$2:$A$761,$AH26),"-")</f>
        <v/>
      </c>
      <c r="CA26" s="22">
        <f>IF(AND($H26&lt;&gt;"",$AI26&lt;&gt;"",$H26&lt;&gt;$AI26,IFERROR(VLOOKUP($H26,areaCercaPuntiClassificaSquadra,3,FALSE),-1)=IFERROR(VLOOKUP($AI26,areaCercaPuntiClassificaSquadra,3,FALSE),-2)),SUMIFS(Dati!$D$2:$D$761,Dati!$A$2:$A$761,$H26,Dati!$H$2:$H$761,$AI26)+SUMIFS(Dati!$K$2:$K$761,Dati!$H$2:$H$761,$H26,Dati!$A$2:$A$761,$AI26)+SUMIFS(Dati!$C$2:$C$761,Dati!$A$2:$A$761,$H26,Dati!$H$2:$H$761,$AI26)+SUMIFS(Dati!$J$2:$J$761,Dati!$H$2:$H$761,$H26,Dati!$A$2:$A$761,$AI26),"-")</f>
        <v/>
      </c>
      <c r="CB26" s="22">
        <f>IF(AND($H26&lt;&gt;"",$AJ26&lt;&gt;"",$H26&lt;&gt;$AJ26,IFERROR(VLOOKUP($H26,areaCercaPuntiClassificaSquadra,3,FALSE),-1)=IFERROR(VLOOKUP($AJ26,areaCercaPuntiClassificaSquadra,3,FALSE),-2)),SUMIFS(Dati!$D$2:$D$761,Dati!$A$2:$A$761,$H26,Dati!$H$2:$H$761,$AJ26)+SUMIFS(Dati!$K$2:$K$761,Dati!$H$2:$H$761,$H26,Dati!$A$2:$A$761,$AJ26)+SUMIFS(Dati!$C$2:$C$761,Dati!$A$2:$A$761,$H26,Dati!$H$2:$H$761,$AJ26)+SUMIFS(Dati!$J$2:$J$761,Dati!$H$2:$H$761,$H26,Dati!$A$2:$A$761,$AJ26),"-")</f>
        <v/>
      </c>
      <c r="CC26" s="22">
        <f>IF(AND($H26&lt;&gt;"",$AK26&lt;&gt;"",$H26&lt;&gt;$AK26,IFERROR(VLOOKUP($H26,areaCercaPuntiClassificaSquadra,3,FALSE),-1)=IFERROR(VLOOKUP($AK26,areaCercaPuntiClassificaSquadra,3,FALSE),-2)),SUMIFS(Dati!$D$2:$D$761,Dati!$A$2:$A$761,$H26,Dati!$H$2:$H$761,$AK26)+SUMIFS(Dati!$K$2:$K$761,Dati!$H$2:$H$761,$H26,Dati!$A$2:$A$761,$AK26)+SUMIFS(Dati!$C$2:$C$761,Dati!$A$2:$A$761,$H26,Dati!$H$2:$H$761,$AK26)+SUMIFS(Dati!$J$2:$J$761,Dati!$H$2:$H$761,$H26,Dati!$A$2:$A$761,$AK26),"-")</f>
        <v/>
      </c>
      <c r="CD26" s="22">
        <f>IF(AND($H26&lt;&gt;"",$AL26&lt;&gt;"",$H26&lt;&gt;$AL26,IFERROR(VLOOKUP($H26,areaCercaPuntiClassificaSquadra,3,FALSE),-1)=IFERROR(VLOOKUP($AL26,areaCercaPuntiClassificaSquadra,3,FALSE),-2)),SUMIFS(Dati!$D$2:$D$761,Dati!$A$2:$A$761,$H26,Dati!$H$2:$H$761,$AL26)+SUMIFS(Dati!$K$2:$K$761,Dati!$H$2:$H$761,$H26,Dati!$A$2:$A$761,$AL26)+SUMIFS(Dati!$C$2:$C$761,Dati!$A$2:$A$761,$H26,Dati!$H$2:$H$761,$AL26)+SUMIFS(Dati!$J$2:$J$761,Dati!$H$2:$H$761,$H26,Dati!$A$2:$A$761,$AL26),"-")</f>
        <v/>
      </c>
      <c r="CE26" s="22">
        <f>IF(AND($H26&lt;&gt;"",$AM26&lt;&gt;"",$H26&lt;&gt;$AM26,IFERROR(VLOOKUP($H26,areaCercaPuntiClassificaSquadra,3,FALSE),-1)=IFERROR(VLOOKUP($AM26,areaCercaPuntiClassificaSquadra,3,FALSE),-2)),SUMIFS(Dati!$D$2:$D$761,Dati!$A$2:$A$761,$H26,Dati!$H$2:$H$761,$AM26)+SUMIFS(Dati!$K$2:$K$761,Dati!$H$2:$H$761,$H26,Dati!$A$2:$A$761,$AM26)+SUMIFS(Dati!$C$2:$C$761,Dati!$A$2:$A$761,$H26,Dati!$H$2:$H$761,$AM26)+SUMIFS(Dati!$J$2:$J$761,Dati!$H$2:$H$761,$H26,Dati!$A$2:$A$761,$AM26),"-")</f>
        <v/>
      </c>
      <c r="CF26" s="22">
        <f>IF(AND($H26&lt;&gt;"",$AN26&lt;&gt;"",$H26&lt;&gt;$AN26,IFERROR(VLOOKUP($H26,areaCercaPuntiClassificaSquadra,3,FALSE),-1)=IFERROR(VLOOKUP($AN26,areaCercaPuntiClassificaSquadra,3,FALSE),-2)),SUMIFS(Dati!$D$2:$D$761,Dati!$A$2:$A$761,$H26,Dati!$H$2:$H$761,$AN26)+SUMIFS(Dati!$K$2:$K$761,Dati!$H$2:$H$761,$H26,Dati!$A$2:$A$761,$AN26)+SUMIFS(Dati!$C$2:$C$761,Dati!$A$2:$A$761,$H26,Dati!$H$2:$H$761,$AN26)+SUMIFS(Dati!$J$2:$J$761,Dati!$H$2:$H$761,$H26,Dati!$A$2:$A$761,$AN26),"-")</f>
        <v/>
      </c>
      <c r="CG26" s="22">
        <f>IF(AND($H26&lt;&gt;"",$AO26&lt;&gt;"",$H26&lt;&gt;$AO26,IFERROR(VLOOKUP($H26,areaCercaPuntiClassificaSquadra,3,FALSE),-1)=IFERROR(VLOOKUP($AO26,areaCercaPuntiClassificaSquadra,3,FALSE),-2)),SUMIFS(Dati!$D$2:$D$761,Dati!$A$2:$A$761,$H26,Dati!$H$2:$H$761,$AO26)+SUMIFS(Dati!$K$2:$K$761,Dati!$H$2:$H$761,$H26,Dati!$A$2:$A$761,$AO26)+SUMIFS(Dati!$C$2:$C$761,Dati!$A$2:$A$761,$H26,Dati!$H$2:$H$761,$AO26)+SUMIFS(Dati!$J$2:$J$761,Dati!$H$2:$H$761,$H26,Dati!$A$2:$A$761,$AO26),"-")</f>
        <v/>
      </c>
      <c r="CH26" s="22">
        <f>IF(AND($H26&lt;&gt;"",$AP26&lt;&gt;"",$H26&lt;&gt;$AP26,IFERROR(VLOOKUP($H26,areaCercaPuntiClassificaSquadra,3,FALSE),-1)=IFERROR(VLOOKUP($AP26,areaCercaPuntiClassificaSquadra,3,FALSE),-2)),SUMIFS(Dati!$D$2:$D$761,Dati!$A$2:$A$761,$H26,Dati!$H$2:$H$761,$AP26)+SUMIFS(Dati!$K$2:$K$761,Dati!$H$2:$H$761,$H26,Dati!$A$2:$A$761,$AP26)+SUMIFS(Dati!$C$2:$C$761,Dati!$A$2:$A$761,$H26,Dati!$H$2:$H$761,$AP26)+SUMIFS(Dati!$J$2:$J$761,Dati!$H$2:$H$761,$H26,Dati!$A$2:$A$761,$AP26),"-")</f>
        <v/>
      </c>
      <c r="CI26" s="22">
        <f>IF(AND($H26&lt;&gt;"",$AQ26&lt;&gt;"",$H26&lt;&gt;$AQ26,IFERROR(VLOOKUP($H26,areaCercaPuntiClassificaSquadra,3,FALSE),-1)=IFERROR(VLOOKUP($AQ26,areaCercaPuntiClassificaSquadra,3,FALSE),-2)),SUMIFS(Dati!$D$2:$D$761,Dati!$A$2:$A$761,$H26,Dati!$H$2:$H$761,$AQ26)+SUMIFS(Dati!$K$2:$K$761,Dati!$H$2:$H$761,$H26,Dati!$A$2:$A$761,$AQ26)+SUMIFS(Dati!$C$2:$C$761,Dati!$A$2:$A$761,$H26,Dati!$H$2:$H$761,$AQ26)+SUMIFS(Dati!$J$2:$J$761,Dati!$H$2:$H$761,$H26,Dati!$A$2:$A$761,$AQ26),"-")</f>
        <v/>
      </c>
      <c r="CJ26" s="22">
        <f>IF(AND($H26&lt;&gt;"",$AR26&lt;&gt;"",$H26&lt;&gt;$AR26,IFERROR(VLOOKUP($H26,areaCercaPuntiClassificaSquadra,3,FALSE),-1)=IFERROR(VLOOKUP($AR26,areaCercaPuntiClassificaSquadra,3,FALSE),-2)),SUMIFS(Dati!$D$2:$D$761,Dati!$A$2:$A$761,$H26,Dati!$H$2:$H$761,$AR26)+SUMIFS(Dati!$K$2:$K$761,Dati!$H$2:$H$761,$H26,Dati!$A$2:$A$761,$AR26)+SUMIFS(Dati!$C$2:$C$761,Dati!$A$2:$A$761,$H26,Dati!$H$2:$H$761,$AR26)+SUMIFS(Dati!$J$2:$J$761,Dati!$H$2:$H$761,$H26,Dati!$A$2:$A$761,$AR26),"-")</f>
        <v/>
      </c>
      <c r="CL26" s="21">
        <f>$C26</f>
        <v/>
      </c>
      <c r="CM26" s="22">
        <f>IF(AND($H26&lt;&gt;"",$Y26&lt;&gt;"",$H26&lt;&gt;$Y26,IFERROR(VLOOKUP($H26,areaCercaPuntiClassificaSquadra,3,FALSE),-1)=IFERROR(VLOOKUP($Y26,areaCercaPuntiClassificaSquadra,3,FALSE),-2)),SUMIFS(Dati!$E$2:$E$761,Dati!$A$2:$A$761,$H26,Dati!$H$2:$H$761,$Y26)+SUMIFS(Dati!$L$2:$L$761,Dati!$H$2:$H$761,$H26,Dati!$A$2:$A$761,$Y26),"-")</f>
        <v/>
      </c>
      <c r="CN26" s="22">
        <f>IF(AND($H26&lt;&gt;"",$Z26&lt;&gt;"",$H26&lt;&gt;$Z26,IFERROR(VLOOKUP($H26,areaCercaPuntiClassificaSquadra,3,FALSE),-1)=IFERROR(VLOOKUP($Z26,areaCercaPuntiClassificaSquadra,3,FALSE),-2)),SUMIFS(Dati!$E$2:$E$761,Dati!$A$2:$A$761,$H26,Dati!$H$2:$H$761,$Z26)+SUMIFS(Dati!$L$2:$L$761,Dati!$H$2:$H$761,$H26,Dati!$A$2:$A$761,$Z26),"-")</f>
        <v/>
      </c>
      <c r="CO26" s="22">
        <f>IF(AND($H26&lt;&gt;"",$AA26&lt;&gt;"",$H26&lt;&gt;$AA26,IFERROR(VLOOKUP($H26,areaCercaPuntiClassificaSquadra,3,FALSE),-1)=IFERROR(VLOOKUP($AA26,areaCercaPuntiClassificaSquadra,3,FALSE),-2)),SUMIFS(Dati!$E$2:$E$761,Dati!$A$2:$A$761,$H26,Dati!$H$2:$H$761,$AA26)+SUMIFS(Dati!$L$2:$L$761,Dati!$H$2:$H$761,$H26,Dati!$A$2:$A$761,$AA26),"-")</f>
        <v/>
      </c>
      <c r="CP26" s="22">
        <f>IF(AND($H26&lt;&gt;"",$AB26&lt;&gt;"",$H26&lt;&gt;$AB26,IFERROR(VLOOKUP($H26,areaCercaPuntiClassificaSquadra,3,FALSE),-1)=IFERROR(VLOOKUP($AB26,areaCercaPuntiClassificaSquadra,3,FALSE),-2)),SUMIFS(Dati!$E$2:$E$761,Dati!$A$2:$A$761,$H26,Dati!$H$2:$H$761,$AB26)+SUMIFS(Dati!$L$2:$L$761,Dati!$H$2:$H$761,$H26,Dati!$A$2:$A$761,$AB26),"-")</f>
        <v/>
      </c>
      <c r="CQ26" s="22">
        <f>IF(AND($H26&lt;&gt;"",$AC26&lt;&gt;"",$H26&lt;&gt;$AC26,IFERROR(VLOOKUP($H26,areaCercaPuntiClassificaSquadra,3,FALSE),-1)=IFERROR(VLOOKUP($AC26,areaCercaPuntiClassificaSquadra,3,FALSE),-2)),SUMIFS(Dati!$E$2:$E$761,Dati!$A$2:$A$761,$H26,Dati!$H$2:$H$761,$AC26)+SUMIFS(Dati!$L$2:$L$761,Dati!$H$2:$H$761,$H26,Dati!$A$2:$A$761,$AC26),"-")</f>
        <v/>
      </c>
      <c r="CR26" s="22">
        <f>IF(AND($H26&lt;&gt;"",$AD26&lt;&gt;"",$H26&lt;&gt;$AD26,IFERROR(VLOOKUP($H26,areaCercaPuntiClassificaSquadra,3,FALSE),-1)=IFERROR(VLOOKUP($AD26,areaCercaPuntiClassificaSquadra,3,FALSE),-2)),SUMIFS(Dati!$E$2:$E$761,Dati!$A$2:$A$761,$H26,Dati!$H$2:$H$761,$AD26)+SUMIFS(Dati!$L$2:$L$761,Dati!$H$2:$H$761,$H26,Dati!$A$2:$A$761,$AD26),"-")</f>
        <v/>
      </c>
      <c r="CS26" s="22">
        <f>IF(AND($H26&lt;&gt;"",$AE26&lt;&gt;"",$H26&lt;&gt;$AE26,IFERROR(VLOOKUP($H26,areaCercaPuntiClassificaSquadra,3,FALSE),-1)=IFERROR(VLOOKUP($AE26,areaCercaPuntiClassificaSquadra,3,FALSE),-2)),SUMIFS(Dati!$E$2:$E$761,Dati!$A$2:$A$761,$H26,Dati!$H$2:$H$761,$AE26)+SUMIFS(Dati!$L$2:$L$761,Dati!$H$2:$H$761,$H26,Dati!$A$2:$A$761,$AE26),"-")</f>
        <v/>
      </c>
      <c r="CT26" s="22">
        <f>IF(AND($H26&lt;&gt;"",$AF26&lt;&gt;"",$H26&lt;&gt;$AF26,IFERROR(VLOOKUP($H26,areaCercaPuntiClassificaSquadra,3,FALSE),-1)=IFERROR(VLOOKUP($AF26,areaCercaPuntiClassificaSquadra,3,FALSE),-2)),SUMIFS(Dati!$E$2:$E$761,Dati!$A$2:$A$761,$H26,Dati!$H$2:$H$761,$AF26)+SUMIFS(Dati!$L$2:$L$761,Dati!$H$2:$H$761,$H26,Dati!$A$2:$A$761,$AF26),"-")</f>
        <v/>
      </c>
      <c r="CU26" s="22">
        <f>IF(AND($H26&lt;&gt;"",$AG26&lt;&gt;"",$H26&lt;&gt;$AG26,IFERROR(VLOOKUP($H26,areaCercaPuntiClassificaSquadra,3,FALSE),-1)=IFERROR(VLOOKUP($AG26,areaCercaPuntiClassificaSquadra,3,FALSE),-2)),SUMIFS(Dati!$E$2:$E$761,Dati!$A$2:$A$761,$H26,Dati!$H$2:$H$761,$AG26)+SUMIFS(Dati!$L$2:$L$761,Dati!$H$2:$H$761,$H26,Dati!$A$2:$A$761,$AG26),"-")</f>
        <v/>
      </c>
      <c r="CV26" s="22">
        <f>IF(AND($H26&lt;&gt;"",$AH26&lt;&gt;"",$H26&lt;&gt;$AH26,IFERROR(VLOOKUP($H26,areaCercaPuntiClassificaSquadra,3,FALSE),-1)=IFERROR(VLOOKUP($AH26,areaCercaPuntiClassificaSquadra,3,FALSE),-2)),SUMIFS(Dati!$E$2:$E$761,Dati!$A$2:$A$761,$H26,Dati!$H$2:$H$761,$AH26)+SUMIFS(Dati!$L$2:$L$761,Dati!$H$2:$H$761,$H26,Dati!$A$2:$A$761,$AH26),"-")</f>
        <v/>
      </c>
      <c r="CW26" s="22">
        <f>IF(AND($H26&lt;&gt;"",$AI26&lt;&gt;"",$H26&lt;&gt;$AI26,IFERROR(VLOOKUP($H26,areaCercaPuntiClassificaSquadra,3,FALSE),-1)=IFERROR(VLOOKUP($AI26,areaCercaPuntiClassificaSquadra,3,FALSE),-2)),SUMIFS(Dati!$E$2:$E$761,Dati!$A$2:$A$761,$H26,Dati!$H$2:$H$761,$AI26)+SUMIFS(Dati!$L$2:$L$761,Dati!$H$2:$H$761,$H26,Dati!$A$2:$A$761,$AI26),"-")</f>
        <v/>
      </c>
      <c r="CX26" s="22">
        <f>IF(AND($H26&lt;&gt;"",$AJ26&lt;&gt;"",$H26&lt;&gt;$AJ26,IFERROR(VLOOKUP($H26,areaCercaPuntiClassificaSquadra,3,FALSE),-1)=IFERROR(VLOOKUP($AJ26,areaCercaPuntiClassificaSquadra,3,FALSE),-2)),SUMIFS(Dati!$E$2:$E$761,Dati!$A$2:$A$761,$H26,Dati!$H$2:$H$761,$AJ26)+SUMIFS(Dati!$L$2:$L$761,Dati!$H$2:$H$761,$H26,Dati!$A$2:$A$761,$AJ26),"-")</f>
        <v/>
      </c>
      <c r="CY26" s="22">
        <f>IF(AND($H26&lt;&gt;"",$AK26&lt;&gt;"",$H26&lt;&gt;$AK26,IFERROR(VLOOKUP($H26,areaCercaPuntiClassificaSquadra,3,FALSE),-1)=IFERROR(VLOOKUP($AK26,areaCercaPuntiClassificaSquadra,3,FALSE),-2)),SUMIFS(Dati!$E$2:$E$761,Dati!$A$2:$A$761,$H26,Dati!$H$2:$H$761,$AK26)+SUMIFS(Dati!$L$2:$L$761,Dati!$H$2:$H$761,$H26,Dati!$A$2:$A$761,$AK26),"-")</f>
        <v/>
      </c>
      <c r="CZ26" s="22">
        <f>IF(AND($H26&lt;&gt;"",$AL26&lt;&gt;"",$H26&lt;&gt;$AL26,IFERROR(VLOOKUP($H26,areaCercaPuntiClassificaSquadra,3,FALSE),-1)=IFERROR(VLOOKUP($AL26,areaCercaPuntiClassificaSquadra,3,FALSE),-2)),SUMIFS(Dati!$E$2:$E$761,Dati!$A$2:$A$761,$H26,Dati!$H$2:$H$761,$AL26)+SUMIFS(Dati!$L$2:$L$761,Dati!$H$2:$H$761,$H26,Dati!$A$2:$A$761,$AL26),"-")</f>
        <v/>
      </c>
      <c r="DA26" s="22">
        <f>IF(AND($H26&lt;&gt;"",$AM26&lt;&gt;"",$H26&lt;&gt;$AM26,IFERROR(VLOOKUP($H26,areaCercaPuntiClassificaSquadra,3,FALSE),-1)=IFERROR(VLOOKUP($AM26,areaCercaPuntiClassificaSquadra,3,FALSE),-2)),SUMIFS(Dati!$E$2:$E$761,Dati!$A$2:$A$761,$H26,Dati!$H$2:$H$761,$AM26)+SUMIFS(Dati!$L$2:$L$761,Dati!$H$2:$H$761,$H26,Dati!$A$2:$A$761,$AM26),"-")</f>
        <v/>
      </c>
      <c r="DB26" s="22">
        <f>IF(AND($H26&lt;&gt;"",$AN26&lt;&gt;"",$H26&lt;&gt;$AN26,IFERROR(VLOOKUP($H26,areaCercaPuntiClassificaSquadra,3,FALSE),-1)=IFERROR(VLOOKUP($AN26,areaCercaPuntiClassificaSquadra,3,FALSE),-2)),SUMIFS(Dati!$E$2:$E$761,Dati!$A$2:$A$761,$H26,Dati!$H$2:$H$761,$AN26)+SUMIFS(Dati!$L$2:$L$761,Dati!$H$2:$H$761,$H26,Dati!$A$2:$A$761,$AN26),"-")</f>
        <v/>
      </c>
      <c r="DC26" s="22">
        <f>IF(AND($H26&lt;&gt;"",$AO26&lt;&gt;"",$H26&lt;&gt;$AO26,IFERROR(VLOOKUP($H26,areaCercaPuntiClassificaSquadra,3,FALSE),-1)=IFERROR(VLOOKUP($AO26,areaCercaPuntiClassificaSquadra,3,FALSE),-2)),SUMIFS(Dati!$E$2:$E$761,Dati!$A$2:$A$761,$H26,Dati!$H$2:$H$761,$AO26)+SUMIFS(Dati!$L$2:$L$761,Dati!$H$2:$H$761,$H26,Dati!$A$2:$A$761,$AO26),"-")</f>
        <v/>
      </c>
      <c r="DD26" s="22">
        <f>IF(AND($H26&lt;&gt;"",$AP26&lt;&gt;"",$H26&lt;&gt;$AP26,IFERROR(VLOOKUP($H26,areaCercaPuntiClassificaSquadra,3,FALSE),-1)=IFERROR(VLOOKUP($AP26,areaCercaPuntiClassificaSquadra,3,FALSE),-2)),SUMIFS(Dati!$E$2:$E$761,Dati!$A$2:$A$761,$H26,Dati!$H$2:$H$761,$AP26)+SUMIFS(Dati!$L$2:$L$761,Dati!$H$2:$H$761,$H26,Dati!$A$2:$A$761,$AP26),"-")</f>
        <v/>
      </c>
      <c r="DE26" s="22">
        <f>IF(AND($H26&lt;&gt;"",$AQ26&lt;&gt;"",$H26&lt;&gt;$AQ26,IFERROR(VLOOKUP($H26,areaCercaPuntiClassificaSquadra,3,FALSE),-1)=IFERROR(VLOOKUP($AQ26,areaCercaPuntiClassificaSquadra,3,FALSE),-2)),SUMIFS(Dati!$E$2:$E$761,Dati!$A$2:$A$761,$H26,Dati!$H$2:$H$761,$AQ26)+SUMIFS(Dati!$L$2:$L$761,Dati!$H$2:$H$761,$H26,Dati!$A$2:$A$761,$AQ26),"-")</f>
        <v/>
      </c>
      <c r="DF26" s="22">
        <f>IF(AND($H26&lt;&gt;"",$AR26&lt;&gt;"",$H26&lt;&gt;$AR26,IFERROR(VLOOKUP($H26,areaCercaPuntiClassificaSquadra,3,FALSE),-1)=IFERROR(VLOOKUP($AR26,areaCercaPuntiClassificaSquadra,3,FALSE),-2)),SUMIFS(Dati!$E$2:$E$761,Dati!$A$2:$A$761,$H26,Dati!$H$2:$H$761,$AR26)+SUMIFS(Dati!$L$2:$L$761,Dati!$H$2:$H$761,$H26,Dati!$A$2:$A$761,$AR26),"-")</f>
        <v/>
      </c>
      <c r="DH26" s="21">
        <f>$C26</f>
        <v/>
      </c>
      <c r="DI26" s="22">
        <f>IF(AND($H26&lt;&gt;"",$Y26&lt;&gt;"",$H26&lt;&gt;$Y26,IFERROR(VLOOKUP($H26,areaCercaPuntiClassificaSquadra,3,FALSE),-1)=IFERROR(VLOOKUP($Y26,areaCercaPuntiClassificaSquadra,3,FALSE),-2)),SUMIFS(Dati!$F$2:$F$761,Dati!$A$2:$A$761,$H26,Dati!$H$2:$H$761,$Y26)+SUMIFS(Dati!$M$2:$M$761,Dati!$H$2:$H$761,$H26,Dati!$A$2:$A$761,$Y26),"-")</f>
        <v/>
      </c>
      <c r="DJ26" s="22">
        <f>IF(AND($H26&lt;&gt;"",$Z26&lt;&gt;"",$H26&lt;&gt;$Z26,IFERROR(VLOOKUP($H26,areaCercaPuntiClassificaSquadra,3,FALSE),-1)=IFERROR(VLOOKUP($Z26,areaCercaPuntiClassificaSquadra,3,FALSE),-2)),SUMIFS(Dati!$F$2:$F$761,Dati!$A$2:$A$761,$H26,Dati!$H$2:$H$761,$Z26)+SUMIFS(Dati!$M$2:$M$761,Dati!$H$2:$H$761,$H26,Dati!$A$2:$A$761,$Z26),"-")</f>
        <v/>
      </c>
      <c r="DK26" s="22">
        <f>IF(AND($H26&lt;&gt;"",$AA26&lt;&gt;"",$H26&lt;&gt;$AA26,IFERROR(VLOOKUP($H26,areaCercaPuntiClassificaSquadra,3,FALSE),-1)=IFERROR(VLOOKUP($AA26,areaCercaPuntiClassificaSquadra,3,FALSE),-2)),SUMIFS(Dati!$F$2:$F$761,Dati!$A$2:$A$761,$H26,Dati!$H$2:$H$761,$AA26)+SUMIFS(Dati!$M$2:$M$761,Dati!$H$2:$H$761,$H26,Dati!$A$2:$A$761,$AA26),"-")</f>
        <v/>
      </c>
      <c r="DL26" s="22">
        <f>IF(AND($H26&lt;&gt;"",$AB26&lt;&gt;"",$H26&lt;&gt;$AB26,IFERROR(VLOOKUP($H26,areaCercaPuntiClassificaSquadra,3,FALSE),-1)=IFERROR(VLOOKUP($AB26,areaCercaPuntiClassificaSquadra,3,FALSE),-2)),SUMIFS(Dati!$F$2:$F$761,Dati!$A$2:$A$761,$H26,Dati!$H$2:$H$761,$AB26)+SUMIFS(Dati!$M$2:$M$761,Dati!$H$2:$H$761,$H26,Dati!$A$2:$A$761,$AB26),"-")</f>
        <v/>
      </c>
      <c r="DM26" s="22">
        <f>IF(AND($H26&lt;&gt;"",$AC26&lt;&gt;"",$H26&lt;&gt;$AC26,IFERROR(VLOOKUP($H26,areaCercaPuntiClassificaSquadra,3,FALSE),-1)=IFERROR(VLOOKUP($AC26,areaCercaPuntiClassificaSquadra,3,FALSE),-2)),SUMIFS(Dati!$F$2:$F$761,Dati!$A$2:$A$761,$H26,Dati!$H$2:$H$761,$AC26)+SUMIFS(Dati!$M$2:$M$761,Dati!$H$2:$H$761,$H26,Dati!$A$2:$A$761,$AC26),"-")</f>
        <v/>
      </c>
      <c r="DN26" s="22">
        <f>IF(AND($H26&lt;&gt;"",$AD26&lt;&gt;"",$H26&lt;&gt;$AD26,IFERROR(VLOOKUP($H26,areaCercaPuntiClassificaSquadra,3,FALSE),-1)=IFERROR(VLOOKUP($AD26,areaCercaPuntiClassificaSquadra,3,FALSE),-2)),SUMIFS(Dati!$F$2:$F$761,Dati!$A$2:$A$761,$H26,Dati!$H$2:$H$761,$AD26)+SUMIFS(Dati!$M$2:$M$761,Dati!$H$2:$H$761,$H26,Dati!$A$2:$A$761,$AD26),"-")</f>
        <v/>
      </c>
      <c r="DO26" s="22">
        <f>IF(AND($H26&lt;&gt;"",$AE26&lt;&gt;"",$H26&lt;&gt;$AE26,IFERROR(VLOOKUP($H26,areaCercaPuntiClassificaSquadra,3,FALSE),-1)=IFERROR(VLOOKUP($AE26,areaCercaPuntiClassificaSquadra,3,FALSE),-2)),SUMIFS(Dati!$F$2:$F$761,Dati!$A$2:$A$761,$H26,Dati!$H$2:$H$761,$AE26)+SUMIFS(Dati!$M$2:$M$761,Dati!$H$2:$H$761,$H26,Dati!$A$2:$A$761,$AE26),"-")</f>
        <v/>
      </c>
      <c r="DP26" s="22">
        <f>IF(AND($H26&lt;&gt;"",$AF26&lt;&gt;"",$H26&lt;&gt;$AF26,IFERROR(VLOOKUP($H26,areaCercaPuntiClassificaSquadra,3,FALSE),-1)=IFERROR(VLOOKUP($AF26,areaCercaPuntiClassificaSquadra,3,FALSE),-2)),SUMIFS(Dati!$F$2:$F$761,Dati!$A$2:$A$761,$H26,Dati!$H$2:$H$761,$AF26)+SUMIFS(Dati!$M$2:$M$761,Dati!$H$2:$H$761,$H26,Dati!$A$2:$A$761,$AF26),"-")</f>
        <v/>
      </c>
      <c r="DQ26" s="22">
        <f>IF(AND($H26&lt;&gt;"",$AG26&lt;&gt;"",$H26&lt;&gt;$AG26,IFERROR(VLOOKUP($H26,areaCercaPuntiClassificaSquadra,3,FALSE),-1)=IFERROR(VLOOKUP($AG26,areaCercaPuntiClassificaSquadra,3,FALSE),-2)),SUMIFS(Dati!$F$2:$F$761,Dati!$A$2:$A$761,$H26,Dati!$H$2:$H$761,$AG26)+SUMIFS(Dati!$M$2:$M$761,Dati!$H$2:$H$761,$H26,Dati!$A$2:$A$761,$AG26),"-")</f>
        <v/>
      </c>
      <c r="DR26" s="22">
        <f>IF(AND($H26&lt;&gt;"",$AH26&lt;&gt;"",$H26&lt;&gt;$AH26,IFERROR(VLOOKUP($H26,areaCercaPuntiClassificaSquadra,3,FALSE),-1)=IFERROR(VLOOKUP($AH26,areaCercaPuntiClassificaSquadra,3,FALSE),-2)),SUMIFS(Dati!$F$2:$F$761,Dati!$A$2:$A$761,$H26,Dati!$H$2:$H$761,$AH26)+SUMIFS(Dati!$M$2:$M$761,Dati!$H$2:$H$761,$H26,Dati!$A$2:$A$761,$AH26),"-")</f>
        <v/>
      </c>
      <c r="DS26" s="22">
        <f>IF(AND($H26&lt;&gt;"",$AI26&lt;&gt;"",$H26&lt;&gt;$AI26,IFERROR(VLOOKUP($H26,areaCercaPuntiClassificaSquadra,3,FALSE),-1)=IFERROR(VLOOKUP($AI26,areaCercaPuntiClassificaSquadra,3,FALSE),-2)),SUMIFS(Dati!$F$2:$F$761,Dati!$A$2:$A$761,$H26,Dati!$H$2:$H$761,$AI26)+SUMIFS(Dati!$M$2:$M$761,Dati!$H$2:$H$761,$H26,Dati!$A$2:$A$761,$AI26),"-")</f>
        <v/>
      </c>
      <c r="DT26" s="22">
        <f>IF(AND($H26&lt;&gt;"",$AJ26&lt;&gt;"",$H26&lt;&gt;$AJ26,IFERROR(VLOOKUP($H26,areaCercaPuntiClassificaSquadra,3,FALSE),-1)=IFERROR(VLOOKUP($AJ26,areaCercaPuntiClassificaSquadra,3,FALSE),-2)),SUMIFS(Dati!$F$2:$F$761,Dati!$A$2:$A$761,$H26,Dati!$H$2:$H$761,$AJ26)+SUMIFS(Dati!$M$2:$M$761,Dati!$H$2:$H$761,$H26,Dati!$A$2:$A$761,$AJ26),"-")</f>
        <v/>
      </c>
      <c r="DU26" s="22">
        <f>IF(AND($H26&lt;&gt;"",$AK26&lt;&gt;"",$H26&lt;&gt;$AK26,IFERROR(VLOOKUP($H26,areaCercaPuntiClassificaSquadra,3,FALSE),-1)=IFERROR(VLOOKUP($AK26,areaCercaPuntiClassificaSquadra,3,FALSE),-2)),SUMIFS(Dati!$F$2:$F$761,Dati!$A$2:$A$761,$H26,Dati!$H$2:$H$761,$AK26)+SUMIFS(Dati!$M$2:$M$761,Dati!$H$2:$H$761,$H26,Dati!$A$2:$A$761,$AK26),"-")</f>
        <v/>
      </c>
      <c r="DV26" s="22">
        <f>IF(AND($H26&lt;&gt;"",$AL26&lt;&gt;"",$H26&lt;&gt;$AL26,IFERROR(VLOOKUP($H26,areaCercaPuntiClassificaSquadra,3,FALSE),-1)=IFERROR(VLOOKUP($AL26,areaCercaPuntiClassificaSquadra,3,FALSE),-2)),SUMIFS(Dati!$F$2:$F$761,Dati!$A$2:$A$761,$H26,Dati!$H$2:$H$761,$AL26)+SUMIFS(Dati!$M$2:$M$761,Dati!$H$2:$H$761,$H26,Dati!$A$2:$A$761,$AL26),"-")</f>
        <v/>
      </c>
      <c r="DW26" s="22">
        <f>IF(AND($H26&lt;&gt;"",$AM26&lt;&gt;"",$H26&lt;&gt;$AM26,IFERROR(VLOOKUP($H26,areaCercaPuntiClassificaSquadra,3,FALSE),-1)=IFERROR(VLOOKUP($AM26,areaCercaPuntiClassificaSquadra,3,FALSE),-2)),SUMIFS(Dati!$F$2:$F$761,Dati!$A$2:$A$761,$H26,Dati!$H$2:$H$761,$AM26)+SUMIFS(Dati!$M$2:$M$761,Dati!$H$2:$H$761,$H26,Dati!$A$2:$A$761,$AM26),"-")</f>
        <v/>
      </c>
      <c r="DX26" s="22">
        <f>IF(AND($H26&lt;&gt;"",$AN26&lt;&gt;"",$H26&lt;&gt;$AN26,IFERROR(VLOOKUP($H26,areaCercaPuntiClassificaSquadra,3,FALSE),-1)=IFERROR(VLOOKUP($AN26,areaCercaPuntiClassificaSquadra,3,FALSE),-2)),SUMIFS(Dati!$F$2:$F$761,Dati!$A$2:$A$761,$H26,Dati!$H$2:$H$761,$AN26)+SUMIFS(Dati!$M$2:$M$761,Dati!$H$2:$H$761,$H26,Dati!$A$2:$A$761,$AN26),"-")</f>
        <v/>
      </c>
      <c r="DY26" s="22">
        <f>IF(AND($H26&lt;&gt;"",$AO26&lt;&gt;"",$H26&lt;&gt;$AO26,IFERROR(VLOOKUP($H26,areaCercaPuntiClassificaSquadra,3,FALSE),-1)=IFERROR(VLOOKUP($AO26,areaCercaPuntiClassificaSquadra,3,FALSE),-2)),SUMIFS(Dati!$F$2:$F$761,Dati!$A$2:$A$761,$H26,Dati!$H$2:$H$761,$AO26)+SUMIFS(Dati!$M$2:$M$761,Dati!$H$2:$H$761,$H26,Dati!$A$2:$A$761,$AO26),"-")</f>
        <v/>
      </c>
      <c r="DZ26" s="22">
        <f>IF(AND($H26&lt;&gt;"",$AP26&lt;&gt;"",$H26&lt;&gt;$AP26,IFERROR(VLOOKUP($H26,areaCercaPuntiClassificaSquadra,3,FALSE),-1)=IFERROR(VLOOKUP($AP26,areaCercaPuntiClassificaSquadra,3,FALSE),-2)),SUMIFS(Dati!$F$2:$F$761,Dati!$A$2:$A$761,$H26,Dati!$H$2:$H$761,$AP26)+SUMIFS(Dati!$M$2:$M$761,Dati!$H$2:$H$761,$H26,Dati!$A$2:$A$761,$AP26),"-")</f>
        <v/>
      </c>
      <c r="EA26" s="22">
        <f>IF(AND($H26&lt;&gt;"",$AQ26&lt;&gt;"",$H26&lt;&gt;$AQ26,IFERROR(VLOOKUP($H26,areaCercaPuntiClassificaSquadra,3,FALSE),-1)=IFERROR(VLOOKUP($AQ26,areaCercaPuntiClassificaSquadra,3,FALSE),-2)),SUMIFS(Dati!$F$2:$F$761,Dati!$A$2:$A$761,$H26,Dati!$H$2:$H$761,$AQ26)+SUMIFS(Dati!$M$2:$M$761,Dati!$H$2:$H$761,$H26,Dati!$A$2:$A$761,$AQ26),"-")</f>
        <v/>
      </c>
      <c r="EB26" s="22">
        <f>IF(AND($H26&lt;&gt;"",$AR26&lt;&gt;"",$H26&lt;&gt;$AR26,IFERROR(VLOOKUP($H26,areaCercaPuntiClassificaSquadra,3,FALSE),-1)=IFERROR(VLOOKUP($AR26,areaCercaPuntiClassificaSquadra,3,FALSE),-2)),SUMIFS(Dati!$F$2:$F$761,Dati!$A$2:$A$761,$H26,Dati!$H$2:$H$761,$AR26)+SUMIFS(Dati!$M$2:$M$761,Dati!$H$2:$H$761,$H26,Dati!$A$2:$A$761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inlineStr">
        <is>
          <t>Rinoceronti Regali-Rinocerontiopoli RO</t>
        </is>
      </c>
      <c r="D27" s="14" t="n"/>
      <c r="E27" s="15" t="inlineStr">
        <is>
          <t>A</t>
        </is>
      </c>
      <c r="G27" s="16">
        <f>IF($C27="","",$E27&amp;(COUNTIFS(I$14:I$93,"&gt;"&amp;I27,E$14:E$93,"="&amp;E27,C$14:C$93,"&lt;&gt;")+COUNTIFS(I$14:I$93,"="&amp;I27,H$14:H$93,"&lt;="&amp;H27,E$14:E$93,"="&amp;E27,C$14:C$93,"&lt;&gt;")))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L27*constPuntiVittoria+M27*constPuntiSconfitta+N27*constPuntiForfait+IF(D27="",0,D27)</f>
        <v/>
      </c>
      <c r="K27" s="12">
        <f>SUM(L27:N27)</f>
        <v/>
      </c>
      <c r="L27" s="12">
        <f>IF($H27="",0,SUMIF(Dati!$A$2:$A$761,$H27,Dati!$B$2:$B$761)+SUMIF(Dati!$H$2:$H$761,$H27,Dati!$I$2:$I$761))</f>
        <v/>
      </c>
      <c r="M27" s="12">
        <f>IF($H27="",0,SUMIF(Dati!$A$2:$A$761,$H27,Dati!$D$2:$D$761)+SUMIF(Dati!$H$2:$H$761,$H27,Dati!$K$2:$K$761))</f>
        <v/>
      </c>
      <c r="N27" s="12">
        <f>IF($H27="",0,SUMIF(Dati!$A$2:$A$761,$H27,Dati!$C$2:$C$761)+SUMIF(Dati!$H$2:$H$761,$H27,Dati!$J$2:$J$761))</f>
        <v/>
      </c>
      <c r="O27" s="12">
        <f>IF($H27="",0,SUMIF(Dati!$A$2:$A$761,$H27,Dati!$E$2:$E$761)+SUMIF(Dati!$H$2:$H$761,$H27,Dati!$L$2:$L$761))</f>
        <v/>
      </c>
      <c r="P27" s="12">
        <f>IF($H27="",0,SUMIF(Dati!$A$2:$A$761,$H27,Dati!$F$2:$F$761)+SUMIF(Dati!$H$2:$H$761,$H27,Dati!$M$2:$M$761))</f>
        <v/>
      </c>
      <c r="Q27" s="12">
        <f>IF($H27="",0,SUMIF(Dati!$A$2:$A$761,$H27,Dati!$G$2:$G$761)+SUMIF(Dati!$H$2:$H$761,$H27,Dati!$N$2:$N$761))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IF(COUNTIFS($E$14:$E$93,$E27,$J$14:$J$93,$J27,$C$14:$C$93,"&lt;&gt;")&lt;=1,"-",SUM(AU27:BN27)&amp;"-"&amp;SUM(BQ27:CJ27))</f>
        <v/>
      </c>
      <c r="V27" s="18">
        <f>IF(COUNTIFS($E$14:$E$93,$E27,$J$14:$J$93,$J27,$C$14:$C$93,"&lt;&gt;",$ED$14:$ED$93,$ED27)&lt;=1,"-",IF(SUM(DI27:EB27)=0,0,ROUND(SUM(CM27:DF27)/SUM(DI27:EB27),3)))</f>
        <v/>
      </c>
      <c r="W27" s="18">
        <f>IF(COUNTIFS($E$14:$E$93,$E27,$J$14:$J$93,$J27,$C$14:$C$93,"&lt;&gt;",$ED$14:$ED$93,$ED27,$V$14:$V$93,$V27)&lt;=1,"-",IF(P27=0,0,ROUND(O27/P27,3)))</f>
        <v/>
      </c>
      <c r="X27" s="19">
        <f>IF($C27="","",$E27&amp;"#"&amp;COUNTIFS($E$14:$E27,$E27,$C$14:$C27,"&lt;&gt;"))</f>
        <v/>
      </c>
      <c r="Y27" s="20">
        <f>IFERROR(INDEX($H$14:$H$93,MATCH($E27&amp;"#1",$X$14:$X$93,0)),"")</f>
        <v/>
      </c>
      <c r="Z27" s="20">
        <f>IFERROR(INDEX($H$14:$H$93,MATCH($E27&amp;"#2",$X$14:$X$93,0)),"")</f>
        <v/>
      </c>
      <c r="AA27" s="20">
        <f>IFERROR(INDEX($H$14:$H$93,MATCH($E27&amp;"#3",$X$14:$X$93,0)),"")</f>
        <v/>
      </c>
      <c r="AB27" s="20">
        <f>IFERROR(INDEX($H$14:$H$93,MATCH($E27&amp;"#4",$X$14:$X$93,0)),"")</f>
        <v/>
      </c>
      <c r="AC27" s="20">
        <f>IFERROR(INDEX($H$14:$H$93,MATCH($E27&amp;"#5",$X$14:$X$93,0)),"")</f>
        <v/>
      </c>
      <c r="AD27" s="20">
        <f>IFERROR(INDEX($H$14:$H$93,MATCH($E27&amp;"#6",$X$14:$X$93,0)),"")</f>
        <v/>
      </c>
      <c r="AE27" s="20">
        <f>IFERROR(INDEX($H$14:$H$93,MATCH($E27&amp;"#7",$X$14:$X$93,0)),"")</f>
        <v/>
      </c>
      <c r="AF27" s="20">
        <f>IFERROR(INDEX($H$14:$H$93,MATCH($E27&amp;"#8",$X$14:$X$93,0)),"")</f>
        <v/>
      </c>
      <c r="AG27" s="20">
        <f>IFERROR(INDEX($H$14:$H$93,MATCH($E27&amp;"#9",$X$14:$X$93,0)),"")</f>
        <v/>
      </c>
      <c r="AH27" s="20">
        <f>IFERROR(INDEX($H$14:$H$93,MATCH($E27&amp;"#10",$X$14:$X$93,0)),"")</f>
        <v/>
      </c>
      <c r="AI27" s="20">
        <f>IFERROR(INDEX($H$14:$H$93,MATCH($E27&amp;"#11",$X$14:$X$93,0)),"")</f>
        <v/>
      </c>
      <c r="AJ27" s="20">
        <f>IFERROR(INDEX($H$14:$H$93,MATCH($E27&amp;"#12",$X$14:$X$93,0)),"")</f>
        <v/>
      </c>
      <c r="AK27" s="20">
        <f>IFERROR(INDEX($H$14:$H$93,MATCH($E27&amp;"#13",$X$14:$X$93,0)),"")</f>
        <v/>
      </c>
      <c r="AL27" s="20">
        <f>IFERROR(INDEX($H$14:$H$93,MATCH($E27&amp;"#14",$X$14:$X$93,0)),"")</f>
        <v/>
      </c>
      <c r="AM27" s="20">
        <f>IFERROR(INDEX($H$14:$H$93,MATCH($E27&amp;"#15",$X$14:$X$93,0)),"")</f>
        <v/>
      </c>
      <c r="AN27" s="20">
        <f>IFERROR(INDEX($H$14:$H$93,MATCH($E27&amp;"#16",$X$14:$X$93,0)),"")</f>
        <v/>
      </c>
      <c r="AO27" s="20">
        <f>IFERROR(INDEX($H$14:$H$93,MATCH($E27&amp;"#17",$X$14:$X$93,0)),"")</f>
        <v/>
      </c>
      <c r="AP27" s="20">
        <f>IFERROR(INDEX($H$14:$H$93,MATCH($E27&amp;"#18",$X$14:$X$93,0)),"")</f>
        <v/>
      </c>
      <c r="AQ27" s="20">
        <f>IFERROR(INDEX($H$14:$H$93,MATCH($E27&amp;"#19",$X$14:$X$93,0)),"")</f>
        <v/>
      </c>
      <c r="AR27" s="20">
        <f>IFERROR(INDEX($H$14:$H$93,MATCH($E27&amp;"#20",$X$14:$X$93,0)),"")</f>
        <v/>
      </c>
      <c r="AT27" s="21">
        <f>$C27</f>
        <v/>
      </c>
      <c r="AU27" s="22">
        <f>IF(AND($H27&lt;&gt;"",$Y27&lt;&gt;"",$H27&lt;&gt;$Y27,IFERROR(VLOOKUP($H27,areaCercaPuntiClassificaSquadra,3,FALSE),-1)=IFERROR(VLOOKUP($Y27,areaCercaPuntiClassificaSquadra,3,FALSE),-2)),SUMIFS(Dati!$B$2:$B$761,Dati!$A$2:$A$761,$H27,Dati!$H$2:$H$761,$Y27)+SUMIFS(Dati!$I$2:$I$761,Dati!$H$2:$H$761,$H27,Dati!$A$2:$A$761,$Y27),"-")</f>
        <v/>
      </c>
      <c r="AV27" s="22">
        <f>IF(AND($H27&lt;&gt;"",$Z27&lt;&gt;"",$H27&lt;&gt;$Z27,IFERROR(VLOOKUP($H27,areaCercaPuntiClassificaSquadra,3,FALSE),-1)=IFERROR(VLOOKUP($Z27,areaCercaPuntiClassificaSquadra,3,FALSE),-2)),SUMIFS(Dati!$B$2:$B$761,Dati!$A$2:$A$761,$H27,Dati!$H$2:$H$761,$Z27)+SUMIFS(Dati!$I$2:$I$761,Dati!$H$2:$H$761,$H27,Dati!$A$2:$A$761,$Z27),"-")</f>
        <v/>
      </c>
      <c r="AW27" s="22">
        <f>IF(AND($H27&lt;&gt;"",$AA27&lt;&gt;"",$H27&lt;&gt;$AA27,IFERROR(VLOOKUP($H27,areaCercaPuntiClassificaSquadra,3,FALSE),-1)=IFERROR(VLOOKUP($AA27,areaCercaPuntiClassificaSquadra,3,FALSE),-2)),SUMIFS(Dati!$B$2:$B$761,Dati!$A$2:$A$761,$H27,Dati!$H$2:$H$761,$AA27)+SUMIFS(Dati!$I$2:$I$761,Dati!$H$2:$H$761,$H27,Dati!$A$2:$A$761,$AA27),"-")</f>
        <v/>
      </c>
      <c r="AX27" s="22">
        <f>IF(AND($H27&lt;&gt;"",$AB27&lt;&gt;"",$H27&lt;&gt;$AB27,IFERROR(VLOOKUP($H27,areaCercaPuntiClassificaSquadra,3,FALSE),-1)=IFERROR(VLOOKUP($AB27,areaCercaPuntiClassificaSquadra,3,FALSE),-2)),SUMIFS(Dati!$B$2:$B$761,Dati!$A$2:$A$761,$H27,Dati!$H$2:$H$761,$AB27)+SUMIFS(Dati!$I$2:$I$761,Dati!$H$2:$H$761,$H27,Dati!$A$2:$A$761,$AB27),"-")</f>
        <v/>
      </c>
      <c r="AY27" s="22">
        <f>IF(AND($H27&lt;&gt;"",$AC27&lt;&gt;"",$H27&lt;&gt;$AC27,IFERROR(VLOOKUP($H27,areaCercaPuntiClassificaSquadra,3,FALSE),-1)=IFERROR(VLOOKUP($AC27,areaCercaPuntiClassificaSquadra,3,FALSE),-2)),SUMIFS(Dati!$B$2:$B$761,Dati!$A$2:$A$761,$H27,Dati!$H$2:$H$761,$AC27)+SUMIFS(Dati!$I$2:$I$761,Dati!$H$2:$H$761,$H27,Dati!$A$2:$A$761,$AC27),"-")</f>
        <v/>
      </c>
      <c r="AZ27" s="22">
        <f>IF(AND($H27&lt;&gt;"",$AD27&lt;&gt;"",$H27&lt;&gt;$AD27,IFERROR(VLOOKUP($H27,areaCercaPuntiClassificaSquadra,3,FALSE),-1)=IFERROR(VLOOKUP($AD27,areaCercaPuntiClassificaSquadra,3,FALSE),-2)),SUMIFS(Dati!$B$2:$B$761,Dati!$A$2:$A$761,$H27,Dati!$H$2:$H$761,$AD27)+SUMIFS(Dati!$I$2:$I$761,Dati!$H$2:$H$761,$H27,Dati!$A$2:$A$761,$AD27),"-")</f>
        <v/>
      </c>
      <c r="BA27" s="22">
        <f>IF(AND($H27&lt;&gt;"",$AE27&lt;&gt;"",$H27&lt;&gt;$AE27,IFERROR(VLOOKUP($H27,areaCercaPuntiClassificaSquadra,3,FALSE),-1)=IFERROR(VLOOKUP($AE27,areaCercaPuntiClassificaSquadra,3,FALSE),-2)),SUMIFS(Dati!$B$2:$B$761,Dati!$A$2:$A$761,$H27,Dati!$H$2:$H$761,$AE27)+SUMIFS(Dati!$I$2:$I$761,Dati!$H$2:$H$761,$H27,Dati!$A$2:$A$761,$AE27),"-")</f>
        <v/>
      </c>
      <c r="BB27" s="22">
        <f>IF(AND($H27&lt;&gt;"",$AF27&lt;&gt;"",$H27&lt;&gt;$AF27,IFERROR(VLOOKUP($H27,areaCercaPuntiClassificaSquadra,3,FALSE),-1)=IFERROR(VLOOKUP($AF27,areaCercaPuntiClassificaSquadra,3,FALSE),-2)),SUMIFS(Dati!$B$2:$B$761,Dati!$A$2:$A$761,$H27,Dati!$H$2:$H$761,$AF27)+SUMIFS(Dati!$I$2:$I$761,Dati!$H$2:$H$761,$H27,Dati!$A$2:$A$761,$AF27),"-")</f>
        <v/>
      </c>
      <c r="BC27" s="22">
        <f>IF(AND($H27&lt;&gt;"",$AG27&lt;&gt;"",$H27&lt;&gt;$AG27,IFERROR(VLOOKUP($H27,areaCercaPuntiClassificaSquadra,3,FALSE),-1)=IFERROR(VLOOKUP($AG27,areaCercaPuntiClassificaSquadra,3,FALSE),-2)),SUMIFS(Dati!$B$2:$B$761,Dati!$A$2:$A$761,$H27,Dati!$H$2:$H$761,$AG27)+SUMIFS(Dati!$I$2:$I$761,Dati!$H$2:$H$761,$H27,Dati!$A$2:$A$761,$AG27),"-")</f>
        <v/>
      </c>
      <c r="BD27" s="22">
        <f>IF(AND($H27&lt;&gt;"",$AH27&lt;&gt;"",$H27&lt;&gt;$AH27,IFERROR(VLOOKUP($H27,areaCercaPuntiClassificaSquadra,3,FALSE),-1)=IFERROR(VLOOKUP($AH27,areaCercaPuntiClassificaSquadra,3,FALSE),-2)),SUMIFS(Dati!$B$2:$B$761,Dati!$A$2:$A$761,$H27,Dati!$H$2:$H$761,$AH27)+SUMIFS(Dati!$I$2:$I$761,Dati!$H$2:$H$761,$H27,Dati!$A$2:$A$761,$AH27),"-")</f>
        <v/>
      </c>
      <c r="BE27" s="22">
        <f>IF(AND($H27&lt;&gt;"",$AI27&lt;&gt;"",$H27&lt;&gt;$AI27,IFERROR(VLOOKUP($H27,areaCercaPuntiClassificaSquadra,3,FALSE),-1)=IFERROR(VLOOKUP($AI27,areaCercaPuntiClassificaSquadra,3,FALSE),-2)),SUMIFS(Dati!$B$2:$B$761,Dati!$A$2:$A$761,$H27,Dati!$H$2:$H$761,$AI27)+SUMIFS(Dati!$I$2:$I$761,Dati!$H$2:$H$761,$H27,Dati!$A$2:$A$761,$AI27),"-")</f>
        <v/>
      </c>
      <c r="BF27" s="22">
        <f>IF(AND($H27&lt;&gt;"",$AJ27&lt;&gt;"",$H27&lt;&gt;$AJ27,IFERROR(VLOOKUP($H27,areaCercaPuntiClassificaSquadra,3,FALSE),-1)=IFERROR(VLOOKUP($AJ27,areaCercaPuntiClassificaSquadra,3,FALSE),-2)),SUMIFS(Dati!$B$2:$B$761,Dati!$A$2:$A$761,$H27,Dati!$H$2:$H$761,$AJ27)+SUMIFS(Dati!$I$2:$I$761,Dati!$H$2:$H$761,$H27,Dati!$A$2:$A$761,$AJ27),"-")</f>
        <v/>
      </c>
      <c r="BG27" s="22">
        <f>IF(AND($H27&lt;&gt;"",$AK27&lt;&gt;"",$H27&lt;&gt;$AK27,IFERROR(VLOOKUP($H27,areaCercaPuntiClassificaSquadra,3,FALSE),-1)=IFERROR(VLOOKUP($AK27,areaCercaPuntiClassificaSquadra,3,FALSE),-2)),SUMIFS(Dati!$B$2:$B$761,Dati!$A$2:$A$761,$H27,Dati!$H$2:$H$761,$AK27)+SUMIFS(Dati!$I$2:$I$761,Dati!$H$2:$H$761,$H27,Dati!$A$2:$A$761,$AK27),"-")</f>
        <v/>
      </c>
      <c r="BH27" s="22">
        <f>IF(AND($H27&lt;&gt;"",$AL27&lt;&gt;"",$H27&lt;&gt;$AL27,IFERROR(VLOOKUP($H27,areaCercaPuntiClassificaSquadra,3,FALSE),-1)=IFERROR(VLOOKUP($AL27,areaCercaPuntiClassificaSquadra,3,FALSE),-2)),SUMIFS(Dati!$B$2:$B$761,Dati!$A$2:$A$761,$H27,Dati!$H$2:$H$761,$AL27)+SUMIFS(Dati!$I$2:$I$761,Dati!$H$2:$H$761,$H27,Dati!$A$2:$A$761,$AL27),"-")</f>
        <v/>
      </c>
      <c r="BI27" s="22">
        <f>IF(AND($H27&lt;&gt;"",$AM27&lt;&gt;"",$H27&lt;&gt;$AM27,IFERROR(VLOOKUP($H27,areaCercaPuntiClassificaSquadra,3,FALSE),-1)=IFERROR(VLOOKUP($AM27,areaCercaPuntiClassificaSquadra,3,FALSE),-2)),SUMIFS(Dati!$B$2:$B$761,Dati!$A$2:$A$761,$H27,Dati!$H$2:$H$761,$AM27)+SUMIFS(Dati!$I$2:$I$761,Dati!$H$2:$H$761,$H27,Dati!$A$2:$A$761,$AM27),"-")</f>
        <v/>
      </c>
      <c r="BJ27" s="22">
        <f>IF(AND($H27&lt;&gt;"",$AN27&lt;&gt;"",$H27&lt;&gt;$AN27,IFERROR(VLOOKUP($H27,areaCercaPuntiClassificaSquadra,3,FALSE),-1)=IFERROR(VLOOKUP($AN27,areaCercaPuntiClassificaSquadra,3,FALSE),-2)),SUMIFS(Dati!$B$2:$B$761,Dati!$A$2:$A$761,$H27,Dati!$H$2:$H$761,$AN27)+SUMIFS(Dati!$I$2:$I$761,Dati!$H$2:$H$761,$H27,Dati!$A$2:$A$761,$AN27),"-")</f>
        <v/>
      </c>
      <c r="BK27" s="22">
        <f>IF(AND($H27&lt;&gt;"",$AO27&lt;&gt;"",$H27&lt;&gt;$AO27,IFERROR(VLOOKUP($H27,areaCercaPuntiClassificaSquadra,3,FALSE),-1)=IFERROR(VLOOKUP($AO27,areaCercaPuntiClassificaSquadra,3,FALSE),-2)),SUMIFS(Dati!$B$2:$B$761,Dati!$A$2:$A$761,$H27,Dati!$H$2:$H$761,$AO27)+SUMIFS(Dati!$I$2:$I$761,Dati!$H$2:$H$761,$H27,Dati!$A$2:$A$761,$AO27),"-")</f>
        <v/>
      </c>
      <c r="BL27" s="22">
        <f>IF(AND($H27&lt;&gt;"",$AP27&lt;&gt;"",$H27&lt;&gt;$AP27,IFERROR(VLOOKUP($H27,areaCercaPuntiClassificaSquadra,3,FALSE),-1)=IFERROR(VLOOKUP($AP27,areaCercaPuntiClassificaSquadra,3,FALSE),-2)),SUMIFS(Dati!$B$2:$B$761,Dati!$A$2:$A$761,$H27,Dati!$H$2:$H$761,$AP27)+SUMIFS(Dati!$I$2:$I$761,Dati!$H$2:$H$761,$H27,Dati!$A$2:$A$761,$AP27),"-")</f>
        <v/>
      </c>
      <c r="BM27" s="22">
        <f>IF(AND($H27&lt;&gt;"",$AQ27&lt;&gt;"",$H27&lt;&gt;$AQ27,IFERROR(VLOOKUP($H27,areaCercaPuntiClassificaSquadra,3,FALSE),-1)=IFERROR(VLOOKUP($AQ27,areaCercaPuntiClassificaSquadra,3,FALSE),-2)),SUMIFS(Dati!$B$2:$B$761,Dati!$A$2:$A$761,$H27,Dati!$H$2:$H$761,$AQ27)+SUMIFS(Dati!$I$2:$I$761,Dati!$H$2:$H$761,$H27,Dati!$A$2:$A$761,$AQ27),"-")</f>
        <v/>
      </c>
      <c r="BN27" s="22">
        <f>IF(AND($H27&lt;&gt;"",$AR27&lt;&gt;"",$H27&lt;&gt;$AR27,IFERROR(VLOOKUP($H27,areaCercaPuntiClassificaSquadra,3,FALSE),-1)=IFERROR(VLOOKUP($AR27,areaCercaPuntiClassificaSquadra,3,FALSE),-2)),SUMIFS(Dati!$B$2:$B$761,Dati!$A$2:$A$761,$H27,Dati!$H$2:$H$761,$AR27)+SUMIFS(Dati!$I$2:$I$761,Dati!$H$2:$H$761,$H27,Dati!$A$2:$A$761,$AR27),"-")</f>
        <v/>
      </c>
      <c r="BP27" s="21">
        <f>$C27</f>
        <v/>
      </c>
      <c r="BQ27" s="22">
        <f>IF(AND($H27&lt;&gt;"",$Y27&lt;&gt;"",$H27&lt;&gt;$Y27,IFERROR(VLOOKUP($H27,areaCercaPuntiClassificaSquadra,3,FALSE),-1)=IFERROR(VLOOKUP($Y27,areaCercaPuntiClassificaSquadra,3,FALSE),-2)),SUMIFS(Dati!$D$2:$D$761,Dati!$A$2:$A$761,$H27,Dati!$H$2:$H$761,$Y27)+SUMIFS(Dati!$K$2:$K$761,Dati!$H$2:$H$761,$H27,Dati!$A$2:$A$761,$Y27)+SUMIFS(Dati!$C$2:$C$761,Dati!$A$2:$A$761,$H27,Dati!$H$2:$H$761,$Y27)+SUMIFS(Dati!$J$2:$J$761,Dati!$H$2:$H$761,$H27,Dati!$A$2:$A$761,$Y27),"-")</f>
        <v/>
      </c>
      <c r="BR27" s="22">
        <f>IF(AND($H27&lt;&gt;"",$Z27&lt;&gt;"",$H27&lt;&gt;$Z27,IFERROR(VLOOKUP($H27,areaCercaPuntiClassificaSquadra,3,FALSE),-1)=IFERROR(VLOOKUP($Z27,areaCercaPuntiClassificaSquadra,3,FALSE),-2)),SUMIFS(Dati!$D$2:$D$761,Dati!$A$2:$A$761,$H27,Dati!$H$2:$H$761,$Z27)+SUMIFS(Dati!$K$2:$K$761,Dati!$H$2:$H$761,$H27,Dati!$A$2:$A$761,$Z27)+SUMIFS(Dati!$C$2:$C$761,Dati!$A$2:$A$761,$H27,Dati!$H$2:$H$761,$Z27)+SUMIFS(Dati!$J$2:$J$761,Dati!$H$2:$H$761,$H27,Dati!$A$2:$A$761,$Z27),"-")</f>
        <v/>
      </c>
      <c r="BS27" s="22">
        <f>IF(AND($H27&lt;&gt;"",$AA27&lt;&gt;"",$H27&lt;&gt;$AA27,IFERROR(VLOOKUP($H27,areaCercaPuntiClassificaSquadra,3,FALSE),-1)=IFERROR(VLOOKUP($AA27,areaCercaPuntiClassificaSquadra,3,FALSE),-2)),SUMIFS(Dati!$D$2:$D$761,Dati!$A$2:$A$761,$H27,Dati!$H$2:$H$761,$AA27)+SUMIFS(Dati!$K$2:$K$761,Dati!$H$2:$H$761,$H27,Dati!$A$2:$A$761,$AA27)+SUMIFS(Dati!$C$2:$C$761,Dati!$A$2:$A$761,$H27,Dati!$H$2:$H$761,$AA27)+SUMIFS(Dati!$J$2:$J$761,Dati!$H$2:$H$761,$H27,Dati!$A$2:$A$761,$AA27),"-")</f>
        <v/>
      </c>
      <c r="BT27" s="22">
        <f>IF(AND($H27&lt;&gt;"",$AB27&lt;&gt;"",$H27&lt;&gt;$AB27,IFERROR(VLOOKUP($H27,areaCercaPuntiClassificaSquadra,3,FALSE),-1)=IFERROR(VLOOKUP($AB27,areaCercaPuntiClassificaSquadra,3,FALSE),-2)),SUMIFS(Dati!$D$2:$D$761,Dati!$A$2:$A$761,$H27,Dati!$H$2:$H$761,$AB27)+SUMIFS(Dati!$K$2:$K$761,Dati!$H$2:$H$761,$H27,Dati!$A$2:$A$761,$AB27)+SUMIFS(Dati!$C$2:$C$761,Dati!$A$2:$A$761,$H27,Dati!$H$2:$H$761,$AB27)+SUMIFS(Dati!$J$2:$J$761,Dati!$H$2:$H$761,$H27,Dati!$A$2:$A$761,$AB27),"-")</f>
        <v/>
      </c>
      <c r="BU27" s="22">
        <f>IF(AND($H27&lt;&gt;"",$AC27&lt;&gt;"",$H27&lt;&gt;$AC27,IFERROR(VLOOKUP($H27,areaCercaPuntiClassificaSquadra,3,FALSE),-1)=IFERROR(VLOOKUP($AC27,areaCercaPuntiClassificaSquadra,3,FALSE),-2)),SUMIFS(Dati!$D$2:$D$761,Dati!$A$2:$A$761,$H27,Dati!$H$2:$H$761,$AC27)+SUMIFS(Dati!$K$2:$K$761,Dati!$H$2:$H$761,$H27,Dati!$A$2:$A$761,$AC27)+SUMIFS(Dati!$C$2:$C$761,Dati!$A$2:$A$761,$H27,Dati!$H$2:$H$761,$AC27)+SUMIFS(Dati!$J$2:$J$761,Dati!$H$2:$H$761,$H27,Dati!$A$2:$A$761,$AC27),"-")</f>
        <v/>
      </c>
      <c r="BV27" s="22">
        <f>IF(AND($H27&lt;&gt;"",$AD27&lt;&gt;"",$H27&lt;&gt;$AD27,IFERROR(VLOOKUP($H27,areaCercaPuntiClassificaSquadra,3,FALSE),-1)=IFERROR(VLOOKUP($AD27,areaCercaPuntiClassificaSquadra,3,FALSE),-2)),SUMIFS(Dati!$D$2:$D$761,Dati!$A$2:$A$761,$H27,Dati!$H$2:$H$761,$AD27)+SUMIFS(Dati!$K$2:$K$761,Dati!$H$2:$H$761,$H27,Dati!$A$2:$A$761,$AD27)+SUMIFS(Dati!$C$2:$C$761,Dati!$A$2:$A$761,$H27,Dati!$H$2:$H$761,$AD27)+SUMIFS(Dati!$J$2:$J$761,Dati!$H$2:$H$761,$H27,Dati!$A$2:$A$761,$AD27),"-")</f>
        <v/>
      </c>
      <c r="BW27" s="22">
        <f>IF(AND($H27&lt;&gt;"",$AE27&lt;&gt;"",$H27&lt;&gt;$AE27,IFERROR(VLOOKUP($H27,areaCercaPuntiClassificaSquadra,3,FALSE),-1)=IFERROR(VLOOKUP($AE27,areaCercaPuntiClassificaSquadra,3,FALSE),-2)),SUMIFS(Dati!$D$2:$D$761,Dati!$A$2:$A$761,$H27,Dati!$H$2:$H$761,$AE27)+SUMIFS(Dati!$K$2:$K$761,Dati!$H$2:$H$761,$H27,Dati!$A$2:$A$761,$AE27)+SUMIFS(Dati!$C$2:$C$761,Dati!$A$2:$A$761,$H27,Dati!$H$2:$H$761,$AE27)+SUMIFS(Dati!$J$2:$J$761,Dati!$H$2:$H$761,$H27,Dati!$A$2:$A$761,$AE27),"-")</f>
        <v/>
      </c>
      <c r="BX27" s="22">
        <f>IF(AND($H27&lt;&gt;"",$AF27&lt;&gt;"",$H27&lt;&gt;$AF27,IFERROR(VLOOKUP($H27,areaCercaPuntiClassificaSquadra,3,FALSE),-1)=IFERROR(VLOOKUP($AF27,areaCercaPuntiClassificaSquadra,3,FALSE),-2)),SUMIFS(Dati!$D$2:$D$761,Dati!$A$2:$A$761,$H27,Dati!$H$2:$H$761,$AF27)+SUMIFS(Dati!$K$2:$K$761,Dati!$H$2:$H$761,$H27,Dati!$A$2:$A$761,$AF27)+SUMIFS(Dati!$C$2:$C$761,Dati!$A$2:$A$761,$H27,Dati!$H$2:$H$761,$AF27)+SUMIFS(Dati!$J$2:$J$761,Dati!$H$2:$H$761,$H27,Dati!$A$2:$A$761,$AF27),"-")</f>
        <v/>
      </c>
      <c r="BY27" s="22">
        <f>IF(AND($H27&lt;&gt;"",$AG27&lt;&gt;"",$H27&lt;&gt;$AG27,IFERROR(VLOOKUP($H27,areaCercaPuntiClassificaSquadra,3,FALSE),-1)=IFERROR(VLOOKUP($AG27,areaCercaPuntiClassificaSquadra,3,FALSE),-2)),SUMIFS(Dati!$D$2:$D$761,Dati!$A$2:$A$761,$H27,Dati!$H$2:$H$761,$AG27)+SUMIFS(Dati!$K$2:$K$761,Dati!$H$2:$H$761,$H27,Dati!$A$2:$A$761,$AG27)+SUMIFS(Dati!$C$2:$C$761,Dati!$A$2:$A$761,$H27,Dati!$H$2:$H$761,$AG27)+SUMIFS(Dati!$J$2:$J$761,Dati!$H$2:$H$761,$H27,Dati!$A$2:$A$761,$AG27),"-")</f>
        <v/>
      </c>
      <c r="BZ27" s="22">
        <f>IF(AND($H27&lt;&gt;"",$AH27&lt;&gt;"",$H27&lt;&gt;$AH27,IFERROR(VLOOKUP($H27,areaCercaPuntiClassificaSquadra,3,FALSE),-1)=IFERROR(VLOOKUP($AH27,areaCercaPuntiClassificaSquadra,3,FALSE),-2)),SUMIFS(Dati!$D$2:$D$761,Dati!$A$2:$A$761,$H27,Dati!$H$2:$H$761,$AH27)+SUMIFS(Dati!$K$2:$K$761,Dati!$H$2:$H$761,$H27,Dati!$A$2:$A$761,$AH27)+SUMIFS(Dati!$C$2:$C$761,Dati!$A$2:$A$761,$H27,Dati!$H$2:$H$761,$AH27)+SUMIFS(Dati!$J$2:$J$761,Dati!$H$2:$H$761,$H27,Dati!$A$2:$A$761,$AH27),"-")</f>
        <v/>
      </c>
      <c r="CA27" s="22">
        <f>IF(AND($H27&lt;&gt;"",$AI27&lt;&gt;"",$H27&lt;&gt;$AI27,IFERROR(VLOOKUP($H27,areaCercaPuntiClassificaSquadra,3,FALSE),-1)=IFERROR(VLOOKUP($AI27,areaCercaPuntiClassificaSquadra,3,FALSE),-2)),SUMIFS(Dati!$D$2:$D$761,Dati!$A$2:$A$761,$H27,Dati!$H$2:$H$761,$AI27)+SUMIFS(Dati!$K$2:$K$761,Dati!$H$2:$H$761,$H27,Dati!$A$2:$A$761,$AI27)+SUMIFS(Dati!$C$2:$C$761,Dati!$A$2:$A$761,$H27,Dati!$H$2:$H$761,$AI27)+SUMIFS(Dati!$J$2:$J$761,Dati!$H$2:$H$761,$H27,Dati!$A$2:$A$761,$AI27),"-")</f>
        <v/>
      </c>
      <c r="CB27" s="22">
        <f>IF(AND($H27&lt;&gt;"",$AJ27&lt;&gt;"",$H27&lt;&gt;$AJ27,IFERROR(VLOOKUP($H27,areaCercaPuntiClassificaSquadra,3,FALSE),-1)=IFERROR(VLOOKUP($AJ27,areaCercaPuntiClassificaSquadra,3,FALSE),-2)),SUMIFS(Dati!$D$2:$D$761,Dati!$A$2:$A$761,$H27,Dati!$H$2:$H$761,$AJ27)+SUMIFS(Dati!$K$2:$K$761,Dati!$H$2:$H$761,$H27,Dati!$A$2:$A$761,$AJ27)+SUMIFS(Dati!$C$2:$C$761,Dati!$A$2:$A$761,$H27,Dati!$H$2:$H$761,$AJ27)+SUMIFS(Dati!$J$2:$J$761,Dati!$H$2:$H$761,$H27,Dati!$A$2:$A$761,$AJ27),"-")</f>
        <v/>
      </c>
      <c r="CC27" s="22">
        <f>IF(AND($H27&lt;&gt;"",$AK27&lt;&gt;"",$H27&lt;&gt;$AK27,IFERROR(VLOOKUP($H27,areaCercaPuntiClassificaSquadra,3,FALSE),-1)=IFERROR(VLOOKUP($AK27,areaCercaPuntiClassificaSquadra,3,FALSE),-2)),SUMIFS(Dati!$D$2:$D$761,Dati!$A$2:$A$761,$H27,Dati!$H$2:$H$761,$AK27)+SUMIFS(Dati!$K$2:$K$761,Dati!$H$2:$H$761,$H27,Dati!$A$2:$A$761,$AK27)+SUMIFS(Dati!$C$2:$C$761,Dati!$A$2:$A$761,$H27,Dati!$H$2:$H$761,$AK27)+SUMIFS(Dati!$J$2:$J$761,Dati!$H$2:$H$761,$H27,Dati!$A$2:$A$761,$AK27),"-")</f>
        <v/>
      </c>
      <c r="CD27" s="22">
        <f>IF(AND($H27&lt;&gt;"",$AL27&lt;&gt;"",$H27&lt;&gt;$AL27,IFERROR(VLOOKUP($H27,areaCercaPuntiClassificaSquadra,3,FALSE),-1)=IFERROR(VLOOKUP($AL27,areaCercaPuntiClassificaSquadra,3,FALSE),-2)),SUMIFS(Dati!$D$2:$D$761,Dati!$A$2:$A$761,$H27,Dati!$H$2:$H$761,$AL27)+SUMIFS(Dati!$K$2:$K$761,Dati!$H$2:$H$761,$H27,Dati!$A$2:$A$761,$AL27)+SUMIFS(Dati!$C$2:$C$761,Dati!$A$2:$A$761,$H27,Dati!$H$2:$H$761,$AL27)+SUMIFS(Dati!$J$2:$J$761,Dati!$H$2:$H$761,$H27,Dati!$A$2:$A$761,$AL27),"-")</f>
        <v/>
      </c>
      <c r="CE27" s="22">
        <f>IF(AND($H27&lt;&gt;"",$AM27&lt;&gt;"",$H27&lt;&gt;$AM27,IFERROR(VLOOKUP($H27,areaCercaPuntiClassificaSquadra,3,FALSE),-1)=IFERROR(VLOOKUP($AM27,areaCercaPuntiClassificaSquadra,3,FALSE),-2)),SUMIFS(Dati!$D$2:$D$761,Dati!$A$2:$A$761,$H27,Dati!$H$2:$H$761,$AM27)+SUMIFS(Dati!$K$2:$K$761,Dati!$H$2:$H$761,$H27,Dati!$A$2:$A$761,$AM27)+SUMIFS(Dati!$C$2:$C$761,Dati!$A$2:$A$761,$H27,Dati!$H$2:$H$761,$AM27)+SUMIFS(Dati!$J$2:$J$761,Dati!$H$2:$H$761,$H27,Dati!$A$2:$A$761,$AM27),"-")</f>
        <v/>
      </c>
      <c r="CF27" s="22">
        <f>IF(AND($H27&lt;&gt;"",$AN27&lt;&gt;"",$H27&lt;&gt;$AN27,IFERROR(VLOOKUP($H27,areaCercaPuntiClassificaSquadra,3,FALSE),-1)=IFERROR(VLOOKUP($AN27,areaCercaPuntiClassificaSquadra,3,FALSE),-2)),SUMIFS(Dati!$D$2:$D$761,Dati!$A$2:$A$761,$H27,Dati!$H$2:$H$761,$AN27)+SUMIFS(Dati!$K$2:$K$761,Dati!$H$2:$H$761,$H27,Dati!$A$2:$A$761,$AN27)+SUMIFS(Dati!$C$2:$C$761,Dati!$A$2:$A$761,$H27,Dati!$H$2:$H$761,$AN27)+SUMIFS(Dati!$J$2:$J$761,Dati!$H$2:$H$761,$H27,Dati!$A$2:$A$761,$AN27),"-")</f>
        <v/>
      </c>
      <c r="CG27" s="22">
        <f>IF(AND($H27&lt;&gt;"",$AO27&lt;&gt;"",$H27&lt;&gt;$AO27,IFERROR(VLOOKUP($H27,areaCercaPuntiClassificaSquadra,3,FALSE),-1)=IFERROR(VLOOKUP($AO27,areaCercaPuntiClassificaSquadra,3,FALSE),-2)),SUMIFS(Dati!$D$2:$D$761,Dati!$A$2:$A$761,$H27,Dati!$H$2:$H$761,$AO27)+SUMIFS(Dati!$K$2:$K$761,Dati!$H$2:$H$761,$H27,Dati!$A$2:$A$761,$AO27)+SUMIFS(Dati!$C$2:$C$761,Dati!$A$2:$A$761,$H27,Dati!$H$2:$H$761,$AO27)+SUMIFS(Dati!$J$2:$J$761,Dati!$H$2:$H$761,$H27,Dati!$A$2:$A$761,$AO27),"-")</f>
        <v/>
      </c>
      <c r="CH27" s="22">
        <f>IF(AND($H27&lt;&gt;"",$AP27&lt;&gt;"",$H27&lt;&gt;$AP27,IFERROR(VLOOKUP($H27,areaCercaPuntiClassificaSquadra,3,FALSE),-1)=IFERROR(VLOOKUP($AP27,areaCercaPuntiClassificaSquadra,3,FALSE),-2)),SUMIFS(Dati!$D$2:$D$761,Dati!$A$2:$A$761,$H27,Dati!$H$2:$H$761,$AP27)+SUMIFS(Dati!$K$2:$K$761,Dati!$H$2:$H$761,$H27,Dati!$A$2:$A$761,$AP27)+SUMIFS(Dati!$C$2:$C$761,Dati!$A$2:$A$761,$H27,Dati!$H$2:$H$761,$AP27)+SUMIFS(Dati!$J$2:$J$761,Dati!$H$2:$H$761,$H27,Dati!$A$2:$A$761,$AP27),"-")</f>
        <v/>
      </c>
      <c r="CI27" s="22">
        <f>IF(AND($H27&lt;&gt;"",$AQ27&lt;&gt;"",$H27&lt;&gt;$AQ27,IFERROR(VLOOKUP($H27,areaCercaPuntiClassificaSquadra,3,FALSE),-1)=IFERROR(VLOOKUP($AQ27,areaCercaPuntiClassificaSquadra,3,FALSE),-2)),SUMIFS(Dati!$D$2:$D$761,Dati!$A$2:$A$761,$H27,Dati!$H$2:$H$761,$AQ27)+SUMIFS(Dati!$K$2:$K$761,Dati!$H$2:$H$761,$H27,Dati!$A$2:$A$761,$AQ27)+SUMIFS(Dati!$C$2:$C$761,Dati!$A$2:$A$761,$H27,Dati!$H$2:$H$761,$AQ27)+SUMIFS(Dati!$J$2:$J$761,Dati!$H$2:$H$761,$H27,Dati!$A$2:$A$761,$AQ27),"-")</f>
        <v/>
      </c>
      <c r="CJ27" s="22">
        <f>IF(AND($H27&lt;&gt;"",$AR27&lt;&gt;"",$H27&lt;&gt;$AR27,IFERROR(VLOOKUP($H27,areaCercaPuntiClassificaSquadra,3,FALSE),-1)=IFERROR(VLOOKUP($AR27,areaCercaPuntiClassificaSquadra,3,FALSE),-2)),SUMIFS(Dati!$D$2:$D$761,Dati!$A$2:$A$761,$H27,Dati!$H$2:$H$761,$AR27)+SUMIFS(Dati!$K$2:$K$761,Dati!$H$2:$H$761,$H27,Dati!$A$2:$A$761,$AR27)+SUMIFS(Dati!$C$2:$C$761,Dati!$A$2:$A$761,$H27,Dati!$H$2:$H$761,$AR27)+SUMIFS(Dati!$J$2:$J$761,Dati!$H$2:$H$761,$H27,Dati!$A$2:$A$761,$AR27),"-")</f>
        <v/>
      </c>
      <c r="CL27" s="21">
        <f>$C27</f>
        <v/>
      </c>
      <c r="CM27" s="22">
        <f>IF(AND($H27&lt;&gt;"",$Y27&lt;&gt;"",$H27&lt;&gt;$Y27,IFERROR(VLOOKUP($H27,areaCercaPuntiClassificaSquadra,3,FALSE),-1)=IFERROR(VLOOKUP($Y27,areaCercaPuntiClassificaSquadra,3,FALSE),-2)),SUMIFS(Dati!$E$2:$E$761,Dati!$A$2:$A$761,$H27,Dati!$H$2:$H$761,$Y27)+SUMIFS(Dati!$L$2:$L$761,Dati!$H$2:$H$761,$H27,Dati!$A$2:$A$761,$Y27),"-")</f>
        <v/>
      </c>
      <c r="CN27" s="22">
        <f>IF(AND($H27&lt;&gt;"",$Z27&lt;&gt;"",$H27&lt;&gt;$Z27,IFERROR(VLOOKUP($H27,areaCercaPuntiClassificaSquadra,3,FALSE),-1)=IFERROR(VLOOKUP($Z27,areaCercaPuntiClassificaSquadra,3,FALSE),-2)),SUMIFS(Dati!$E$2:$E$761,Dati!$A$2:$A$761,$H27,Dati!$H$2:$H$761,$Z27)+SUMIFS(Dati!$L$2:$L$761,Dati!$H$2:$H$761,$H27,Dati!$A$2:$A$761,$Z27),"-")</f>
        <v/>
      </c>
      <c r="CO27" s="22">
        <f>IF(AND($H27&lt;&gt;"",$AA27&lt;&gt;"",$H27&lt;&gt;$AA27,IFERROR(VLOOKUP($H27,areaCercaPuntiClassificaSquadra,3,FALSE),-1)=IFERROR(VLOOKUP($AA27,areaCercaPuntiClassificaSquadra,3,FALSE),-2)),SUMIFS(Dati!$E$2:$E$761,Dati!$A$2:$A$761,$H27,Dati!$H$2:$H$761,$AA27)+SUMIFS(Dati!$L$2:$L$761,Dati!$H$2:$H$761,$H27,Dati!$A$2:$A$761,$AA27),"-")</f>
        <v/>
      </c>
      <c r="CP27" s="22">
        <f>IF(AND($H27&lt;&gt;"",$AB27&lt;&gt;"",$H27&lt;&gt;$AB27,IFERROR(VLOOKUP($H27,areaCercaPuntiClassificaSquadra,3,FALSE),-1)=IFERROR(VLOOKUP($AB27,areaCercaPuntiClassificaSquadra,3,FALSE),-2)),SUMIFS(Dati!$E$2:$E$761,Dati!$A$2:$A$761,$H27,Dati!$H$2:$H$761,$AB27)+SUMIFS(Dati!$L$2:$L$761,Dati!$H$2:$H$761,$H27,Dati!$A$2:$A$761,$AB27),"-")</f>
        <v/>
      </c>
      <c r="CQ27" s="22">
        <f>IF(AND($H27&lt;&gt;"",$AC27&lt;&gt;"",$H27&lt;&gt;$AC27,IFERROR(VLOOKUP($H27,areaCercaPuntiClassificaSquadra,3,FALSE),-1)=IFERROR(VLOOKUP($AC27,areaCercaPuntiClassificaSquadra,3,FALSE),-2)),SUMIFS(Dati!$E$2:$E$761,Dati!$A$2:$A$761,$H27,Dati!$H$2:$H$761,$AC27)+SUMIFS(Dati!$L$2:$L$761,Dati!$H$2:$H$761,$H27,Dati!$A$2:$A$761,$AC27),"-")</f>
        <v/>
      </c>
      <c r="CR27" s="22">
        <f>IF(AND($H27&lt;&gt;"",$AD27&lt;&gt;"",$H27&lt;&gt;$AD27,IFERROR(VLOOKUP($H27,areaCercaPuntiClassificaSquadra,3,FALSE),-1)=IFERROR(VLOOKUP($AD27,areaCercaPuntiClassificaSquadra,3,FALSE),-2)),SUMIFS(Dati!$E$2:$E$761,Dati!$A$2:$A$761,$H27,Dati!$H$2:$H$761,$AD27)+SUMIFS(Dati!$L$2:$L$761,Dati!$H$2:$H$761,$H27,Dati!$A$2:$A$761,$AD27),"-")</f>
        <v/>
      </c>
      <c r="CS27" s="22">
        <f>IF(AND($H27&lt;&gt;"",$AE27&lt;&gt;"",$H27&lt;&gt;$AE27,IFERROR(VLOOKUP($H27,areaCercaPuntiClassificaSquadra,3,FALSE),-1)=IFERROR(VLOOKUP($AE27,areaCercaPuntiClassificaSquadra,3,FALSE),-2)),SUMIFS(Dati!$E$2:$E$761,Dati!$A$2:$A$761,$H27,Dati!$H$2:$H$761,$AE27)+SUMIFS(Dati!$L$2:$L$761,Dati!$H$2:$H$761,$H27,Dati!$A$2:$A$761,$AE27),"-")</f>
        <v/>
      </c>
      <c r="CT27" s="22">
        <f>IF(AND($H27&lt;&gt;"",$AF27&lt;&gt;"",$H27&lt;&gt;$AF27,IFERROR(VLOOKUP($H27,areaCercaPuntiClassificaSquadra,3,FALSE),-1)=IFERROR(VLOOKUP($AF27,areaCercaPuntiClassificaSquadra,3,FALSE),-2)),SUMIFS(Dati!$E$2:$E$761,Dati!$A$2:$A$761,$H27,Dati!$H$2:$H$761,$AF27)+SUMIFS(Dati!$L$2:$L$761,Dati!$H$2:$H$761,$H27,Dati!$A$2:$A$761,$AF27),"-")</f>
        <v/>
      </c>
      <c r="CU27" s="22">
        <f>IF(AND($H27&lt;&gt;"",$AG27&lt;&gt;"",$H27&lt;&gt;$AG27,IFERROR(VLOOKUP($H27,areaCercaPuntiClassificaSquadra,3,FALSE),-1)=IFERROR(VLOOKUP($AG27,areaCercaPuntiClassificaSquadra,3,FALSE),-2)),SUMIFS(Dati!$E$2:$E$761,Dati!$A$2:$A$761,$H27,Dati!$H$2:$H$761,$AG27)+SUMIFS(Dati!$L$2:$L$761,Dati!$H$2:$H$761,$H27,Dati!$A$2:$A$761,$AG27),"-")</f>
        <v/>
      </c>
      <c r="CV27" s="22">
        <f>IF(AND($H27&lt;&gt;"",$AH27&lt;&gt;"",$H27&lt;&gt;$AH27,IFERROR(VLOOKUP($H27,areaCercaPuntiClassificaSquadra,3,FALSE),-1)=IFERROR(VLOOKUP($AH27,areaCercaPuntiClassificaSquadra,3,FALSE),-2)),SUMIFS(Dati!$E$2:$E$761,Dati!$A$2:$A$761,$H27,Dati!$H$2:$H$761,$AH27)+SUMIFS(Dati!$L$2:$L$761,Dati!$H$2:$H$761,$H27,Dati!$A$2:$A$761,$AH27),"-")</f>
        <v/>
      </c>
      <c r="CW27" s="22">
        <f>IF(AND($H27&lt;&gt;"",$AI27&lt;&gt;"",$H27&lt;&gt;$AI27,IFERROR(VLOOKUP($H27,areaCercaPuntiClassificaSquadra,3,FALSE),-1)=IFERROR(VLOOKUP($AI27,areaCercaPuntiClassificaSquadra,3,FALSE),-2)),SUMIFS(Dati!$E$2:$E$761,Dati!$A$2:$A$761,$H27,Dati!$H$2:$H$761,$AI27)+SUMIFS(Dati!$L$2:$L$761,Dati!$H$2:$H$761,$H27,Dati!$A$2:$A$761,$AI27),"-")</f>
        <v/>
      </c>
      <c r="CX27" s="22">
        <f>IF(AND($H27&lt;&gt;"",$AJ27&lt;&gt;"",$H27&lt;&gt;$AJ27,IFERROR(VLOOKUP($H27,areaCercaPuntiClassificaSquadra,3,FALSE),-1)=IFERROR(VLOOKUP($AJ27,areaCercaPuntiClassificaSquadra,3,FALSE),-2)),SUMIFS(Dati!$E$2:$E$761,Dati!$A$2:$A$761,$H27,Dati!$H$2:$H$761,$AJ27)+SUMIFS(Dati!$L$2:$L$761,Dati!$H$2:$H$761,$H27,Dati!$A$2:$A$761,$AJ27),"-")</f>
        <v/>
      </c>
      <c r="CY27" s="22">
        <f>IF(AND($H27&lt;&gt;"",$AK27&lt;&gt;"",$H27&lt;&gt;$AK27,IFERROR(VLOOKUP($H27,areaCercaPuntiClassificaSquadra,3,FALSE),-1)=IFERROR(VLOOKUP($AK27,areaCercaPuntiClassificaSquadra,3,FALSE),-2)),SUMIFS(Dati!$E$2:$E$761,Dati!$A$2:$A$761,$H27,Dati!$H$2:$H$761,$AK27)+SUMIFS(Dati!$L$2:$L$761,Dati!$H$2:$H$761,$H27,Dati!$A$2:$A$761,$AK27),"-")</f>
        <v/>
      </c>
      <c r="CZ27" s="22">
        <f>IF(AND($H27&lt;&gt;"",$AL27&lt;&gt;"",$H27&lt;&gt;$AL27,IFERROR(VLOOKUP($H27,areaCercaPuntiClassificaSquadra,3,FALSE),-1)=IFERROR(VLOOKUP($AL27,areaCercaPuntiClassificaSquadra,3,FALSE),-2)),SUMIFS(Dati!$E$2:$E$761,Dati!$A$2:$A$761,$H27,Dati!$H$2:$H$761,$AL27)+SUMIFS(Dati!$L$2:$L$761,Dati!$H$2:$H$761,$H27,Dati!$A$2:$A$761,$AL27),"-")</f>
        <v/>
      </c>
      <c r="DA27" s="22">
        <f>IF(AND($H27&lt;&gt;"",$AM27&lt;&gt;"",$H27&lt;&gt;$AM27,IFERROR(VLOOKUP($H27,areaCercaPuntiClassificaSquadra,3,FALSE),-1)=IFERROR(VLOOKUP($AM27,areaCercaPuntiClassificaSquadra,3,FALSE),-2)),SUMIFS(Dati!$E$2:$E$761,Dati!$A$2:$A$761,$H27,Dati!$H$2:$H$761,$AM27)+SUMIFS(Dati!$L$2:$L$761,Dati!$H$2:$H$761,$H27,Dati!$A$2:$A$761,$AM27),"-")</f>
        <v/>
      </c>
      <c r="DB27" s="22">
        <f>IF(AND($H27&lt;&gt;"",$AN27&lt;&gt;"",$H27&lt;&gt;$AN27,IFERROR(VLOOKUP($H27,areaCercaPuntiClassificaSquadra,3,FALSE),-1)=IFERROR(VLOOKUP($AN27,areaCercaPuntiClassificaSquadra,3,FALSE),-2)),SUMIFS(Dati!$E$2:$E$761,Dati!$A$2:$A$761,$H27,Dati!$H$2:$H$761,$AN27)+SUMIFS(Dati!$L$2:$L$761,Dati!$H$2:$H$761,$H27,Dati!$A$2:$A$761,$AN27),"-")</f>
        <v/>
      </c>
      <c r="DC27" s="22">
        <f>IF(AND($H27&lt;&gt;"",$AO27&lt;&gt;"",$H27&lt;&gt;$AO27,IFERROR(VLOOKUP($H27,areaCercaPuntiClassificaSquadra,3,FALSE),-1)=IFERROR(VLOOKUP($AO27,areaCercaPuntiClassificaSquadra,3,FALSE),-2)),SUMIFS(Dati!$E$2:$E$761,Dati!$A$2:$A$761,$H27,Dati!$H$2:$H$761,$AO27)+SUMIFS(Dati!$L$2:$L$761,Dati!$H$2:$H$761,$H27,Dati!$A$2:$A$761,$AO27),"-")</f>
        <v/>
      </c>
      <c r="DD27" s="22">
        <f>IF(AND($H27&lt;&gt;"",$AP27&lt;&gt;"",$H27&lt;&gt;$AP27,IFERROR(VLOOKUP($H27,areaCercaPuntiClassificaSquadra,3,FALSE),-1)=IFERROR(VLOOKUP($AP27,areaCercaPuntiClassificaSquadra,3,FALSE),-2)),SUMIFS(Dati!$E$2:$E$761,Dati!$A$2:$A$761,$H27,Dati!$H$2:$H$761,$AP27)+SUMIFS(Dati!$L$2:$L$761,Dati!$H$2:$H$761,$H27,Dati!$A$2:$A$761,$AP27),"-")</f>
        <v/>
      </c>
      <c r="DE27" s="22">
        <f>IF(AND($H27&lt;&gt;"",$AQ27&lt;&gt;"",$H27&lt;&gt;$AQ27,IFERROR(VLOOKUP($H27,areaCercaPuntiClassificaSquadra,3,FALSE),-1)=IFERROR(VLOOKUP($AQ27,areaCercaPuntiClassificaSquadra,3,FALSE),-2)),SUMIFS(Dati!$E$2:$E$761,Dati!$A$2:$A$761,$H27,Dati!$H$2:$H$761,$AQ27)+SUMIFS(Dati!$L$2:$L$761,Dati!$H$2:$H$761,$H27,Dati!$A$2:$A$761,$AQ27),"-")</f>
        <v/>
      </c>
      <c r="DF27" s="22">
        <f>IF(AND($H27&lt;&gt;"",$AR27&lt;&gt;"",$H27&lt;&gt;$AR27,IFERROR(VLOOKUP($H27,areaCercaPuntiClassificaSquadra,3,FALSE),-1)=IFERROR(VLOOKUP($AR27,areaCercaPuntiClassificaSquadra,3,FALSE),-2)),SUMIFS(Dati!$E$2:$E$761,Dati!$A$2:$A$761,$H27,Dati!$H$2:$H$761,$AR27)+SUMIFS(Dati!$L$2:$L$761,Dati!$H$2:$H$761,$H27,Dati!$A$2:$A$761,$AR27),"-")</f>
        <v/>
      </c>
      <c r="DH27" s="21">
        <f>$C27</f>
        <v/>
      </c>
      <c r="DI27" s="22">
        <f>IF(AND($H27&lt;&gt;"",$Y27&lt;&gt;"",$H27&lt;&gt;$Y27,IFERROR(VLOOKUP($H27,areaCercaPuntiClassificaSquadra,3,FALSE),-1)=IFERROR(VLOOKUP($Y27,areaCercaPuntiClassificaSquadra,3,FALSE),-2)),SUMIFS(Dati!$F$2:$F$761,Dati!$A$2:$A$761,$H27,Dati!$H$2:$H$761,$Y27)+SUMIFS(Dati!$M$2:$M$761,Dati!$H$2:$H$761,$H27,Dati!$A$2:$A$761,$Y27),"-")</f>
        <v/>
      </c>
      <c r="DJ27" s="22">
        <f>IF(AND($H27&lt;&gt;"",$Z27&lt;&gt;"",$H27&lt;&gt;$Z27,IFERROR(VLOOKUP($H27,areaCercaPuntiClassificaSquadra,3,FALSE),-1)=IFERROR(VLOOKUP($Z27,areaCercaPuntiClassificaSquadra,3,FALSE),-2)),SUMIFS(Dati!$F$2:$F$761,Dati!$A$2:$A$761,$H27,Dati!$H$2:$H$761,$Z27)+SUMIFS(Dati!$M$2:$M$761,Dati!$H$2:$H$761,$H27,Dati!$A$2:$A$761,$Z27),"-")</f>
        <v/>
      </c>
      <c r="DK27" s="22">
        <f>IF(AND($H27&lt;&gt;"",$AA27&lt;&gt;"",$H27&lt;&gt;$AA27,IFERROR(VLOOKUP($H27,areaCercaPuntiClassificaSquadra,3,FALSE),-1)=IFERROR(VLOOKUP($AA27,areaCercaPuntiClassificaSquadra,3,FALSE),-2)),SUMIFS(Dati!$F$2:$F$761,Dati!$A$2:$A$761,$H27,Dati!$H$2:$H$761,$AA27)+SUMIFS(Dati!$M$2:$M$761,Dati!$H$2:$H$761,$H27,Dati!$A$2:$A$761,$AA27),"-")</f>
        <v/>
      </c>
      <c r="DL27" s="22">
        <f>IF(AND($H27&lt;&gt;"",$AB27&lt;&gt;"",$H27&lt;&gt;$AB27,IFERROR(VLOOKUP($H27,areaCercaPuntiClassificaSquadra,3,FALSE),-1)=IFERROR(VLOOKUP($AB27,areaCercaPuntiClassificaSquadra,3,FALSE),-2)),SUMIFS(Dati!$F$2:$F$761,Dati!$A$2:$A$761,$H27,Dati!$H$2:$H$761,$AB27)+SUMIFS(Dati!$M$2:$M$761,Dati!$H$2:$H$761,$H27,Dati!$A$2:$A$761,$AB27),"-")</f>
        <v/>
      </c>
      <c r="DM27" s="22">
        <f>IF(AND($H27&lt;&gt;"",$AC27&lt;&gt;"",$H27&lt;&gt;$AC27,IFERROR(VLOOKUP($H27,areaCercaPuntiClassificaSquadra,3,FALSE),-1)=IFERROR(VLOOKUP($AC27,areaCercaPuntiClassificaSquadra,3,FALSE),-2)),SUMIFS(Dati!$F$2:$F$761,Dati!$A$2:$A$761,$H27,Dati!$H$2:$H$761,$AC27)+SUMIFS(Dati!$M$2:$M$761,Dati!$H$2:$H$761,$H27,Dati!$A$2:$A$761,$AC27),"-")</f>
        <v/>
      </c>
      <c r="DN27" s="22">
        <f>IF(AND($H27&lt;&gt;"",$AD27&lt;&gt;"",$H27&lt;&gt;$AD27,IFERROR(VLOOKUP($H27,areaCercaPuntiClassificaSquadra,3,FALSE),-1)=IFERROR(VLOOKUP($AD27,areaCercaPuntiClassificaSquadra,3,FALSE),-2)),SUMIFS(Dati!$F$2:$F$761,Dati!$A$2:$A$761,$H27,Dati!$H$2:$H$761,$AD27)+SUMIFS(Dati!$M$2:$M$761,Dati!$H$2:$H$761,$H27,Dati!$A$2:$A$761,$AD27),"-")</f>
        <v/>
      </c>
      <c r="DO27" s="22">
        <f>IF(AND($H27&lt;&gt;"",$AE27&lt;&gt;"",$H27&lt;&gt;$AE27,IFERROR(VLOOKUP($H27,areaCercaPuntiClassificaSquadra,3,FALSE),-1)=IFERROR(VLOOKUP($AE27,areaCercaPuntiClassificaSquadra,3,FALSE),-2)),SUMIFS(Dati!$F$2:$F$761,Dati!$A$2:$A$761,$H27,Dati!$H$2:$H$761,$AE27)+SUMIFS(Dati!$M$2:$M$761,Dati!$H$2:$H$761,$H27,Dati!$A$2:$A$761,$AE27),"-")</f>
        <v/>
      </c>
      <c r="DP27" s="22">
        <f>IF(AND($H27&lt;&gt;"",$AF27&lt;&gt;"",$H27&lt;&gt;$AF27,IFERROR(VLOOKUP($H27,areaCercaPuntiClassificaSquadra,3,FALSE),-1)=IFERROR(VLOOKUP($AF27,areaCercaPuntiClassificaSquadra,3,FALSE),-2)),SUMIFS(Dati!$F$2:$F$761,Dati!$A$2:$A$761,$H27,Dati!$H$2:$H$761,$AF27)+SUMIFS(Dati!$M$2:$M$761,Dati!$H$2:$H$761,$H27,Dati!$A$2:$A$761,$AF27),"-")</f>
        <v/>
      </c>
      <c r="DQ27" s="22">
        <f>IF(AND($H27&lt;&gt;"",$AG27&lt;&gt;"",$H27&lt;&gt;$AG27,IFERROR(VLOOKUP($H27,areaCercaPuntiClassificaSquadra,3,FALSE),-1)=IFERROR(VLOOKUP($AG27,areaCercaPuntiClassificaSquadra,3,FALSE),-2)),SUMIFS(Dati!$F$2:$F$761,Dati!$A$2:$A$761,$H27,Dati!$H$2:$H$761,$AG27)+SUMIFS(Dati!$M$2:$M$761,Dati!$H$2:$H$761,$H27,Dati!$A$2:$A$761,$AG27),"-")</f>
        <v/>
      </c>
      <c r="DR27" s="22">
        <f>IF(AND($H27&lt;&gt;"",$AH27&lt;&gt;"",$H27&lt;&gt;$AH27,IFERROR(VLOOKUP($H27,areaCercaPuntiClassificaSquadra,3,FALSE),-1)=IFERROR(VLOOKUP($AH27,areaCercaPuntiClassificaSquadra,3,FALSE),-2)),SUMIFS(Dati!$F$2:$F$761,Dati!$A$2:$A$761,$H27,Dati!$H$2:$H$761,$AH27)+SUMIFS(Dati!$M$2:$M$761,Dati!$H$2:$H$761,$H27,Dati!$A$2:$A$761,$AH27),"-")</f>
        <v/>
      </c>
      <c r="DS27" s="22">
        <f>IF(AND($H27&lt;&gt;"",$AI27&lt;&gt;"",$H27&lt;&gt;$AI27,IFERROR(VLOOKUP($H27,areaCercaPuntiClassificaSquadra,3,FALSE),-1)=IFERROR(VLOOKUP($AI27,areaCercaPuntiClassificaSquadra,3,FALSE),-2)),SUMIFS(Dati!$F$2:$F$761,Dati!$A$2:$A$761,$H27,Dati!$H$2:$H$761,$AI27)+SUMIFS(Dati!$M$2:$M$761,Dati!$H$2:$H$761,$H27,Dati!$A$2:$A$761,$AI27),"-")</f>
        <v/>
      </c>
      <c r="DT27" s="22">
        <f>IF(AND($H27&lt;&gt;"",$AJ27&lt;&gt;"",$H27&lt;&gt;$AJ27,IFERROR(VLOOKUP($H27,areaCercaPuntiClassificaSquadra,3,FALSE),-1)=IFERROR(VLOOKUP($AJ27,areaCercaPuntiClassificaSquadra,3,FALSE),-2)),SUMIFS(Dati!$F$2:$F$761,Dati!$A$2:$A$761,$H27,Dati!$H$2:$H$761,$AJ27)+SUMIFS(Dati!$M$2:$M$761,Dati!$H$2:$H$761,$H27,Dati!$A$2:$A$761,$AJ27),"-")</f>
        <v/>
      </c>
      <c r="DU27" s="22">
        <f>IF(AND($H27&lt;&gt;"",$AK27&lt;&gt;"",$H27&lt;&gt;$AK27,IFERROR(VLOOKUP($H27,areaCercaPuntiClassificaSquadra,3,FALSE),-1)=IFERROR(VLOOKUP($AK27,areaCercaPuntiClassificaSquadra,3,FALSE),-2)),SUMIFS(Dati!$F$2:$F$761,Dati!$A$2:$A$761,$H27,Dati!$H$2:$H$761,$AK27)+SUMIFS(Dati!$M$2:$M$761,Dati!$H$2:$H$761,$H27,Dati!$A$2:$A$761,$AK27),"-")</f>
        <v/>
      </c>
      <c r="DV27" s="22">
        <f>IF(AND($H27&lt;&gt;"",$AL27&lt;&gt;"",$H27&lt;&gt;$AL27,IFERROR(VLOOKUP($H27,areaCercaPuntiClassificaSquadra,3,FALSE),-1)=IFERROR(VLOOKUP($AL27,areaCercaPuntiClassificaSquadra,3,FALSE),-2)),SUMIFS(Dati!$F$2:$F$761,Dati!$A$2:$A$761,$H27,Dati!$H$2:$H$761,$AL27)+SUMIFS(Dati!$M$2:$M$761,Dati!$H$2:$H$761,$H27,Dati!$A$2:$A$761,$AL27),"-")</f>
        <v/>
      </c>
      <c r="DW27" s="22">
        <f>IF(AND($H27&lt;&gt;"",$AM27&lt;&gt;"",$H27&lt;&gt;$AM27,IFERROR(VLOOKUP($H27,areaCercaPuntiClassificaSquadra,3,FALSE),-1)=IFERROR(VLOOKUP($AM27,areaCercaPuntiClassificaSquadra,3,FALSE),-2)),SUMIFS(Dati!$F$2:$F$761,Dati!$A$2:$A$761,$H27,Dati!$H$2:$H$761,$AM27)+SUMIFS(Dati!$M$2:$M$761,Dati!$H$2:$H$761,$H27,Dati!$A$2:$A$761,$AM27),"-")</f>
        <v/>
      </c>
      <c r="DX27" s="22">
        <f>IF(AND($H27&lt;&gt;"",$AN27&lt;&gt;"",$H27&lt;&gt;$AN27,IFERROR(VLOOKUP($H27,areaCercaPuntiClassificaSquadra,3,FALSE),-1)=IFERROR(VLOOKUP($AN27,areaCercaPuntiClassificaSquadra,3,FALSE),-2)),SUMIFS(Dati!$F$2:$F$761,Dati!$A$2:$A$761,$H27,Dati!$H$2:$H$761,$AN27)+SUMIFS(Dati!$M$2:$M$761,Dati!$H$2:$H$761,$H27,Dati!$A$2:$A$761,$AN27),"-")</f>
        <v/>
      </c>
      <c r="DY27" s="22">
        <f>IF(AND($H27&lt;&gt;"",$AO27&lt;&gt;"",$H27&lt;&gt;$AO27,IFERROR(VLOOKUP($H27,areaCercaPuntiClassificaSquadra,3,FALSE),-1)=IFERROR(VLOOKUP($AO27,areaCercaPuntiClassificaSquadra,3,FALSE),-2)),SUMIFS(Dati!$F$2:$F$761,Dati!$A$2:$A$761,$H27,Dati!$H$2:$H$761,$AO27)+SUMIFS(Dati!$M$2:$M$761,Dati!$H$2:$H$761,$H27,Dati!$A$2:$A$761,$AO27),"-")</f>
        <v/>
      </c>
      <c r="DZ27" s="22">
        <f>IF(AND($H27&lt;&gt;"",$AP27&lt;&gt;"",$H27&lt;&gt;$AP27,IFERROR(VLOOKUP($H27,areaCercaPuntiClassificaSquadra,3,FALSE),-1)=IFERROR(VLOOKUP($AP27,areaCercaPuntiClassificaSquadra,3,FALSE),-2)),SUMIFS(Dati!$F$2:$F$761,Dati!$A$2:$A$761,$H27,Dati!$H$2:$H$761,$AP27)+SUMIFS(Dati!$M$2:$M$761,Dati!$H$2:$H$761,$H27,Dati!$A$2:$A$761,$AP27),"-")</f>
        <v/>
      </c>
      <c r="EA27" s="22">
        <f>IF(AND($H27&lt;&gt;"",$AQ27&lt;&gt;"",$H27&lt;&gt;$AQ27,IFERROR(VLOOKUP($H27,areaCercaPuntiClassificaSquadra,3,FALSE),-1)=IFERROR(VLOOKUP($AQ27,areaCercaPuntiClassificaSquadra,3,FALSE),-2)),SUMIFS(Dati!$F$2:$F$761,Dati!$A$2:$A$761,$H27,Dati!$H$2:$H$761,$AQ27)+SUMIFS(Dati!$M$2:$M$761,Dati!$H$2:$H$761,$H27,Dati!$A$2:$A$761,$AQ27),"-")</f>
        <v/>
      </c>
      <c r="EB27" s="22">
        <f>IF(AND($H27&lt;&gt;"",$AR27&lt;&gt;"",$H27&lt;&gt;$AR27,IFERROR(VLOOKUP($H27,areaCercaPuntiClassificaSquadra,3,FALSE),-1)=IFERROR(VLOOKUP($AR27,areaCercaPuntiClassificaSquadra,3,FALSE),-2)),SUMIFS(Dati!$F$2:$F$761,Dati!$A$2:$A$761,$H27,Dati!$H$2:$H$761,$AR27)+SUMIFS(Dati!$M$2:$M$761,Dati!$H$2:$H$761,$H27,Dati!$A$2:$A$761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inlineStr">
        <is>
          <t>Squali Sagaci-Squaliopoli SU</t>
        </is>
      </c>
      <c r="D28" s="14" t="n"/>
      <c r="E28" s="15" t="inlineStr">
        <is>
          <t>A</t>
        </is>
      </c>
      <c r="G28" s="16">
        <f>IF($C28="","",$E28&amp;(COUNTIFS(I$14:I$93,"&gt;"&amp;I28,E$14:E$93,"="&amp;E28,C$14:C$93,"&lt;&gt;")+COUNTIFS(I$14:I$93,"="&amp;I28,H$14:H$93,"&lt;="&amp;H28,E$14:E$93,"="&amp;E28,C$14:C$93,"&lt;&gt;")))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L28*constPuntiVittoria+M28*constPuntiSconfitta+N28*constPuntiForfait+IF(D28="",0,D28)</f>
        <v/>
      </c>
      <c r="K28" s="12">
        <f>SUM(L28:N28)</f>
        <v/>
      </c>
      <c r="L28" s="12">
        <f>IF($H28="",0,SUMIF(Dati!$A$2:$A$761,$H28,Dati!$B$2:$B$761)+SUMIF(Dati!$H$2:$H$761,$H28,Dati!$I$2:$I$761))</f>
        <v/>
      </c>
      <c r="M28" s="12">
        <f>IF($H28="",0,SUMIF(Dati!$A$2:$A$761,$H28,Dati!$D$2:$D$761)+SUMIF(Dati!$H$2:$H$761,$H28,Dati!$K$2:$K$761))</f>
        <v/>
      </c>
      <c r="N28" s="12">
        <f>IF($H28="",0,SUMIF(Dati!$A$2:$A$761,$H28,Dati!$C$2:$C$761)+SUMIF(Dati!$H$2:$H$761,$H28,Dati!$J$2:$J$761))</f>
        <v/>
      </c>
      <c r="O28" s="12">
        <f>IF($H28="",0,SUMIF(Dati!$A$2:$A$761,$H28,Dati!$E$2:$E$761)+SUMIF(Dati!$H$2:$H$761,$H28,Dati!$L$2:$L$761))</f>
        <v/>
      </c>
      <c r="P28" s="12">
        <f>IF($H28="",0,SUMIF(Dati!$A$2:$A$761,$H28,Dati!$F$2:$F$761)+SUMIF(Dati!$H$2:$H$761,$H28,Dati!$M$2:$M$761))</f>
        <v/>
      </c>
      <c r="Q28" s="12">
        <f>IF($H28="",0,SUMIF(Dati!$A$2:$A$761,$H28,Dati!$G$2:$G$761)+SUMIF(Dati!$H$2:$H$761,$H28,Dati!$N$2:$N$761))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IF(COUNTIFS($E$14:$E$93,$E28,$J$14:$J$93,$J28,$C$14:$C$93,"&lt;&gt;")&lt;=1,"-",SUM(AU28:BN28)&amp;"-"&amp;SUM(BQ28:CJ28))</f>
        <v/>
      </c>
      <c r="V28" s="18">
        <f>IF(COUNTIFS($E$14:$E$93,$E28,$J$14:$J$93,$J28,$C$14:$C$93,"&lt;&gt;",$ED$14:$ED$93,$ED28)&lt;=1,"-",IF(SUM(DI28:EB28)=0,0,ROUND(SUM(CM28:DF28)/SUM(DI28:EB28),3)))</f>
        <v/>
      </c>
      <c r="W28" s="18">
        <f>IF(COUNTIFS($E$14:$E$93,$E28,$J$14:$J$93,$J28,$C$14:$C$93,"&lt;&gt;",$ED$14:$ED$93,$ED28,$V$14:$V$93,$V28)&lt;=1,"-",IF(P28=0,0,ROUND(O28/P28,3)))</f>
        <v/>
      </c>
      <c r="X28" s="19">
        <f>IF($C28="","",$E28&amp;"#"&amp;COUNTIFS($E$14:$E28,$E28,$C$14:$C28,"&lt;&gt;"))</f>
        <v/>
      </c>
      <c r="Y28" s="20">
        <f>IFERROR(INDEX($H$14:$H$93,MATCH($E28&amp;"#1",$X$14:$X$93,0)),"")</f>
        <v/>
      </c>
      <c r="Z28" s="20">
        <f>IFERROR(INDEX($H$14:$H$93,MATCH($E28&amp;"#2",$X$14:$X$93,0)),"")</f>
        <v/>
      </c>
      <c r="AA28" s="20">
        <f>IFERROR(INDEX($H$14:$H$93,MATCH($E28&amp;"#3",$X$14:$X$93,0)),"")</f>
        <v/>
      </c>
      <c r="AB28" s="20">
        <f>IFERROR(INDEX($H$14:$H$93,MATCH($E28&amp;"#4",$X$14:$X$93,0)),"")</f>
        <v/>
      </c>
      <c r="AC28" s="20">
        <f>IFERROR(INDEX($H$14:$H$93,MATCH($E28&amp;"#5",$X$14:$X$93,0)),"")</f>
        <v/>
      </c>
      <c r="AD28" s="20">
        <f>IFERROR(INDEX($H$14:$H$93,MATCH($E28&amp;"#6",$X$14:$X$93,0)),"")</f>
        <v/>
      </c>
      <c r="AE28" s="20">
        <f>IFERROR(INDEX($H$14:$H$93,MATCH($E28&amp;"#7",$X$14:$X$93,0)),"")</f>
        <v/>
      </c>
      <c r="AF28" s="20">
        <f>IFERROR(INDEX($H$14:$H$93,MATCH($E28&amp;"#8",$X$14:$X$93,0)),"")</f>
        <v/>
      </c>
      <c r="AG28" s="20">
        <f>IFERROR(INDEX($H$14:$H$93,MATCH($E28&amp;"#9",$X$14:$X$93,0)),"")</f>
        <v/>
      </c>
      <c r="AH28" s="20">
        <f>IFERROR(INDEX($H$14:$H$93,MATCH($E28&amp;"#10",$X$14:$X$93,0)),"")</f>
        <v/>
      </c>
      <c r="AI28" s="20">
        <f>IFERROR(INDEX($H$14:$H$93,MATCH($E28&amp;"#11",$X$14:$X$93,0)),"")</f>
        <v/>
      </c>
      <c r="AJ28" s="20">
        <f>IFERROR(INDEX($H$14:$H$93,MATCH($E28&amp;"#12",$X$14:$X$93,0)),"")</f>
        <v/>
      </c>
      <c r="AK28" s="20">
        <f>IFERROR(INDEX($H$14:$H$93,MATCH($E28&amp;"#13",$X$14:$X$93,0)),"")</f>
        <v/>
      </c>
      <c r="AL28" s="20">
        <f>IFERROR(INDEX($H$14:$H$93,MATCH($E28&amp;"#14",$X$14:$X$93,0)),"")</f>
        <v/>
      </c>
      <c r="AM28" s="20">
        <f>IFERROR(INDEX($H$14:$H$93,MATCH($E28&amp;"#15",$X$14:$X$93,0)),"")</f>
        <v/>
      </c>
      <c r="AN28" s="20">
        <f>IFERROR(INDEX($H$14:$H$93,MATCH($E28&amp;"#16",$X$14:$X$93,0)),"")</f>
        <v/>
      </c>
      <c r="AO28" s="20">
        <f>IFERROR(INDEX($H$14:$H$93,MATCH($E28&amp;"#17",$X$14:$X$93,0)),"")</f>
        <v/>
      </c>
      <c r="AP28" s="20">
        <f>IFERROR(INDEX($H$14:$H$93,MATCH($E28&amp;"#18",$X$14:$X$93,0)),"")</f>
        <v/>
      </c>
      <c r="AQ28" s="20">
        <f>IFERROR(INDEX($H$14:$H$93,MATCH($E28&amp;"#19",$X$14:$X$93,0)),"")</f>
        <v/>
      </c>
      <c r="AR28" s="20">
        <f>IFERROR(INDEX($H$14:$H$93,MATCH($E28&amp;"#20",$X$14:$X$93,0)),"")</f>
        <v/>
      </c>
      <c r="AT28" s="21">
        <f>$C28</f>
        <v/>
      </c>
      <c r="AU28" s="22">
        <f>IF(AND($H28&lt;&gt;"",$Y28&lt;&gt;"",$H28&lt;&gt;$Y28,IFERROR(VLOOKUP($H28,areaCercaPuntiClassificaSquadra,3,FALSE),-1)=IFERROR(VLOOKUP($Y28,areaCercaPuntiClassificaSquadra,3,FALSE),-2)),SUMIFS(Dati!$B$2:$B$761,Dati!$A$2:$A$761,$H28,Dati!$H$2:$H$761,$Y28)+SUMIFS(Dati!$I$2:$I$761,Dati!$H$2:$H$761,$H28,Dati!$A$2:$A$761,$Y28),"-")</f>
        <v/>
      </c>
      <c r="AV28" s="22">
        <f>IF(AND($H28&lt;&gt;"",$Z28&lt;&gt;"",$H28&lt;&gt;$Z28,IFERROR(VLOOKUP($H28,areaCercaPuntiClassificaSquadra,3,FALSE),-1)=IFERROR(VLOOKUP($Z28,areaCercaPuntiClassificaSquadra,3,FALSE),-2)),SUMIFS(Dati!$B$2:$B$761,Dati!$A$2:$A$761,$H28,Dati!$H$2:$H$761,$Z28)+SUMIFS(Dati!$I$2:$I$761,Dati!$H$2:$H$761,$H28,Dati!$A$2:$A$761,$Z28),"-")</f>
        <v/>
      </c>
      <c r="AW28" s="22">
        <f>IF(AND($H28&lt;&gt;"",$AA28&lt;&gt;"",$H28&lt;&gt;$AA28,IFERROR(VLOOKUP($H28,areaCercaPuntiClassificaSquadra,3,FALSE),-1)=IFERROR(VLOOKUP($AA28,areaCercaPuntiClassificaSquadra,3,FALSE),-2)),SUMIFS(Dati!$B$2:$B$761,Dati!$A$2:$A$761,$H28,Dati!$H$2:$H$761,$AA28)+SUMIFS(Dati!$I$2:$I$761,Dati!$H$2:$H$761,$H28,Dati!$A$2:$A$761,$AA28),"-")</f>
        <v/>
      </c>
      <c r="AX28" s="22">
        <f>IF(AND($H28&lt;&gt;"",$AB28&lt;&gt;"",$H28&lt;&gt;$AB28,IFERROR(VLOOKUP($H28,areaCercaPuntiClassificaSquadra,3,FALSE),-1)=IFERROR(VLOOKUP($AB28,areaCercaPuntiClassificaSquadra,3,FALSE),-2)),SUMIFS(Dati!$B$2:$B$761,Dati!$A$2:$A$761,$H28,Dati!$H$2:$H$761,$AB28)+SUMIFS(Dati!$I$2:$I$761,Dati!$H$2:$H$761,$H28,Dati!$A$2:$A$761,$AB28),"-")</f>
        <v/>
      </c>
      <c r="AY28" s="22">
        <f>IF(AND($H28&lt;&gt;"",$AC28&lt;&gt;"",$H28&lt;&gt;$AC28,IFERROR(VLOOKUP($H28,areaCercaPuntiClassificaSquadra,3,FALSE),-1)=IFERROR(VLOOKUP($AC28,areaCercaPuntiClassificaSquadra,3,FALSE),-2)),SUMIFS(Dati!$B$2:$B$761,Dati!$A$2:$A$761,$H28,Dati!$H$2:$H$761,$AC28)+SUMIFS(Dati!$I$2:$I$761,Dati!$H$2:$H$761,$H28,Dati!$A$2:$A$761,$AC28),"-")</f>
        <v/>
      </c>
      <c r="AZ28" s="22">
        <f>IF(AND($H28&lt;&gt;"",$AD28&lt;&gt;"",$H28&lt;&gt;$AD28,IFERROR(VLOOKUP($H28,areaCercaPuntiClassificaSquadra,3,FALSE),-1)=IFERROR(VLOOKUP($AD28,areaCercaPuntiClassificaSquadra,3,FALSE),-2)),SUMIFS(Dati!$B$2:$B$761,Dati!$A$2:$A$761,$H28,Dati!$H$2:$H$761,$AD28)+SUMIFS(Dati!$I$2:$I$761,Dati!$H$2:$H$761,$H28,Dati!$A$2:$A$761,$AD28),"-")</f>
        <v/>
      </c>
      <c r="BA28" s="22">
        <f>IF(AND($H28&lt;&gt;"",$AE28&lt;&gt;"",$H28&lt;&gt;$AE28,IFERROR(VLOOKUP($H28,areaCercaPuntiClassificaSquadra,3,FALSE),-1)=IFERROR(VLOOKUP($AE28,areaCercaPuntiClassificaSquadra,3,FALSE),-2)),SUMIFS(Dati!$B$2:$B$761,Dati!$A$2:$A$761,$H28,Dati!$H$2:$H$761,$AE28)+SUMIFS(Dati!$I$2:$I$761,Dati!$H$2:$H$761,$H28,Dati!$A$2:$A$761,$AE28),"-")</f>
        <v/>
      </c>
      <c r="BB28" s="22">
        <f>IF(AND($H28&lt;&gt;"",$AF28&lt;&gt;"",$H28&lt;&gt;$AF28,IFERROR(VLOOKUP($H28,areaCercaPuntiClassificaSquadra,3,FALSE),-1)=IFERROR(VLOOKUP($AF28,areaCercaPuntiClassificaSquadra,3,FALSE),-2)),SUMIFS(Dati!$B$2:$B$761,Dati!$A$2:$A$761,$H28,Dati!$H$2:$H$761,$AF28)+SUMIFS(Dati!$I$2:$I$761,Dati!$H$2:$H$761,$H28,Dati!$A$2:$A$761,$AF28),"-")</f>
        <v/>
      </c>
      <c r="BC28" s="22">
        <f>IF(AND($H28&lt;&gt;"",$AG28&lt;&gt;"",$H28&lt;&gt;$AG28,IFERROR(VLOOKUP($H28,areaCercaPuntiClassificaSquadra,3,FALSE),-1)=IFERROR(VLOOKUP($AG28,areaCercaPuntiClassificaSquadra,3,FALSE),-2)),SUMIFS(Dati!$B$2:$B$761,Dati!$A$2:$A$761,$H28,Dati!$H$2:$H$761,$AG28)+SUMIFS(Dati!$I$2:$I$761,Dati!$H$2:$H$761,$H28,Dati!$A$2:$A$761,$AG28),"-")</f>
        <v/>
      </c>
      <c r="BD28" s="22">
        <f>IF(AND($H28&lt;&gt;"",$AH28&lt;&gt;"",$H28&lt;&gt;$AH28,IFERROR(VLOOKUP($H28,areaCercaPuntiClassificaSquadra,3,FALSE),-1)=IFERROR(VLOOKUP($AH28,areaCercaPuntiClassificaSquadra,3,FALSE),-2)),SUMIFS(Dati!$B$2:$B$761,Dati!$A$2:$A$761,$H28,Dati!$H$2:$H$761,$AH28)+SUMIFS(Dati!$I$2:$I$761,Dati!$H$2:$H$761,$H28,Dati!$A$2:$A$761,$AH28),"-")</f>
        <v/>
      </c>
      <c r="BE28" s="22">
        <f>IF(AND($H28&lt;&gt;"",$AI28&lt;&gt;"",$H28&lt;&gt;$AI28,IFERROR(VLOOKUP($H28,areaCercaPuntiClassificaSquadra,3,FALSE),-1)=IFERROR(VLOOKUP($AI28,areaCercaPuntiClassificaSquadra,3,FALSE),-2)),SUMIFS(Dati!$B$2:$B$761,Dati!$A$2:$A$761,$H28,Dati!$H$2:$H$761,$AI28)+SUMIFS(Dati!$I$2:$I$761,Dati!$H$2:$H$761,$H28,Dati!$A$2:$A$761,$AI28),"-")</f>
        <v/>
      </c>
      <c r="BF28" s="22">
        <f>IF(AND($H28&lt;&gt;"",$AJ28&lt;&gt;"",$H28&lt;&gt;$AJ28,IFERROR(VLOOKUP($H28,areaCercaPuntiClassificaSquadra,3,FALSE),-1)=IFERROR(VLOOKUP($AJ28,areaCercaPuntiClassificaSquadra,3,FALSE),-2)),SUMIFS(Dati!$B$2:$B$761,Dati!$A$2:$A$761,$H28,Dati!$H$2:$H$761,$AJ28)+SUMIFS(Dati!$I$2:$I$761,Dati!$H$2:$H$761,$H28,Dati!$A$2:$A$761,$AJ28),"-")</f>
        <v/>
      </c>
      <c r="BG28" s="22">
        <f>IF(AND($H28&lt;&gt;"",$AK28&lt;&gt;"",$H28&lt;&gt;$AK28,IFERROR(VLOOKUP($H28,areaCercaPuntiClassificaSquadra,3,FALSE),-1)=IFERROR(VLOOKUP($AK28,areaCercaPuntiClassificaSquadra,3,FALSE),-2)),SUMIFS(Dati!$B$2:$B$761,Dati!$A$2:$A$761,$H28,Dati!$H$2:$H$761,$AK28)+SUMIFS(Dati!$I$2:$I$761,Dati!$H$2:$H$761,$H28,Dati!$A$2:$A$761,$AK28),"-")</f>
        <v/>
      </c>
      <c r="BH28" s="22">
        <f>IF(AND($H28&lt;&gt;"",$AL28&lt;&gt;"",$H28&lt;&gt;$AL28,IFERROR(VLOOKUP($H28,areaCercaPuntiClassificaSquadra,3,FALSE),-1)=IFERROR(VLOOKUP($AL28,areaCercaPuntiClassificaSquadra,3,FALSE),-2)),SUMIFS(Dati!$B$2:$B$761,Dati!$A$2:$A$761,$H28,Dati!$H$2:$H$761,$AL28)+SUMIFS(Dati!$I$2:$I$761,Dati!$H$2:$H$761,$H28,Dati!$A$2:$A$761,$AL28),"-")</f>
        <v/>
      </c>
      <c r="BI28" s="22">
        <f>IF(AND($H28&lt;&gt;"",$AM28&lt;&gt;"",$H28&lt;&gt;$AM28,IFERROR(VLOOKUP($H28,areaCercaPuntiClassificaSquadra,3,FALSE),-1)=IFERROR(VLOOKUP($AM28,areaCercaPuntiClassificaSquadra,3,FALSE),-2)),SUMIFS(Dati!$B$2:$B$761,Dati!$A$2:$A$761,$H28,Dati!$H$2:$H$761,$AM28)+SUMIFS(Dati!$I$2:$I$761,Dati!$H$2:$H$761,$H28,Dati!$A$2:$A$761,$AM28),"-")</f>
        <v/>
      </c>
      <c r="BJ28" s="22">
        <f>IF(AND($H28&lt;&gt;"",$AN28&lt;&gt;"",$H28&lt;&gt;$AN28,IFERROR(VLOOKUP($H28,areaCercaPuntiClassificaSquadra,3,FALSE),-1)=IFERROR(VLOOKUP($AN28,areaCercaPuntiClassificaSquadra,3,FALSE),-2)),SUMIFS(Dati!$B$2:$B$761,Dati!$A$2:$A$761,$H28,Dati!$H$2:$H$761,$AN28)+SUMIFS(Dati!$I$2:$I$761,Dati!$H$2:$H$761,$H28,Dati!$A$2:$A$761,$AN28),"-")</f>
        <v/>
      </c>
      <c r="BK28" s="22">
        <f>IF(AND($H28&lt;&gt;"",$AO28&lt;&gt;"",$H28&lt;&gt;$AO28,IFERROR(VLOOKUP($H28,areaCercaPuntiClassificaSquadra,3,FALSE),-1)=IFERROR(VLOOKUP($AO28,areaCercaPuntiClassificaSquadra,3,FALSE),-2)),SUMIFS(Dati!$B$2:$B$761,Dati!$A$2:$A$761,$H28,Dati!$H$2:$H$761,$AO28)+SUMIFS(Dati!$I$2:$I$761,Dati!$H$2:$H$761,$H28,Dati!$A$2:$A$761,$AO28),"-")</f>
        <v/>
      </c>
      <c r="BL28" s="22">
        <f>IF(AND($H28&lt;&gt;"",$AP28&lt;&gt;"",$H28&lt;&gt;$AP28,IFERROR(VLOOKUP($H28,areaCercaPuntiClassificaSquadra,3,FALSE),-1)=IFERROR(VLOOKUP($AP28,areaCercaPuntiClassificaSquadra,3,FALSE),-2)),SUMIFS(Dati!$B$2:$B$761,Dati!$A$2:$A$761,$H28,Dati!$H$2:$H$761,$AP28)+SUMIFS(Dati!$I$2:$I$761,Dati!$H$2:$H$761,$H28,Dati!$A$2:$A$761,$AP28),"-")</f>
        <v/>
      </c>
      <c r="BM28" s="22">
        <f>IF(AND($H28&lt;&gt;"",$AQ28&lt;&gt;"",$H28&lt;&gt;$AQ28,IFERROR(VLOOKUP($H28,areaCercaPuntiClassificaSquadra,3,FALSE),-1)=IFERROR(VLOOKUP($AQ28,areaCercaPuntiClassificaSquadra,3,FALSE),-2)),SUMIFS(Dati!$B$2:$B$761,Dati!$A$2:$A$761,$H28,Dati!$H$2:$H$761,$AQ28)+SUMIFS(Dati!$I$2:$I$761,Dati!$H$2:$H$761,$H28,Dati!$A$2:$A$761,$AQ28),"-")</f>
        <v/>
      </c>
      <c r="BN28" s="22">
        <f>IF(AND($H28&lt;&gt;"",$AR28&lt;&gt;"",$H28&lt;&gt;$AR28,IFERROR(VLOOKUP($H28,areaCercaPuntiClassificaSquadra,3,FALSE),-1)=IFERROR(VLOOKUP($AR28,areaCercaPuntiClassificaSquadra,3,FALSE),-2)),SUMIFS(Dati!$B$2:$B$761,Dati!$A$2:$A$761,$H28,Dati!$H$2:$H$761,$AR28)+SUMIFS(Dati!$I$2:$I$761,Dati!$H$2:$H$761,$H28,Dati!$A$2:$A$761,$AR28),"-")</f>
        <v/>
      </c>
      <c r="BP28" s="21">
        <f>$C28</f>
        <v/>
      </c>
      <c r="BQ28" s="22">
        <f>IF(AND($H28&lt;&gt;"",$Y28&lt;&gt;"",$H28&lt;&gt;$Y28,IFERROR(VLOOKUP($H28,areaCercaPuntiClassificaSquadra,3,FALSE),-1)=IFERROR(VLOOKUP($Y28,areaCercaPuntiClassificaSquadra,3,FALSE),-2)),SUMIFS(Dati!$D$2:$D$761,Dati!$A$2:$A$761,$H28,Dati!$H$2:$H$761,$Y28)+SUMIFS(Dati!$K$2:$K$761,Dati!$H$2:$H$761,$H28,Dati!$A$2:$A$761,$Y28)+SUMIFS(Dati!$C$2:$C$761,Dati!$A$2:$A$761,$H28,Dati!$H$2:$H$761,$Y28)+SUMIFS(Dati!$J$2:$J$761,Dati!$H$2:$H$761,$H28,Dati!$A$2:$A$761,$Y28),"-")</f>
        <v/>
      </c>
      <c r="BR28" s="22">
        <f>IF(AND($H28&lt;&gt;"",$Z28&lt;&gt;"",$H28&lt;&gt;$Z28,IFERROR(VLOOKUP($H28,areaCercaPuntiClassificaSquadra,3,FALSE),-1)=IFERROR(VLOOKUP($Z28,areaCercaPuntiClassificaSquadra,3,FALSE),-2)),SUMIFS(Dati!$D$2:$D$761,Dati!$A$2:$A$761,$H28,Dati!$H$2:$H$761,$Z28)+SUMIFS(Dati!$K$2:$K$761,Dati!$H$2:$H$761,$H28,Dati!$A$2:$A$761,$Z28)+SUMIFS(Dati!$C$2:$C$761,Dati!$A$2:$A$761,$H28,Dati!$H$2:$H$761,$Z28)+SUMIFS(Dati!$J$2:$J$761,Dati!$H$2:$H$761,$H28,Dati!$A$2:$A$761,$Z28),"-")</f>
        <v/>
      </c>
      <c r="BS28" s="22">
        <f>IF(AND($H28&lt;&gt;"",$AA28&lt;&gt;"",$H28&lt;&gt;$AA28,IFERROR(VLOOKUP($H28,areaCercaPuntiClassificaSquadra,3,FALSE),-1)=IFERROR(VLOOKUP($AA28,areaCercaPuntiClassificaSquadra,3,FALSE),-2)),SUMIFS(Dati!$D$2:$D$761,Dati!$A$2:$A$761,$H28,Dati!$H$2:$H$761,$AA28)+SUMIFS(Dati!$K$2:$K$761,Dati!$H$2:$H$761,$H28,Dati!$A$2:$A$761,$AA28)+SUMIFS(Dati!$C$2:$C$761,Dati!$A$2:$A$761,$H28,Dati!$H$2:$H$761,$AA28)+SUMIFS(Dati!$J$2:$J$761,Dati!$H$2:$H$761,$H28,Dati!$A$2:$A$761,$AA28),"-")</f>
        <v/>
      </c>
      <c r="BT28" s="22">
        <f>IF(AND($H28&lt;&gt;"",$AB28&lt;&gt;"",$H28&lt;&gt;$AB28,IFERROR(VLOOKUP($H28,areaCercaPuntiClassificaSquadra,3,FALSE),-1)=IFERROR(VLOOKUP($AB28,areaCercaPuntiClassificaSquadra,3,FALSE),-2)),SUMIFS(Dati!$D$2:$D$761,Dati!$A$2:$A$761,$H28,Dati!$H$2:$H$761,$AB28)+SUMIFS(Dati!$K$2:$K$761,Dati!$H$2:$H$761,$H28,Dati!$A$2:$A$761,$AB28)+SUMIFS(Dati!$C$2:$C$761,Dati!$A$2:$A$761,$H28,Dati!$H$2:$H$761,$AB28)+SUMIFS(Dati!$J$2:$J$761,Dati!$H$2:$H$761,$H28,Dati!$A$2:$A$761,$AB28),"-")</f>
        <v/>
      </c>
      <c r="BU28" s="22">
        <f>IF(AND($H28&lt;&gt;"",$AC28&lt;&gt;"",$H28&lt;&gt;$AC28,IFERROR(VLOOKUP($H28,areaCercaPuntiClassificaSquadra,3,FALSE),-1)=IFERROR(VLOOKUP($AC28,areaCercaPuntiClassificaSquadra,3,FALSE),-2)),SUMIFS(Dati!$D$2:$D$761,Dati!$A$2:$A$761,$H28,Dati!$H$2:$H$761,$AC28)+SUMIFS(Dati!$K$2:$K$761,Dati!$H$2:$H$761,$H28,Dati!$A$2:$A$761,$AC28)+SUMIFS(Dati!$C$2:$C$761,Dati!$A$2:$A$761,$H28,Dati!$H$2:$H$761,$AC28)+SUMIFS(Dati!$J$2:$J$761,Dati!$H$2:$H$761,$H28,Dati!$A$2:$A$761,$AC28),"-")</f>
        <v/>
      </c>
      <c r="BV28" s="22">
        <f>IF(AND($H28&lt;&gt;"",$AD28&lt;&gt;"",$H28&lt;&gt;$AD28,IFERROR(VLOOKUP($H28,areaCercaPuntiClassificaSquadra,3,FALSE),-1)=IFERROR(VLOOKUP($AD28,areaCercaPuntiClassificaSquadra,3,FALSE),-2)),SUMIFS(Dati!$D$2:$D$761,Dati!$A$2:$A$761,$H28,Dati!$H$2:$H$761,$AD28)+SUMIFS(Dati!$K$2:$K$761,Dati!$H$2:$H$761,$H28,Dati!$A$2:$A$761,$AD28)+SUMIFS(Dati!$C$2:$C$761,Dati!$A$2:$A$761,$H28,Dati!$H$2:$H$761,$AD28)+SUMIFS(Dati!$J$2:$J$761,Dati!$H$2:$H$761,$H28,Dati!$A$2:$A$761,$AD28),"-")</f>
        <v/>
      </c>
      <c r="BW28" s="22">
        <f>IF(AND($H28&lt;&gt;"",$AE28&lt;&gt;"",$H28&lt;&gt;$AE28,IFERROR(VLOOKUP($H28,areaCercaPuntiClassificaSquadra,3,FALSE),-1)=IFERROR(VLOOKUP($AE28,areaCercaPuntiClassificaSquadra,3,FALSE),-2)),SUMIFS(Dati!$D$2:$D$761,Dati!$A$2:$A$761,$H28,Dati!$H$2:$H$761,$AE28)+SUMIFS(Dati!$K$2:$K$761,Dati!$H$2:$H$761,$H28,Dati!$A$2:$A$761,$AE28)+SUMIFS(Dati!$C$2:$C$761,Dati!$A$2:$A$761,$H28,Dati!$H$2:$H$761,$AE28)+SUMIFS(Dati!$J$2:$J$761,Dati!$H$2:$H$761,$H28,Dati!$A$2:$A$761,$AE28),"-")</f>
        <v/>
      </c>
      <c r="BX28" s="22">
        <f>IF(AND($H28&lt;&gt;"",$AF28&lt;&gt;"",$H28&lt;&gt;$AF28,IFERROR(VLOOKUP($H28,areaCercaPuntiClassificaSquadra,3,FALSE),-1)=IFERROR(VLOOKUP($AF28,areaCercaPuntiClassificaSquadra,3,FALSE),-2)),SUMIFS(Dati!$D$2:$D$761,Dati!$A$2:$A$761,$H28,Dati!$H$2:$H$761,$AF28)+SUMIFS(Dati!$K$2:$K$761,Dati!$H$2:$H$761,$H28,Dati!$A$2:$A$761,$AF28)+SUMIFS(Dati!$C$2:$C$761,Dati!$A$2:$A$761,$H28,Dati!$H$2:$H$761,$AF28)+SUMIFS(Dati!$J$2:$J$761,Dati!$H$2:$H$761,$H28,Dati!$A$2:$A$761,$AF28),"-")</f>
        <v/>
      </c>
      <c r="BY28" s="22">
        <f>IF(AND($H28&lt;&gt;"",$AG28&lt;&gt;"",$H28&lt;&gt;$AG28,IFERROR(VLOOKUP($H28,areaCercaPuntiClassificaSquadra,3,FALSE),-1)=IFERROR(VLOOKUP($AG28,areaCercaPuntiClassificaSquadra,3,FALSE),-2)),SUMIFS(Dati!$D$2:$D$761,Dati!$A$2:$A$761,$H28,Dati!$H$2:$H$761,$AG28)+SUMIFS(Dati!$K$2:$K$761,Dati!$H$2:$H$761,$H28,Dati!$A$2:$A$761,$AG28)+SUMIFS(Dati!$C$2:$C$761,Dati!$A$2:$A$761,$H28,Dati!$H$2:$H$761,$AG28)+SUMIFS(Dati!$J$2:$J$761,Dati!$H$2:$H$761,$H28,Dati!$A$2:$A$761,$AG28),"-")</f>
        <v/>
      </c>
      <c r="BZ28" s="22">
        <f>IF(AND($H28&lt;&gt;"",$AH28&lt;&gt;"",$H28&lt;&gt;$AH28,IFERROR(VLOOKUP($H28,areaCercaPuntiClassificaSquadra,3,FALSE),-1)=IFERROR(VLOOKUP($AH28,areaCercaPuntiClassificaSquadra,3,FALSE),-2)),SUMIFS(Dati!$D$2:$D$761,Dati!$A$2:$A$761,$H28,Dati!$H$2:$H$761,$AH28)+SUMIFS(Dati!$K$2:$K$761,Dati!$H$2:$H$761,$H28,Dati!$A$2:$A$761,$AH28)+SUMIFS(Dati!$C$2:$C$761,Dati!$A$2:$A$761,$H28,Dati!$H$2:$H$761,$AH28)+SUMIFS(Dati!$J$2:$J$761,Dati!$H$2:$H$761,$H28,Dati!$A$2:$A$761,$AH28),"-")</f>
        <v/>
      </c>
      <c r="CA28" s="22">
        <f>IF(AND($H28&lt;&gt;"",$AI28&lt;&gt;"",$H28&lt;&gt;$AI28,IFERROR(VLOOKUP($H28,areaCercaPuntiClassificaSquadra,3,FALSE),-1)=IFERROR(VLOOKUP($AI28,areaCercaPuntiClassificaSquadra,3,FALSE),-2)),SUMIFS(Dati!$D$2:$D$761,Dati!$A$2:$A$761,$H28,Dati!$H$2:$H$761,$AI28)+SUMIFS(Dati!$K$2:$K$761,Dati!$H$2:$H$761,$H28,Dati!$A$2:$A$761,$AI28)+SUMIFS(Dati!$C$2:$C$761,Dati!$A$2:$A$761,$H28,Dati!$H$2:$H$761,$AI28)+SUMIFS(Dati!$J$2:$J$761,Dati!$H$2:$H$761,$H28,Dati!$A$2:$A$761,$AI28),"-")</f>
        <v/>
      </c>
      <c r="CB28" s="22">
        <f>IF(AND($H28&lt;&gt;"",$AJ28&lt;&gt;"",$H28&lt;&gt;$AJ28,IFERROR(VLOOKUP($H28,areaCercaPuntiClassificaSquadra,3,FALSE),-1)=IFERROR(VLOOKUP($AJ28,areaCercaPuntiClassificaSquadra,3,FALSE),-2)),SUMIFS(Dati!$D$2:$D$761,Dati!$A$2:$A$761,$H28,Dati!$H$2:$H$761,$AJ28)+SUMIFS(Dati!$K$2:$K$761,Dati!$H$2:$H$761,$H28,Dati!$A$2:$A$761,$AJ28)+SUMIFS(Dati!$C$2:$C$761,Dati!$A$2:$A$761,$H28,Dati!$H$2:$H$761,$AJ28)+SUMIFS(Dati!$J$2:$J$761,Dati!$H$2:$H$761,$H28,Dati!$A$2:$A$761,$AJ28),"-")</f>
        <v/>
      </c>
      <c r="CC28" s="22">
        <f>IF(AND($H28&lt;&gt;"",$AK28&lt;&gt;"",$H28&lt;&gt;$AK28,IFERROR(VLOOKUP($H28,areaCercaPuntiClassificaSquadra,3,FALSE),-1)=IFERROR(VLOOKUP($AK28,areaCercaPuntiClassificaSquadra,3,FALSE),-2)),SUMIFS(Dati!$D$2:$D$761,Dati!$A$2:$A$761,$H28,Dati!$H$2:$H$761,$AK28)+SUMIFS(Dati!$K$2:$K$761,Dati!$H$2:$H$761,$H28,Dati!$A$2:$A$761,$AK28)+SUMIFS(Dati!$C$2:$C$761,Dati!$A$2:$A$761,$H28,Dati!$H$2:$H$761,$AK28)+SUMIFS(Dati!$J$2:$J$761,Dati!$H$2:$H$761,$H28,Dati!$A$2:$A$761,$AK28),"-")</f>
        <v/>
      </c>
      <c r="CD28" s="22">
        <f>IF(AND($H28&lt;&gt;"",$AL28&lt;&gt;"",$H28&lt;&gt;$AL28,IFERROR(VLOOKUP($H28,areaCercaPuntiClassificaSquadra,3,FALSE),-1)=IFERROR(VLOOKUP($AL28,areaCercaPuntiClassificaSquadra,3,FALSE),-2)),SUMIFS(Dati!$D$2:$D$761,Dati!$A$2:$A$761,$H28,Dati!$H$2:$H$761,$AL28)+SUMIFS(Dati!$K$2:$K$761,Dati!$H$2:$H$761,$H28,Dati!$A$2:$A$761,$AL28)+SUMIFS(Dati!$C$2:$C$761,Dati!$A$2:$A$761,$H28,Dati!$H$2:$H$761,$AL28)+SUMIFS(Dati!$J$2:$J$761,Dati!$H$2:$H$761,$H28,Dati!$A$2:$A$761,$AL28),"-")</f>
        <v/>
      </c>
      <c r="CE28" s="22">
        <f>IF(AND($H28&lt;&gt;"",$AM28&lt;&gt;"",$H28&lt;&gt;$AM28,IFERROR(VLOOKUP($H28,areaCercaPuntiClassificaSquadra,3,FALSE),-1)=IFERROR(VLOOKUP($AM28,areaCercaPuntiClassificaSquadra,3,FALSE),-2)),SUMIFS(Dati!$D$2:$D$761,Dati!$A$2:$A$761,$H28,Dati!$H$2:$H$761,$AM28)+SUMIFS(Dati!$K$2:$K$761,Dati!$H$2:$H$761,$H28,Dati!$A$2:$A$761,$AM28)+SUMIFS(Dati!$C$2:$C$761,Dati!$A$2:$A$761,$H28,Dati!$H$2:$H$761,$AM28)+SUMIFS(Dati!$J$2:$J$761,Dati!$H$2:$H$761,$H28,Dati!$A$2:$A$761,$AM28),"-")</f>
        <v/>
      </c>
      <c r="CF28" s="22">
        <f>IF(AND($H28&lt;&gt;"",$AN28&lt;&gt;"",$H28&lt;&gt;$AN28,IFERROR(VLOOKUP($H28,areaCercaPuntiClassificaSquadra,3,FALSE),-1)=IFERROR(VLOOKUP($AN28,areaCercaPuntiClassificaSquadra,3,FALSE),-2)),SUMIFS(Dati!$D$2:$D$761,Dati!$A$2:$A$761,$H28,Dati!$H$2:$H$761,$AN28)+SUMIFS(Dati!$K$2:$K$761,Dati!$H$2:$H$761,$H28,Dati!$A$2:$A$761,$AN28)+SUMIFS(Dati!$C$2:$C$761,Dati!$A$2:$A$761,$H28,Dati!$H$2:$H$761,$AN28)+SUMIFS(Dati!$J$2:$J$761,Dati!$H$2:$H$761,$H28,Dati!$A$2:$A$761,$AN28),"-")</f>
        <v/>
      </c>
      <c r="CG28" s="22">
        <f>IF(AND($H28&lt;&gt;"",$AO28&lt;&gt;"",$H28&lt;&gt;$AO28,IFERROR(VLOOKUP($H28,areaCercaPuntiClassificaSquadra,3,FALSE),-1)=IFERROR(VLOOKUP($AO28,areaCercaPuntiClassificaSquadra,3,FALSE),-2)),SUMIFS(Dati!$D$2:$D$761,Dati!$A$2:$A$761,$H28,Dati!$H$2:$H$761,$AO28)+SUMIFS(Dati!$K$2:$K$761,Dati!$H$2:$H$761,$H28,Dati!$A$2:$A$761,$AO28)+SUMIFS(Dati!$C$2:$C$761,Dati!$A$2:$A$761,$H28,Dati!$H$2:$H$761,$AO28)+SUMIFS(Dati!$J$2:$J$761,Dati!$H$2:$H$761,$H28,Dati!$A$2:$A$761,$AO28),"-")</f>
        <v/>
      </c>
      <c r="CH28" s="22">
        <f>IF(AND($H28&lt;&gt;"",$AP28&lt;&gt;"",$H28&lt;&gt;$AP28,IFERROR(VLOOKUP($H28,areaCercaPuntiClassificaSquadra,3,FALSE),-1)=IFERROR(VLOOKUP($AP28,areaCercaPuntiClassificaSquadra,3,FALSE),-2)),SUMIFS(Dati!$D$2:$D$761,Dati!$A$2:$A$761,$H28,Dati!$H$2:$H$761,$AP28)+SUMIFS(Dati!$K$2:$K$761,Dati!$H$2:$H$761,$H28,Dati!$A$2:$A$761,$AP28)+SUMIFS(Dati!$C$2:$C$761,Dati!$A$2:$A$761,$H28,Dati!$H$2:$H$761,$AP28)+SUMIFS(Dati!$J$2:$J$761,Dati!$H$2:$H$761,$H28,Dati!$A$2:$A$761,$AP28),"-")</f>
        <v/>
      </c>
      <c r="CI28" s="22">
        <f>IF(AND($H28&lt;&gt;"",$AQ28&lt;&gt;"",$H28&lt;&gt;$AQ28,IFERROR(VLOOKUP($H28,areaCercaPuntiClassificaSquadra,3,FALSE),-1)=IFERROR(VLOOKUP($AQ28,areaCercaPuntiClassificaSquadra,3,FALSE),-2)),SUMIFS(Dati!$D$2:$D$761,Dati!$A$2:$A$761,$H28,Dati!$H$2:$H$761,$AQ28)+SUMIFS(Dati!$K$2:$K$761,Dati!$H$2:$H$761,$H28,Dati!$A$2:$A$761,$AQ28)+SUMIFS(Dati!$C$2:$C$761,Dati!$A$2:$A$761,$H28,Dati!$H$2:$H$761,$AQ28)+SUMIFS(Dati!$J$2:$J$761,Dati!$H$2:$H$761,$H28,Dati!$A$2:$A$761,$AQ28),"-")</f>
        <v/>
      </c>
      <c r="CJ28" s="22">
        <f>IF(AND($H28&lt;&gt;"",$AR28&lt;&gt;"",$H28&lt;&gt;$AR28,IFERROR(VLOOKUP($H28,areaCercaPuntiClassificaSquadra,3,FALSE),-1)=IFERROR(VLOOKUP($AR28,areaCercaPuntiClassificaSquadra,3,FALSE),-2)),SUMIFS(Dati!$D$2:$D$761,Dati!$A$2:$A$761,$H28,Dati!$H$2:$H$761,$AR28)+SUMIFS(Dati!$K$2:$K$761,Dati!$H$2:$H$761,$H28,Dati!$A$2:$A$761,$AR28)+SUMIFS(Dati!$C$2:$C$761,Dati!$A$2:$A$761,$H28,Dati!$H$2:$H$761,$AR28)+SUMIFS(Dati!$J$2:$J$761,Dati!$H$2:$H$761,$H28,Dati!$A$2:$A$761,$AR28),"-")</f>
        <v/>
      </c>
      <c r="CL28" s="21">
        <f>$C28</f>
        <v/>
      </c>
      <c r="CM28" s="22">
        <f>IF(AND($H28&lt;&gt;"",$Y28&lt;&gt;"",$H28&lt;&gt;$Y28,IFERROR(VLOOKUP($H28,areaCercaPuntiClassificaSquadra,3,FALSE),-1)=IFERROR(VLOOKUP($Y28,areaCercaPuntiClassificaSquadra,3,FALSE),-2)),SUMIFS(Dati!$E$2:$E$761,Dati!$A$2:$A$761,$H28,Dati!$H$2:$H$761,$Y28)+SUMIFS(Dati!$L$2:$L$761,Dati!$H$2:$H$761,$H28,Dati!$A$2:$A$761,$Y28),"-")</f>
        <v/>
      </c>
      <c r="CN28" s="22">
        <f>IF(AND($H28&lt;&gt;"",$Z28&lt;&gt;"",$H28&lt;&gt;$Z28,IFERROR(VLOOKUP($H28,areaCercaPuntiClassificaSquadra,3,FALSE),-1)=IFERROR(VLOOKUP($Z28,areaCercaPuntiClassificaSquadra,3,FALSE),-2)),SUMIFS(Dati!$E$2:$E$761,Dati!$A$2:$A$761,$H28,Dati!$H$2:$H$761,$Z28)+SUMIFS(Dati!$L$2:$L$761,Dati!$H$2:$H$761,$H28,Dati!$A$2:$A$761,$Z28),"-")</f>
        <v/>
      </c>
      <c r="CO28" s="22">
        <f>IF(AND($H28&lt;&gt;"",$AA28&lt;&gt;"",$H28&lt;&gt;$AA28,IFERROR(VLOOKUP($H28,areaCercaPuntiClassificaSquadra,3,FALSE),-1)=IFERROR(VLOOKUP($AA28,areaCercaPuntiClassificaSquadra,3,FALSE),-2)),SUMIFS(Dati!$E$2:$E$761,Dati!$A$2:$A$761,$H28,Dati!$H$2:$H$761,$AA28)+SUMIFS(Dati!$L$2:$L$761,Dati!$H$2:$H$761,$H28,Dati!$A$2:$A$761,$AA28),"-")</f>
        <v/>
      </c>
      <c r="CP28" s="22">
        <f>IF(AND($H28&lt;&gt;"",$AB28&lt;&gt;"",$H28&lt;&gt;$AB28,IFERROR(VLOOKUP($H28,areaCercaPuntiClassificaSquadra,3,FALSE),-1)=IFERROR(VLOOKUP($AB28,areaCercaPuntiClassificaSquadra,3,FALSE),-2)),SUMIFS(Dati!$E$2:$E$761,Dati!$A$2:$A$761,$H28,Dati!$H$2:$H$761,$AB28)+SUMIFS(Dati!$L$2:$L$761,Dati!$H$2:$H$761,$H28,Dati!$A$2:$A$761,$AB28),"-")</f>
        <v/>
      </c>
      <c r="CQ28" s="22">
        <f>IF(AND($H28&lt;&gt;"",$AC28&lt;&gt;"",$H28&lt;&gt;$AC28,IFERROR(VLOOKUP($H28,areaCercaPuntiClassificaSquadra,3,FALSE),-1)=IFERROR(VLOOKUP($AC28,areaCercaPuntiClassificaSquadra,3,FALSE),-2)),SUMIFS(Dati!$E$2:$E$761,Dati!$A$2:$A$761,$H28,Dati!$H$2:$H$761,$AC28)+SUMIFS(Dati!$L$2:$L$761,Dati!$H$2:$H$761,$H28,Dati!$A$2:$A$761,$AC28),"-")</f>
        <v/>
      </c>
      <c r="CR28" s="22">
        <f>IF(AND($H28&lt;&gt;"",$AD28&lt;&gt;"",$H28&lt;&gt;$AD28,IFERROR(VLOOKUP($H28,areaCercaPuntiClassificaSquadra,3,FALSE),-1)=IFERROR(VLOOKUP($AD28,areaCercaPuntiClassificaSquadra,3,FALSE),-2)),SUMIFS(Dati!$E$2:$E$761,Dati!$A$2:$A$761,$H28,Dati!$H$2:$H$761,$AD28)+SUMIFS(Dati!$L$2:$L$761,Dati!$H$2:$H$761,$H28,Dati!$A$2:$A$761,$AD28),"-")</f>
        <v/>
      </c>
      <c r="CS28" s="22">
        <f>IF(AND($H28&lt;&gt;"",$AE28&lt;&gt;"",$H28&lt;&gt;$AE28,IFERROR(VLOOKUP($H28,areaCercaPuntiClassificaSquadra,3,FALSE),-1)=IFERROR(VLOOKUP($AE28,areaCercaPuntiClassificaSquadra,3,FALSE),-2)),SUMIFS(Dati!$E$2:$E$761,Dati!$A$2:$A$761,$H28,Dati!$H$2:$H$761,$AE28)+SUMIFS(Dati!$L$2:$L$761,Dati!$H$2:$H$761,$H28,Dati!$A$2:$A$761,$AE28),"-")</f>
        <v/>
      </c>
      <c r="CT28" s="22">
        <f>IF(AND($H28&lt;&gt;"",$AF28&lt;&gt;"",$H28&lt;&gt;$AF28,IFERROR(VLOOKUP($H28,areaCercaPuntiClassificaSquadra,3,FALSE),-1)=IFERROR(VLOOKUP($AF28,areaCercaPuntiClassificaSquadra,3,FALSE),-2)),SUMIFS(Dati!$E$2:$E$761,Dati!$A$2:$A$761,$H28,Dati!$H$2:$H$761,$AF28)+SUMIFS(Dati!$L$2:$L$761,Dati!$H$2:$H$761,$H28,Dati!$A$2:$A$761,$AF28),"-")</f>
        <v/>
      </c>
      <c r="CU28" s="22">
        <f>IF(AND($H28&lt;&gt;"",$AG28&lt;&gt;"",$H28&lt;&gt;$AG28,IFERROR(VLOOKUP($H28,areaCercaPuntiClassificaSquadra,3,FALSE),-1)=IFERROR(VLOOKUP($AG28,areaCercaPuntiClassificaSquadra,3,FALSE),-2)),SUMIFS(Dati!$E$2:$E$761,Dati!$A$2:$A$761,$H28,Dati!$H$2:$H$761,$AG28)+SUMIFS(Dati!$L$2:$L$761,Dati!$H$2:$H$761,$H28,Dati!$A$2:$A$761,$AG28),"-")</f>
        <v/>
      </c>
      <c r="CV28" s="22">
        <f>IF(AND($H28&lt;&gt;"",$AH28&lt;&gt;"",$H28&lt;&gt;$AH28,IFERROR(VLOOKUP($H28,areaCercaPuntiClassificaSquadra,3,FALSE),-1)=IFERROR(VLOOKUP($AH28,areaCercaPuntiClassificaSquadra,3,FALSE),-2)),SUMIFS(Dati!$E$2:$E$761,Dati!$A$2:$A$761,$H28,Dati!$H$2:$H$761,$AH28)+SUMIFS(Dati!$L$2:$L$761,Dati!$H$2:$H$761,$H28,Dati!$A$2:$A$761,$AH28),"-")</f>
        <v/>
      </c>
      <c r="CW28" s="22">
        <f>IF(AND($H28&lt;&gt;"",$AI28&lt;&gt;"",$H28&lt;&gt;$AI28,IFERROR(VLOOKUP($H28,areaCercaPuntiClassificaSquadra,3,FALSE),-1)=IFERROR(VLOOKUP($AI28,areaCercaPuntiClassificaSquadra,3,FALSE),-2)),SUMIFS(Dati!$E$2:$E$761,Dati!$A$2:$A$761,$H28,Dati!$H$2:$H$761,$AI28)+SUMIFS(Dati!$L$2:$L$761,Dati!$H$2:$H$761,$H28,Dati!$A$2:$A$761,$AI28),"-")</f>
        <v/>
      </c>
      <c r="CX28" s="22">
        <f>IF(AND($H28&lt;&gt;"",$AJ28&lt;&gt;"",$H28&lt;&gt;$AJ28,IFERROR(VLOOKUP($H28,areaCercaPuntiClassificaSquadra,3,FALSE),-1)=IFERROR(VLOOKUP($AJ28,areaCercaPuntiClassificaSquadra,3,FALSE),-2)),SUMIFS(Dati!$E$2:$E$761,Dati!$A$2:$A$761,$H28,Dati!$H$2:$H$761,$AJ28)+SUMIFS(Dati!$L$2:$L$761,Dati!$H$2:$H$761,$H28,Dati!$A$2:$A$761,$AJ28),"-")</f>
        <v/>
      </c>
      <c r="CY28" s="22">
        <f>IF(AND($H28&lt;&gt;"",$AK28&lt;&gt;"",$H28&lt;&gt;$AK28,IFERROR(VLOOKUP($H28,areaCercaPuntiClassificaSquadra,3,FALSE),-1)=IFERROR(VLOOKUP($AK28,areaCercaPuntiClassificaSquadra,3,FALSE),-2)),SUMIFS(Dati!$E$2:$E$761,Dati!$A$2:$A$761,$H28,Dati!$H$2:$H$761,$AK28)+SUMIFS(Dati!$L$2:$L$761,Dati!$H$2:$H$761,$H28,Dati!$A$2:$A$761,$AK28),"-")</f>
        <v/>
      </c>
      <c r="CZ28" s="22">
        <f>IF(AND($H28&lt;&gt;"",$AL28&lt;&gt;"",$H28&lt;&gt;$AL28,IFERROR(VLOOKUP($H28,areaCercaPuntiClassificaSquadra,3,FALSE),-1)=IFERROR(VLOOKUP($AL28,areaCercaPuntiClassificaSquadra,3,FALSE),-2)),SUMIFS(Dati!$E$2:$E$761,Dati!$A$2:$A$761,$H28,Dati!$H$2:$H$761,$AL28)+SUMIFS(Dati!$L$2:$L$761,Dati!$H$2:$H$761,$H28,Dati!$A$2:$A$761,$AL28),"-")</f>
        <v/>
      </c>
      <c r="DA28" s="22">
        <f>IF(AND($H28&lt;&gt;"",$AM28&lt;&gt;"",$H28&lt;&gt;$AM28,IFERROR(VLOOKUP($H28,areaCercaPuntiClassificaSquadra,3,FALSE),-1)=IFERROR(VLOOKUP($AM28,areaCercaPuntiClassificaSquadra,3,FALSE),-2)),SUMIFS(Dati!$E$2:$E$761,Dati!$A$2:$A$761,$H28,Dati!$H$2:$H$761,$AM28)+SUMIFS(Dati!$L$2:$L$761,Dati!$H$2:$H$761,$H28,Dati!$A$2:$A$761,$AM28),"-")</f>
        <v/>
      </c>
      <c r="DB28" s="22">
        <f>IF(AND($H28&lt;&gt;"",$AN28&lt;&gt;"",$H28&lt;&gt;$AN28,IFERROR(VLOOKUP($H28,areaCercaPuntiClassificaSquadra,3,FALSE),-1)=IFERROR(VLOOKUP($AN28,areaCercaPuntiClassificaSquadra,3,FALSE),-2)),SUMIFS(Dati!$E$2:$E$761,Dati!$A$2:$A$761,$H28,Dati!$H$2:$H$761,$AN28)+SUMIFS(Dati!$L$2:$L$761,Dati!$H$2:$H$761,$H28,Dati!$A$2:$A$761,$AN28),"-")</f>
        <v/>
      </c>
      <c r="DC28" s="22">
        <f>IF(AND($H28&lt;&gt;"",$AO28&lt;&gt;"",$H28&lt;&gt;$AO28,IFERROR(VLOOKUP($H28,areaCercaPuntiClassificaSquadra,3,FALSE),-1)=IFERROR(VLOOKUP($AO28,areaCercaPuntiClassificaSquadra,3,FALSE),-2)),SUMIFS(Dati!$E$2:$E$761,Dati!$A$2:$A$761,$H28,Dati!$H$2:$H$761,$AO28)+SUMIFS(Dati!$L$2:$L$761,Dati!$H$2:$H$761,$H28,Dati!$A$2:$A$761,$AO28),"-")</f>
        <v/>
      </c>
      <c r="DD28" s="22">
        <f>IF(AND($H28&lt;&gt;"",$AP28&lt;&gt;"",$H28&lt;&gt;$AP28,IFERROR(VLOOKUP($H28,areaCercaPuntiClassificaSquadra,3,FALSE),-1)=IFERROR(VLOOKUP($AP28,areaCercaPuntiClassificaSquadra,3,FALSE),-2)),SUMIFS(Dati!$E$2:$E$761,Dati!$A$2:$A$761,$H28,Dati!$H$2:$H$761,$AP28)+SUMIFS(Dati!$L$2:$L$761,Dati!$H$2:$H$761,$H28,Dati!$A$2:$A$761,$AP28),"-")</f>
        <v/>
      </c>
      <c r="DE28" s="22">
        <f>IF(AND($H28&lt;&gt;"",$AQ28&lt;&gt;"",$H28&lt;&gt;$AQ28,IFERROR(VLOOKUP($H28,areaCercaPuntiClassificaSquadra,3,FALSE),-1)=IFERROR(VLOOKUP($AQ28,areaCercaPuntiClassificaSquadra,3,FALSE),-2)),SUMIFS(Dati!$E$2:$E$761,Dati!$A$2:$A$761,$H28,Dati!$H$2:$H$761,$AQ28)+SUMIFS(Dati!$L$2:$L$761,Dati!$H$2:$H$761,$H28,Dati!$A$2:$A$761,$AQ28),"-")</f>
        <v/>
      </c>
      <c r="DF28" s="22">
        <f>IF(AND($H28&lt;&gt;"",$AR28&lt;&gt;"",$H28&lt;&gt;$AR28,IFERROR(VLOOKUP($H28,areaCercaPuntiClassificaSquadra,3,FALSE),-1)=IFERROR(VLOOKUP($AR28,areaCercaPuntiClassificaSquadra,3,FALSE),-2)),SUMIFS(Dati!$E$2:$E$761,Dati!$A$2:$A$761,$H28,Dati!$H$2:$H$761,$AR28)+SUMIFS(Dati!$L$2:$L$761,Dati!$H$2:$H$761,$H28,Dati!$A$2:$A$761,$AR28),"-")</f>
        <v/>
      </c>
      <c r="DH28" s="21">
        <f>$C28</f>
        <v/>
      </c>
      <c r="DI28" s="22">
        <f>IF(AND($H28&lt;&gt;"",$Y28&lt;&gt;"",$H28&lt;&gt;$Y28,IFERROR(VLOOKUP($H28,areaCercaPuntiClassificaSquadra,3,FALSE),-1)=IFERROR(VLOOKUP($Y28,areaCercaPuntiClassificaSquadra,3,FALSE),-2)),SUMIFS(Dati!$F$2:$F$761,Dati!$A$2:$A$761,$H28,Dati!$H$2:$H$761,$Y28)+SUMIFS(Dati!$M$2:$M$761,Dati!$H$2:$H$761,$H28,Dati!$A$2:$A$761,$Y28),"-")</f>
        <v/>
      </c>
      <c r="DJ28" s="22">
        <f>IF(AND($H28&lt;&gt;"",$Z28&lt;&gt;"",$H28&lt;&gt;$Z28,IFERROR(VLOOKUP($H28,areaCercaPuntiClassificaSquadra,3,FALSE),-1)=IFERROR(VLOOKUP($Z28,areaCercaPuntiClassificaSquadra,3,FALSE),-2)),SUMIFS(Dati!$F$2:$F$761,Dati!$A$2:$A$761,$H28,Dati!$H$2:$H$761,$Z28)+SUMIFS(Dati!$M$2:$M$761,Dati!$H$2:$H$761,$H28,Dati!$A$2:$A$761,$Z28),"-")</f>
        <v/>
      </c>
      <c r="DK28" s="22">
        <f>IF(AND($H28&lt;&gt;"",$AA28&lt;&gt;"",$H28&lt;&gt;$AA28,IFERROR(VLOOKUP($H28,areaCercaPuntiClassificaSquadra,3,FALSE),-1)=IFERROR(VLOOKUP($AA28,areaCercaPuntiClassificaSquadra,3,FALSE),-2)),SUMIFS(Dati!$F$2:$F$761,Dati!$A$2:$A$761,$H28,Dati!$H$2:$H$761,$AA28)+SUMIFS(Dati!$M$2:$M$761,Dati!$H$2:$H$761,$H28,Dati!$A$2:$A$761,$AA28),"-")</f>
        <v/>
      </c>
      <c r="DL28" s="22">
        <f>IF(AND($H28&lt;&gt;"",$AB28&lt;&gt;"",$H28&lt;&gt;$AB28,IFERROR(VLOOKUP($H28,areaCercaPuntiClassificaSquadra,3,FALSE),-1)=IFERROR(VLOOKUP($AB28,areaCercaPuntiClassificaSquadra,3,FALSE),-2)),SUMIFS(Dati!$F$2:$F$761,Dati!$A$2:$A$761,$H28,Dati!$H$2:$H$761,$AB28)+SUMIFS(Dati!$M$2:$M$761,Dati!$H$2:$H$761,$H28,Dati!$A$2:$A$761,$AB28),"-")</f>
        <v/>
      </c>
      <c r="DM28" s="22">
        <f>IF(AND($H28&lt;&gt;"",$AC28&lt;&gt;"",$H28&lt;&gt;$AC28,IFERROR(VLOOKUP($H28,areaCercaPuntiClassificaSquadra,3,FALSE),-1)=IFERROR(VLOOKUP($AC28,areaCercaPuntiClassificaSquadra,3,FALSE),-2)),SUMIFS(Dati!$F$2:$F$761,Dati!$A$2:$A$761,$H28,Dati!$H$2:$H$761,$AC28)+SUMIFS(Dati!$M$2:$M$761,Dati!$H$2:$H$761,$H28,Dati!$A$2:$A$761,$AC28),"-")</f>
        <v/>
      </c>
      <c r="DN28" s="22">
        <f>IF(AND($H28&lt;&gt;"",$AD28&lt;&gt;"",$H28&lt;&gt;$AD28,IFERROR(VLOOKUP($H28,areaCercaPuntiClassificaSquadra,3,FALSE),-1)=IFERROR(VLOOKUP($AD28,areaCercaPuntiClassificaSquadra,3,FALSE),-2)),SUMIFS(Dati!$F$2:$F$761,Dati!$A$2:$A$761,$H28,Dati!$H$2:$H$761,$AD28)+SUMIFS(Dati!$M$2:$M$761,Dati!$H$2:$H$761,$H28,Dati!$A$2:$A$761,$AD28),"-")</f>
        <v/>
      </c>
      <c r="DO28" s="22">
        <f>IF(AND($H28&lt;&gt;"",$AE28&lt;&gt;"",$H28&lt;&gt;$AE28,IFERROR(VLOOKUP($H28,areaCercaPuntiClassificaSquadra,3,FALSE),-1)=IFERROR(VLOOKUP($AE28,areaCercaPuntiClassificaSquadra,3,FALSE),-2)),SUMIFS(Dati!$F$2:$F$761,Dati!$A$2:$A$761,$H28,Dati!$H$2:$H$761,$AE28)+SUMIFS(Dati!$M$2:$M$761,Dati!$H$2:$H$761,$H28,Dati!$A$2:$A$761,$AE28),"-")</f>
        <v/>
      </c>
      <c r="DP28" s="22">
        <f>IF(AND($H28&lt;&gt;"",$AF28&lt;&gt;"",$H28&lt;&gt;$AF28,IFERROR(VLOOKUP($H28,areaCercaPuntiClassificaSquadra,3,FALSE),-1)=IFERROR(VLOOKUP($AF28,areaCercaPuntiClassificaSquadra,3,FALSE),-2)),SUMIFS(Dati!$F$2:$F$761,Dati!$A$2:$A$761,$H28,Dati!$H$2:$H$761,$AF28)+SUMIFS(Dati!$M$2:$M$761,Dati!$H$2:$H$761,$H28,Dati!$A$2:$A$761,$AF28),"-")</f>
        <v/>
      </c>
      <c r="DQ28" s="22">
        <f>IF(AND($H28&lt;&gt;"",$AG28&lt;&gt;"",$H28&lt;&gt;$AG28,IFERROR(VLOOKUP($H28,areaCercaPuntiClassificaSquadra,3,FALSE),-1)=IFERROR(VLOOKUP($AG28,areaCercaPuntiClassificaSquadra,3,FALSE),-2)),SUMIFS(Dati!$F$2:$F$761,Dati!$A$2:$A$761,$H28,Dati!$H$2:$H$761,$AG28)+SUMIFS(Dati!$M$2:$M$761,Dati!$H$2:$H$761,$H28,Dati!$A$2:$A$761,$AG28),"-")</f>
        <v/>
      </c>
      <c r="DR28" s="22">
        <f>IF(AND($H28&lt;&gt;"",$AH28&lt;&gt;"",$H28&lt;&gt;$AH28,IFERROR(VLOOKUP($H28,areaCercaPuntiClassificaSquadra,3,FALSE),-1)=IFERROR(VLOOKUP($AH28,areaCercaPuntiClassificaSquadra,3,FALSE),-2)),SUMIFS(Dati!$F$2:$F$761,Dati!$A$2:$A$761,$H28,Dati!$H$2:$H$761,$AH28)+SUMIFS(Dati!$M$2:$M$761,Dati!$H$2:$H$761,$H28,Dati!$A$2:$A$761,$AH28),"-")</f>
        <v/>
      </c>
      <c r="DS28" s="22">
        <f>IF(AND($H28&lt;&gt;"",$AI28&lt;&gt;"",$H28&lt;&gt;$AI28,IFERROR(VLOOKUP($H28,areaCercaPuntiClassificaSquadra,3,FALSE),-1)=IFERROR(VLOOKUP($AI28,areaCercaPuntiClassificaSquadra,3,FALSE),-2)),SUMIFS(Dati!$F$2:$F$761,Dati!$A$2:$A$761,$H28,Dati!$H$2:$H$761,$AI28)+SUMIFS(Dati!$M$2:$M$761,Dati!$H$2:$H$761,$H28,Dati!$A$2:$A$761,$AI28),"-")</f>
        <v/>
      </c>
      <c r="DT28" s="22">
        <f>IF(AND($H28&lt;&gt;"",$AJ28&lt;&gt;"",$H28&lt;&gt;$AJ28,IFERROR(VLOOKUP($H28,areaCercaPuntiClassificaSquadra,3,FALSE),-1)=IFERROR(VLOOKUP($AJ28,areaCercaPuntiClassificaSquadra,3,FALSE),-2)),SUMIFS(Dati!$F$2:$F$761,Dati!$A$2:$A$761,$H28,Dati!$H$2:$H$761,$AJ28)+SUMIFS(Dati!$M$2:$M$761,Dati!$H$2:$H$761,$H28,Dati!$A$2:$A$761,$AJ28),"-")</f>
        <v/>
      </c>
      <c r="DU28" s="22">
        <f>IF(AND($H28&lt;&gt;"",$AK28&lt;&gt;"",$H28&lt;&gt;$AK28,IFERROR(VLOOKUP($H28,areaCercaPuntiClassificaSquadra,3,FALSE),-1)=IFERROR(VLOOKUP($AK28,areaCercaPuntiClassificaSquadra,3,FALSE),-2)),SUMIFS(Dati!$F$2:$F$761,Dati!$A$2:$A$761,$H28,Dati!$H$2:$H$761,$AK28)+SUMIFS(Dati!$M$2:$M$761,Dati!$H$2:$H$761,$H28,Dati!$A$2:$A$761,$AK28),"-")</f>
        <v/>
      </c>
      <c r="DV28" s="22">
        <f>IF(AND($H28&lt;&gt;"",$AL28&lt;&gt;"",$H28&lt;&gt;$AL28,IFERROR(VLOOKUP($H28,areaCercaPuntiClassificaSquadra,3,FALSE),-1)=IFERROR(VLOOKUP($AL28,areaCercaPuntiClassificaSquadra,3,FALSE),-2)),SUMIFS(Dati!$F$2:$F$761,Dati!$A$2:$A$761,$H28,Dati!$H$2:$H$761,$AL28)+SUMIFS(Dati!$M$2:$M$761,Dati!$H$2:$H$761,$H28,Dati!$A$2:$A$761,$AL28),"-")</f>
        <v/>
      </c>
      <c r="DW28" s="22">
        <f>IF(AND($H28&lt;&gt;"",$AM28&lt;&gt;"",$H28&lt;&gt;$AM28,IFERROR(VLOOKUP($H28,areaCercaPuntiClassificaSquadra,3,FALSE),-1)=IFERROR(VLOOKUP($AM28,areaCercaPuntiClassificaSquadra,3,FALSE),-2)),SUMIFS(Dati!$F$2:$F$761,Dati!$A$2:$A$761,$H28,Dati!$H$2:$H$761,$AM28)+SUMIFS(Dati!$M$2:$M$761,Dati!$H$2:$H$761,$H28,Dati!$A$2:$A$761,$AM28),"-")</f>
        <v/>
      </c>
      <c r="DX28" s="22">
        <f>IF(AND($H28&lt;&gt;"",$AN28&lt;&gt;"",$H28&lt;&gt;$AN28,IFERROR(VLOOKUP($H28,areaCercaPuntiClassificaSquadra,3,FALSE),-1)=IFERROR(VLOOKUP($AN28,areaCercaPuntiClassificaSquadra,3,FALSE),-2)),SUMIFS(Dati!$F$2:$F$761,Dati!$A$2:$A$761,$H28,Dati!$H$2:$H$761,$AN28)+SUMIFS(Dati!$M$2:$M$761,Dati!$H$2:$H$761,$H28,Dati!$A$2:$A$761,$AN28),"-")</f>
        <v/>
      </c>
      <c r="DY28" s="22">
        <f>IF(AND($H28&lt;&gt;"",$AO28&lt;&gt;"",$H28&lt;&gt;$AO28,IFERROR(VLOOKUP($H28,areaCercaPuntiClassificaSquadra,3,FALSE),-1)=IFERROR(VLOOKUP($AO28,areaCercaPuntiClassificaSquadra,3,FALSE),-2)),SUMIFS(Dati!$F$2:$F$761,Dati!$A$2:$A$761,$H28,Dati!$H$2:$H$761,$AO28)+SUMIFS(Dati!$M$2:$M$761,Dati!$H$2:$H$761,$H28,Dati!$A$2:$A$761,$AO28),"-")</f>
        <v/>
      </c>
      <c r="DZ28" s="22">
        <f>IF(AND($H28&lt;&gt;"",$AP28&lt;&gt;"",$H28&lt;&gt;$AP28,IFERROR(VLOOKUP($H28,areaCercaPuntiClassificaSquadra,3,FALSE),-1)=IFERROR(VLOOKUP($AP28,areaCercaPuntiClassificaSquadra,3,FALSE),-2)),SUMIFS(Dati!$F$2:$F$761,Dati!$A$2:$A$761,$H28,Dati!$H$2:$H$761,$AP28)+SUMIFS(Dati!$M$2:$M$761,Dati!$H$2:$H$761,$H28,Dati!$A$2:$A$761,$AP28),"-")</f>
        <v/>
      </c>
      <c r="EA28" s="22">
        <f>IF(AND($H28&lt;&gt;"",$AQ28&lt;&gt;"",$H28&lt;&gt;$AQ28,IFERROR(VLOOKUP($H28,areaCercaPuntiClassificaSquadra,3,FALSE),-1)=IFERROR(VLOOKUP($AQ28,areaCercaPuntiClassificaSquadra,3,FALSE),-2)),SUMIFS(Dati!$F$2:$F$761,Dati!$A$2:$A$761,$H28,Dati!$H$2:$H$761,$AQ28)+SUMIFS(Dati!$M$2:$M$761,Dati!$H$2:$H$761,$H28,Dati!$A$2:$A$761,$AQ28),"-")</f>
        <v/>
      </c>
      <c r="EB28" s="22">
        <f>IF(AND($H28&lt;&gt;"",$AR28&lt;&gt;"",$H28&lt;&gt;$AR28,IFERROR(VLOOKUP($H28,areaCercaPuntiClassificaSquadra,3,FALSE),-1)=IFERROR(VLOOKUP($AR28,areaCercaPuntiClassificaSquadra,3,FALSE),-2)),SUMIFS(Dati!$F$2:$F$761,Dati!$A$2:$A$761,$H28,Dati!$H$2:$H$761,$AR28)+SUMIFS(Dati!$M$2:$M$761,Dati!$H$2:$H$761,$H28,Dati!$A$2:$A$761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inlineStr">
        <is>
          <t>Tigri Tenaci-Tigriopoli TA</t>
        </is>
      </c>
      <c r="D29" s="14" t="n"/>
      <c r="E29" s="15" t="inlineStr">
        <is>
          <t>A</t>
        </is>
      </c>
      <c r="G29" s="16">
        <f>IF($C29="","",$E29&amp;(COUNTIFS(I$14:I$93,"&gt;"&amp;I29,E$14:E$93,"="&amp;E29,C$14:C$93,"&lt;&gt;")+COUNTIFS(I$14:I$93,"="&amp;I29,H$14:H$93,"&lt;="&amp;H29,E$14:E$93,"="&amp;E29,C$14:C$93,"&lt;&gt;")))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L29*constPuntiVittoria+M29*constPuntiSconfitta+N29*constPuntiForfait+IF(D29="",0,D29)</f>
        <v/>
      </c>
      <c r="K29" s="12">
        <f>SUM(L29:N29)</f>
        <v/>
      </c>
      <c r="L29" s="12">
        <f>IF($H29="",0,SUMIF(Dati!$A$2:$A$761,$H29,Dati!$B$2:$B$761)+SUMIF(Dati!$H$2:$H$761,$H29,Dati!$I$2:$I$761))</f>
        <v/>
      </c>
      <c r="M29" s="12">
        <f>IF($H29="",0,SUMIF(Dati!$A$2:$A$761,$H29,Dati!$D$2:$D$761)+SUMIF(Dati!$H$2:$H$761,$H29,Dati!$K$2:$K$761))</f>
        <v/>
      </c>
      <c r="N29" s="12">
        <f>IF($H29="",0,SUMIF(Dati!$A$2:$A$761,$H29,Dati!$C$2:$C$761)+SUMIF(Dati!$H$2:$H$761,$H29,Dati!$J$2:$J$761))</f>
        <v/>
      </c>
      <c r="O29" s="12">
        <f>IF($H29="",0,SUMIF(Dati!$A$2:$A$761,$H29,Dati!$E$2:$E$761)+SUMIF(Dati!$H$2:$H$761,$H29,Dati!$L$2:$L$761))</f>
        <v/>
      </c>
      <c r="P29" s="12">
        <f>IF($H29="",0,SUMIF(Dati!$A$2:$A$761,$H29,Dati!$F$2:$F$761)+SUMIF(Dati!$H$2:$H$761,$H29,Dati!$M$2:$M$761))</f>
        <v/>
      </c>
      <c r="Q29" s="12">
        <f>IF($H29="",0,SUMIF(Dati!$A$2:$A$761,$H29,Dati!$G$2:$G$761)+SUMIF(Dati!$H$2:$H$761,$H29,Dati!$N$2:$N$761))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IF(COUNTIFS($E$14:$E$93,$E29,$J$14:$J$93,$J29,$C$14:$C$93,"&lt;&gt;")&lt;=1,"-",SUM(AU29:BN29)&amp;"-"&amp;SUM(BQ29:CJ29))</f>
        <v/>
      </c>
      <c r="V29" s="18">
        <f>IF(COUNTIFS($E$14:$E$93,$E29,$J$14:$J$93,$J29,$C$14:$C$93,"&lt;&gt;",$ED$14:$ED$93,$ED29)&lt;=1,"-",IF(SUM(DI29:EB29)=0,0,ROUND(SUM(CM29:DF29)/SUM(DI29:EB29),3)))</f>
        <v/>
      </c>
      <c r="W29" s="18">
        <f>IF(COUNTIFS($E$14:$E$93,$E29,$J$14:$J$93,$J29,$C$14:$C$93,"&lt;&gt;",$ED$14:$ED$93,$ED29,$V$14:$V$93,$V29)&lt;=1,"-",IF(P29=0,0,ROUND(O29/P29,3)))</f>
        <v/>
      </c>
      <c r="X29" s="19">
        <f>IF($C29="","",$E29&amp;"#"&amp;COUNTIFS($E$14:$E29,$E29,$C$14:$C29,"&lt;&gt;"))</f>
        <v/>
      </c>
      <c r="Y29" s="20">
        <f>IFERROR(INDEX($H$14:$H$93,MATCH($E29&amp;"#1",$X$14:$X$93,0)),"")</f>
        <v/>
      </c>
      <c r="Z29" s="20">
        <f>IFERROR(INDEX($H$14:$H$93,MATCH($E29&amp;"#2",$X$14:$X$93,0)),"")</f>
        <v/>
      </c>
      <c r="AA29" s="20">
        <f>IFERROR(INDEX($H$14:$H$93,MATCH($E29&amp;"#3",$X$14:$X$93,0)),"")</f>
        <v/>
      </c>
      <c r="AB29" s="20">
        <f>IFERROR(INDEX($H$14:$H$93,MATCH($E29&amp;"#4",$X$14:$X$93,0)),"")</f>
        <v/>
      </c>
      <c r="AC29" s="20">
        <f>IFERROR(INDEX($H$14:$H$93,MATCH($E29&amp;"#5",$X$14:$X$93,0)),"")</f>
        <v/>
      </c>
      <c r="AD29" s="20">
        <f>IFERROR(INDEX($H$14:$H$93,MATCH($E29&amp;"#6",$X$14:$X$93,0)),"")</f>
        <v/>
      </c>
      <c r="AE29" s="20">
        <f>IFERROR(INDEX($H$14:$H$93,MATCH($E29&amp;"#7",$X$14:$X$93,0)),"")</f>
        <v/>
      </c>
      <c r="AF29" s="20">
        <f>IFERROR(INDEX($H$14:$H$93,MATCH($E29&amp;"#8",$X$14:$X$93,0)),"")</f>
        <v/>
      </c>
      <c r="AG29" s="20">
        <f>IFERROR(INDEX($H$14:$H$93,MATCH($E29&amp;"#9",$X$14:$X$93,0)),"")</f>
        <v/>
      </c>
      <c r="AH29" s="20">
        <f>IFERROR(INDEX($H$14:$H$93,MATCH($E29&amp;"#10",$X$14:$X$93,0)),"")</f>
        <v/>
      </c>
      <c r="AI29" s="20">
        <f>IFERROR(INDEX($H$14:$H$93,MATCH($E29&amp;"#11",$X$14:$X$93,0)),"")</f>
        <v/>
      </c>
      <c r="AJ29" s="20">
        <f>IFERROR(INDEX($H$14:$H$93,MATCH($E29&amp;"#12",$X$14:$X$93,0)),"")</f>
        <v/>
      </c>
      <c r="AK29" s="20">
        <f>IFERROR(INDEX($H$14:$H$93,MATCH($E29&amp;"#13",$X$14:$X$93,0)),"")</f>
        <v/>
      </c>
      <c r="AL29" s="20">
        <f>IFERROR(INDEX($H$14:$H$93,MATCH($E29&amp;"#14",$X$14:$X$93,0)),"")</f>
        <v/>
      </c>
      <c r="AM29" s="20">
        <f>IFERROR(INDEX($H$14:$H$93,MATCH($E29&amp;"#15",$X$14:$X$93,0)),"")</f>
        <v/>
      </c>
      <c r="AN29" s="20">
        <f>IFERROR(INDEX($H$14:$H$93,MATCH($E29&amp;"#16",$X$14:$X$93,0)),"")</f>
        <v/>
      </c>
      <c r="AO29" s="20">
        <f>IFERROR(INDEX($H$14:$H$93,MATCH($E29&amp;"#17",$X$14:$X$93,0)),"")</f>
        <v/>
      </c>
      <c r="AP29" s="20">
        <f>IFERROR(INDEX($H$14:$H$93,MATCH($E29&amp;"#18",$X$14:$X$93,0)),"")</f>
        <v/>
      </c>
      <c r="AQ29" s="20">
        <f>IFERROR(INDEX($H$14:$H$93,MATCH($E29&amp;"#19",$X$14:$X$93,0)),"")</f>
        <v/>
      </c>
      <c r="AR29" s="20">
        <f>IFERROR(INDEX($H$14:$H$93,MATCH($E29&amp;"#20",$X$14:$X$93,0)),"")</f>
        <v/>
      </c>
      <c r="AT29" s="21">
        <f>$C29</f>
        <v/>
      </c>
      <c r="AU29" s="22">
        <f>IF(AND($H29&lt;&gt;"",$Y29&lt;&gt;"",$H29&lt;&gt;$Y29,IFERROR(VLOOKUP($H29,areaCercaPuntiClassificaSquadra,3,FALSE),-1)=IFERROR(VLOOKUP($Y29,areaCercaPuntiClassificaSquadra,3,FALSE),-2)),SUMIFS(Dati!$B$2:$B$761,Dati!$A$2:$A$761,$H29,Dati!$H$2:$H$761,$Y29)+SUMIFS(Dati!$I$2:$I$761,Dati!$H$2:$H$761,$H29,Dati!$A$2:$A$761,$Y29),"-")</f>
        <v/>
      </c>
      <c r="AV29" s="22">
        <f>IF(AND($H29&lt;&gt;"",$Z29&lt;&gt;"",$H29&lt;&gt;$Z29,IFERROR(VLOOKUP($H29,areaCercaPuntiClassificaSquadra,3,FALSE),-1)=IFERROR(VLOOKUP($Z29,areaCercaPuntiClassificaSquadra,3,FALSE),-2)),SUMIFS(Dati!$B$2:$B$761,Dati!$A$2:$A$761,$H29,Dati!$H$2:$H$761,$Z29)+SUMIFS(Dati!$I$2:$I$761,Dati!$H$2:$H$761,$H29,Dati!$A$2:$A$761,$Z29),"-")</f>
        <v/>
      </c>
      <c r="AW29" s="22">
        <f>IF(AND($H29&lt;&gt;"",$AA29&lt;&gt;"",$H29&lt;&gt;$AA29,IFERROR(VLOOKUP($H29,areaCercaPuntiClassificaSquadra,3,FALSE),-1)=IFERROR(VLOOKUP($AA29,areaCercaPuntiClassificaSquadra,3,FALSE),-2)),SUMIFS(Dati!$B$2:$B$761,Dati!$A$2:$A$761,$H29,Dati!$H$2:$H$761,$AA29)+SUMIFS(Dati!$I$2:$I$761,Dati!$H$2:$H$761,$H29,Dati!$A$2:$A$761,$AA29),"-")</f>
        <v/>
      </c>
      <c r="AX29" s="22">
        <f>IF(AND($H29&lt;&gt;"",$AB29&lt;&gt;"",$H29&lt;&gt;$AB29,IFERROR(VLOOKUP($H29,areaCercaPuntiClassificaSquadra,3,FALSE),-1)=IFERROR(VLOOKUP($AB29,areaCercaPuntiClassificaSquadra,3,FALSE),-2)),SUMIFS(Dati!$B$2:$B$761,Dati!$A$2:$A$761,$H29,Dati!$H$2:$H$761,$AB29)+SUMIFS(Dati!$I$2:$I$761,Dati!$H$2:$H$761,$H29,Dati!$A$2:$A$761,$AB29),"-")</f>
        <v/>
      </c>
      <c r="AY29" s="22">
        <f>IF(AND($H29&lt;&gt;"",$AC29&lt;&gt;"",$H29&lt;&gt;$AC29,IFERROR(VLOOKUP($H29,areaCercaPuntiClassificaSquadra,3,FALSE),-1)=IFERROR(VLOOKUP($AC29,areaCercaPuntiClassificaSquadra,3,FALSE),-2)),SUMIFS(Dati!$B$2:$B$761,Dati!$A$2:$A$761,$H29,Dati!$H$2:$H$761,$AC29)+SUMIFS(Dati!$I$2:$I$761,Dati!$H$2:$H$761,$H29,Dati!$A$2:$A$761,$AC29),"-")</f>
        <v/>
      </c>
      <c r="AZ29" s="22">
        <f>IF(AND($H29&lt;&gt;"",$AD29&lt;&gt;"",$H29&lt;&gt;$AD29,IFERROR(VLOOKUP($H29,areaCercaPuntiClassificaSquadra,3,FALSE),-1)=IFERROR(VLOOKUP($AD29,areaCercaPuntiClassificaSquadra,3,FALSE),-2)),SUMIFS(Dati!$B$2:$B$761,Dati!$A$2:$A$761,$H29,Dati!$H$2:$H$761,$AD29)+SUMIFS(Dati!$I$2:$I$761,Dati!$H$2:$H$761,$H29,Dati!$A$2:$A$761,$AD29),"-")</f>
        <v/>
      </c>
      <c r="BA29" s="22">
        <f>IF(AND($H29&lt;&gt;"",$AE29&lt;&gt;"",$H29&lt;&gt;$AE29,IFERROR(VLOOKUP($H29,areaCercaPuntiClassificaSquadra,3,FALSE),-1)=IFERROR(VLOOKUP($AE29,areaCercaPuntiClassificaSquadra,3,FALSE),-2)),SUMIFS(Dati!$B$2:$B$761,Dati!$A$2:$A$761,$H29,Dati!$H$2:$H$761,$AE29)+SUMIFS(Dati!$I$2:$I$761,Dati!$H$2:$H$761,$H29,Dati!$A$2:$A$761,$AE29),"-")</f>
        <v/>
      </c>
      <c r="BB29" s="22">
        <f>IF(AND($H29&lt;&gt;"",$AF29&lt;&gt;"",$H29&lt;&gt;$AF29,IFERROR(VLOOKUP($H29,areaCercaPuntiClassificaSquadra,3,FALSE),-1)=IFERROR(VLOOKUP($AF29,areaCercaPuntiClassificaSquadra,3,FALSE),-2)),SUMIFS(Dati!$B$2:$B$761,Dati!$A$2:$A$761,$H29,Dati!$H$2:$H$761,$AF29)+SUMIFS(Dati!$I$2:$I$761,Dati!$H$2:$H$761,$H29,Dati!$A$2:$A$761,$AF29),"-")</f>
        <v/>
      </c>
      <c r="BC29" s="22">
        <f>IF(AND($H29&lt;&gt;"",$AG29&lt;&gt;"",$H29&lt;&gt;$AG29,IFERROR(VLOOKUP($H29,areaCercaPuntiClassificaSquadra,3,FALSE),-1)=IFERROR(VLOOKUP($AG29,areaCercaPuntiClassificaSquadra,3,FALSE),-2)),SUMIFS(Dati!$B$2:$B$761,Dati!$A$2:$A$761,$H29,Dati!$H$2:$H$761,$AG29)+SUMIFS(Dati!$I$2:$I$761,Dati!$H$2:$H$761,$H29,Dati!$A$2:$A$761,$AG29),"-")</f>
        <v/>
      </c>
      <c r="BD29" s="22">
        <f>IF(AND($H29&lt;&gt;"",$AH29&lt;&gt;"",$H29&lt;&gt;$AH29,IFERROR(VLOOKUP($H29,areaCercaPuntiClassificaSquadra,3,FALSE),-1)=IFERROR(VLOOKUP($AH29,areaCercaPuntiClassificaSquadra,3,FALSE),-2)),SUMIFS(Dati!$B$2:$B$761,Dati!$A$2:$A$761,$H29,Dati!$H$2:$H$761,$AH29)+SUMIFS(Dati!$I$2:$I$761,Dati!$H$2:$H$761,$H29,Dati!$A$2:$A$761,$AH29),"-")</f>
        <v/>
      </c>
      <c r="BE29" s="22">
        <f>IF(AND($H29&lt;&gt;"",$AI29&lt;&gt;"",$H29&lt;&gt;$AI29,IFERROR(VLOOKUP($H29,areaCercaPuntiClassificaSquadra,3,FALSE),-1)=IFERROR(VLOOKUP($AI29,areaCercaPuntiClassificaSquadra,3,FALSE),-2)),SUMIFS(Dati!$B$2:$B$761,Dati!$A$2:$A$761,$H29,Dati!$H$2:$H$761,$AI29)+SUMIFS(Dati!$I$2:$I$761,Dati!$H$2:$H$761,$H29,Dati!$A$2:$A$761,$AI29),"-")</f>
        <v/>
      </c>
      <c r="BF29" s="22">
        <f>IF(AND($H29&lt;&gt;"",$AJ29&lt;&gt;"",$H29&lt;&gt;$AJ29,IFERROR(VLOOKUP($H29,areaCercaPuntiClassificaSquadra,3,FALSE),-1)=IFERROR(VLOOKUP($AJ29,areaCercaPuntiClassificaSquadra,3,FALSE),-2)),SUMIFS(Dati!$B$2:$B$761,Dati!$A$2:$A$761,$H29,Dati!$H$2:$H$761,$AJ29)+SUMIFS(Dati!$I$2:$I$761,Dati!$H$2:$H$761,$H29,Dati!$A$2:$A$761,$AJ29),"-")</f>
        <v/>
      </c>
      <c r="BG29" s="22">
        <f>IF(AND($H29&lt;&gt;"",$AK29&lt;&gt;"",$H29&lt;&gt;$AK29,IFERROR(VLOOKUP($H29,areaCercaPuntiClassificaSquadra,3,FALSE),-1)=IFERROR(VLOOKUP($AK29,areaCercaPuntiClassificaSquadra,3,FALSE),-2)),SUMIFS(Dati!$B$2:$B$761,Dati!$A$2:$A$761,$H29,Dati!$H$2:$H$761,$AK29)+SUMIFS(Dati!$I$2:$I$761,Dati!$H$2:$H$761,$H29,Dati!$A$2:$A$761,$AK29),"-")</f>
        <v/>
      </c>
      <c r="BH29" s="22">
        <f>IF(AND($H29&lt;&gt;"",$AL29&lt;&gt;"",$H29&lt;&gt;$AL29,IFERROR(VLOOKUP($H29,areaCercaPuntiClassificaSquadra,3,FALSE),-1)=IFERROR(VLOOKUP($AL29,areaCercaPuntiClassificaSquadra,3,FALSE),-2)),SUMIFS(Dati!$B$2:$B$761,Dati!$A$2:$A$761,$H29,Dati!$H$2:$H$761,$AL29)+SUMIFS(Dati!$I$2:$I$761,Dati!$H$2:$H$761,$H29,Dati!$A$2:$A$761,$AL29),"-")</f>
        <v/>
      </c>
      <c r="BI29" s="22">
        <f>IF(AND($H29&lt;&gt;"",$AM29&lt;&gt;"",$H29&lt;&gt;$AM29,IFERROR(VLOOKUP($H29,areaCercaPuntiClassificaSquadra,3,FALSE),-1)=IFERROR(VLOOKUP($AM29,areaCercaPuntiClassificaSquadra,3,FALSE),-2)),SUMIFS(Dati!$B$2:$B$761,Dati!$A$2:$A$761,$H29,Dati!$H$2:$H$761,$AM29)+SUMIFS(Dati!$I$2:$I$761,Dati!$H$2:$H$761,$H29,Dati!$A$2:$A$761,$AM29),"-")</f>
        <v/>
      </c>
      <c r="BJ29" s="22">
        <f>IF(AND($H29&lt;&gt;"",$AN29&lt;&gt;"",$H29&lt;&gt;$AN29,IFERROR(VLOOKUP($H29,areaCercaPuntiClassificaSquadra,3,FALSE),-1)=IFERROR(VLOOKUP($AN29,areaCercaPuntiClassificaSquadra,3,FALSE),-2)),SUMIFS(Dati!$B$2:$B$761,Dati!$A$2:$A$761,$H29,Dati!$H$2:$H$761,$AN29)+SUMIFS(Dati!$I$2:$I$761,Dati!$H$2:$H$761,$H29,Dati!$A$2:$A$761,$AN29),"-")</f>
        <v/>
      </c>
      <c r="BK29" s="22">
        <f>IF(AND($H29&lt;&gt;"",$AO29&lt;&gt;"",$H29&lt;&gt;$AO29,IFERROR(VLOOKUP($H29,areaCercaPuntiClassificaSquadra,3,FALSE),-1)=IFERROR(VLOOKUP($AO29,areaCercaPuntiClassificaSquadra,3,FALSE),-2)),SUMIFS(Dati!$B$2:$B$761,Dati!$A$2:$A$761,$H29,Dati!$H$2:$H$761,$AO29)+SUMIFS(Dati!$I$2:$I$761,Dati!$H$2:$H$761,$H29,Dati!$A$2:$A$761,$AO29),"-")</f>
        <v/>
      </c>
      <c r="BL29" s="22">
        <f>IF(AND($H29&lt;&gt;"",$AP29&lt;&gt;"",$H29&lt;&gt;$AP29,IFERROR(VLOOKUP($H29,areaCercaPuntiClassificaSquadra,3,FALSE),-1)=IFERROR(VLOOKUP($AP29,areaCercaPuntiClassificaSquadra,3,FALSE),-2)),SUMIFS(Dati!$B$2:$B$761,Dati!$A$2:$A$761,$H29,Dati!$H$2:$H$761,$AP29)+SUMIFS(Dati!$I$2:$I$761,Dati!$H$2:$H$761,$H29,Dati!$A$2:$A$761,$AP29),"-")</f>
        <v/>
      </c>
      <c r="BM29" s="22">
        <f>IF(AND($H29&lt;&gt;"",$AQ29&lt;&gt;"",$H29&lt;&gt;$AQ29,IFERROR(VLOOKUP($H29,areaCercaPuntiClassificaSquadra,3,FALSE),-1)=IFERROR(VLOOKUP($AQ29,areaCercaPuntiClassificaSquadra,3,FALSE),-2)),SUMIFS(Dati!$B$2:$B$761,Dati!$A$2:$A$761,$H29,Dati!$H$2:$H$761,$AQ29)+SUMIFS(Dati!$I$2:$I$761,Dati!$H$2:$H$761,$H29,Dati!$A$2:$A$761,$AQ29),"-")</f>
        <v/>
      </c>
      <c r="BN29" s="22">
        <f>IF(AND($H29&lt;&gt;"",$AR29&lt;&gt;"",$H29&lt;&gt;$AR29,IFERROR(VLOOKUP($H29,areaCercaPuntiClassificaSquadra,3,FALSE),-1)=IFERROR(VLOOKUP($AR29,areaCercaPuntiClassificaSquadra,3,FALSE),-2)),SUMIFS(Dati!$B$2:$B$761,Dati!$A$2:$A$761,$H29,Dati!$H$2:$H$761,$AR29)+SUMIFS(Dati!$I$2:$I$761,Dati!$H$2:$H$761,$H29,Dati!$A$2:$A$761,$AR29),"-")</f>
        <v/>
      </c>
      <c r="BP29" s="21">
        <f>$C29</f>
        <v/>
      </c>
      <c r="BQ29" s="22">
        <f>IF(AND($H29&lt;&gt;"",$Y29&lt;&gt;"",$H29&lt;&gt;$Y29,IFERROR(VLOOKUP($H29,areaCercaPuntiClassificaSquadra,3,FALSE),-1)=IFERROR(VLOOKUP($Y29,areaCercaPuntiClassificaSquadra,3,FALSE),-2)),SUMIFS(Dati!$D$2:$D$761,Dati!$A$2:$A$761,$H29,Dati!$H$2:$H$761,$Y29)+SUMIFS(Dati!$K$2:$K$761,Dati!$H$2:$H$761,$H29,Dati!$A$2:$A$761,$Y29)+SUMIFS(Dati!$C$2:$C$761,Dati!$A$2:$A$761,$H29,Dati!$H$2:$H$761,$Y29)+SUMIFS(Dati!$J$2:$J$761,Dati!$H$2:$H$761,$H29,Dati!$A$2:$A$761,$Y29),"-")</f>
        <v/>
      </c>
      <c r="BR29" s="22">
        <f>IF(AND($H29&lt;&gt;"",$Z29&lt;&gt;"",$H29&lt;&gt;$Z29,IFERROR(VLOOKUP($H29,areaCercaPuntiClassificaSquadra,3,FALSE),-1)=IFERROR(VLOOKUP($Z29,areaCercaPuntiClassificaSquadra,3,FALSE),-2)),SUMIFS(Dati!$D$2:$D$761,Dati!$A$2:$A$761,$H29,Dati!$H$2:$H$761,$Z29)+SUMIFS(Dati!$K$2:$K$761,Dati!$H$2:$H$761,$H29,Dati!$A$2:$A$761,$Z29)+SUMIFS(Dati!$C$2:$C$761,Dati!$A$2:$A$761,$H29,Dati!$H$2:$H$761,$Z29)+SUMIFS(Dati!$J$2:$J$761,Dati!$H$2:$H$761,$H29,Dati!$A$2:$A$761,$Z29),"-")</f>
        <v/>
      </c>
      <c r="BS29" s="22">
        <f>IF(AND($H29&lt;&gt;"",$AA29&lt;&gt;"",$H29&lt;&gt;$AA29,IFERROR(VLOOKUP($H29,areaCercaPuntiClassificaSquadra,3,FALSE),-1)=IFERROR(VLOOKUP($AA29,areaCercaPuntiClassificaSquadra,3,FALSE),-2)),SUMIFS(Dati!$D$2:$D$761,Dati!$A$2:$A$761,$H29,Dati!$H$2:$H$761,$AA29)+SUMIFS(Dati!$K$2:$K$761,Dati!$H$2:$H$761,$H29,Dati!$A$2:$A$761,$AA29)+SUMIFS(Dati!$C$2:$C$761,Dati!$A$2:$A$761,$H29,Dati!$H$2:$H$761,$AA29)+SUMIFS(Dati!$J$2:$J$761,Dati!$H$2:$H$761,$H29,Dati!$A$2:$A$761,$AA29),"-")</f>
        <v/>
      </c>
      <c r="BT29" s="22">
        <f>IF(AND($H29&lt;&gt;"",$AB29&lt;&gt;"",$H29&lt;&gt;$AB29,IFERROR(VLOOKUP($H29,areaCercaPuntiClassificaSquadra,3,FALSE),-1)=IFERROR(VLOOKUP($AB29,areaCercaPuntiClassificaSquadra,3,FALSE),-2)),SUMIFS(Dati!$D$2:$D$761,Dati!$A$2:$A$761,$H29,Dati!$H$2:$H$761,$AB29)+SUMIFS(Dati!$K$2:$K$761,Dati!$H$2:$H$761,$H29,Dati!$A$2:$A$761,$AB29)+SUMIFS(Dati!$C$2:$C$761,Dati!$A$2:$A$761,$H29,Dati!$H$2:$H$761,$AB29)+SUMIFS(Dati!$J$2:$J$761,Dati!$H$2:$H$761,$H29,Dati!$A$2:$A$761,$AB29),"-")</f>
        <v/>
      </c>
      <c r="BU29" s="22">
        <f>IF(AND($H29&lt;&gt;"",$AC29&lt;&gt;"",$H29&lt;&gt;$AC29,IFERROR(VLOOKUP($H29,areaCercaPuntiClassificaSquadra,3,FALSE),-1)=IFERROR(VLOOKUP($AC29,areaCercaPuntiClassificaSquadra,3,FALSE),-2)),SUMIFS(Dati!$D$2:$D$761,Dati!$A$2:$A$761,$H29,Dati!$H$2:$H$761,$AC29)+SUMIFS(Dati!$K$2:$K$761,Dati!$H$2:$H$761,$H29,Dati!$A$2:$A$761,$AC29)+SUMIFS(Dati!$C$2:$C$761,Dati!$A$2:$A$761,$H29,Dati!$H$2:$H$761,$AC29)+SUMIFS(Dati!$J$2:$J$761,Dati!$H$2:$H$761,$H29,Dati!$A$2:$A$761,$AC29),"-")</f>
        <v/>
      </c>
      <c r="BV29" s="22">
        <f>IF(AND($H29&lt;&gt;"",$AD29&lt;&gt;"",$H29&lt;&gt;$AD29,IFERROR(VLOOKUP($H29,areaCercaPuntiClassificaSquadra,3,FALSE),-1)=IFERROR(VLOOKUP($AD29,areaCercaPuntiClassificaSquadra,3,FALSE),-2)),SUMIFS(Dati!$D$2:$D$761,Dati!$A$2:$A$761,$H29,Dati!$H$2:$H$761,$AD29)+SUMIFS(Dati!$K$2:$K$761,Dati!$H$2:$H$761,$H29,Dati!$A$2:$A$761,$AD29)+SUMIFS(Dati!$C$2:$C$761,Dati!$A$2:$A$761,$H29,Dati!$H$2:$H$761,$AD29)+SUMIFS(Dati!$J$2:$J$761,Dati!$H$2:$H$761,$H29,Dati!$A$2:$A$761,$AD29),"-")</f>
        <v/>
      </c>
      <c r="BW29" s="22">
        <f>IF(AND($H29&lt;&gt;"",$AE29&lt;&gt;"",$H29&lt;&gt;$AE29,IFERROR(VLOOKUP($H29,areaCercaPuntiClassificaSquadra,3,FALSE),-1)=IFERROR(VLOOKUP($AE29,areaCercaPuntiClassificaSquadra,3,FALSE),-2)),SUMIFS(Dati!$D$2:$D$761,Dati!$A$2:$A$761,$H29,Dati!$H$2:$H$761,$AE29)+SUMIFS(Dati!$K$2:$K$761,Dati!$H$2:$H$761,$H29,Dati!$A$2:$A$761,$AE29)+SUMIFS(Dati!$C$2:$C$761,Dati!$A$2:$A$761,$H29,Dati!$H$2:$H$761,$AE29)+SUMIFS(Dati!$J$2:$J$761,Dati!$H$2:$H$761,$H29,Dati!$A$2:$A$761,$AE29),"-")</f>
        <v/>
      </c>
      <c r="BX29" s="22">
        <f>IF(AND($H29&lt;&gt;"",$AF29&lt;&gt;"",$H29&lt;&gt;$AF29,IFERROR(VLOOKUP($H29,areaCercaPuntiClassificaSquadra,3,FALSE),-1)=IFERROR(VLOOKUP($AF29,areaCercaPuntiClassificaSquadra,3,FALSE),-2)),SUMIFS(Dati!$D$2:$D$761,Dati!$A$2:$A$761,$H29,Dati!$H$2:$H$761,$AF29)+SUMIFS(Dati!$K$2:$K$761,Dati!$H$2:$H$761,$H29,Dati!$A$2:$A$761,$AF29)+SUMIFS(Dati!$C$2:$C$761,Dati!$A$2:$A$761,$H29,Dati!$H$2:$H$761,$AF29)+SUMIFS(Dati!$J$2:$J$761,Dati!$H$2:$H$761,$H29,Dati!$A$2:$A$761,$AF29),"-")</f>
        <v/>
      </c>
      <c r="BY29" s="22">
        <f>IF(AND($H29&lt;&gt;"",$AG29&lt;&gt;"",$H29&lt;&gt;$AG29,IFERROR(VLOOKUP($H29,areaCercaPuntiClassificaSquadra,3,FALSE),-1)=IFERROR(VLOOKUP($AG29,areaCercaPuntiClassificaSquadra,3,FALSE),-2)),SUMIFS(Dati!$D$2:$D$761,Dati!$A$2:$A$761,$H29,Dati!$H$2:$H$761,$AG29)+SUMIFS(Dati!$K$2:$K$761,Dati!$H$2:$H$761,$H29,Dati!$A$2:$A$761,$AG29)+SUMIFS(Dati!$C$2:$C$761,Dati!$A$2:$A$761,$H29,Dati!$H$2:$H$761,$AG29)+SUMIFS(Dati!$J$2:$J$761,Dati!$H$2:$H$761,$H29,Dati!$A$2:$A$761,$AG29),"-")</f>
        <v/>
      </c>
      <c r="BZ29" s="22">
        <f>IF(AND($H29&lt;&gt;"",$AH29&lt;&gt;"",$H29&lt;&gt;$AH29,IFERROR(VLOOKUP($H29,areaCercaPuntiClassificaSquadra,3,FALSE),-1)=IFERROR(VLOOKUP($AH29,areaCercaPuntiClassificaSquadra,3,FALSE),-2)),SUMIFS(Dati!$D$2:$D$761,Dati!$A$2:$A$761,$H29,Dati!$H$2:$H$761,$AH29)+SUMIFS(Dati!$K$2:$K$761,Dati!$H$2:$H$761,$H29,Dati!$A$2:$A$761,$AH29)+SUMIFS(Dati!$C$2:$C$761,Dati!$A$2:$A$761,$H29,Dati!$H$2:$H$761,$AH29)+SUMIFS(Dati!$J$2:$J$761,Dati!$H$2:$H$761,$H29,Dati!$A$2:$A$761,$AH29),"-")</f>
        <v/>
      </c>
      <c r="CA29" s="22">
        <f>IF(AND($H29&lt;&gt;"",$AI29&lt;&gt;"",$H29&lt;&gt;$AI29,IFERROR(VLOOKUP($H29,areaCercaPuntiClassificaSquadra,3,FALSE),-1)=IFERROR(VLOOKUP($AI29,areaCercaPuntiClassificaSquadra,3,FALSE),-2)),SUMIFS(Dati!$D$2:$D$761,Dati!$A$2:$A$761,$H29,Dati!$H$2:$H$761,$AI29)+SUMIFS(Dati!$K$2:$K$761,Dati!$H$2:$H$761,$H29,Dati!$A$2:$A$761,$AI29)+SUMIFS(Dati!$C$2:$C$761,Dati!$A$2:$A$761,$H29,Dati!$H$2:$H$761,$AI29)+SUMIFS(Dati!$J$2:$J$761,Dati!$H$2:$H$761,$H29,Dati!$A$2:$A$761,$AI29),"-")</f>
        <v/>
      </c>
      <c r="CB29" s="22">
        <f>IF(AND($H29&lt;&gt;"",$AJ29&lt;&gt;"",$H29&lt;&gt;$AJ29,IFERROR(VLOOKUP($H29,areaCercaPuntiClassificaSquadra,3,FALSE),-1)=IFERROR(VLOOKUP($AJ29,areaCercaPuntiClassificaSquadra,3,FALSE),-2)),SUMIFS(Dati!$D$2:$D$761,Dati!$A$2:$A$761,$H29,Dati!$H$2:$H$761,$AJ29)+SUMIFS(Dati!$K$2:$K$761,Dati!$H$2:$H$761,$H29,Dati!$A$2:$A$761,$AJ29)+SUMIFS(Dati!$C$2:$C$761,Dati!$A$2:$A$761,$H29,Dati!$H$2:$H$761,$AJ29)+SUMIFS(Dati!$J$2:$J$761,Dati!$H$2:$H$761,$H29,Dati!$A$2:$A$761,$AJ29),"-")</f>
        <v/>
      </c>
      <c r="CC29" s="22">
        <f>IF(AND($H29&lt;&gt;"",$AK29&lt;&gt;"",$H29&lt;&gt;$AK29,IFERROR(VLOOKUP($H29,areaCercaPuntiClassificaSquadra,3,FALSE),-1)=IFERROR(VLOOKUP($AK29,areaCercaPuntiClassificaSquadra,3,FALSE),-2)),SUMIFS(Dati!$D$2:$D$761,Dati!$A$2:$A$761,$H29,Dati!$H$2:$H$761,$AK29)+SUMIFS(Dati!$K$2:$K$761,Dati!$H$2:$H$761,$H29,Dati!$A$2:$A$761,$AK29)+SUMIFS(Dati!$C$2:$C$761,Dati!$A$2:$A$761,$H29,Dati!$H$2:$H$761,$AK29)+SUMIFS(Dati!$J$2:$J$761,Dati!$H$2:$H$761,$H29,Dati!$A$2:$A$761,$AK29),"-")</f>
        <v/>
      </c>
      <c r="CD29" s="22">
        <f>IF(AND($H29&lt;&gt;"",$AL29&lt;&gt;"",$H29&lt;&gt;$AL29,IFERROR(VLOOKUP($H29,areaCercaPuntiClassificaSquadra,3,FALSE),-1)=IFERROR(VLOOKUP($AL29,areaCercaPuntiClassificaSquadra,3,FALSE),-2)),SUMIFS(Dati!$D$2:$D$761,Dati!$A$2:$A$761,$H29,Dati!$H$2:$H$761,$AL29)+SUMIFS(Dati!$K$2:$K$761,Dati!$H$2:$H$761,$H29,Dati!$A$2:$A$761,$AL29)+SUMIFS(Dati!$C$2:$C$761,Dati!$A$2:$A$761,$H29,Dati!$H$2:$H$761,$AL29)+SUMIFS(Dati!$J$2:$J$761,Dati!$H$2:$H$761,$H29,Dati!$A$2:$A$761,$AL29),"-")</f>
        <v/>
      </c>
      <c r="CE29" s="22">
        <f>IF(AND($H29&lt;&gt;"",$AM29&lt;&gt;"",$H29&lt;&gt;$AM29,IFERROR(VLOOKUP($H29,areaCercaPuntiClassificaSquadra,3,FALSE),-1)=IFERROR(VLOOKUP($AM29,areaCercaPuntiClassificaSquadra,3,FALSE),-2)),SUMIFS(Dati!$D$2:$D$761,Dati!$A$2:$A$761,$H29,Dati!$H$2:$H$761,$AM29)+SUMIFS(Dati!$K$2:$K$761,Dati!$H$2:$H$761,$H29,Dati!$A$2:$A$761,$AM29)+SUMIFS(Dati!$C$2:$C$761,Dati!$A$2:$A$761,$H29,Dati!$H$2:$H$761,$AM29)+SUMIFS(Dati!$J$2:$J$761,Dati!$H$2:$H$761,$H29,Dati!$A$2:$A$761,$AM29),"-")</f>
        <v/>
      </c>
      <c r="CF29" s="22">
        <f>IF(AND($H29&lt;&gt;"",$AN29&lt;&gt;"",$H29&lt;&gt;$AN29,IFERROR(VLOOKUP($H29,areaCercaPuntiClassificaSquadra,3,FALSE),-1)=IFERROR(VLOOKUP($AN29,areaCercaPuntiClassificaSquadra,3,FALSE),-2)),SUMIFS(Dati!$D$2:$D$761,Dati!$A$2:$A$761,$H29,Dati!$H$2:$H$761,$AN29)+SUMIFS(Dati!$K$2:$K$761,Dati!$H$2:$H$761,$H29,Dati!$A$2:$A$761,$AN29)+SUMIFS(Dati!$C$2:$C$761,Dati!$A$2:$A$761,$H29,Dati!$H$2:$H$761,$AN29)+SUMIFS(Dati!$J$2:$J$761,Dati!$H$2:$H$761,$H29,Dati!$A$2:$A$761,$AN29),"-")</f>
        <v/>
      </c>
      <c r="CG29" s="22">
        <f>IF(AND($H29&lt;&gt;"",$AO29&lt;&gt;"",$H29&lt;&gt;$AO29,IFERROR(VLOOKUP($H29,areaCercaPuntiClassificaSquadra,3,FALSE),-1)=IFERROR(VLOOKUP($AO29,areaCercaPuntiClassificaSquadra,3,FALSE),-2)),SUMIFS(Dati!$D$2:$D$761,Dati!$A$2:$A$761,$H29,Dati!$H$2:$H$761,$AO29)+SUMIFS(Dati!$K$2:$K$761,Dati!$H$2:$H$761,$H29,Dati!$A$2:$A$761,$AO29)+SUMIFS(Dati!$C$2:$C$761,Dati!$A$2:$A$761,$H29,Dati!$H$2:$H$761,$AO29)+SUMIFS(Dati!$J$2:$J$761,Dati!$H$2:$H$761,$H29,Dati!$A$2:$A$761,$AO29),"-")</f>
        <v/>
      </c>
      <c r="CH29" s="22">
        <f>IF(AND($H29&lt;&gt;"",$AP29&lt;&gt;"",$H29&lt;&gt;$AP29,IFERROR(VLOOKUP($H29,areaCercaPuntiClassificaSquadra,3,FALSE),-1)=IFERROR(VLOOKUP($AP29,areaCercaPuntiClassificaSquadra,3,FALSE),-2)),SUMIFS(Dati!$D$2:$D$761,Dati!$A$2:$A$761,$H29,Dati!$H$2:$H$761,$AP29)+SUMIFS(Dati!$K$2:$K$761,Dati!$H$2:$H$761,$H29,Dati!$A$2:$A$761,$AP29)+SUMIFS(Dati!$C$2:$C$761,Dati!$A$2:$A$761,$H29,Dati!$H$2:$H$761,$AP29)+SUMIFS(Dati!$J$2:$J$761,Dati!$H$2:$H$761,$H29,Dati!$A$2:$A$761,$AP29),"-")</f>
        <v/>
      </c>
      <c r="CI29" s="22">
        <f>IF(AND($H29&lt;&gt;"",$AQ29&lt;&gt;"",$H29&lt;&gt;$AQ29,IFERROR(VLOOKUP($H29,areaCercaPuntiClassificaSquadra,3,FALSE),-1)=IFERROR(VLOOKUP($AQ29,areaCercaPuntiClassificaSquadra,3,FALSE),-2)),SUMIFS(Dati!$D$2:$D$761,Dati!$A$2:$A$761,$H29,Dati!$H$2:$H$761,$AQ29)+SUMIFS(Dati!$K$2:$K$761,Dati!$H$2:$H$761,$H29,Dati!$A$2:$A$761,$AQ29)+SUMIFS(Dati!$C$2:$C$761,Dati!$A$2:$A$761,$H29,Dati!$H$2:$H$761,$AQ29)+SUMIFS(Dati!$J$2:$J$761,Dati!$H$2:$H$761,$H29,Dati!$A$2:$A$761,$AQ29),"-")</f>
        <v/>
      </c>
      <c r="CJ29" s="22">
        <f>IF(AND($H29&lt;&gt;"",$AR29&lt;&gt;"",$H29&lt;&gt;$AR29,IFERROR(VLOOKUP($H29,areaCercaPuntiClassificaSquadra,3,FALSE),-1)=IFERROR(VLOOKUP($AR29,areaCercaPuntiClassificaSquadra,3,FALSE),-2)),SUMIFS(Dati!$D$2:$D$761,Dati!$A$2:$A$761,$H29,Dati!$H$2:$H$761,$AR29)+SUMIFS(Dati!$K$2:$K$761,Dati!$H$2:$H$761,$H29,Dati!$A$2:$A$761,$AR29)+SUMIFS(Dati!$C$2:$C$761,Dati!$A$2:$A$761,$H29,Dati!$H$2:$H$761,$AR29)+SUMIFS(Dati!$J$2:$J$761,Dati!$H$2:$H$761,$H29,Dati!$A$2:$A$761,$AR29),"-")</f>
        <v/>
      </c>
      <c r="CL29" s="21">
        <f>$C29</f>
        <v/>
      </c>
      <c r="CM29" s="22">
        <f>IF(AND($H29&lt;&gt;"",$Y29&lt;&gt;"",$H29&lt;&gt;$Y29,IFERROR(VLOOKUP($H29,areaCercaPuntiClassificaSquadra,3,FALSE),-1)=IFERROR(VLOOKUP($Y29,areaCercaPuntiClassificaSquadra,3,FALSE),-2)),SUMIFS(Dati!$E$2:$E$761,Dati!$A$2:$A$761,$H29,Dati!$H$2:$H$761,$Y29)+SUMIFS(Dati!$L$2:$L$761,Dati!$H$2:$H$761,$H29,Dati!$A$2:$A$761,$Y29),"-")</f>
        <v/>
      </c>
      <c r="CN29" s="22">
        <f>IF(AND($H29&lt;&gt;"",$Z29&lt;&gt;"",$H29&lt;&gt;$Z29,IFERROR(VLOOKUP($H29,areaCercaPuntiClassificaSquadra,3,FALSE),-1)=IFERROR(VLOOKUP($Z29,areaCercaPuntiClassificaSquadra,3,FALSE),-2)),SUMIFS(Dati!$E$2:$E$761,Dati!$A$2:$A$761,$H29,Dati!$H$2:$H$761,$Z29)+SUMIFS(Dati!$L$2:$L$761,Dati!$H$2:$H$761,$H29,Dati!$A$2:$A$761,$Z29),"-")</f>
        <v/>
      </c>
      <c r="CO29" s="22">
        <f>IF(AND($H29&lt;&gt;"",$AA29&lt;&gt;"",$H29&lt;&gt;$AA29,IFERROR(VLOOKUP($H29,areaCercaPuntiClassificaSquadra,3,FALSE),-1)=IFERROR(VLOOKUP($AA29,areaCercaPuntiClassificaSquadra,3,FALSE),-2)),SUMIFS(Dati!$E$2:$E$761,Dati!$A$2:$A$761,$H29,Dati!$H$2:$H$761,$AA29)+SUMIFS(Dati!$L$2:$L$761,Dati!$H$2:$H$761,$H29,Dati!$A$2:$A$761,$AA29),"-")</f>
        <v/>
      </c>
      <c r="CP29" s="22">
        <f>IF(AND($H29&lt;&gt;"",$AB29&lt;&gt;"",$H29&lt;&gt;$AB29,IFERROR(VLOOKUP($H29,areaCercaPuntiClassificaSquadra,3,FALSE),-1)=IFERROR(VLOOKUP($AB29,areaCercaPuntiClassificaSquadra,3,FALSE),-2)),SUMIFS(Dati!$E$2:$E$761,Dati!$A$2:$A$761,$H29,Dati!$H$2:$H$761,$AB29)+SUMIFS(Dati!$L$2:$L$761,Dati!$H$2:$H$761,$H29,Dati!$A$2:$A$761,$AB29),"-")</f>
        <v/>
      </c>
      <c r="CQ29" s="22">
        <f>IF(AND($H29&lt;&gt;"",$AC29&lt;&gt;"",$H29&lt;&gt;$AC29,IFERROR(VLOOKUP($H29,areaCercaPuntiClassificaSquadra,3,FALSE),-1)=IFERROR(VLOOKUP($AC29,areaCercaPuntiClassificaSquadra,3,FALSE),-2)),SUMIFS(Dati!$E$2:$E$761,Dati!$A$2:$A$761,$H29,Dati!$H$2:$H$761,$AC29)+SUMIFS(Dati!$L$2:$L$761,Dati!$H$2:$H$761,$H29,Dati!$A$2:$A$761,$AC29),"-")</f>
        <v/>
      </c>
      <c r="CR29" s="22">
        <f>IF(AND($H29&lt;&gt;"",$AD29&lt;&gt;"",$H29&lt;&gt;$AD29,IFERROR(VLOOKUP($H29,areaCercaPuntiClassificaSquadra,3,FALSE),-1)=IFERROR(VLOOKUP($AD29,areaCercaPuntiClassificaSquadra,3,FALSE),-2)),SUMIFS(Dati!$E$2:$E$761,Dati!$A$2:$A$761,$H29,Dati!$H$2:$H$761,$AD29)+SUMIFS(Dati!$L$2:$L$761,Dati!$H$2:$H$761,$H29,Dati!$A$2:$A$761,$AD29),"-")</f>
        <v/>
      </c>
      <c r="CS29" s="22">
        <f>IF(AND($H29&lt;&gt;"",$AE29&lt;&gt;"",$H29&lt;&gt;$AE29,IFERROR(VLOOKUP($H29,areaCercaPuntiClassificaSquadra,3,FALSE),-1)=IFERROR(VLOOKUP($AE29,areaCercaPuntiClassificaSquadra,3,FALSE),-2)),SUMIFS(Dati!$E$2:$E$761,Dati!$A$2:$A$761,$H29,Dati!$H$2:$H$761,$AE29)+SUMIFS(Dati!$L$2:$L$761,Dati!$H$2:$H$761,$H29,Dati!$A$2:$A$761,$AE29),"-")</f>
        <v/>
      </c>
      <c r="CT29" s="22">
        <f>IF(AND($H29&lt;&gt;"",$AF29&lt;&gt;"",$H29&lt;&gt;$AF29,IFERROR(VLOOKUP($H29,areaCercaPuntiClassificaSquadra,3,FALSE),-1)=IFERROR(VLOOKUP($AF29,areaCercaPuntiClassificaSquadra,3,FALSE),-2)),SUMIFS(Dati!$E$2:$E$761,Dati!$A$2:$A$761,$H29,Dati!$H$2:$H$761,$AF29)+SUMIFS(Dati!$L$2:$L$761,Dati!$H$2:$H$761,$H29,Dati!$A$2:$A$761,$AF29),"-")</f>
        <v/>
      </c>
      <c r="CU29" s="22">
        <f>IF(AND($H29&lt;&gt;"",$AG29&lt;&gt;"",$H29&lt;&gt;$AG29,IFERROR(VLOOKUP($H29,areaCercaPuntiClassificaSquadra,3,FALSE),-1)=IFERROR(VLOOKUP($AG29,areaCercaPuntiClassificaSquadra,3,FALSE),-2)),SUMIFS(Dati!$E$2:$E$761,Dati!$A$2:$A$761,$H29,Dati!$H$2:$H$761,$AG29)+SUMIFS(Dati!$L$2:$L$761,Dati!$H$2:$H$761,$H29,Dati!$A$2:$A$761,$AG29),"-")</f>
        <v/>
      </c>
      <c r="CV29" s="22">
        <f>IF(AND($H29&lt;&gt;"",$AH29&lt;&gt;"",$H29&lt;&gt;$AH29,IFERROR(VLOOKUP($H29,areaCercaPuntiClassificaSquadra,3,FALSE),-1)=IFERROR(VLOOKUP($AH29,areaCercaPuntiClassificaSquadra,3,FALSE),-2)),SUMIFS(Dati!$E$2:$E$761,Dati!$A$2:$A$761,$H29,Dati!$H$2:$H$761,$AH29)+SUMIFS(Dati!$L$2:$L$761,Dati!$H$2:$H$761,$H29,Dati!$A$2:$A$761,$AH29),"-")</f>
        <v/>
      </c>
      <c r="CW29" s="22">
        <f>IF(AND($H29&lt;&gt;"",$AI29&lt;&gt;"",$H29&lt;&gt;$AI29,IFERROR(VLOOKUP($H29,areaCercaPuntiClassificaSquadra,3,FALSE),-1)=IFERROR(VLOOKUP($AI29,areaCercaPuntiClassificaSquadra,3,FALSE),-2)),SUMIFS(Dati!$E$2:$E$761,Dati!$A$2:$A$761,$H29,Dati!$H$2:$H$761,$AI29)+SUMIFS(Dati!$L$2:$L$761,Dati!$H$2:$H$761,$H29,Dati!$A$2:$A$761,$AI29),"-")</f>
        <v/>
      </c>
      <c r="CX29" s="22">
        <f>IF(AND($H29&lt;&gt;"",$AJ29&lt;&gt;"",$H29&lt;&gt;$AJ29,IFERROR(VLOOKUP($H29,areaCercaPuntiClassificaSquadra,3,FALSE),-1)=IFERROR(VLOOKUP($AJ29,areaCercaPuntiClassificaSquadra,3,FALSE),-2)),SUMIFS(Dati!$E$2:$E$761,Dati!$A$2:$A$761,$H29,Dati!$H$2:$H$761,$AJ29)+SUMIFS(Dati!$L$2:$L$761,Dati!$H$2:$H$761,$H29,Dati!$A$2:$A$761,$AJ29),"-")</f>
        <v/>
      </c>
      <c r="CY29" s="22">
        <f>IF(AND($H29&lt;&gt;"",$AK29&lt;&gt;"",$H29&lt;&gt;$AK29,IFERROR(VLOOKUP($H29,areaCercaPuntiClassificaSquadra,3,FALSE),-1)=IFERROR(VLOOKUP($AK29,areaCercaPuntiClassificaSquadra,3,FALSE),-2)),SUMIFS(Dati!$E$2:$E$761,Dati!$A$2:$A$761,$H29,Dati!$H$2:$H$761,$AK29)+SUMIFS(Dati!$L$2:$L$761,Dati!$H$2:$H$761,$H29,Dati!$A$2:$A$761,$AK29),"-")</f>
        <v/>
      </c>
      <c r="CZ29" s="22">
        <f>IF(AND($H29&lt;&gt;"",$AL29&lt;&gt;"",$H29&lt;&gt;$AL29,IFERROR(VLOOKUP($H29,areaCercaPuntiClassificaSquadra,3,FALSE),-1)=IFERROR(VLOOKUP($AL29,areaCercaPuntiClassificaSquadra,3,FALSE),-2)),SUMIFS(Dati!$E$2:$E$761,Dati!$A$2:$A$761,$H29,Dati!$H$2:$H$761,$AL29)+SUMIFS(Dati!$L$2:$L$761,Dati!$H$2:$H$761,$H29,Dati!$A$2:$A$761,$AL29),"-")</f>
        <v/>
      </c>
      <c r="DA29" s="22">
        <f>IF(AND($H29&lt;&gt;"",$AM29&lt;&gt;"",$H29&lt;&gt;$AM29,IFERROR(VLOOKUP($H29,areaCercaPuntiClassificaSquadra,3,FALSE),-1)=IFERROR(VLOOKUP($AM29,areaCercaPuntiClassificaSquadra,3,FALSE),-2)),SUMIFS(Dati!$E$2:$E$761,Dati!$A$2:$A$761,$H29,Dati!$H$2:$H$761,$AM29)+SUMIFS(Dati!$L$2:$L$761,Dati!$H$2:$H$761,$H29,Dati!$A$2:$A$761,$AM29),"-")</f>
        <v/>
      </c>
      <c r="DB29" s="22">
        <f>IF(AND($H29&lt;&gt;"",$AN29&lt;&gt;"",$H29&lt;&gt;$AN29,IFERROR(VLOOKUP($H29,areaCercaPuntiClassificaSquadra,3,FALSE),-1)=IFERROR(VLOOKUP($AN29,areaCercaPuntiClassificaSquadra,3,FALSE),-2)),SUMIFS(Dati!$E$2:$E$761,Dati!$A$2:$A$761,$H29,Dati!$H$2:$H$761,$AN29)+SUMIFS(Dati!$L$2:$L$761,Dati!$H$2:$H$761,$H29,Dati!$A$2:$A$761,$AN29),"-")</f>
        <v/>
      </c>
      <c r="DC29" s="22">
        <f>IF(AND($H29&lt;&gt;"",$AO29&lt;&gt;"",$H29&lt;&gt;$AO29,IFERROR(VLOOKUP($H29,areaCercaPuntiClassificaSquadra,3,FALSE),-1)=IFERROR(VLOOKUP($AO29,areaCercaPuntiClassificaSquadra,3,FALSE),-2)),SUMIFS(Dati!$E$2:$E$761,Dati!$A$2:$A$761,$H29,Dati!$H$2:$H$761,$AO29)+SUMIFS(Dati!$L$2:$L$761,Dati!$H$2:$H$761,$H29,Dati!$A$2:$A$761,$AO29),"-")</f>
        <v/>
      </c>
      <c r="DD29" s="22">
        <f>IF(AND($H29&lt;&gt;"",$AP29&lt;&gt;"",$H29&lt;&gt;$AP29,IFERROR(VLOOKUP($H29,areaCercaPuntiClassificaSquadra,3,FALSE),-1)=IFERROR(VLOOKUP($AP29,areaCercaPuntiClassificaSquadra,3,FALSE),-2)),SUMIFS(Dati!$E$2:$E$761,Dati!$A$2:$A$761,$H29,Dati!$H$2:$H$761,$AP29)+SUMIFS(Dati!$L$2:$L$761,Dati!$H$2:$H$761,$H29,Dati!$A$2:$A$761,$AP29),"-")</f>
        <v/>
      </c>
      <c r="DE29" s="22">
        <f>IF(AND($H29&lt;&gt;"",$AQ29&lt;&gt;"",$H29&lt;&gt;$AQ29,IFERROR(VLOOKUP($H29,areaCercaPuntiClassificaSquadra,3,FALSE),-1)=IFERROR(VLOOKUP($AQ29,areaCercaPuntiClassificaSquadra,3,FALSE),-2)),SUMIFS(Dati!$E$2:$E$761,Dati!$A$2:$A$761,$H29,Dati!$H$2:$H$761,$AQ29)+SUMIFS(Dati!$L$2:$L$761,Dati!$H$2:$H$761,$H29,Dati!$A$2:$A$761,$AQ29),"-")</f>
        <v/>
      </c>
      <c r="DF29" s="22">
        <f>IF(AND($H29&lt;&gt;"",$AR29&lt;&gt;"",$H29&lt;&gt;$AR29,IFERROR(VLOOKUP($H29,areaCercaPuntiClassificaSquadra,3,FALSE),-1)=IFERROR(VLOOKUP($AR29,areaCercaPuntiClassificaSquadra,3,FALSE),-2)),SUMIFS(Dati!$E$2:$E$761,Dati!$A$2:$A$761,$H29,Dati!$H$2:$H$761,$AR29)+SUMIFS(Dati!$L$2:$L$761,Dati!$H$2:$H$761,$H29,Dati!$A$2:$A$761,$AR29),"-")</f>
        <v/>
      </c>
      <c r="DH29" s="21">
        <f>$C29</f>
        <v/>
      </c>
      <c r="DI29" s="22">
        <f>IF(AND($H29&lt;&gt;"",$Y29&lt;&gt;"",$H29&lt;&gt;$Y29,IFERROR(VLOOKUP($H29,areaCercaPuntiClassificaSquadra,3,FALSE),-1)=IFERROR(VLOOKUP($Y29,areaCercaPuntiClassificaSquadra,3,FALSE),-2)),SUMIFS(Dati!$F$2:$F$761,Dati!$A$2:$A$761,$H29,Dati!$H$2:$H$761,$Y29)+SUMIFS(Dati!$M$2:$M$761,Dati!$H$2:$H$761,$H29,Dati!$A$2:$A$761,$Y29),"-")</f>
        <v/>
      </c>
      <c r="DJ29" s="22">
        <f>IF(AND($H29&lt;&gt;"",$Z29&lt;&gt;"",$H29&lt;&gt;$Z29,IFERROR(VLOOKUP($H29,areaCercaPuntiClassificaSquadra,3,FALSE),-1)=IFERROR(VLOOKUP($Z29,areaCercaPuntiClassificaSquadra,3,FALSE),-2)),SUMIFS(Dati!$F$2:$F$761,Dati!$A$2:$A$761,$H29,Dati!$H$2:$H$761,$Z29)+SUMIFS(Dati!$M$2:$M$761,Dati!$H$2:$H$761,$H29,Dati!$A$2:$A$761,$Z29),"-")</f>
        <v/>
      </c>
      <c r="DK29" s="22">
        <f>IF(AND($H29&lt;&gt;"",$AA29&lt;&gt;"",$H29&lt;&gt;$AA29,IFERROR(VLOOKUP($H29,areaCercaPuntiClassificaSquadra,3,FALSE),-1)=IFERROR(VLOOKUP($AA29,areaCercaPuntiClassificaSquadra,3,FALSE),-2)),SUMIFS(Dati!$F$2:$F$761,Dati!$A$2:$A$761,$H29,Dati!$H$2:$H$761,$AA29)+SUMIFS(Dati!$M$2:$M$761,Dati!$H$2:$H$761,$H29,Dati!$A$2:$A$761,$AA29),"-")</f>
        <v/>
      </c>
      <c r="DL29" s="22">
        <f>IF(AND($H29&lt;&gt;"",$AB29&lt;&gt;"",$H29&lt;&gt;$AB29,IFERROR(VLOOKUP($H29,areaCercaPuntiClassificaSquadra,3,FALSE),-1)=IFERROR(VLOOKUP($AB29,areaCercaPuntiClassificaSquadra,3,FALSE),-2)),SUMIFS(Dati!$F$2:$F$761,Dati!$A$2:$A$761,$H29,Dati!$H$2:$H$761,$AB29)+SUMIFS(Dati!$M$2:$M$761,Dati!$H$2:$H$761,$H29,Dati!$A$2:$A$761,$AB29),"-")</f>
        <v/>
      </c>
      <c r="DM29" s="22">
        <f>IF(AND($H29&lt;&gt;"",$AC29&lt;&gt;"",$H29&lt;&gt;$AC29,IFERROR(VLOOKUP($H29,areaCercaPuntiClassificaSquadra,3,FALSE),-1)=IFERROR(VLOOKUP($AC29,areaCercaPuntiClassificaSquadra,3,FALSE),-2)),SUMIFS(Dati!$F$2:$F$761,Dati!$A$2:$A$761,$H29,Dati!$H$2:$H$761,$AC29)+SUMIFS(Dati!$M$2:$M$761,Dati!$H$2:$H$761,$H29,Dati!$A$2:$A$761,$AC29),"-")</f>
        <v/>
      </c>
      <c r="DN29" s="22">
        <f>IF(AND($H29&lt;&gt;"",$AD29&lt;&gt;"",$H29&lt;&gt;$AD29,IFERROR(VLOOKUP($H29,areaCercaPuntiClassificaSquadra,3,FALSE),-1)=IFERROR(VLOOKUP($AD29,areaCercaPuntiClassificaSquadra,3,FALSE),-2)),SUMIFS(Dati!$F$2:$F$761,Dati!$A$2:$A$761,$H29,Dati!$H$2:$H$761,$AD29)+SUMIFS(Dati!$M$2:$M$761,Dati!$H$2:$H$761,$H29,Dati!$A$2:$A$761,$AD29),"-")</f>
        <v/>
      </c>
      <c r="DO29" s="22">
        <f>IF(AND($H29&lt;&gt;"",$AE29&lt;&gt;"",$H29&lt;&gt;$AE29,IFERROR(VLOOKUP($H29,areaCercaPuntiClassificaSquadra,3,FALSE),-1)=IFERROR(VLOOKUP($AE29,areaCercaPuntiClassificaSquadra,3,FALSE),-2)),SUMIFS(Dati!$F$2:$F$761,Dati!$A$2:$A$761,$H29,Dati!$H$2:$H$761,$AE29)+SUMIFS(Dati!$M$2:$M$761,Dati!$H$2:$H$761,$H29,Dati!$A$2:$A$761,$AE29),"-")</f>
        <v/>
      </c>
      <c r="DP29" s="22">
        <f>IF(AND($H29&lt;&gt;"",$AF29&lt;&gt;"",$H29&lt;&gt;$AF29,IFERROR(VLOOKUP($H29,areaCercaPuntiClassificaSquadra,3,FALSE),-1)=IFERROR(VLOOKUP($AF29,areaCercaPuntiClassificaSquadra,3,FALSE),-2)),SUMIFS(Dati!$F$2:$F$761,Dati!$A$2:$A$761,$H29,Dati!$H$2:$H$761,$AF29)+SUMIFS(Dati!$M$2:$M$761,Dati!$H$2:$H$761,$H29,Dati!$A$2:$A$761,$AF29),"-")</f>
        <v/>
      </c>
      <c r="DQ29" s="22">
        <f>IF(AND($H29&lt;&gt;"",$AG29&lt;&gt;"",$H29&lt;&gt;$AG29,IFERROR(VLOOKUP($H29,areaCercaPuntiClassificaSquadra,3,FALSE),-1)=IFERROR(VLOOKUP($AG29,areaCercaPuntiClassificaSquadra,3,FALSE),-2)),SUMIFS(Dati!$F$2:$F$761,Dati!$A$2:$A$761,$H29,Dati!$H$2:$H$761,$AG29)+SUMIFS(Dati!$M$2:$M$761,Dati!$H$2:$H$761,$H29,Dati!$A$2:$A$761,$AG29),"-")</f>
        <v/>
      </c>
      <c r="DR29" s="22">
        <f>IF(AND($H29&lt;&gt;"",$AH29&lt;&gt;"",$H29&lt;&gt;$AH29,IFERROR(VLOOKUP($H29,areaCercaPuntiClassificaSquadra,3,FALSE),-1)=IFERROR(VLOOKUP($AH29,areaCercaPuntiClassificaSquadra,3,FALSE),-2)),SUMIFS(Dati!$F$2:$F$761,Dati!$A$2:$A$761,$H29,Dati!$H$2:$H$761,$AH29)+SUMIFS(Dati!$M$2:$M$761,Dati!$H$2:$H$761,$H29,Dati!$A$2:$A$761,$AH29),"-")</f>
        <v/>
      </c>
      <c r="DS29" s="22">
        <f>IF(AND($H29&lt;&gt;"",$AI29&lt;&gt;"",$H29&lt;&gt;$AI29,IFERROR(VLOOKUP($H29,areaCercaPuntiClassificaSquadra,3,FALSE),-1)=IFERROR(VLOOKUP($AI29,areaCercaPuntiClassificaSquadra,3,FALSE),-2)),SUMIFS(Dati!$F$2:$F$761,Dati!$A$2:$A$761,$H29,Dati!$H$2:$H$761,$AI29)+SUMIFS(Dati!$M$2:$M$761,Dati!$H$2:$H$761,$H29,Dati!$A$2:$A$761,$AI29),"-")</f>
        <v/>
      </c>
      <c r="DT29" s="22">
        <f>IF(AND($H29&lt;&gt;"",$AJ29&lt;&gt;"",$H29&lt;&gt;$AJ29,IFERROR(VLOOKUP($H29,areaCercaPuntiClassificaSquadra,3,FALSE),-1)=IFERROR(VLOOKUP($AJ29,areaCercaPuntiClassificaSquadra,3,FALSE),-2)),SUMIFS(Dati!$F$2:$F$761,Dati!$A$2:$A$761,$H29,Dati!$H$2:$H$761,$AJ29)+SUMIFS(Dati!$M$2:$M$761,Dati!$H$2:$H$761,$H29,Dati!$A$2:$A$761,$AJ29),"-")</f>
        <v/>
      </c>
      <c r="DU29" s="22">
        <f>IF(AND($H29&lt;&gt;"",$AK29&lt;&gt;"",$H29&lt;&gt;$AK29,IFERROR(VLOOKUP($H29,areaCercaPuntiClassificaSquadra,3,FALSE),-1)=IFERROR(VLOOKUP($AK29,areaCercaPuntiClassificaSquadra,3,FALSE),-2)),SUMIFS(Dati!$F$2:$F$761,Dati!$A$2:$A$761,$H29,Dati!$H$2:$H$761,$AK29)+SUMIFS(Dati!$M$2:$M$761,Dati!$H$2:$H$761,$H29,Dati!$A$2:$A$761,$AK29),"-")</f>
        <v/>
      </c>
      <c r="DV29" s="22">
        <f>IF(AND($H29&lt;&gt;"",$AL29&lt;&gt;"",$H29&lt;&gt;$AL29,IFERROR(VLOOKUP($H29,areaCercaPuntiClassificaSquadra,3,FALSE),-1)=IFERROR(VLOOKUP($AL29,areaCercaPuntiClassificaSquadra,3,FALSE),-2)),SUMIFS(Dati!$F$2:$F$761,Dati!$A$2:$A$761,$H29,Dati!$H$2:$H$761,$AL29)+SUMIFS(Dati!$M$2:$M$761,Dati!$H$2:$H$761,$H29,Dati!$A$2:$A$761,$AL29),"-")</f>
        <v/>
      </c>
      <c r="DW29" s="22">
        <f>IF(AND($H29&lt;&gt;"",$AM29&lt;&gt;"",$H29&lt;&gt;$AM29,IFERROR(VLOOKUP($H29,areaCercaPuntiClassificaSquadra,3,FALSE),-1)=IFERROR(VLOOKUP($AM29,areaCercaPuntiClassificaSquadra,3,FALSE),-2)),SUMIFS(Dati!$F$2:$F$761,Dati!$A$2:$A$761,$H29,Dati!$H$2:$H$761,$AM29)+SUMIFS(Dati!$M$2:$M$761,Dati!$H$2:$H$761,$H29,Dati!$A$2:$A$761,$AM29),"-")</f>
        <v/>
      </c>
      <c r="DX29" s="22">
        <f>IF(AND($H29&lt;&gt;"",$AN29&lt;&gt;"",$H29&lt;&gt;$AN29,IFERROR(VLOOKUP($H29,areaCercaPuntiClassificaSquadra,3,FALSE),-1)=IFERROR(VLOOKUP($AN29,areaCercaPuntiClassificaSquadra,3,FALSE),-2)),SUMIFS(Dati!$F$2:$F$761,Dati!$A$2:$A$761,$H29,Dati!$H$2:$H$761,$AN29)+SUMIFS(Dati!$M$2:$M$761,Dati!$H$2:$H$761,$H29,Dati!$A$2:$A$761,$AN29),"-")</f>
        <v/>
      </c>
      <c r="DY29" s="22">
        <f>IF(AND($H29&lt;&gt;"",$AO29&lt;&gt;"",$H29&lt;&gt;$AO29,IFERROR(VLOOKUP($H29,areaCercaPuntiClassificaSquadra,3,FALSE),-1)=IFERROR(VLOOKUP($AO29,areaCercaPuntiClassificaSquadra,3,FALSE),-2)),SUMIFS(Dati!$F$2:$F$761,Dati!$A$2:$A$761,$H29,Dati!$H$2:$H$761,$AO29)+SUMIFS(Dati!$M$2:$M$761,Dati!$H$2:$H$761,$H29,Dati!$A$2:$A$761,$AO29),"-")</f>
        <v/>
      </c>
      <c r="DZ29" s="22">
        <f>IF(AND($H29&lt;&gt;"",$AP29&lt;&gt;"",$H29&lt;&gt;$AP29,IFERROR(VLOOKUP($H29,areaCercaPuntiClassificaSquadra,3,FALSE),-1)=IFERROR(VLOOKUP($AP29,areaCercaPuntiClassificaSquadra,3,FALSE),-2)),SUMIFS(Dati!$F$2:$F$761,Dati!$A$2:$A$761,$H29,Dati!$H$2:$H$761,$AP29)+SUMIFS(Dati!$M$2:$M$761,Dati!$H$2:$H$761,$H29,Dati!$A$2:$A$761,$AP29),"-")</f>
        <v/>
      </c>
      <c r="EA29" s="22">
        <f>IF(AND($H29&lt;&gt;"",$AQ29&lt;&gt;"",$H29&lt;&gt;$AQ29,IFERROR(VLOOKUP($H29,areaCercaPuntiClassificaSquadra,3,FALSE),-1)=IFERROR(VLOOKUP($AQ29,areaCercaPuntiClassificaSquadra,3,FALSE),-2)),SUMIFS(Dati!$F$2:$F$761,Dati!$A$2:$A$761,$H29,Dati!$H$2:$H$761,$AQ29)+SUMIFS(Dati!$M$2:$M$761,Dati!$H$2:$H$761,$H29,Dati!$A$2:$A$761,$AQ29),"-")</f>
        <v/>
      </c>
      <c r="EB29" s="22">
        <f>IF(AND($H29&lt;&gt;"",$AR29&lt;&gt;"",$H29&lt;&gt;$AR29,IFERROR(VLOOKUP($H29,areaCercaPuntiClassificaSquadra,3,FALSE),-1)=IFERROR(VLOOKUP($AR29,areaCercaPuntiClassificaSquadra,3,FALSE),-2)),SUMIFS(Dati!$F$2:$F$761,Dati!$A$2:$A$761,$H29,Dati!$H$2:$H$761,$AR29)+SUMIFS(Dati!$M$2:$M$761,Dati!$H$2:$H$761,$H29,Dati!$A$2:$A$761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inlineStr">
        <is>
          <t>Volpi Veloci-Volpiopoli VE</t>
        </is>
      </c>
      <c r="D30" s="14" t="n"/>
      <c r="E30" s="15" t="inlineStr">
        <is>
          <t>A</t>
        </is>
      </c>
      <c r="G30" s="16">
        <f>IF($C30="","",$E30&amp;(COUNTIFS(I$14:I$93,"&gt;"&amp;I30,E$14:E$93,"="&amp;E30,C$14:C$93,"&lt;&gt;")+COUNTIFS(I$14:I$93,"="&amp;I30,H$14:H$93,"&lt;="&amp;H30,E$14:E$93,"="&amp;E30,C$14:C$93,"&lt;&gt;")))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L30*constPuntiVittoria+M30*constPuntiSconfitta+N30*constPuntiForfait+IF(D30="",0,D30)</f>
        <v/>
      </c>
      <c r="K30" s="12">
        <f>SUM(L30:N30)</f>
        <v/>
      </c>
      <c r="L30" s="12">
        <f>IF($H30="",0,SUMIF(Dati!$A$2:$A$761,$H30,Dati!$B$2:$B$761)+SUMIF(Dati!$H$2:$H$761,$H30,Dati!$I$2:$I$761))</f>
        <v/>
      </c>
      <c r="M30" s="12">
        <f>IF($H30="",0,SUMIF(Dati!$A$2:$A$761,$H30,Dati!$D$2:$D$761)+SUMIF(Dati!$H$2:$H$761,$H30,Dati!$K$2:$K$761))</f>
        <v/>
      </c>
      <c r="N30" s="12">
        <f>IF($H30="",0,SUMIF(Dati!$A$2:$A$761,$H30,Dati!$C$2:$C$761)+SUMIF(Dati!$H$2:$H$761,$H30,Dati!$J$2:$J$761))</f>
        <v/>
      </c>
      <c r="O30" s="12">
        <f>IF($H30="",0,SUMIF(Dati!$A$2:$A$761,$H30,Dati!$E$2:$E$761)+SUMIF(Dati!$H$2:$H$761,$H30,Dati!$L$2:$L$761))</f>
        <v/>
      </c>
      <c r="P30" s="12">
        <f>IF($H30="",0,SUMIF(Dati!$A$2:$A$761,$H30,Dati!$F$2:$F$761)+SUMIF(Dati!$H$2:$H$761,$H30,Dati!$M$2:$M$761))</f>
        <v/>
      </c>
      <c r="Q30" s="12">
        <f>IF($H30="",0,SUMIF(Dati!$A$2:$A$761,$H30,Dati!$G$2:$G$761)+SUMIF(Dati!$H$2:$H$761,$H30,Dati!$N$2:$N$761))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IF(COUNTIFS($E$14:$E$93,$E30,$J$14:$J$93,$J30,$C$14:$C$93,"&lt;&gt;")&lt;=1,"-",SUM(AU30:BN30)&amp;"-"&amp;SUM(BQ30:CJ30))</f>
        <v/>
      </c>
      <c r="V30" s="18">
        <f>IF(COUNTIFS($E$14:$E$93,$E30,$J$14:$J$93,$J30,$C$14:$C$93,"&lt;&gt;",$ED$14:$ED$93,$ED30)&lt;=1,"-",IF(SUM(DI30:EB30)=0,0,ROUND(SUM(CM30:DF30)/SUM(DI30:EB30),3)))</f>
        <v/>
      </c>
      <c r="W30" s="18">
        <f>IF(COUNTIFS($E$14:$E$93,$E30,$J$14:$J$93,$J30,$C$14:$C$93,"&lt;&gt;",$ED$14:$ED$93,$ED30,$V$14:$V$93,$V30)&lt;=1,"-",IF(P30=0,0,ROUND(O30/P30,3)))</f>
        <v/>
      </c>
      <c r="X30" s="19">
        <f>IF($C30="","",$E30&amp;"#"&amp;COUNTIFS($E$14:$E30,$E30,$C$14:$C30,"&lt;&gt;"))</f>
        <v/>
      </c>
      <c r="Y30" s="20">
        <f>IFERROR(INDEX($H$14:$H$93,MATCH($E30&amp;"#1",$X$14:$X$93,0)),"")</f>
        <v/>
      </c>
      <c r="Z30" s="20">
        <f>IFERROR(INDEX($H$14:$H$93,MATCH($E30&amp;"#2",$X$14:$X$93,0)),"")</f>
        <v/>
      </c>
      <c r="AA30" s="20">
        <f>IFERROR(INDEX($H$14:$H$93,MATCH($E30&amp;"#3",$X$14:$X$93,0)),"")</f>
        <v/>
      </c>
      <c r="AB30" s="20">
        <f>IFERROR(INDEX($H$14:$H$93,MATCH($E30&amp;"#4",$X$14:$X$93,0)),"")</f>
        <v/>
      </c>
      <c r="AC30" s="20">
        <f>IFERROR(INDEX($H$14:$H$93,MATCH($E30&amp;"#5",$X$14:$X$93,0)),"")</f>
        <v/>
      </c>
      <c r="AD30" s="20">
        <f>IFERROR(INDEX($H$14:$H$93,MATCH($E30&amp;"#6",$X$14:$X$93,0)),"")</f>
        <v/>
      </c>
      <c r="AE30" s="20">
        <f>IFERROR(INDEX($H$14:$H$93,MATCH($E30&amp;"#7",$X$14:$X$93,0)),"")</f>
        <v/>
      </c>
      <c r="AF30" s="20">
        <f>IFERROR(INDEX($H$14:$H$93,MATCH($E30&amp;"#8",$X$14:$X$93,0)),"")</f>
        <v/>
      </c>
      <c r="AG30" s="20">
        <f>IFERROR(INDEX($H$14:$H$93,MATCH($E30&amp;"#9",$X$14:$X$93,0)),"")</f>
        <v/>
      </c>
      <c r="AH30" s="20">
        <f>IFERROR(INDEX($H$14:$H$93,MATCH($E30&amp;"#10",$X$14:$X$93,0)),"")</f>
        <v/>
      </c>
      <c r="AI30" s="20">
        <f>IFERROR(INDEX($H$14:$H$93,MATCH($E30&amp;"#11",$X$14:$X$93,0)),"")</f>
        <v/>
      </c>
      <c r="AJ30" s="20">
        <f>IFERROR(INDEX($H$14:$H$93,MATCH($E30&amp;"#12",$X$14:$X$93,0)),"")</f>
        <v/>
      </c>
      <c r="AK30" s="20">
        <f>IFERROR(INDEX($H$14:$H$93,MATCH($E30&amp;"#13",$X$14:$X$93,0)),"")</f>
        <v/>
      </c>
      <c r="AL30" s="20">
        <f>IFERROR(INDEX($H$14:$H$93,MATCH($E30&amp;"#14",$X$14:$X$93,0)),"")</f>
        <v/>
      </c>
      <c r="AM30" s="20">
        <f>IFERROR(INDEX($H$14:$H$93,MATCH($E30&amp;"#15",$X$14:$X$93,0)),"")</f>
        <v/>
      </c>
      <c r="AN30" s="20">
        <f>IFERROR(INDEX($H$14:$H$93,MATCH($E30&amp;"#16",$X$14:$X$93,0)),"")</f>
        <v/>
      </c>
      <c r="AO30" s="20">
        <f>IFERROR(INDEX($H$14:$H$93,MATCH($E30&amp;"#17",$X$14:$X$93,0)),"")</f>
        <v/>
      </c>
      <c r="AP30" s="20">
        <f>IFERROR(INDEX($H$14:$H$93,MATCH($E30&amp;"#18",$X$14:$X$93,0)),"")</f>
        <v/>
      </c>
      <c r="AQ30" s="20">
        <f>IFERROR(INDEX($H$14:$H$93,MATCH($E30&amp;"#19",$X$14:$X$93,0)),"")</f>
        <v/>
      </c>
      <c r="AR30" s="20">
        <f>IFERROR(INDEX($H$14:$H$93,MATCH($E30&amp;"#20",$X$14:$X$93,0)),"")</f>
        <v/>
      </c>
      <c r="AT30" s="21">
        <f>$C30</f>
        <v/>
      </c>
      <c r="AU30" s="22">
        <f>IF(AND($H30&lt;&gt;"",$Y30&lt;&gt;"",$H30&lt;&gt;$Y30,IFERROR(VLOOKUP($H30,areaCercaPuntiClassificaSquadra,3,FALSE),-1)=IFERROR(VLOOKUP($Y30,areaCercaPuntiClassificaSquadra,3,FALSE),-2)),SUMIFS(Dati!$B$2:$B$761,Dati!$A$2:$A$761,$H30,Dati!$H$2:$H$761,$Y30)+SUMIFS(Dati!$I$2:$I$761,Dati!$H$2:$H$761,$H30,Dati!$A$2:$A$761,$Y30),"-")</f>
        <v/>
      </c>
      <c r="AV30" s="22">
        <f>IF(AND($H30&lt;&gt;"",$Z30&lt;&gt;"",$H30&lt;&gt;$Z30,IFERROR(VLOOKUP($H30,areaCercaPuntiClassificaSquadra,3,FALSE),-1)=IFERROR(VLOOKUP($Z30,areaCercaPuntiClassificaSquadra,3,FALSE),-2)),SUMIFS(Dati!$B$2:$B$761,Dati!$A$2:$A$761,$H30,Dati!$H$2:$H$761,$Z30)+SUMIFS(Dati!$I$2:$I$761,Dati!$H$2:$H$761,$H30,Dati!$A$2:$A$761,$Z30),"-")</f>
        <v/>
      </c>
      <c r="AW30" s="22">
        <f>IF(AND($H30&lt;&gt;"",$AA30&lt;&gt;"",$H30&lt;&gt;$AA30,IFERROR(VLOOKUP($H30,areaCercaPuntiClassificaSquadra,3,FALSE),-1)=IFERROR(VLOOKUP($AA30,areaCercaPuntiClassificaSquadra,3,FALSE),-2)),SUMIFS(Dati!$B$2:$B$761,Dati!$A$2:$A$761,$H30,Dati!$H$2:$H$761,$AA30)+SUMIFS(Dati!$I$2:$I$761,Dati!$H$2:$H$761,$H30,Dati!$A$2:$A$761,$AA30),"-")</f>
        <v/>
      </c>
      <c r="AX30" s="22">
        <f>IF(AND($H30&lt;&gt;"",$AB30&lt;&gt;"",$H30&lt;&gt;$AB30,IFERROR(VLOOKUP($H30,areaCercaPuntiClassificaSquadra,3,FALSE),-1)=IFERROR(VLOOKUP($AB30,areaCercaPuntiClassificaSquadra,3,FALSE),-2)),SUMIFS(Dati!$B$2:$B$761,Dati!$A$2:$A$761,$H30,Dati!$H$2:$H$761,$AB30)+SUMIFS(Dati!$I$2:$I$761,Dati!$H$2:$H$761,$H30,Dati!$A$2:$A$761,$AB30),"-")</f>
        <v/>
      </c>
      <c r="AY30" s="22">
        <f>IF(AND($H30&lt;&gt;"",$AC30&lt;&gt;"",$H30&lt;&gt;$AC30,IFERROR(VLOOKUP($H30,areaCercaPuntiClassificaSquadra,3,FALSE),-1)=IFERROR(VLOOKUP($AC30,areaCercaPuntiClassificaSquadra,3,FALSE),-2)),SUMIFS(Dati!$B$2:$B$761,Dati!$A$2:$A$761,$H30,Dati!$H$2:$H$761,$AC30)+SUMIFS(Dati!$I$2:$I$761,Dati!$H$2:$H$761,$H30,Dati!$A$2:$A$761,$AC30),"-")</f>
        <v/>
      </c>
      <c r="AZ30" s="22">
        <f>IF(AND($H30&lt;&gt;"",$AD30&lt;&gt;"",$H30&lt;&gt;$AD30,IFERROR(VLOOKUP($H30,areaCercaPuntiClassificaSquadra,3,FALSE),-1)=IFERROR(VLOOKUP($AD30,areaCercaPuntiClassificaSquadra,3,FALSE),-2)),SUMIFS(Dati!$B$2:$B$761,Dati!$A$2:$A$761,$H30,Dati!$H$2:$H$761,$AD30)+SUMIFS(Dati!$I$2:$I$761,Dati!$H$2:$H$761,$H30,Dati!$A$2:$A$761,$AD30),"-")</f>
        <v/>
      </c>
      <c r="BA30" s="22">
        <f>IF(AND($H30&lt;&gt;"",$AE30&lt;&gt;"",$H30&lt;&gt;$AE30,IFERROR(VLOOKUP($H30,areaCercaPuntiClassificaSquadra,3,FALSE),-1)=IFERROR(VLOOKUP($AE30,areaCercaPuntiClassificaSquadra,3,FALSE),-2)),SUMIFS(Dati!$B$2:$B$761,Dati!$A$2:$A$761,$H30,Dati!$H$2:$H$761,$AE30)+SUMIFS(Dati!$I$2:$I$761,Dati!$H$2:$H$761,$H30,Dati!$A$2:$A$761,$AE30),"-")</f>
        <v/>
      </c>
      <c r="BB30" s="22">
        <f>IF(AND($H30&lt;&gt;"",$AF30&lt;&gt;"",$H30&lt;&gt;$AF30,IFERROR(VLOOKUP($H30,areaCercaPuntiClassificaSquadra,3,FALSE),-1)=IFERROR(VLOOKUP($AF30,areaCercaPuntiClassificaSquadra,3,FALSE),-2)),SUMIFS(Dati!$B$2:$B$761,Dati!$A$2:$A$761,$H30,Dati!$H$2:$H$761,$AF30)+SUMIFS(Dati!$I$2:$I$761,Dati!$H$2:$H$761,$H30,Dati!$A$2:$A$761,$AF30),"-")</f>
        <v/>
      </c>
      <c r="BC30" s="22">
        <f>IF(AND($H30&lt;&gt;"",$AG30&lt;&gt;"",$H30&lt;&gt;$AG30,IFERROR(VLOOKUP($H30,areaCercaPuntiClassificaSquadra,3,FALSE),-1)=IFERROR(VLOOKUP($AG30,areaCercaPuntiClassificaSquadra,3,FALSE),-2)),SUMIFS(Dati!$B$2:$B$761,Dati!$A$2:$A$761,$H30,Dati!$H$2:$H$761,$AG30)+SUMIFS(Dati!$I$2:$I$761,Dati!$H$2:$H$761,$H30,Dati!$A$2:$A$761,$AG30),"-")</f>
        <v/>
      </c>
      <c r="BD30" s="22">
        <f>IF(AND($H30&lt;&gt;"",$AH30&lt;&gt;"",$H30&lt;&gt;$AH30,IFERROR(VLOOKUP($H30,areaCercaPuntiClassificaSquadra,3,FALSE),-1)=IFERROR(VLOOKUP($AH30,areaCercaPuntiClassificaSquadra,3,FALSE),-2)),SUMIFS(Dati!$B$2:$B$761,Dati!$A$2:$A$761,$H30,Dati!$H$2:$H$761,$AH30)+SUMIFS(Dati!$I$2:$I$761,Dati!$H$2:$H$761,$H30,Dati!$A$2:$A$761,$AH30),"-")</f>
        <v/>
      </c>
      <c r="BE30" s="22">
        <f>IF(AND($H30&lt;&gt;"",$AI30&lt;&gt;"",$H30&lt;&gt;$AI30,IFERROR(VLOOKUP($H30,areaCercaPuntiClassificaSquadra,3,FALSE),-1)=IFERROR(VLOOKUP($AI30,areaCercaPuntiClassificaSquadra,3,FALSE),-2)),SUMIFS(Dati!$B$2:$B$761,Dati!$A$2:$A$761,$H30,Dati!$H$2:$H$761,$AI30)+SUMIFS(Dati!$I$2:$I$761,Dati!$H$2:$H$761,$H30,Dati!$A$2:$A$761,$AI30),"-")</f>
        <v/>
      </c>
      <c r="BF30" s="22">
        <f>IF(AND($H30&lt;&gt;"",$AJ30&lt;&gt;"",$H30&lt;&gt;$AJ30,IFERROR(VLOOKUP($H30,areaCercaPuntiClassificaSquadra,3,FALSE),-1)=IFERROR(VLOOKUP($AJ30,areaCercaPuntiClassificaSquadra,3,FALSE),-2)),SUMIFS(Dati!$B$2:$B$761,Dati!$A$2:$A$761,$H30,Dati!$H$2:$H$761,$AJ30)+SUMIFS(Dati!$I$2:$I$761,Dati!$H$2:$H$761,$H30,Dati!$A$2:$A$761,$AJ30),"-")</f>
        <v/>
      </c>
      <c r="BG30" s="22">
        <f>IF(AND($H30&lt;&gt;"",$AK30&lt;&gt;"",$H30&lt;&gt;$AK30,IFERROR(VLOOKUP($H30,areaCercaPuntiClassificaSquadra,3,FALSE),-1)=IFERROR(VLOOKUP($AK30,areaCercaPuntiClassificaSquadra,3,FALSE),-2)),SUMIFS(Dati!$B$2:$B$761,Dati!$A$2:$A$761,$H30,Dati!$H$2:$H$761,$AK30)+SUMIFS(Dati!$I$2:$I$761,Dati!$H$2:$H$761,$H30,Dati!$A$2:$A$761,$AK30),"-")</f>
        <v/>
      </c>
      <c r="BH30" s="22">
        <f>IF(AND($H30&lt;&gt;"",$AL30&lt;&gt;"",$H30&lt;&gt;$AL30,IFERROR(VLOOKUP($H30,areaCercaPuntiClassificaSquadra,3,FALSE),-1)=IFERROR(VLOOKUP($AL30,areaCercaPuntiClassificaSquadra,3,FALSE),-2)),SUMIFS(Dati!$B$2:$B$761,Dati!$A$2:$A$761,$H30,Dati!$H$2:$H$761,$AL30)+SUMIFS(Dati!$I$2:$I$761,Dati!$H$2:$H$761,$H30,Dati!$A$2:$A$761,$AL30),"-")</f>
        <v/>
      </c>
      <c r="BI30" s="22">
        <f>IF(AND($H30&lt;&gt;"",$AM30&lt;&gt;"",$H30&lt;&gt;$AM30,IFERROR(VLOOKUP($H30,areaCercaPuntiClassificaSquadra,3,FALSE),-1)=IFERROR(VLOOKUP($AM30,areaCercaPuntiClassificaSquadra,3,FALSE),-2)),SUMIFS(Dati!$B$2:$B$761,Dati!$A$2:$A$761,$H30,Dati!$H$2:$H$761,$AM30)+SUMIFS(Dati!$I$2:$I$761,Dati!$H$2:$H$761,$H30,Dati!$A$2:$A$761,$AM30),"-")</f>
        <v/>
      </c>
      <c r="BJ30" s="22">
        <f>IF(AND($H30&lt;&gt;"",$AN30&lt;&gt;"",$H30&lt;&gt;$AN30,IFERROR(VLOOKUP($H30,areaCercaPuntiClassificaSquadra,3,FALSE),-1)=IFERROR(VLOOKUP($AN30,areaCercaPuntiClassificaSquadra,3,FALSE),-2)),SUMIFS(Dati!$B$2:$B$761,Dati!$A$2:$A$761,$H30,Dati!$H$2:$H$761,$AN30)+SUMIFS(Dati!$I$2:$I$761,Dati!$H$2:$H$761,$H30,Dati!$A$2:$A$761,$AN30),"-")</f>
        <v/>
      </c>
      <c r="BK30" s="22">
        <f>IF(AND($H30&lt;&gt;"",$AO30&lt;&gt;"",$H30&lt;&gt;$AO30,IFERROR(VLOOKUP($H30,areaCercaPuntiClassificaSquadra,3,FALSE),-1)=IFERROR(VLOOKUP($AO30,areaCercaPuntiClassificaSquadra,3,FALSE),-2)),SUMIFS(Dati!$B$2:$B$761,Dati!$A$2:$A$761,$H30,Dati!$H$2:$H$761,$AO30)+SUMIFS(Dati!$I$2:$I$761,Dati!$H$2:$H$761,$H30,Dati!$A$2:$A$761,$AO30),"-")</f>
        <v/>
      </c>
      <c r="BL30" s="22">
        <f>IF(AND($H30&lt;&gt;"",$AP30&lt;&gt;"",$H30&lt;&gt;$AP30,IFERROR(VLOOKUP($H30,areaCercaPuntiClassificaSquadra,3,FALSE),-1)=IFERROR(VLOOKUP($AP30,areaCercaPuntiClassificaSquadra,3,FALSE),-2)),SUMIFS(Dati!$B$2:$B$761,Dati!$A$2:$A$761,$H30,Dati!$H$2:$H$761,$AP30)+SUMIFS(Dati!$I$2:$I$761,Dati!$H$2:$H$761,$H30,Dati!$A$2:$A$761,$AP30),"-")</f>
        <v/>
      </c>
      <c r="BM30" s="22">
        <f>IF(AND($H30&lt;&gt;"",$AQ30&lt;&gt;"",$H30&lt;&gt;$AQ30,IFERROR(VLOOKUP($H30,areaCercaPuntiClassificaSquadra,3,FALSE),-1)=IFERROR(VLOOKUP($AQ30,areaCercaPuntiClassificaSquadra,3,FALSE),-2)),SUMIFS(Dati!$B$2:$B$761,Dati!$A$2:$A$761,$H30,Dati!$H$2:$H$761,$AQ30)+SUMIFS(Dati!$I$2:$I$761,Dati!$H$2:$H$761,$H30,Dati!$A$2:$A$761,$AQ30),"-")</f>
        <v/>
      </c>
      <c r="BN30" s="22">
        <f>IF(AND($H30&lt;&gt;"",$AR30&lt;&gt;"",$H30&lt;&gt;$AR30,IFERROR(VLOOKUP($H30,areaCercaPuntiClassificaSquadra,3,FALSE),-1)=IFERROR(VLOOKUP($AR30,areaCercaPuntiClassificaSquadra,3,FALSE),-2)),SUMIFS(Dati!$B$2:$B$761,Dati!$A$2:$A$761,$H30,Dati!$H$2:$H$761,$AR30)+SUMIFS(Dati!$I$2:$I$761,Dati!$H$2:$H$761,$H30,Dati!$A$2:$A$761,$AR30),"-")</f>
        <v/>
      </c>
      <c r="BP30" s="21">
        <f>$C30</f>
        <v/>
      </c>
      <c r="BQ30" s="22">
        <f>IF(AND($H30&lt;&gt;"",$Y30&lt;&gt;"",$H30&lt;&gt;$Y30,IFERROR(VLOOKUP($H30,areaCercaPuntiClassificaSquadra,3,FALSE),-1)=IFERROR(VLOOKUP($Y30,areaCercaPuntiClassificaSquadra,3,FALSE),-2)),SUMIFS(Dati!$D$2:$D$761,Dati!$A$2:$A$761,$H30,Dati!$H$2:$H$761,$Y30)+SUMIFS(Dati!$K$2:$K$761,Dati!$H$2:$H$761,$H30,Dati!$A$2:$A$761,$Y30)+SUMIFS(Dati!$C$2:$C$761,Dati!$A$2:$A$761,$H30,Dati!$H$2:$H$761,$Y30)+SUMIFS(Dati!$J$2:$J$761,Dati!$H$2:$H$761,$H30,Dati!$A$2:$A$761,$Y30),"-")</f>
        <v/>
      </c>
      <c r="BR30" s="22">
        <f>IF(AND($H30&lt;&gt;"",$Z30&lt;&gt;"",$H30&lt;&gt;$Z30,IFERROR(VLOOKUP($H30,areaCercaPuntiClassificaSquadra,3,FALSE),-1)=IFERROR(VLOOKUP($Z30,areaCercaPuntiClassificaSquadra,3,FALSE),-2)),SUMIFS(Dati!$D$2:$D$761,Dati!$A$2:$A$761,$H30,Dati!$H$2:$H$761,$Z30)+SUMIFS(Dati!$K$2:$K$761,Dati!$H$2:$H$761,$H30,Dati!$A$2:$A$761,$Z30)+SUMIFS(Dati!$C$2:$C$761,Dati!$A$2:$A$761,$H30,Dati!$H$2:$H$761,$Z30)+SUMIFS(Dati!$J$2:$J$761,Dati!$H$2:$H$761,$H30,Dati!$A$2:$A$761,$Z30),"-")</f>
        <v/>
      </c>
      <c r="BS30" s="22">
        <f>IF(AND($H30&lt;&gt;"",$AA30&lt;&gt;"",$H30&lt;&gt;$AA30,IFERROR(VLOOKUP($H30,areaCercaPuntiClassificaSquadra,3,FALSE),-1)=IFERROR(VLOOKUP($AA30,areaCercaPuntiClassificaSquadra,3,FALSE),-2)),SUMIFS(Dati!$D$2:$D$761,Dati!$A$2:$A$761,$H30,Dati!$H$2:$H$761,$AA30)+SUMIFS(Dati!$K$2:$K$761,Dati!$H$2:$H$761,$H30,Dati!$A$2:$A$761,$AA30)+SUMIFS(Dati!$C$2:$C$761,Dati!$A$2:$A$761,$H30,Dati!$H$2:$H$761,$AA30)+SUMIFS(Dati!$J$2:$J$761,Dati!$H$2:$H$761,$H30,Dati!$A$2:$A$761,$AA30),"-")</f>
        <v/>
      </c>
      <c r="BT30" s="22">
        <f>IF(AND($H30&lt;&gt;"",$AB30&lt;&gt;"",$H30&lt;&gt;$AB30,IFERROR(VLOOKUP($H30,areaCercaPuntiClassificaSquadra,3,FALSE),-1)=IFERROR(VLOOKUP($AB30,areaCercaPuntiClassificaSquadra,3,FALSE),-2)),SUMIFS(Dati!$D$2:$D$761,Dati!$A$2:$A$761,$H30,Dati!$H$2:$H$761,$AB30)+SUMIFS(Dati!$K$2:$K$761,Dati!$H$2:$H$761,$H30,Dati!$A$2:$A$761,$AB30)+SUMIFS(Dati!$C$2:$C$761,Dati!$A$2:$A$761,$H30,Dati!$H$2:$H$761,$AB30)+SUMIFS(Dati!$J$2:$J$761,Dati!$H$2:$H$761,$H30,Dati!$A$2:$A$761,$AB30),"-")</f>
        <v/>
      </c>
      <c r="BU30" s="22">
        <f>IF(AND($H30&lt;&gt;"",$AC30&lt;&gt;"",$H30&lt;&gt;$AC30,IFERROR(VLOOKUP($H30,areaCercaPuntiClassificaSquadra,3,FALSE),-1)=IFERROR(VLOOKUP($AC30,areaCercaPuntiClassificaSquadra,3,FALSE),-2)),SUMIFS(Dati!$D$2:$D$761,Dati!$A$2:$A$761,$H30,Dati!$H$2:$H$761,$AC30)+SUMIFS(Dati!$K$2:$K$761,Dati!$H$2:$H$761,$H30,Dati!$A$2:$A$761,$AC30)+SUMIFS(Dati!$C$2:$C$761,Dati!$A$2:$A$761,$H30,Dati!$H$2:$H$761,$AC30)+SUMIFS(Dati!$J$2:$J$761,Dati!$H$2:$H$761,$H30,Dati!$A$2:$A$761,$AC30),"-")</f>
        <v/>
      </c>
      <c r="BV30" s="22">
        <f>IF(AND($H30&lt;&gt;"",$AD30&lt;&gt;"",$H30&lt;&gt;$AD30,IFERROR(VLOOKUP($H30,areaCercaPuntiClassificaSquadra,3,FALSE),-1)=IFERROR(VLOOKUP($AD30,areaCercaPuntiClassificaSquadra,3,FALSE),-2)),SUMIFS(Dati!$D$2:$D$761,Dati!$A$2:$A$761,$H30,Dati!$H$2:$H$761,$AD30)+SUMIFS(Dati!$K$2:$K$761,Dati!$H$2:$H$761,$H30,Dati!$A$2:$A$761,$AD30)+SUMIFS(Dati!$C$2:$C$761,Dati!$A$2:$A$761,$H30,Dati!$H$2:$H$761,$AD30)+SUMIFS(Dati!$J$2:$J$761,Dati!$H$2:$H$761,$H30,Dati!$A$2:$A$761,$AD30),"-")</f>
        <v/>
      </c>
      <c r="BW30" s="22">
        <f>IF(AND($H30&lt;&gt;"",$AE30&lt;&gt;"",$H30&lt;&gt;$AE30,IFERROR(VLOOKUP($H30,areaCercaPuntiClassificaSquadra,3,FALSE),-1)=IFERROR(VLOOKUP($AE30,areaCercaPuntiClassificaSquadra,3,FALSE),-2)),SUMIFS(Dati!$D$2:$D$761,Dati!$A$2:$A$761,$H30,Dati!$H$2:$H$761,$AE30)+SUMIFS(Dati!$K$2:$K$761,Dati!$H$2:$H$761,$H30,Dati!$A$2:$A$761,$AE30)+SUMIFS(Dati!$C$2:$C$761,Dati!$A$2:$A$761,$H30,Dati!$H$2:$H$761,$AE30)+SUMIFS(Dati!$J$2:$J$761,Dati!$H$2:$H$761,$H30,Dati!$A$2:$A$761,$AE30),"-")</f>
        <v/>
      </c>
      <c r="BX30" s="22">
        <f>IF(AND($H30&lt;&gt;"",$AF30&lt;&gt;"",$H30&lt;&gt;$AF30,IFERROR(VLOOKUP($H30,areaCercaPuntiClassificaSquadra,3,FALSE),-1)=IFERROR(VLOOKUP($AF30,areaCercaPuntiClassificaSquadra,3,FALSE),-2)),SUMIFS(Dati!$D$2:$D$761,Dati!$A$2:$A$761,$H30,Dati!$H$2:$H$761,$AF30)+SUMIFS(Dati!$K$2:$K$761,Dati!$H$2:$H$761,$H30,Dati!$A$2:$A$761,$AF30)+SUMIFS(Dati!$C$2:$C$761,Dati!$A$2:$A$761,$H30,Dati!$H$2:$H$761,$AF30)+SUMIFS(Dati!$J$2:$J$761,Dati!$H$2:$H$761,$H30,Dati!$A$2:$A$761,$AF30),"-")</f>
        <v/>
      </c>
      <c r="BY30" s="22">
        <f>IF(AND($H30&lt;&gt;"",$AG30&lt;&gt;"",$H30&lt;&gt;$AG30,IFERROR(VLOOKUP($H30,areaCercaPuntiClassificaSquadra,3,FALSE),-1)=IFERROR(VLOOKUP($AG30,areaCercaPuntiClassificaSquadra,3,FALSE),-2)),SUMIFS(Dati!$D$2:$D$761,Dati!$A$2:$A$761,$H30,Dati!$H$2:$H$761,$AG30)+SUMIFS(Dati!$K$2:$K$761,Dati!$H$2:$H$761,$H30,Dati!$A$2:$A$761,$AG30)+SUMIFS(Dati!$C$2:$C$761,Dati!$A$2:$A$761,$H30,Dati!$H$2:$H$761,$AG30)+SUMIFS(Dati!$J$2:$J$761,Dati!$H$2:$H$761,$H30,Dati!$A$2:$A$761,$AG30),"-")</f>
        <v/>
      </c>
      <c r="BZ30" s="22">
        <f>IF(AND($H30&lt;&gt;"",$AH30&lt;&gt;"",$H30&lt;&gt;$AH30,IFERROR(VLOOKUP($H30,areaCercaPuntiClassificaSquadra,3,FALSE),-1)=IFERROR(VLOOKUP($AH30,areaCercaPuntiClassificaSquadra,3,FALSE),-2)),SUMIFS(Dati!$D$2:$D$761,Dati!$A$2:$A$761,$H30,Dati!$H$2:$H$761,$AH30)+SUMIFS(Dati!$K$2:$K$761,Dati!$H$2:$H$761,$H30,Dati!$A$2:$A$761,$AH30)+SUMIFS(Dati!$C$2:$C$761,Dati!$A$2:$A$761,$H30,Dati!$H$2:$H$761,$AH30)+SUMIFS(Dati!$J$2:$J$761,Dati!$H$2:$H$761,$H30,Dati!$A$2:$A$761,$AH30),"-")</f>
        <v/>
      </c>
      <c r="CA30" s="22">
        <f>IF(AND($H30&lt;&gt;"",$AI30&lt;&gt;"",$H30&lt;&gt;$AI30,IFERROR(VLOOKUP($H30,areaCercaPuntiClassificaSquadra,3,FALSE),-1)=IFERROR(VLOOKUP($AI30,areaCercaPuntiClassificaSquadra,3,FALSE),-2)),SUMIFS(Dati!$D$2:$D$761,Dati!$A$2:$A$761,$H30,Dati!$H$2:$H$761,$AI30)+SUMIFS(Dati!$K$2:$K$761,Dati!$H$2:$H$761,$H30,Dati!$A$2:$A$761,$AI30)+SUMIFS(Dati!$C$2:$C$761,Dati!$A$2:$A$761,$H30,Dati!$H$2:$H$761,$AI30)+SUMIFS(Dati!$J$2:$J$761,Dati!$H$2:$H$761,$H30,Dati!$A$2:$A$761,$AI30),"-")</f>
        <v/>
      </c>
      <c r="CB30" s="22">
        <f>IF(AND($H30&lt;&gt;"",$AJ30&lt;&gt;"",$H30&lt;&gt;$AJ30,IFERROR(VLOOKUP($H30,areaCercaPuntiClassificaSquadra,3,FALSE),-1)=IFERROR(VLOOKUP($AJ30,areaCercaPuntiClassificaSquadra,3,FALSE),-2)),SUMIFS(Dati!$D$2:$D$761,Dati!$A$2:$A$761,$H30,Dati!$H$2:$H$761,$AJ30)+SUMIFS(Dati!$K$2:$K$761,Dati!$H$2:$H$761,$H30,Dati!$A$2:$A$761,$AJ30)+SUMIFS(Dati!$C$2:$C$761,Dati!$A$2:$A$761,$H30,Dati!$H$2:$H$761,$AJ30)+SUMIFS(Dati!$J$2:$J$761,Dati!$H$2:$H$761,$H30,Dati!$A$2:$A$761,$AJ30),"-")</f>
        <v/>
      </c>
      <c r="CC30" s="22">
        <f>IF(AND($H30&lt;&gt;"",$AK30&lt;&gt;"",$H30&lt;&gt;$AK30,IFERROR(VLOOKUP($H30,areaCercaPuntiClassificaSquadra,3,FALSE),-1)=IFERROR(VLOOKUP($AK30,areaCercaPuntiClassificaSquadra,3,FALSE),-2)),SUMIFS(Dati!$D$2:$D$761,Dati!$A$2:$A$761,$H30,Dati!$H$2:$H$761,$AK30)+SUMIFS(Dati!$K$2:$K$761,Dati!$H$2:$H$761,$H30,Dati!$A$2:$A$761,$AK30)+SUMIFS(Dati!$C$2:$C$761,Dati!$A$2:$A$761,$H30,Dati!$H$2:$H$761,$AK30)+SUMIFS(Dati!$J$2:$J$761,Dati!$H$2:$H$761,$H30,Dati!$A$2:$A$761,$AK30),"-")</f>
        <v/>
      </c>
      <c r="CD30" s="22">
        <f>IF(AND($H30&lt;&gt;"",$AL30&lt;&gt;"",$H30&lt;&gt;$AL30,IFERROR(VLOOKUP($H30,areaCercaPuntiClassificaSquadra,3,FALSE),-1)=IFERROR(VLOOKUP($AL30,areaCercaPuntiClassificaSquadra,3,FALSE),-2)),SUMIFS(Dati!$D$2:$D$761,Dati!$A$2:$A$761,$H30,Dati!$H$2:$H$761,$AL30)+SUMIFS(Dati!$K$2:$K$761,Dati!$H$2:$H$761,$H30,Dati!$A$2:$A$761,$AL30)+SUMIFS(Dati!$C$2:$C$761,Dati!$A$2:$A$761,$H30,Dati!$H$2:$H$761,$AL30)+SUMIFS(Dati!$J$2:$J$761,Dati!$H$2:$H$761,$H30,Dati!$A$2:$A$761,$AL30),"-")</f>
        <v/>
      </c>
      <c r="CE30" s="22">
        <f>IF(AND($H30&lt;&gt;"",$AM30&lt;&gt;"",$H30&lt;&gt;$AM30,IFERROR(VLOOKUP($H30,areaCercaPuntiClassificaSquadra,3,FALSE),-1)=IFERROR(VLOOKUP($AM30,areaCercaPuntiClassificaSquadra,3,FALSE),-2)),SUMIFS(Dati!$D$2:$D$761,Dati!$A$2:$A$761,$H30,Dati!$H$2:$H$761,$AM30)+SUMIFS(Dati!$K$2:$K$761,Dati!$H$2:$H$761,$H30,Dati!$A$2:$A$761,$AM30)+SUMIFS(Dati!$C$2:$C$761,Dati!$A$2:$A$761,$H30,Dati!$H$2:$H$761,$AM30)+SUMIFS(Dati!$J$2:$J$761,Dati!$H$2:$H$761,$H30,Dati!$A$2:$A$761,$AM30),"-")</f>
        <v/>
      </c>
      <c r="CF30" s="22">
        <f>IF(AND($H30&lt;&gt;"",$AN30&lt;&gt;"",$H30&lt;&gt;$AN30,IFERROR(VLOOKUP($H30,areaCercaPuntiClassificaSquadra,3,FALSE),-1)=IFERROR(VLOOKUP($AN30,areaCercaPuntiClassificaSquadra,3,FALSE),-2)),SUMIFS(Dati!$D$2:$D$761,Dati!$A$2:$A$761,$H30,Dati!$H$2:$H$761,$AN30)+SUMIFS(Dati!$K$2:$K$761,Dati!$H$2:$H$761,$H30,Dati!$A$2:$A$761,$AN30)+SUMIFS(Dati!$C$2:$C$761,Dati!$A$2:$A$761,$H30,Dati!$H$2:$H$761,$AN30)+SUMIFS(Dati!$J$2:$J$761,Dati!$H$2:$H$761,$H30,Dati!$A$2:$A$761,$AN30),"-")</f>
        <v/>
      </c>
      <c r="CG30" s="22">
        <f>IF(AND($H30&lt;&gt;"",$AO30&lt;&gt;"",$H30&lt;&gt;$AO30,IFERROR(VLOOKUP($H30,areaCercaPuntiClassificaSquadra,3,FALSE),-1)=IFERROR(VLOOKUP($AO30,areaCercaPuntiClassificaSquadra,3,FALSE),-2)),SUMIFS(Dati!$D$2:$D$761,Dati!$A$2:$A$761,$H30,Dati!$H$2:$H$761,$AO30)+SUMIFS(Dati!$K$2:$K$761,Dati!$H$2:$H$761,$H30,Dati!$A$2:$A$761,$AO30)+SUMIFS(Dati!$C$2:$C$761,Dati!$A$2:$A$761,$H30,Dati!$H$2:$H$761,$AO30)+SUMIFS(Dati!$J$2:$J$761,Dati!$H$2:$H$761,$H30,Dati!$A$2:$A$761,$AO30),"-")</f>
        <v/>
      </c>
      <c r="CH30" s="22">
        <f>IF(AND($H30&lt;&gt;"",$AP30&lt;&gt;"",$H30&lt;&gt;$AP30,IFERROR(VLOOKUP($H30,areaCercaPuntiClassificaSquadra,3,FALSE),-1)=IFERROR(VLOOKUP($AP30,areaCercaPuntiClassificaSquadra,3,FALSE),-2)),SUMIFS(Dati!$D$2:$D$761,Dati!$A$2:$A$761,$H30,Dati!$H$2:$H$761,$AP30)+SUMIFS(Dati!$K$2:$K$761,Dati!$H$2:$H$761,$H30,Dati!$A$2:$A$761,$AP30)+SUMIFS(Dati!$C$2:$C$761,Dati!$A$2:$A$761,$H30,Dati!$H$2:$H$761,$AP30)+SUMIFS(Dati!$J$2:$J$761,Dati!$H$2:$H$761,$H30,Dati!$A$2:$A$761,$AP30),"-")</f>
        <v/>
      </c>
      <c r="CI30" s="22">
        <f>IF(AND($H30&lt;&gt;"",$AQ30&lt;&gt;"",$H30&lt;&gt;$AQ30,IFERROR(VLOOKUP($H30,areaCercaPuntiClassificaSquadra,3,FALSE),-1)=IFERROR(VLOOKUP($AQ30,areaCercaPuntiClassificaSquadra,3,FALSE),-2)),SUMIFS(Dati!$D$2:$D$761,Dati!$A$2:$A$761,$H30,Dati!$H$2:$H$761,$AQ30)+SUMIFS(Dati!$K$2:$K$761,Dati!$H$2:$H$761,$H30,Dati!$A$2:$A$761,$AQ30)+SUMIFS(Dati!$C$2:$C$761,Dati!$A$2:$A$761,$H30,Dati!$H$2:$H$761,$AQ30)+SUMIFS(Dati!$J$2:$J$761,Dati!$H$2:$H$761,$H30,Dati!$A$2:$A$761,$AQ30),"-")</f>
        <v/>
      </c>
      <c r="CJ30" s="22">
        <f>IF(AND($H30&lt;&gt;"",$AR30&lt;&gt;"",$H30&lt;&gt;$AR30,IFERROR(VLOOKUP($H30,areaCercaPuntiClassificaSquadra,3,FALSE),-1)=IFERROR(VLOOKUP($AR30,areaCercaPuntiClassificaSquadra,3,FALSE),-2)),SUMIFS(Dati!$D$2:$D$761,Dati!$A$2:$A$761,$H30,Dati!$H$2:$H$761,$AR30)+SUMIFS(Dati!$K$2:$K$761,Dati!$H$2:$H$761,$H30,Dati!$A$2:$A$761,$AR30)+SUMIFS(Dati!$C$2:$C$761,Dati!$A$2:$A$761,$H30,Dati!$H$2:$H$761,$AR30)+SUMIFS(Dati!$J$2:$J$761,Dati!$H$2:$H$761,$H30,Dati!$A$2:$A$761,$AR30),"-")</f>
        <v/>
      </c>
      <c r="CL30" s="21">
        <f>$C30</f>
        <v/>
      </c>
      <c r="CM30" s="22">
        <f>IF(AND($H30&lt;&gt;"",$Y30&lt;&gt;"",$H30&lt;&gt;$Y30,IFERROR(VLOOKUP($H30,areaCercaPuntiClassificaSquadra,3,FALSE),-1)=IFERROR(VLOOKUP($Y30,areaCercaPuntiClassificaSquadra,3,FALSE),-2)),SUMIFS(Dati!$E$2:$E$761,Dati!$A$2:$A$761,$H30,Dati!$H$2:$H$761,$Y30)+SUMIFS(Dati!$L$2:$L$761,Dati!$H$2:$H$761,$H30,Dati!$A$2:$A$761,$Y30),"-")</f>
        <v/>
      </c>
      <c r="CN30" s="22">
        <f>IF(AND($H30&lt;&gt;"",$Z30&lt;&gt;"",$H30&lt;&gt;$Z30,IFERROR(VLOOKUP($H30,areaCercaPuntiClassificaSquadra,3,FALSE),-1)=IFERROR(VLOOKUP($Z30,areaCercaPuntiClassificaSquadra,3,FALSE),-2)),SUMIFS(Dati!$E$2:$E$761,Dati!$A$2:$A$761,$H30,Dati!$H$2:$H$761,$Z30)+SUMIFS(Dati!$L$2:$L$761,Dati!$H$2:$H$761,$H30,Dati!$A$2:$A$761,$Z30),"-")</f>
        <v/>
      </c>
      <c r="CO30" s="22">
        <f>IF(AND($H30&lt;&gt;"",$AA30&lt;&gt;"",$H30&lt;&gt;$AA30,IFERROR(VLOOKUP($H30,areaCercaPuntiClassificaSquadra,3,FALSE),-1)=IFERROR(VLOOKUP($AA30,areaCercaPuntiClassificaSquadra,3,FALSE),-2)),SUMIFS(Dati!$E$2:$E$761,Dati!$A$2:$A$761,$H30,Dati!$H$2:$H$761,$AA30)+SUMIFS(Dati!$L$2:$L$761,Dati!$H$2:$H$761,$H30,Dati!$A$2:$A$761,$AA30),"-")</f>
        <v/>
      </c>
      <c r="CP30" s="22">
        <f>IF(AND($H30&lt;&gt;"",$AB30&lt;&gt;"",$H30&lt;&gt;$AB30,IFERROR(VLOOKUP($H30,areaCercaPuntiClassificaSquadra,3,FALSE),-1)=IFERROR(VLOOKUP($AB30,areaCercaPuntiClassificaSquadra,3,FALSE),-2)),SUMIFS(Dati!$E$2:$E$761,Dati!$A$2:$A$761,$H30,Dati!$H$2:$H$761,$AB30)+SUMIFS(Dati!$L$2:$L$761,Dati!$H$2:$H$761,$H30,Dati!$A$2:$A$761,$AB30),"-")</f>
        <v/>
      </c>
      <c r="CQ30" s="22">
        <f>IF(AND($H30&lt;&gt;"",$AC30&lt;&gt;"",$H30&lt;&gt;$AC30,IFERROR(VLOOKUP($H30,areaCercaPuntiClassificaSquadra,3,FALSE),-1)=IFERROR(VLOOKUP($AC30,areaCercaPuntiClassificaSquadra,3,FALSE),-2)),SUMIFS(Dati!$E$2:$E$761,Dati!$A$2:$A$761,$H30,Dati!$H$2:$H$761,$AC30)+SUMIFS(Dati!$L$2:$L$761,Dati!$H$2:$H$761,$H30,Dati!$A$2:$A$761,$AC30),"-")</f>
        <v/>
      </c>
      <c r="CR30" s="22">
        <f>IF(AND($H30&lt;&gt;"",$AD30&lt;&gt;"",$H30&lt;&gt;$AD30,IFERROR(VLOOKUP($H30,areaCercaPuntiClassificaSquadra,3,FALSE),-1)=IFERROR(VLOOKUP($AD30,areaCercaPuntiClassificaSquadra,3,FALSE),-2)),SUMIFS(Dati!$E$2:$E$761,Dati!$A$2:$A$761,$H30,Dati!$H$2:$H$761,$AD30)+SUMIFS(Dati!$L$2:$L$761,Dati!$H$2:$H$761,$H30,Dati!$A$2:$A$761,$AD30),"-")</f>
        <v/>
      </c>
      <c r="CS30" s="22">
        <f>IF(AND($H30&lt;&gt;"",$AE30&lt;&gt;"",$H30&lt;&gt;$AE30,IFERROR(VLOOKUP($H30,areaCercaPuntiClassificaSquadra,3,FALSE),-1)=IFERROR(VLOOKUP($AE30,areaCercaPuntiClassificaSquadra,3,FALSE),-2)),SUMIFS(Dati!$E$2:$E$761,Dati!$A$2:$A$761,$H30,Dati!$H$2:$H$761,$AE30)+SUMIFS(Dati!$L$2:$L$761,Dati!$H$2:$H$761,$H30,Dati!$A$2:$A$761,$AE30),"-")</f>
        <v/>
      </c>
      <c r="CT30" s="22">
        <f>IF(AND($H30&lt;&gt;"",$AF30&lt;&gt;"",$H30&lt;&gt;$AF30,IFERROR(VLOOKUP($H30,areaCercaPuntiClassificaSquadra,3,FALSE),-1)=IFERROR(VLOOKUP($AF30,areaCercaPuntiClassificaSquadra,3,FALSE),-2)),SUMIFS(Dati!$E$2:$E$761,Dati!$A$2:$A$761,$H30,Dati!$H$2:$H$761,$AF30)+SUMIFS(Dati!$L$2:$L$761,Dati!$H$2:$H$761,$H30,Dati!$A$2:$A$761,$AF30),"-")</f>
        <v/>
      </c>
      <c r="CU30" s="22">
        <f>IF(AND($H30&lt;&gt;"",$AG30&lt;&gt;"",$H30&lt;&gt;$AG30,IFERROR(VLOOKUP($H30,areaCercaPuntiClassificaSquadra,3,FALSE),-1)=IFERROR(VLOOKUP($AG30,areaCercaPuntiClassificaSquadra,3,FALSE),-2)),SUMIFS(Dati!$E$2:$E$761,Dati!$A$2:$A$761,$H30,Dati!$H$2:$H$761,$AG30)+SUMIFS(Dati!$L$2:$L$761,Dati!$H$2:$H$761,$H30,Dati!$A$2:$A$761,$AG30),"-")</f>
        <v/>
      </c>
      <c r="CV30" s="22">
        <f>IF(AND($H30&lt;&gt;"",$AH30&lt;&gt;"",$H30&lt;&gt;$AH30,IFERROR(VLOOKUP($H30,areaCercaPuntiClassificaSquadra,3,FALSE),-1)=IFERROR(VLOOKUP($AH30,areaCercaPuntiClassificaSquadra,3,FALSE),-2)),SUMIFS(Dati!$E$2:$E$761,Dati!$A$2:$A$761,$H30,Dati!$H$2:$H$761,$AH30)+SUMIFS(Dati!$L$2:$L$761,Dati!$H$2:$H$761,$H30,Dati!$A$2:$A$761,$AH30),"-")</f>
        <v/>
      </c>
      <c r="CW30" s="22">
        <f>IF(AND($H30&lt;&gt;"",$AI30&lt;&gt;"",$H30&lt;&gt;$AI30,IFERROR(VLOOKUP($H30,areaCercaPuntiClassificaSquadra,3,FALSE),-1)=IFERROR(VLOOKUP($AI30,areaCercaPuntiClassificaSquadra,3,FALSE),-2)),SUMIFS(Dati!$E$2:$E$761,Dati!$A$2:$A$761,$H30,Dati!$H$2:$H$761,$AI30)+SUMIFS(Dati!$L$2:$L$761,Dati!$H$2:$H$761,$H30,Dati!$A$2:$A$761,$AI30),"-")</f>
        <v/>
      </c>
      <c r="CX30" s="22">
        <f>IF(AND($H30&lt;&gt;"",$AJ30&lt;&gt;"",$H30&lt;&gt;$AJ30,IFERROR(VLOOKUP($H30,areaCercaPuntiClassificaSquadra,3,FALSE),-1)=IFERROR(VLOOKUP($AJ30,areaCercaPuntiClassificaSquadra,3,FALSE),-2)),SUMIFS(Dati!$E$2:$E$761,Dati!$A$2:$A$761,$H30,Dati!$H$2:$H$761,$AJ30)+SUMIFS(Dati!$L$2:$L$761,Dati!$H$2:$H$761,$H30,Dati!$A$2:$A$761,$AJ30),"-")</f>
        <v/>
      </c>
      <c r="CY30" s="22">
        <f>IF(AND($H30&lt;&gt;"",$AK30&lt;&gt;"",$H30&lt;&gt;$AK30,IFERROR(VLOOKUP($H30,areaCercaPuntiClassificaSquadra,3,FALSE),-1)=IFERROR(VLOOKUP($AK30,areaCercaPuntiClassificaSquadra,3,FALSE),-2)),SUMIFS(Dati!$E$2:$E$761,Dati!$A$2:$A$761,$H30,Dati!$H$2:$H$761,$AK30)+SUMIFS(Dati!$L$2:$L$761,Dati!$H$2:$H$761,$H30,Dati!$A$2:$A$761,$AK30),"-")</f>
        <v/>
      </c>
      <c r="CZ30" s="22">
        <f>IF(AND($H30&lt;&gt;"",$AL30&lt;&gt;"",$H30&lt;&gt;$AL30,IFERROR(VLOOKUP($H30,areaCercaPuntiClassificaSquadra,3,FALSE),-1)=IFERROR(VLOOKUP($AL30,areaCercaPuntiClassificaSquadra,3,FALSE),-2)),SUMIFS(Dati!$E$2:$E$761,Dati!$A$2:$A$761,$H30,Dati!$H$2:$H$761,$AL30)+SUMIFS(Dati!$L$2:$L$761,Dati!$H$2:$H$761,$H30,Dati!$A$2:$A$761,$AL30),"-")</f>
        <v/>
      </c>
      <c r="DA30" s="22">
        <f>IF(AND($H30&lt;&gt;"",$AM30&lt;&gt;"",$H30&lt;&gt;$AM30,IFERROR(VLOOKUP($H30,areaCercaPuntiClassificaSquadra,3,FALSE),-1)=IFERROR(VLOOKUP($AM30,areaCercaPuntiClassificaSquadra,3,FALSE),-2)),SUMIFS(Dati!$E$2:$E$761,Dati!$A$2:$A$761,$H30,Dati!$H$2:$H$761,$AM30)+SUMIFS(Dati!$L$2:$L$761,Dati!$H$2:$H$761,$H30,Dati!$A$2:$A$761,$AM30),"-")</f>
        <v/>
      </c>
      <c r="DB30" s="22">
        <f>IF(AND($H30&lt;&gt;"",$AN30&lt;&gt;"",$H30&lt;&gt;$AN30,IFERROR(VLOOKUP($H30,areaCercaPuntiClassificaSquadra,3,FALSE),-1)=IFERROR(VLOOKUP($AN30,areaCercaPuntiClassificaSquadra,3,FALSE),-2)),SUMIFS(Dati!$E$2:$E$761,Dati!$A$2:$A$761,$H30,Dati!$H$2:$H$761,$AN30)+SUMIFS(Dati!$L$2:$L$761,Dati!$H$2:$H$761,$H30,Dati!$A$2:$A$761,$AN30),"-")</f>
        <v/>
      </c>
      <c r="DC30" s="22">
        <f>IF(AND($H30&lt;&gt;"",$AO30&lt;&gt;"",$H30&lt;&gt;$AO30,IFERROR(VLOOKUP($H30,areaCercaPuntiClassificaSquadra,3,FALSE),-1)=IFERROR(VLOOKUP($AO30,areaCercaPuntiClassificaSquadra,3,FALSE),-2)),SUMIFS(Dati!$E$2:$E$761,Dati!$A$2:$A$761,$H30,Dati!$H$2:$H$761,$AO30)+SUMIFS(Dati!$L$2:$L$761,Dati!$H$2:$H$761,$H30,Dati!$A$2:$A$761,$AO30),"-")</f>
        <v/>
      </c>
      <c r="DD30" s="22">
        <f>IF(AND($H30&lt;&gt;"",$AP30&lt;&gt;"",$H30&lt;&gt;$AP30,IFERROR(VLOOKUP($H30,areaCercaPuntiClassificaSquadra,3,FALSE),-1)=IFERROR(VLOOKUP($AP30,areaCercaPuntiClassificaSquadra,3,FALSE),-2)),SUMIFS(Dati!$E$2:$E$761,Dati!$A$2:$A$761,$H30,Dati!$H$2:$H$761,$AP30)+SUMIFS(Dati!$L$2:$L$761,Dati!$H$2:$H$761,$H30,Dati!$A$2:$A$761,$AP30),"-")</f>
        <v/>
      </c>
      <c r="DE30" s="22">
        <f>IF(AND($H30&lt;&gt;"",$AQ30&lt;&gt;"",$H30&lt;&gt;$AQ30,IFERROR(VLOOKUP($H30,areaCercaPuntiClassificaSquadra,3,FALSE),-1)=IFERROR(VLOOKUP($AQ30,areaCercaPuntiClassificaSquadra,3,FALSE),-2)),SUMIFS(Dati!$E$2:$E$761,Dati!$A$2:$A$761,$H30,Dati!$H$2:$H$761,$AQ30)+SUMIFS(Dati!$L$2:$L$761,Dati!$H$2:$H$761,$H30,Dati!$A$2:$A$761,$AQ30),"-")</f>
        <v/>
      </c>
      <c r="DF30" s="22">
        <f>IF(AND($H30&lt;&gt;"",$AR30&lt;&gt;"",$H30&lt;&gt;$AR30,IFERROR(VLOOKUP($H30,areaCercaPuntiClassificaSquadra,3,FALSE),-1)=IFERROR(VLOOKUP($AR30,areaCercaPuntiClassificaSquadra,3,FALSE),-2)),SUMIFS(Dati!$E$2:$E$761,Dati!$A$2:$A$761,$H30,Dati!$H$2:$H$761,$AR30)+SUMIFS(Dati!$L$2:$L$761,Dati!$H$2:$H$761,$H30,Dati!$A$2:$A$761,$AR30),"-")</f>
        <v/>
      </c>
      <c r="DH30" s="21">
        <f>$C30</f>
        <v/>
      </c>
      <c r="DI30" s="22">
        <f>IF(AND($H30&lt;&gt;"",$Y30&lt;&gt;"",$H30&lt;&gt;$Y30,IFERROR(VLOOKUP($H30,areaCercaPuntiClassificaSquadra,3,FALSE),-1)=IFERROR(VLOOKUP($Y30,areaCercaPuntiClassificaSquadra,3,FALSE),-2)),SUMIFS(Dati!$F$2:$F$761,Dati!$A$2:$A$761,$H30,Dati!$H$2:$H$761,$Y30)+SUMIFS(Dati!$M$2:$M$761,Dati!$H$2:$H$761,$H30,Dati!$A$2:$A$761,$Y30),"-")</f>
        <v/>
      </c>
      <c r="DJ30" s="22">
        <f>IF(AND($H30&lt;&gt;"",$Z30&lt;&gt;"",$H30&lt;&gt;$Z30,IFERROR(VLOOKUP($H30,areaCercaPuntiClassificaSquadra,3,FALSE),-1)=IFERROR(VLOOKUP($Z30,areaCercaPuntiClassificaSquadra,3,FALSE),-2)),SUMIFS(Dati!$F$2:$F$761,Dati!$A$2:$A$761,$H30,Dati!$H$2:$H$761,$Z30)+SUMIFS(Dati!$M$2:$M$761,Dati!$H$2:$H$761,$H30,Dati!$A$2:$A$761,$Z30),"-")</f>
        <v/>
      </c>
      <c r="DK30" s="22">
        <f>IF(AND($H30&lt;&gt;"",$AA30&lt;&gt;"",$H30&lt;&gt;$AA30,IFERROR(VLOOKUP($H30,areaCercaPuntiClassificaSquadra,3,FALSE),-1)=IFERROR(VLOOKUP($AA30,areaCercaPuntiClassificaSquadra,3,FALSE),-2)),SUMIFS(Dati!$F$2:$F$761,Dati!$A$2:$A$761,$H30,Dati!$H$2:$H$761,$AA30)+SUMIFS(Dati!$M$2:$M$761,Dati!$H$2:$H$761,$H30,Dati!$A$2:$A$761,$AA30),"-")</f>
        <v/>
      </c>
      <c r="DL30" s="22">
        <f>IF(AND($H30&lt;&gt;"",$AB30&lt;&gt;"",$H30&lt;&gt;$AB30,IFERROR(VLOOKUP($H30,areaCercaPuntiClassificaSquadra,3,FALSE),-1)=IFERROR(VLOOKUP($AB30,areaCercaPuntiClassificaSquadra,3,FALSE),-2)),SUMIFS(Dati!$F$2:$F$761,Dati!$A$2:$A$761,$H30,Dati!$H$2:$H$761,$AB30)+SUMIFS(Dati!$M$2:$M$761,Dati!$H$2:$H$761,$H30,Dati!$A$2:$A$761,$AB30),"-")</f>
        <v/>
      </c>
      <c r="DM30" s="22">
        <f>IF(AND($H30&lt;&gt;"",$AC30&lt;&gt;"",$H30&lt;&gt;$AC30,IFERROR(VLOOKUP($H30,areaCercaPuntiClassificaSquadra,3,FALSE),-1)=IFERROR(VLOOKUP($AC30,areaCercaPuntiClassificaSquadra,3,FALSE),-2)),SUMIFS(Dati!$F$2:$F$761,Dati!$A$2:$A$761,$H30,Dati!$H$2:$H$761,$AC30)+SUMIFS(Dati!$M$2:$M$761,Dati!$H$2:$H$761,$H30,Dati!$A$2:$A$761,$AC30),"-")</f>
        <v/>
      </c>
      <c r="DN30" s="22">
        <f>IF(AND($H30&lt;&gt;"",$AD30&lt;&gt;"",$H30&lt;&gt;$AD30,IFERROR(VLOOKUP($H30,areaCercaPuntiClassificaSquadra,3,FALSE),-1)=IFERROR(VLOOKUP($AD30,areaCercaPuntiClassificaSquadra,3,FALSE),-2)),SUMIFS(Dati!$F$2:$F$761,Dati!$A$2:$A$761,$H30,Dati!$H$2:$H$761,$AD30)+SUMIFS(Dati!$M$2:$M$761,Dati!$H$2:$H$761,$H30,Dati!$A$2:$A$761,$AD30),"-")</f>
        <v/>
      </c>
      <c r="DO30" s="22">
        <f>IF(AND($H30&lt;&gt;"",$AE30&lt;&gt;"",$H30&lt;&gt;$AE30,IFERROR(VLOOKUP($H30,areaCercaPuntiClassificaSquadra,3,FALSE),-1)=IFERROR(VLOOKUP($AE30,areaCercaPuntiClassificaSquadra,3,FALSE),-2)),SUMIFS(Dati!$F$2:$F$761,Dati!$A$2:$A$761,$H30,Dati!$H$2:$H$761,$AE30)+SUMIFS(Dati!$M$2:$M$761,Dati!$H$2:$H$761,$H30,Dati!$A$2:$A$761,$AE30),"-")</f>
        <v/>
      </c>
      <c r="DP30" s="22">
        <f>IF(AND($H30&lt;&gt;"",$AF30&lt;&gt;"",$H30&lt;&gt;$AF30,IFERROR(VLOOKUP($H30,areaCercaPuntiClassificaSquadra,3,FALSE),-1)=IFERROR(VLOOKUP($AF30,areaCercaPuntiClassificaSquadra,3,FALSE),-2)),SUMIFS(Dati!$F$2:$F$761,Dati!$A$2:$A$761,$H30,Dati!$H$2:$H$761,$AF30)+SUMIFS(Dati!$M$2:$M$761,Dati!$H$2:$H$761,$H30,Dati!$A$2:$A$761,$AF30),"-")</f>
        <v/>
      </c>
      <c r="DQ30" s="22">
        <f>IF(AND($H30&lt;&gt;"",$AG30&lt;&gt;"",$H30&lt;&gt;$AG30,IFERROR(VLOOKUP($H30,areaCercaPuntiClassificaSquadra,3,FALSE),-1)=IFERROR(VLOOKUP($AG30,areaCercaPuntiClassificaSquadra,3,FALSE),-2)),SUMIFS(Dati!$F$2:$F$761,Dati!$A$2:$A$761,$H30,Dati!$H$2:$H$761,$AG30)+SUMIFS(Dati!$M$2:$M$761,Dati!$H$2:$H$761,$H30,Dati!$A$2:$A$761,$AG30),"-")</f>
        <v/>
      </c>
      <c r="DR30" s="22">
        <f>IF(AND($H30&lt;&gt;"",$AH30&lt;&gt;"",$H30&lt;&gt;$AH30,IFERROR(VLOOKUP($H30,areaCercaPuntiClassificaSquadra,3,FALSE),-1)=IFERROR(VLOOKUP($AH30,areaCercaPuntiClassificaSquadra,3,FALSE),-2)),SUMIFS(Dati!$F$2:$F$761,Dati!$A$2:$A$761,$H30,Dati!$H$2:$H$761,$AH30)+SUMIFS(Dati!$M$2:$M$761,Dati!$H$2:$H$761,$H30,Dati!$A$2:$A$761,$AH30),"-")</f>
        <v/>
      </c>
      <c r="DS30" s="22">
        <f>IF(AND($H30&lt;&gt;"",$AI30&lt;&gt;"",$H30&lt;&gt;$AI30,IFERROR(VLOOKUP($H30,areaCercaPuntiClassificaSquadra,3,FALSE),-1)=IFERROR(VLOOKUP($AI30,areaCercaPuntiClassificaSquadra,3,FALSE),-2)),SUMIFS(Dati!$F$2:$F$761,Dati!$A$2:$A$761,$H30,Dati!$H$2:$H$761,$AI30)+SUMIFS(Dati!$M$2:$M$761,Dati!$H$2:$H$761,$H30,Dati!$A$2:$A$761,$AI30),"-")</f>
        <v/>
      </c>
      <c r="DT30" s="22">
        <f>IF(AND($H30&lt;&gt;"",$AJ30&lt;&gt;"",$H30&lt;&gt;$AJ30,IFERROR(VLOOKUP($H30,areaCercaPuntiClassificaSquadra,3,FALSE),-1)=IFERROR(VLOOKUP($AJ30,areaCercaPuntiClassificaSquadra,3,FALSE),-2)),SUMIFS(Dati!$F$2:$F$761,Dati!$A$2:$A$761,$H30,Dati!$H$2:$H$761,$AJ30)+SUMIFS(Dati!$M$2:$M$761,Dati!$H$2:$H$761,$H30,Dati!$A$2:$A$761,$AJ30),"-")</f>
        <v/>
      </c>
      <c r="DU30" s="22">
        <f>IF(AND($H30&lt;&gt;"",$AK30&lt;&gt;"",$H30&lt;&gt;$AK30,IFERROR(VLOOKUP($H30,areaCercaPuntiClassificaSquadra,3,FALSE),-1)=IFERROR(VLOOKUP($AK30,areaCercaPuntiClassificaSquadra,3,FALSE),-2)),SUMIFS(Dati!$F$2:$F$761,Dati!$A$2:$A$761,$H30,Dati!$H$2:$H$761,$AK30)+SUMIFS(Dati!$M$2:$M$761,Dati!$H$2:$H$761,$H30,Dati!$A$2:$A$761,$AK30),"-")</f>
        <v/>
      </c>
      <c r="DV30" s="22">
        <f>IF(AND($H30&lt;&gt;"",$AL30&lt;&gt;"",$H30&lt;&gt;$AL30,IFERROR(VLOOKUP($H30,areaCercaPuntiClassificaSquadra,3,FALSE),-1)=IFERROR(VLOOKUP($AL30,areaCercaPuntiClassificaSquadra,3,FALSE),-2)),SUMIFS(Dati!$F$2:$F$761,Dati!$A$2:$A$761,$H30,Dati!$H$2:$H$761,$AL30)+SUMIFS(Dati!$M$2:$M$761,Dati!$H$2:$H$761,$H30,Dati!$A$2:$A$761,$AL30),"-")</f>
        <v/>
      </c>
      <c r="DW30" s="22">
        <f>IF(AND($H30&lt;&gt;"",$AM30&lt;&gt;"",$H30&lt;&gt;$AM30,IFERROR(VLOOKUP($H30,areaCercaPuntiClassificaSquadra,3,FALSE),-1)=IFERROR(VLOOKUP($AM30,areaCercaPuntiClassificaSquadra,3,FALSE),-2)),SUMIFS(Dati!$F$2:$F$761,Dati!$A$2:$A$761,$H30,Dati!$H$2:$H$761,$AM30)+SUMIFS(Dati!$M$2:$M$761,Dati!$H$2:$H$761,$H30,Dati!$A$2:$A$761,$AM30),"-")</f>
        <v/>
      </c>
      <c r="DX30" s="22">
        <f>IF(AND($H30&lt;&gt;"",$AN30&lt;&gt;"",$H30&lt;&gt;$AN30,IFERROR(VLOOKUP($H30,areaCercaPuntiClassificaSquadra,3,FALSE),-1)=IFERROR(VLOOKUP($AN30,areaCercaPuntiClassificaSquadra,3,FALSE),-2)),SUMIFS(Dati!$F$2:$F$761,Dati!$A$2:$A$761,$H30,Dati!$H$2:$H$761,$AN30)+SUMIFS(Dati!$M$2:$M$761,Dati!$H$2:$H$761,$H30,Dati!$A$2:$A$761,$AN30),"-")</f>
        <v/>
      </c>
      <c r="DY30" s="22">
        <f>IF(AND($H30&lt;&gt;"",$AO30&lt;&gt;"",$H30&lt;&gt;$AO30,IFERROR(VLOOKUP($H30,areaCercaPuntiClassificaSquadra,3,FALSE),-1)=IFERROR(VLOOKUP($AO30,areaCercaPuntiClassificaSquadra,3,FALSE),-2)),SUMIFS(Dati!$F$2:$F$761,Dati!$A$2:$A$761,$H30,Dati!$H$2:$H$761,$AO30)+SUMIFS(Dati!$M$2:$M$761,Dati!$H$2:$H$761,$H30,Dati!$A$2:$A$761,$AO30),"-")</f>
        <v/>
      </c>
      <c r="DZ30" s="22">
        <f>IF(AND($H30&lt;&gt;"",$AP30&lt;&gt;"",$H30&lt;&gt;$AP30,IFERROR(VLOOKUP($H30,areaCercaPuntiClassificaSquadra,3,FALSE),-1)=IFERROR(VLOOKUP($AP30,areaCercaPuntiClassificaSquadra,3,FALSE),-2)),SUMIFS(Dati!$F$2:$F$761,Dati!$A$2:$A$761,$H30,Dati!$H$2:$H$761,$AP30)+SUMIFS(Dati!$M$2:$M$761,Dati!$H$2:$H$761,$H30,Dati!$A$2:$A$761,$AP30),"-")</f>
        <v/>
      </c>
      <c r="EA30" s="22">
        <f>IF(AND($H30&lt;&gt;"",$AQ30&lt;&gt;"",$H30&lt;&gt;$AQ30,IFERROR(VLOOKUP($H30,areaCercaPuntiClassificaSquadra,3,FALSE),-1)=IFERROR(VLOOKUP($AQ30,areaCercaPuntiClassificaSquadra,3,FALSE),-2)),SUMIFS(Dati!$F$2:$F$761,Dati!$A$2:$A$761,$H30,Dati!$H$2:$H$761,$AQ30)+SUMIFS(Dati!$M$2:$M$761,Dati!$H$2:$H$761,$H30,Dati!$A$2:$A$761,$AQ30),"-")</f>
        <v/>
      </c>
      <c r="EB30" s="22">
        <f>IF(AND($H30&lt;&gt;"",$AR30&lt;&gt;"",$H30&lt;&gt;$AR30,IFERROR(VLOOKUP($H30,areaCercaPuntiClassificaSquadra,3,FALSE),-1)=IFERROR(VLOOKUP($AR30,areaCercaPuntiClassificaSquadra,3,FALSE),-2)),SUMIFS(Dati!$F$2:$F$761,Dati!$A$2:$A$761,$H30,Dati!$H$2:$H$761,$AR30)+SUMIFS(Dati!$M$2:$M$761,Dati!$H$2:$H$761,$H30,Dati!$A$2:$A$761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inlineStr">
        <is>
          <t>Aquile Audaci-Aquileopoli AI</t>
        </is>
      </c>
      <c r="D31" s="14" t="n"/>
      <c r="E31" s="15" t="inlineStr">
        <is>
          <t>A</t>
        </is>
      </c>
      <c r="G31" s="16">
        <f>IF($C31="","",$E31&amp;(COUNTIFS(I$14:I$93,"&gt;"&amp;I31,E$14:E$93,"="&amp;E31,C$14:C$93,"&lt;&gt;")+COUNTIFS(I$14:I$93,"="&amp;I31,H$14:H$93,"&lt;="&amp;H31,E$14:E$93,"="&amp;E31,C$14:C$93,"&lt;&gt;")))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L31*constPuntiVittoria+M31*constPuntiSconfitta+N31*constPuntiForfait+IF(D31="",0,D31)</f>
        <v/>
      </c>
      <c r="K31" s="12">
        <f>SUM(L31:N31)</f>
        <v/>
      </c>
      <c r="L31" s="12">
        <f>IF($H31="",0,SUMIF(Dati!$A$2:$A$761,$H31,Dati!$B$2:$B$761)+SUMIF(Dati!$H$2:$H$761,$H31,Dati!$I$2:$I$761))</f>
        <v/>
      </c>
      <c r="M31" s="12">
        <f>IF($H31="",0,SUMIF(Dati!$A$2:$A$761,$H31,Dati!$D$2:$D$761)+SUMIF(Dati!$H$2:$H$761,$H31,Dati!$K$2:$K$761))</f>
        <v/>
      </c>
      <c r="N31" s="12">
        <f>IF($H31="",0,SUMIF(Dati!$A$2:$A$761,$H31,Dati!$C$2:$C$761)+SUMIF(Dati!$H$2:$H$761,$H31,Dati!$J$2:$J$761))</f>
        <v/>
      </c>
      <c r="O31" s="12">
        <f>IF($H31="",0,SUMIF(Dati!$A$2:$A$761,$H31,Dati!$E$2:$E$761)+SUMIF(Dati!$H$2:$H$761,$H31,Dati!$L$2:$L$761))</f>
        <v/>
      </c>
      <c r="P31" s="12">
        <f>IF($H31="",0,SUMIF(Dati!$A$2:$A$761,$H31,Dati!$F$2:$F$761)+SUMIF(Dati!$H$2:$H$761,$H31,Dati!$M$2:$M$761))</f>
        <v/>
      </c>
      <c r="Q31" s="12">
        <f>IF($H31="",0,SUMIF(Dati!$A$2:$A$761,$H31,Dati!$G$2:$G$761)+SUMIF(Dati!$H$2:$H$761,$H31,Dati!$N$2:$N$761))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IF(COUNTIFS($E$14:$E$93,$E31,$J$14:$J$93,$J31,$C$14:$C$93,"&lt;&gt;")&lt;=1,"-",SUM(AU31:BN31)&amp;"-"&amp;SUM(BQ31:CJ31))</f>
        <v/>
      </c>
      <c r="V31" s="18">
        <f>IF(COUNTIFS($E$14:$E$93,$E31,$J$14:$J$93,$J31,$C$14:$C$93,"&lt;&gt;",$ED$14:$ED$93,$ED31)&lt;=1,"-",IF(SUM(DI31:EB31)=0,0,ROUND(SUM(CM31:DF31)/SUM(DI31:EB31),3)))</f>
        <v/>
      </c>
      <c r="W31" s="18">
        <f>IF(COUNTIFS($E$14:$E$93,$E31,$J$14:$J$93,$J31,$C$14:$C$93,"&lt;&gt;",$ED$14:$ED$93,$ED31,$V$14:$V$93,$V31)&lt;=1,"-",IF(P31=0,0,ROUND(O31/P31,3)))</f>
        <v/>
      </c>
      <c r="X31" s="19">
        <f>IF($C31="","",$E31&amp;"#"&amp;COUNTIFS($E$14:$E31,$E31,$C$14:$C31,"&lt;&gt;"))</f>
        <v/>
      </c>
      <c r="Y31" s="20">
        <f>IFERROR(INDEX($H$14:$H$93,MATCH($E31&amp;"#1",$X$14:$X$93,0)),"")</f>
        <v/>
      </c>
      <c r="Z31" s="20">
        <f>IFERROR(INDEX($H$14:$H$93,MATCH($E31&amp;"#2",$X$14:$X$93,0)),"")</f>
        <v/>
      </c>
      <c r="AA31" s="20">
        <f>IFERROR(INDEX($H$14:$H$93,MATCH($E31&amp;"#3",$X$14:$X$93,0)),"")</f>
        <v/>
      </c>
      <c r="AB31" s="20">
        <f>IFERROR(INDEX($H$14:$H$93,MATCH($E31&amp;"#4",$X$14:$X$93,0)),"")</f>
        <v/>
      </c>
      <c r="AC31" s="20">
        <f>IFERROR(INDEX($H$14:$H$93,MATCH($E31&amp;"#5",$X$14:$X$93,0)),"")</f>
        <v/>
      </c>
      <c r="AD31" s="20">
        <f>IFERROR(INDEX($H$14:$H$93,MATCH($E31&amp;"#6",$X$14:$X$93,0)),"")</f>
        <v/>
      </c>
      <c r="AE31" s="20">
        <f>IFERROR(INDEX($H$14:$H$93,MATCH($E31&amp;"#7",$X$14:$X$93,0)),"")</f>
        <v/>
      </c>
      <c r="AF31" s="20">
        <f>IFERROR(INDEX($H$14:$H$93,MATCH($E31&amp;"#8",$X$14:$X$93,0)),"")</f>
        <v/>
      </c>
      <c r="AG31" s="20">
        <f>IFERROR(INDEX($H$14:$H$93,MATCH($E31&amp;"#9",$X$14:$X$93,0)),"")</f>
        <v/>
      </c>
      <c r="AH31" s="20">
        <f>IFERROR(INDEX($H$14:$H$93,MATCH($E31&amp;"#10",$X$14:$X$93,0)),"")</f>
        <v/>
      </c>
      <c r="AI31" s="20">
        <f>IFERROR(INDEX($H$14:$H$93,MATCH($E31&amp;"#11",$X$14:$X$93,0)),"")</f>
        <v/>
      </c>
      <c r="AJ31" s="20">
        <f>IFERROR(INDEX($H$14:$H$93,MATCH($E31&amp;"#12",$X$14:$X$93,0)),"")</f>
        <v/>
      </c>
      <c r="AK31" s="20">
        <f>IFERROR(INDEX($H$14:$H$93,MATCH($E31&amp;"#13",$X$14:$X$93,0)),"")</f>
        <v/>
      </c>
      <c r="AL31" s="20">
        <f>IFERROR(INDEX($H$14:$H$93,MATCH($E31&amp;"#14",$X$14:$X$93,0)),"")</f>
        <v/>
      </c>
      <c r="AM31" s="20">
        <f>IFERROR(INDEX($H$14:$H$93,MATCH($E31&amp;"#15",$X$14:$X$93,0)),"")</f>
        <v/>
      </c>
      <c r="AN31" s="20">
        <f>IFERROR(INDEX($H$14:$H$93,MATCH($E31&amp;"#16",$X$14:$X$93,0)),"")</f>
        <v/>
      </c>
      <c r="AO31" s="20">
        <f>IFERROR(INDEX($H$14:$H$93,MATCH($E31&amp;"#17",$X$14:$X$93,0)),"")</f>
        <v/>
      </c>
      <c r="AP31" s="20">
        <f>IFERROR(INDEX($H$14:$H$93,MATCH($E31&amp;"#18",$X$14:$X$93,0)),"")</f>
        <v/>
      </c>
      <c r="AQ31" s="20">
        <f>IFERROR(INDEX($H$14:$H$93,MATCH($E31&amp;"#19",$X$14:$X$93,0)),"")</f>
        <v/>
      </c>
      <c r="AR31" s="20">
        <f>IFERROR(INDEX($H$14:$H$93,MATCH($E31&amp;"#20",$X$14:$X$93,0)),"")</f>
        <v/>
      </c>
      <c r="AT31" s="21">
        <f>$C31</f>
        <v/>
      </c>
      <c r="AU31" s="22">
        <f>IF(AND($H31&lt;&gt;"",$Y31&lt;&gt;"",$H31&lt;&gt;$Y31,IFERROR(VLOOKUP($H31,areaCercaPuntiClassificaSquadra,3,FALSE),-1)=IFERROR(VLOOKUP($Y31,areaCercaPuntiClassificaSquadra,3,FALSE),-2)),SUMIFS(Dati!$B$2:$B$761,Dati!$A$2:$A$761,$H31,Dati!$H$2:$H$761,$Y31)+SUMIFS(Dati!$I$2:$I$761,Dati!$H$2:$H$761,$H31,Dati!$A$2:$A$761,$Y31),"-")</f>
        <v/>
      </c>
      <c r="AV31" s="22">
        <f>IF(AND($H31&lt;&gt;"",$Z31&lt;&gt;"",$H31&lt;&gt;$Z31,IFERROR(VLOOKUP($H31,areaCercaPuntiClassificaSquadra,3,FALSE),-1)=IFERROR(VLOOKUP($Z31,areaCercaPuntiClassificaSquadra,3,FALSE),-2)),SUMIFS(Dati!$B$2:$B$761,Dati!$A$2:$A$761,$H31,Dati!$H$2:$H$761,$Z31)+SUMIFS(Dati!$I$2:$I$761,Dati!$H$2:$H$761,$H31,Dati!$A$2:$A$761,$Z31),"-")</f>
        <v/>
      </c>
      <c r="AW31" s="22">
        <f>IF(AND($H31&lt;&gt;"",$AA31&lt;&gt;"",$H31&lt;&gt;$AA31,IFERROR(VLOOKUP($H31,areaCercaPuntiClassificaSquadra,3,FALSE),-1)=IFERROR(VLOOKUP($AA31,areaCercaPuntiClassificaSquadra,3,FALSE),-2)),SUMIFS(Dati!$B$2:$B$761,Dati!$A$2:$A$761,$H31,Dati!$H$2:$H$761,$AA31)+SUMIFS(Dati!$I$2:$I$761,Dati!$H$2:$H$761,$H31,Dati!$A$2:$A$761,$AA31),"-")</f>
        <v/>
      </c>
      <c r="AX31" s="22">
        <f>IF(AND($H31&lt;&gt;"",$AB31&lt;&gt;"",$H31&lt;&gt;$AB31,IFERROR(VLOOKUP($H31,areaCercaPuntiClassificaSquadra,3,FALSE),-1)=IFERROR(VLOOKUP($AB31,areaCercaPuntiClassificaSquadra,3,FALSE),-2)),SUMIFS(Dati!$B$2:$B$761,Dati!$A$2:$A$761,$H31,Dati!$H$2:$H$761,$AB31)+SUMIFS(Dati!$I$2:$I$761,Dati!$H$2:$H$761,$H31,Dati!$A$2:$A$761,$AB31),"-")</f>
        <v/>
      </c>
      <c r="AY31" s="22">
        <f>IF(AND($H31&lt;&gt;"",$AC31&lt;&gt;"",$H31&lt;&gt;$AC31,IFERROR(VLOOKUP($H31,areaCercaPuntiClassificaSquadra,3,FALSE),-1)=IFERROR(VLOOKUP($AC31,areaCercaPuntiClassificaSquadra,3,FALSE),-2)),SUMIFS(Dati!$B$2:$B$761,Dati!$A$2:$A$761,$H31,Dati!$H$2:$H$761,$AC31)+SUMIFS(Dati!$I$2:$I$761,Dati!$H$2:$H$761,$H31,Dati!$A$2:$A$761,$AC31),"-")</f>
        <v/>
      </c>
      <c r="AZ31" s="22">
        <f>IF(AND($H31&lt;&gt;"",$AD31&lt;&gt;"",$H31&lt;&gt;$AD31,IFERROR(VLOOKUP($H31,areaCercaPuntiClassificaSquadra,3,FALSE),-1)=IFERROR(VLOOKUP($AD31,areaCercaPuntiClassificaSquadra,3,FALSE),-2)),SUMIFS(Dati!$B$2:$B$761,Dati!$A$2:$A$761,$H31,Dati!$H$2:$H$761,$AD31)+SUMIFS(Dati!$I$2:$I$761,Dati!$H$2:$H$761,$H31,Dati!$A$2:$A$761,$AD31),"-")</f>
        <v/>
      </c>
      <c r="BA31" s="22">
        <f>IF(AND($H31&lt;&gt;"",$AE31&lt;&gt;"",$H31&lt;&gt;$AE31,IFERROR(VLOOKUP($H31,areaCercaPuntiClassificaSquadra,3,FALSE),-1)=IFERROR(VLOOKUP($AE31,areaCercaPuntiClassificaSquadra,3,FALSE),-2)),SUMIFS(Dati!$B$2:$B$761,Dati!$A$2:$A$761,$H31,Dati!$H$2:$H$761,$AE31)+SUMIFS(Dati!$I$2:$I$761,Dati!$H$2:$H$761,$H31,Dati!$A$2:$A$761,$AE31),"-")</f>
        <v/>
      </c>
      <c r="BB31" s="22">
        <f>IF(AND($H31&lt;&gt;"",$AF31&lt;&gt;"",$H31&lt;&gt;$AF31,IFERROR(VLOOKUP($H31,areaCercaPuntiClassificaSquadra,3,FALSE),-1)=IFERROR(VLOOKUP($AF31,areaCercaPuntiClassificaSquadra,3,FALSE),-2)),SUMIFS(Dati!$B$2:$B$761,Dati!$A$2:$A$761,$H31,Dati!$H$2:$H$761,$AF31)+SUMIFS(Dati!$I$2:$I$761,Dati!$H$2:$H$761,$H31,Dati!$A$2:$A$761,$AF31),"-")</f>
        <v/>
      </c>
      <c r="BC31" s="22">
        <f>IF(AND($H31&lt;&gt;"",$AG31&lt;&gt;"",$H31&lt;&gt;$AG31,IFERROR(VLOOKUP($H31,areaCercaPuntiClassificaSquadra,3,FALSE),-1)=IFERROR(VLOOKUP($AG31,areaCercaPuntiClassificaSquadra,3,FALSE),-2)),SUMIFS(Dati!$B$2:$B$761,Dati!$A$2:$A$761,$H31,Dati!$H$2:$H$761,$AG31)+SUMIFS(Dati!$I$2:$I$761,Dati!$H$2:$H$761,$H31,Dati!$A$2:$A$761,$AG31),"-")</f>
        <v/>
      </c>
      <c r="BD31" s="22">
        <f>IF(AND($H31&lt;&gt;"",$AH31&lt;&gt;"",$H31&lt;&gt;$AH31,IFERROR(VLOOKUP($H31,areaCercaPuntiClassificaSquadra,3,FALSE),-1)=IFERROR(VLOOKUP($AH31,areaCercaPuntiClassificaSquadra,3,FALSE),-2)),SUMIFS(Dati!$B$2:$B$761,Dati!$A$2:$A$761,$H31,Dati!$H$2:$H$761,$AH31)+SUMIFS(Dati!$I$2:$I$761,Dati!$H$2:$H$761,$H31,Dati!$A$2:$A$761,$AH31),"-")</f>
        <v/>
      </c>
      <c r="BE31" s="22">
        <f>IF(AND($H31&lt;&gt;"",$AI31&lt;&gt;"",$H31&lt;&gt;$AI31,IFERROR(VLOOKUP($H31,areaCercaPuntiClassificaSquadra,3,FALSE),-1)=IFERROR(VLOOKUP($AI31,areaCercaPuntiClassificaSquadra,3,FALSE),-2)),SUMIFS(Dati!$B$2:$B$761,Dati!$A$2:$A$761,$H31,Dati!$H$2:$H$761,$AI31)+SUMIFS(Dati!$I$2:$I$761,Dati!$H$2:$H$761,$H31,Dati!$A$2:$A$761,$AI31),"-")</f>
        <v/>
      </c>
      <c r="BF31" s="22">
        <f>IF(AND($H31&lt;&gt;"",$AJ31&lt;&gt;"",$H31&lt;&gt;$AJ31,IFERROR(VLOOKUP($H31,areaCercaPuntiClassificaSquadra,3,FALSE),-1)=IFERROR(VLOOKUP($AJ31,areaCercaPuntiClassificaSquadra,3,FALSE),-2)),SUMIFS(Dati!$B$2:$B$761,Dati!$A$2:$A$761,$H31,Dati!$H$2:$H$761,$AJ31)+SUMIFS(Dati!$I$2:$I$761,Dati!$H$2:$H$761,$H31,Dati!$A$2:$A$761,$AJ31),"-")</f>
        <v/>
      </c>
      <c r="BG31" s="22">
        <f>IF(AND($H31&lt;&gt;"",$AK31&lt;&gt;"",$H31&lt;&gt;$AK31,IFERROR(VLOOKUP($H31,areaCercaPuntiClassificaSquadra,3,FALSE),-1)=IFERROR(VLOOKUP($AK31,areaCercaPuntiClassificaSquadra,3,FALSE),-2)),SUMIFS(Dati!$B$2:$B$761,Dati!$A$2:$A$761,$H31,Dati!$H$2:$H$761,$AK31)+SUMIFS(Dati!$I$2:$I$761,Dati!$H$2:$H$761,$H31,Dati!$A$2:$A$761,$AK31),"-")</f>
        <v/>
      </c>
      <c r="BH31" s="22">
        <f>IF(AND($H31&lt;&gt;"",$AL31&lt;&gt;"",$H31&lt;&gt;$AL31,IFERROR(VLOOKUP($H31,areaCercaPuntiClassificaSquadra,3,FALSE),-1)=IFERROR(VLOOKUP($AL31,areaCercaPuntiClassificaSquadra,3,FALSE),-2)),SUMIFS(Dati!$B$2:$B$761,Dati!$A$2:$A$761,$H31,Dati!$H$2:$H$761,$AL31)+SUMIFS(Dati!$I$2:$I$761,Dati!$H$2:$H$761,$H31,Dati!$A$2:$A$761,$AL31),"-")</f>
        <v/>
      </c>
      <c r="BI31" s="22">
        <f>IF(AND($H31&lt;&gt;"",$AM31&lt;&gt;"",$H31&lt;&gt;$AM31,IFERROR(VLOOKUP($H31,areaCercaPuntiClassificaSquadra,3,FALSE),-1)=IFERROR(VLOOKUP($AM31,areaCercaPuntiClassificaSquadra,3,FALSE),-2)),SUMIFS(Dati!$B$2:$B$761,Dati!$A$2:$A$761,$H31,Dati!$H$2:$H$761,$AM31)+SUMIFS(Dati!$I$2:$I$761,Dati!$H$2:$H$761,$H31,Dati!$A$2:$A$761,$AM31),"-")</f>
        <v/>
      </c>
      <c r="BJ31" s="22">
        <f>IF(AND($H31&lt;&gt;"",$AN31&lt;&gt;"",$H31&lt;&gt;$AN31,IFERROR(VLOOKUP($H31,areaCercaPuntiClassificaSquadra,3,FALSE),-1)=IFERROR(VLOOKUP($AN31,areaCercaPuntiClassificaSquadra,3,FALSE),-2)),SUMIFS(Dati!$B$2:$B$761,Dati!$A$2:$A$761,$H31,Dati!$H$2:$H$761,$AN31)+SUMIFS(Dati!$I$2:$I$761,Dati!$H$2:$H$761,$H31,Dati!$A$2:$A$761,$AN31),"-")</f>
        <v/>
      </c>
      <c r="BK31" s="22">
        <f>IF(AND($H31&lt;&gt;"",$AO31&lt;&gt;"",$H31&lt;&gt;$AO31,IFERROR(VLOOKUP($H31,areaCercaPuntiClassificaSquadra,3,FALSE),-1)=IFERROR(VLOOKUP($AO31,areaCercaPuntiClassificaSquadra,3,FALSE),-2)),SUMIFS(Dati!$B$2:$B$761,Dati!$A$2:$A$761,$H31,Dati!$H$2:$H$761,$AO31)+SUMIFS(Dati!$I$2:$I$761,Dati!$H$2:$H$761,$H31,Dati!$A$2:$A$761,$AO31),"-")</f>
        <v/>
      </c>
      <c r="BL31" s="22">
        <f>IF(AND($H31&lt;&gt;"",$AP31&lt;&gt;"",$H31&lt;&gt;$AP31,IFERROR(VLOOKUP($H31,areaCercaPuntiClassificaSquadra,3,FALSE),-1)=IFERROR(VLOOKUP($AP31,areaCercaPuntiClassificaSquadra,3,FALSE),-2)),SUMIFS(Dati!$B$2:$B$761,Dati!$A$2:$A$761,$H31,Dati!$H$2:$H$761,$AP31)+SUMIFS(Dati!$I$2:$I$761,Dati!$H$2:$H$761,$H31,Dati!$A$2:$A$761,$AP31),"-")</f>
        <v/>
      </c>
      <c r="BM31" s="22">
        <f>IF(AND($H31&lt;&gt;"",$AQ31&lt;&gt;"",$H31&lt;&gt;$AQ31,IFERROR(VLOOKUP($H31,areaCercaPuntiClassificaSquadra,3,FALSE),-1)=IFERROR(VLOOKUP($AQ31,areaCercaPuntiClassificaSquadra,3,FALSE),-2)),SUMIFS(Dati!$B$2:$B$761,Dati!$A$2:$A$761,$H31,Dati!$H$2:$H$761,$AQ31)+SUMIFS(Dati!$I$2:$I$761,Dati!$H$2:$H$761,$H31,Dati!$A$2:$A$761,$AQ31),"-")</f>
        <v/>
      </c>
      <c r="BN31" s="22">
        <f>IF(AND($H31&lt;&gt;"",$AR31&lt;&gt;"",$H31&lt;&gt;$AR31,IFERROR(VLOOKUP($H31,areaCercaPuntiClassificaSquadra,3,FALSE),-1)=IFERROR(VLOOKUP($AR31,areaCercaPuntiClassificaSquadra,3,FALSE),-2)),SUMIFS(Dati!$B$2:$B$761,Dati!$A$2:$A$761,$H31,Dati!$H$2:$H$761,$AR31)+SUMIFS(Dati!$I$2:$I$761,Dati!$H$2:$H$761,$H31,Dati!$A$2:$A$761,$AR31),"-")</f>
        <v/>
      </c>
      <c r="BP31" s="21">
        <f>$C31</f>
        <v/>
      </c>
      <c r="BQ31" s="22">
        <f>IF(AND($H31&lt;&gt;"",$Y31&lt;&gt;"",$H31&lt;&gt;$Y31,IFERROR(VLOOKUP($H31,areaCercaPuntiClassificaSquadra,3,FALSE),-1)=IFERROR(VLOOKUP($Y31,areaCercaPuntiClassificaSquadra,3,FALSE),-2)),SUMIFS(Dati!$D$2:$D$761,Dati!$A$2:$A$761,$H31,Dati!$H$2:$H$761,$Y31)+SUMIFS(Dati!$K$2:$K$761,Dati!$H$2:$H$761,$H31,Dati!$A$2:$A$761,$Y31)+SUMIFS(Dati!$C$2:$C$761,Dati!$A$2:$A$761,$H31,Dati!$H$2:$H$761,$Y31)+SUMIFS(Dati!$J$2:$J$761,Dati!$H$2:$H$761,$H31,Dati!$A$2:$A$761,$Y31),"-")</f>
        <v/>
      </c>
      <c r="BR31" s="22">
        <f>IF(AND($H31&lt;&gt;"",$Z31&lt;&gt;"",$H31&lt;&gt;$Z31,IFERROR(VLOOKUP($H31,areaCercaPuntiClassificaSquadra,3,FALSE),-1)=IFERROR(VLOOKUP($Z31,areaCercaPuntiClassificaSquadra,3,FALSE),-2)),SUMIFS(Dati!$D$2:$D$761,Dati!$A$2:$A$761,$H31,Dati!$H$2:$H$761,$Z31)+SUMIFS(Dati!$K$2:$K$761,Dati!$H$2:$H$761,$H31,Dati!$A$2:$A$761,$Z31)+SUMIFS(Dati!$C$2:$C$761,Dati!$A$2:$A$761,$H31,Dati!$H$2:$H$761,$Z31)+SUMIFS(Dati!$J$2:$J$761,Dati!$H$2:$H$761,$H31,Dati!$A$2:$A$761,$Z31),"-")</f>
        <v/>
      </c>
      <c r="BS31" s="22">
        <f>IF(AND($H31&lt;&gt;"",$AA31&lt;&gt;"",$H31&lt;&gt;$AA31,IFERROR(VLOOKUP($H31,areaCercaPuntiClassificaSquadra,3,FALSE),-1)=IFERROR(VLOOKUP($AA31,areaCercaPuntiClassificaSquadra,3,FALSE),-2)),SUMIFS(Dati!$D$2:$D$761,Dati!$A$2:$A$761,$H31,Dati!$H$2:$H$761,$AA31)+SUMIFS(Dati!$K$2:$K$761,Dati!$H$2:$H$761,$H31,Dati!$A$2:$A$761,$AA31)+SUMIFS(Dati!$C$2:$C$761,Dati!$A$2:$A$761,$H31,Dati!$H$2:$H$761,$AA31)+SUMIFS(Dati!$J$2:$J$761,Dati!$H$2:$H$761,$H31,Dati!$A$2:$A$761,$AA31),"-")</f>
        <v/>
      </c>
      <c r="BT31" s="22">
        <f>IF(AND($H31&lt;&gt;"",$AB31&lt;&gt;"",$H31&lt;&gt;$AB31,IFERROR(VLOOKUP($H31,areaCercaPuntiClassificaSquadra,3,FALSE),-1)=IFERROR(VLOOKUP($AB31,areaCercaPuntiClassificaSquadra,3,FALSE),-2)),SUMIFS(Dati!$D$2:$D$761,Dati!$A$2:$A$761,$H31,Dati!$H$2:$H$761,$AB31)+SUMIFS(Dati!$K$2:$K$761,Dati!$H$2:$H$761,$H31,Dati!$A$2:$A$761,$AB31)+SUMIFS(Dati!$C$2:$C$761,Dati!$A$2:$A$761,$H31,Dati!$H$2:$H$761,$AB31)+SUMIFS(Dati!$J$2:$J$761,Dati!$H$2:$H$761,$H31,Dati!$A$2:$A$761,$AB31),"-")</f>
        <v/>
      </c>
      <c r="BU31" s="22">
        <f>IF(AND($H31&lt;&gt;"",$AC31&lt;&gt;"",$H31&lt;&gt;$AC31,IFERROR(VLOOKUP($H31,areaCercaPuntiClassificaSquadra,3,FALSE),-1)=IFERROR(VLOOKUP($AC31,areaCercaPuntiClassificaSquadra,3,FALSE),-2)),SUMIFS(Dati!$D$2:$D$761,Dati!$A$2:$A$761,$H31,Dati!$H$2:$H$761,$AC31)+SUMIFS(Dati!$K$2:$K$761,Dati!$H$2:$H$761,$H31,Dati!$A$2:$A$761,$AC31)+SUMIFS(Dati!$C$2:$C$761,Dati!$A$2:$A$761,$H31,Dati!$H$2:$H$761,$AC31)+SUMIFS(Dati!$J$2:$J$761,Dati!$H$2:$H$761,$H31,Dati!$A$2:$A$761,$AC31),"-")</f>
        <v/>
      </c>
      <c r="BV31" s="22">
        <f>IF(AND($H31&lt;&gt;"",$AD31&lt;&gt;"",$H31&lt;&gt;$AD31,IFERROR(VLOOKUP($H31,areaCercaPuntiClassificaSquadra,3,FALSE),-1)=IFERROR(VLOOKUP($AD31,areaCercaPuntiClassificaSquadra,3,FALSE),-2)),SUMIFS(Dati!$D$2:$D$761,Dati!$A$2:$A$761,$H31,Dati!$H$2:$H$761,$AD31)+SUMIFS(Dati!$K$2:$K$761,Dati!$H$2:$H$761,$H31,Dati!$A$2:$A$761,$AD31)+SUMIFS(Dati!$C$2:$C$761,Dati!$A$2:$A$761,$H31,Dati!$H$2:$H$761,$AD31)+SUMIFS(Dati!$J$2:$J$761,Dati!$H$2:$H$761,$H31,Dati!$A$2:$A$761,$AD31),"-")</f>
        <v/>
      </c>
      <c r="BW31" s="22">
        <f>IF(AND($H31&lt;&gt;"",$AE31&lt;&gt;"",$H31&lt;&gt;$AE31,IFERROR(VLOOKUP($H31,areaCercaPuntiClassificaSquadra,3,FALSE),-1)=IFERROR(VLOOKUP($AE31,areaCercaPuntiClassificaSquadra,3,FALSE),-2)),SUMIFS(Dati!$D$2:$D$761,Dati!$A$2:$A$761,$H31,Dati!$H$2:$H$761,$AE31)+SUMIFS(Dati!$K$2:$K$761,Dati!$H$2:$H$761,$H31,Dati!$A$2:$A$761,$AE31)+SUMIFS(Dati!$C$2:$C$761,Dati!$A$2:$A$761,$H31,Dati!$H$2:$H$761,$AE31)+SUMIFS(Dati!$J$2:$J$761,Dati!$H$2:$H$761,$H31,Dati!$A$2:$A$761,$AE31),"-")</f>
        <v/>
      </c>
      <c r="BX31" s="22">
        <f>IF(AND($H31&lt;&gt;"",$AF31&lt;&gt;"",$H31&lt;&gt;$AF31,IFERROR(VLOOKUP($H31,areaCercaPuntiClassificaSquadra,3,FALSE),-1)=IFERROR(VLOOKUP($AF31,areaCercaPuntiClassificaSquadra,3,FALSE),-2)),SUMIFS(Dati!$D$2:$D$761,Dati!$A$2:$A$761,$H31,Dati!$H$2:$H$761,$AF31)+SUMIFS(Dati!$K$2:$K$761,Dati!$H$2:$H$761,$H31,Dati!$A$2:$A$761,$AF31)+SUMIFS(Dati!$C$2:$C$761,Dati!$A$2:$A$761,$H31,Dati!$H$2:$H$761,$AF31)+SUMIFS(Dati!$J$2:$J$761,Dati!$H$2:$H$761,$H31,Dati!$A$2:$A$761,$AF31),"-")</f>
        <v/>
      </c>
      <c r="BY31" s="22">
        <f>IF(AND($H31&lt;&gt;"",$AG31&lt;&gt;"",$H31&lt;&gt;$AG31,IFERROR(VLOOKUP($H31,areaCercaPuntiClassificaSquadra,3,FALSE),-1)=IFERROR(VLOOKUP($AG31,areaCercaPuntiClassificaSquadra,3,FALSE),-2)),SUMIFS(Dati!$D$2:$D$761,Dati!$A$2:$A$761,$H31,Dati!$H$2:$H$761,$AG31)+SUMIFS(Dati!$K$2:$K$761,Dati!$H$2:$H$761,$H31,Dati!$A$2:$A$761,$AG31)+SUMIFS(Dati!$C$2:$C$761,Dati!$A$2:$A$761,$H31,Dati!$H$2:$H$761,$AG31)+SUMIFS(Dati!$J$2:$J$761,Dati!$H$2:$H$761,$H31,Dati!$A$2:$A$761,$AG31),"-")</f>
        <v/>
      </c>
      <c r="BZ31" s="22">
        <f>IF(AND($H31&lt;&gt;"",$AH31&lt;&gt;"",$H31&lt;&gt;$AH31,IFERROR(VLOOKUP($H31,areaCercaPuntiClassificaSquadra,3,FALSE),-1)=IFERROR(VLOOKUP($AH31,areaCercaPuntiClassificaSquadra,3,FALSE),-2)),SUMIFS(Dati!$D$2:$D$761,Dati!$A$2:$A$761,$H31,Dati!$H$2:$H$761,$AH31)+SUMIFS(Dati!$K$2:$K$761,Dati!$H$2:$H$761,$H31,Dati!$A$2:$A$761,$AH31)+SUMIFS(Dati!$C$2:$C$761,Dati!$A$2:$A$761,$H31,Dati!$H$2:$H$761,$AH31)+SUMIFS(Dati!$J$2:$J$761,Dati!$H$2:$H$761,$H31,Dati!$A$2:$A$761,$AH31),"-")</f>
        <v/>
      </c>
      <c r="CA31" s="22">
        <f>IF(AND($H31&lt;&gt;"",$AI31&lt;&gt;"",$H31&lt;&gt;$AI31,IFERROR(VLOOKUP($H31,areaCercaPuntiClassificaSquadra,3,FALSE),-1)=IFERROR(VLOOKUP($AI31,areaCercaPuntiClassificaSquadra,3,FALSE),-2)),SUMIFS(Dati!$D$2:$D$761,Dati!$A$2:$A$761,$H31,Dati!$H$2:$H$761,$AI31)+SUMIFS(Dati!$K$2:$K$761,Dati!$H$2:$H$761,$H31,Dati!$A$2:$A$761,$AI31)+SUMIFS(Dati!$C$2:$C$761,Dati!$A$2:$A$761,$H31,Dati!$H$2:$H$761,$AI31)+SUMIFS(Dati!$J$2:$J$761,Dati!$H$2:$H$761,$H31,Dati!$A$2:$A$761,$AI31),"-")</f>
        <v/>
      </c>
      <c r="CB31" s="22">
        <f>IF(AND($H31&lt;&gt;"",$AJ31&lt;&gt;"",$H31&lt;&gt;$AJ31,IFERROR(VLOOKUP($H31,areaCercaPuntiClassificaSquadra,3,FALSE),-1)=IFERROR(VLOOKUP($AJ31,areaCercaPuntiClassificaSquadra,3,FALSE),-2)),SUMIFS(Dati!$D$2:$D$761,Dati!$A$2:$A$761,$H31,Dati!$H$2:$H$761,$AJ31)+SUMIFS(Dati!$K$2:$K$761,Dati!$H$2:$H$761,$H31,Dati!$A$2:$A$761,$AJ31)+SUMIFS(Dati!$C$2:$C$761,Dati!$A$2:$A$761,$H31,Dati!$H$2:$H$761,$AJ31)+SUMIFS(Dati!$J$2:$J$761,Dati!$H$2:$H$761,$H31,Dati!$A$2:$A$761,$AJ31),"-")</f>
        <v/>
      </c>
      <c r="CC31" s="22">
        <f>IF(AND($H31&lt;&gt;"",$AK31&lt;&gt;"",$H31&lt;&gt;$AK31,IFERROR(VLOOKUP($H31,areaCercaPuntiClassificaSquadra,3,FALSE),-1)=IFERROR(VLOOKUP($AK31,areaCercaPuntiClassificaSquadra,3,FALSE),-2)),SUMIFS(Dati!$D$2:$D$761,Dati!$A$2:$A$761,$H31,Dati!$H$2:$H$761,$AK31)+SUMIFS(Dati!$K$2:$K$761,Dati!$H$2:$H$761,$H31,Dati!$A$2:$A$761,$AK31)+SUMIFS(Dati!$C$2:$C$761,Dati!$A$2:$A$761,$H31,Dati!$H$2:$H$761,$AK31)+SUMIFS(Dati!$J$2:$J$761,Dati!$H$2:$H$761,$H31,Dati!$A$2:$A$761,$AK31),"-")</f>
        <v/>
      </c>
      <c r="CD31" s="22">
        <f>IF(AND($H31&lt;&gt;"",$AL31&lt;&gt;"",$H31&lt;&gt;$AL31,IFERROR(VLOOKUP($H31,areaCercaPuntiClassificaSquadra,3,FALSE),-1)=IFERROR(VLOOKUP($AL31,areaCercaPuntiClassificaSquadra,3,FALSE),-2)),SUMIFS(Dati!$D$2:$D$761,Dati!$A$2:$A$761,$H31,Dati!$H$2:$H$761,$AL31)+SUMIFS(Dati!$K$2:$K$761,Dati!$H$2:$H$761,$H31,Dati!$A$2:$A$761,$AL31)+SUMIFS(Dati!$C$2:$C$761,Dati!$A$2:$A$761,$H31,Dati!$H$2:$H$761,$AL31)+SUMIFS(Dati!$J$2:$J$761,Dati!$H$2:$H$761,$H31,Dati!$A$2:$A$761,$AL31),"-")</f>
        <v/>
      </c>
      <c r="CE31" s="22">
        <f>IF(AND($H31&lt;&gt;"",$AM31&lt;&gt;"",$H31&lt;&gt;$AM31,IFERROR(VLOOKUP($H31,areaCercaPuntiClassificaSquadra,3,FALSE),-1)=IFERROR(VLOOKUP($AM31,areaCercaPuntiClassificaSquadra,3,FALSE),-2)),SUMIFS(Dati!$D$2:$D$761,Dati!$A$2:$A$761,$H31,Dati!$H$2:$H$761,$AM31)+SUMIFS(Dati!$K$2:$K$761,Dati!$H$2:$H$761,$H31,Dati!$A$2:$A$761,$AM31)+SUMIFS(Dati!$C$2:$C$761,Dati!$A$2:$A$761,$H31,Dati!$H$2:$H$761,$AM31)+SUMIFS(Dati!$J$2:$J$761,Dati!$H$2:$H$761,$H31,Dati!$A$2:$A$761,$AM31),"-")</f>
        <v/>
      </c>
      <c r="CF31" s="22">
        <f>IF(AND($H31&lt;&gt;"",$AN31&lt;&gt;"",$H31&lt;&gt;$AN31,IFERROR(VLOOKUP($H31,areaCercaPuntiClassificaSquadra,3,FALSE),-1)=IFERROR(VLOOKUP($AN31,areaCercaPuntiClassificaSquadra,3,FALSE),-2)),SUMIFS(Dati!$D$2:$D$761,Dati!$A$2:$A$761,$H31,Dati!$H$2:$H$761,$AN31)+SUMIFS(Dati!$K$2:$K$761,Dati!$H$2:$H$761,$H31,Dati!$A$2:$A$761,$AN31)+SUMIFS(Dati!$C$2:$C$761,Dati!$A$2:$A$761,$H31,Dati!$H$2:$H$761,$AN31)+SUMIFS(Dati!$J$2:$J$761,Dati!$H$2:$H$761,$H31,Dati!$A$2:$A$761,$AN31),"-")</f>
        <v/>
      </c>
      <c r="CG31" s="22">
        <f>IF(AND($H31&lt;&gt;"",$AO31&lt;&gt;"",$H31&lt;&gt;$AO31,IFERROR(VLOOKUP($H31,areaCercaPuntiClassificaSquadra,3,FALSE),-1)=IFERROR(VLOOKUP($AO31,areaCercaPuntiClassificaSquadra,3,FALSE),-2)),SUMIFS(Dati!$D$2:$D$761,Dati!$A$2:$A$761,$H31,Dati!$H$2:$H$761,$AO31)+SUMIFS(Dati!$K$2:$K$761,Dati!$H$2:$H$761,$H31,Dati!$A$2:$A$761,$AO31)+SUMIFS(Dati!$C$2:$C$761,Dati!$A$2:$A$761,$H31,Dati!$H$2:$H$761,$AO31)+SUMIFS(Dati!$J$2:$J$761,Dati!$H$2:$H$761,$H31,Dati!$A$2:$A$761,$AO31),"-")</f>
        <v/>
      </c>
      <c r="CH31" s="22">
        <f>IF(AND($H31&lt;&gt;"",$AP31&lt;&gt;"",$H31&lt;&gt;$AP31,IFERROR(VLOOKUP($H31,areaCercaPuntiClassificaSquadra,3,FALSE),-1)=IFERROR(VLOOKUP($AP31,areaCercaPuntiClassificaSquadra,3,FALSE),-2)),SUMIFS(Dati!$D$2:$D$761,Dati!$A$2:$A$761,$H31,Dati!$H$2:$H$761,$AP31)+SUMIFS(Dati!$K$2:$K$761,Dati!$H$2:$H$761,$H31,Dati!$A$2:$A$761,$AP31)+SUMIFS(Dati!$C$2:$C$761,Dati!$A$2:$A$761,$H31,Dati!$H$2:$H$761,$AP31)+SUMIFS(Dati!$J$2:$J$761,Dati!$H$2:$H$761,$H31,Dati!$A$2:$A$761,$AP31),"-")</f>
        <v/>
      </c>
      <c r="CI31" s="22">
        <f>IF(AND($H31&lt;&gt;"",$AQ31&lt;&gt;"",$H31&lt;&gt;$AQ31,IFERROR(VLOOKUP($H31,areaCercaPuntiClassificaSquadra,3,FALSE),-1)=IFERROR(VLOOKUP($AQ31,areaCercaPuntiClassificaSquadra,3,FALSE),-2)),SUMIFS(Dati!$D$2:$D$761,Dati!$A$2:$A$761,$H31,Dati!$H$2:$H$761,$AQ31)+SUMIFS(Dati!$K$2:$K$761,Dati!$H$2:$H$761,$H31,Dati!$A$2:$A$761,$AQ31)+SUMIFS(Dati!$C$2:$C$761,Dati!$A$2:$A$761,$H31,Dati!$H$2:$H$761,$AQ31)+SUMIFS(Dati!$J$2:$J$761,Dati!$H$2:$H$761,$H31,Dati!$A$2:$A$761,$AQ31),"-")</f>
        <v/>
      </c>
      <c r="CJ31" s="22">
        <f>IF(AND($H31&lt;&gt;"",$AR31&lt;&gt;"",$H31&lt;&gt;$AR31,IFERROR(VLOOKUP($H31,areaCercaPuntiClassificaSquadra,3,FALSE),-1)=IFERROR(VLOOKUP($AR31,areaCercaPuntiClassificaSquadra,3,FALSE),-2)),SUMIFS(Dati!$D$2:$D$761,Dati!$A$2:$A$761,$H31,Dati!$H$2:$H$761,$AR31)+SUMIFS(Dati!$K$2:$K$761,Dati!$H$2:$H$761,$H31,Dati!$A$2:$A$761,$AR31)+SUMIFS(Dati!$C$2:$C$761,Dati!$A$2:$A$761,$H31,Dati!$H$2:$H$761,$AR31)+SUMIFS(Dati!$J$2:$J$761,Dati!$H$2:$H$761,$H31,Dati!$A$2:$A$761,$AR31),"-")</f>
        <v/>
      </c>
      <c r="CL31" s="21">
        <f>$C31</f>
        <v/>
      </c>
      <c r="CM31" s="22">
        <f>IF(AND($H31&lt;&gt;"",$Y31&lt;&gt;"",$H31&lt;&gt;$Y31,IFERROR(VLOOKUP($H31,areaCercaPuntiClassificaSquadra,3,FALSE),-1)=IFERROR(VLOOKUP($Y31,areaCercaPuntiClassificaSquadra,3,FALSE),-2)),SUMIFS(Dati!$E$2:$E$761,Dati!$A$2:$A$761,$H31,Dati!$H$2:$H$761,$Y31)+SUMIFS(Dati!$L$2:$L$761,Dati!$H$2:$H$761,$H31,Dati!$A$2:$A$761,$Y31),"-")</f>
        <v/>
      </c>
      <c r="CN31" s="22">
        <f>IF(AND($H31&lt;&gt;"",$Z31&lt;&gt;"",$H31&lt;&gt;$Z31,IFERROR(VLOOKUP($H31,areaCercaPuntiClassificaSquadra,3,FALSE),-1)=IFERROR(VLOOKUP($Z31,areaCercaPuntiClassificaSquadra,3,FALSE),-2)),SUMIFS(Dati!$E$2:$E$761,Dati!$A$2:$A$761,$H31,Dati!$H$2:$H$761,$Z31)+SUMIFS(Dati!$L$2:$L$761,Dati!$H$2:$H$761,$H31,Dati!$A$2:$A$761,$Z31),"-")</f>
        <v/>
      </c>
      <c r="CO31" s="22">
        <f>IF(AND($H31&lt;&gt;"",$AA31&lt;&gt;"",$H31&lt;&gt;$AA31,IFERROR(VLOOKUP($H31,areaCercaPuntiClassificaSquadra,3,FALSE),-1)=IFERROR(VLOOKUP($AA31,areaCercaPuntiClassificaSquadra,3,FALSE),-2)),SUMIFS(Dati!$E$2:$E$761,Dati!$A$2:$A$761,$H31,Dati!$H$2:$H$761,$AA31)+SUMIFS(Dati!$L$2:$L$761,Dati!$H$2:$H$761,$H31,Dati!$A$2:$A$761,$AA31),"-")</f>
        <v/>
      </c>
      <c r="CP31" s="22">
        <f>IF(AND($H31&lt;&gt;"",$AB31&lt;&gt;"",$H31&lt;&gt;$AB31,IFERROR(VLOOKUP($H31,areaCercaPuntiClassificaSquadra,3,FALSE),-1)=IFERROR(VLOOKUP($AB31,areaCercaPuntiClassificaSquadra,3,FALSE),-2)),SUMIFS(Dati!$E$2:$E$761,Dati!$A$2:$A$761,$H31,Dati!$H$2:$H$761,$AB31)+SUMIFS(Dati!$L$2:$L$761,Dati!$H$2:$H$761,$H31,Dati!$A$2:$A$761,$AB31),"-")</f>
        <v/>
      </c>
      <c r="CQ31" s="22">
        <f>IF(AND($H31&lt;&gt;"",$AC31&lt;&gt;"",$H31&lt;&gt;$AC31,IFERROR(VLOOKUP($H31,areaCercaPuntiClassificaSquadra,3,FALSE),-1)=IFERROR(VLOOKUP($AC31,areaCercaPuntiClassificaSquadra,3,FALSE),-2)),SUMIFS(Dati!$E$2:$E$761,Dati!$A$2:$A$761,$H31,Dati!$H$2:$H$761,$AC31)+SUMIFS(Dati!$L$2:$L$761,Dati!$H$2:$H$761,$H31,Dati!$A$2:$A$761,$AC31),"-")</f>
        <v/>
      </c>
      <c r="CR31" s="22">
        <f>IF(AND($H31&lt;&gt;"",$AD31&lt;&gt;"",$H31&lt;&gt;$AD31,IFERROR(VLOOKUP($H31,areaCercaPuntiClassificaSquadra,3,FALSE),-1)=IFERROR(VLOOKUP($AD31,areaCercaPuntiClassificaSquadra,3,FALSE),-2)),SUMIFS(Dati!$E$2:$E$761,Dati!$A$2:$A$761,$H31,Dati!$H$2:$H$761,$AD31)+SUMIFS(Dati!$L$2:$L$761,Dati!$H$2:$H$761,$H31,Dati!$A$2:$A$761,$AD31),"-")</f>
        <v/>
      </c>
      <c r="CS31" s="22">
        <f>IF(AND($H31&lt;&gt;"",$AE31&lt;&gt;"",$H31&lt;&gt;$AE31,IFERROR(VLOOKUP($H31,areaCercaPuntiClassificaSquadra,3,FALSE),-1)=IFERROR(VLOOKUP($AE31,areaCercaPuntiClassificaSquadra,3,FALSE),-2)),SUMIFS(Dati!$E$2:$E$761,Dati!$A$2:$A$761,$H31,Dati!$H$2:$H$761,$AE31)+SUMIFS(Dati!$L$2:$L$761,Dati!$H$2:$H$761,$H31,Dati!$A$2:$A$761,$AE31),"-")</f>
        <v/>
      </c>
      <c r="CT31" s="22">
        <f>IF(AND($H31&lt;&gt;"",$AF31&lt;&gt;"",$H31&lt;&gt;$AF31,IFERROR(VLOOKUP($H31,areaCercaPuntiClassificaSquadra,3,FALSE),-1)=IFERROR(VLOOKUP($AF31,areaCercaPuntiClassificaSquadra,3,FALSE),-2)),SUMIFS(Dati!$E$2:$E$761,Dati!$A$2:$A$761,$H31,Dati!$H$2:$H$761,$AF31)+SUMIFS(Dati!$L$2:$L$761,Dati!$H$2:$H$761,$H31,Dati!$A$2:$A$761,$AF31),"-")</f>
        <v/>
      </c>
      <c r="CU31" s="22">
        <f>IF(AND($H31&lt;&gt;"",$AG31&lt;&gt;"",$H31&lt;&gt;$AG31,IFERROR(VLOOKUP($H31,areaCercaPuntiClassificaSquadra,3,FALSE),-1)=IFERROR(VLOOKUP($AG31,areaCercaPuntiClassificaSquadra,3,FALSE),-2)),SUMIFS(Dati!$E$2:$E$761,Dati!$A$2:$A$761,$H31,Dati!$H$2:$H$761,$AG31)+SUMIFS(Dati!$L$2:$L$761,Dati!$H$2:$H$761,$H31,Dati!$A$2:$A$761,$AG31),"-")</f>
        <v/>
      </c>
      <c r="CV31" s="22">
        <f>IF(AND($H31&lt;&gt;"",$AH31&lt;&gt;"",$H31&lt;&gt;$AH31,IFERROR(VLOOKUP($H31,areaCercaPuntiClassificaSquadra,3,FALSE),-1)=IFERROR(VLOOKUP($AH31,areaCercaPuntiClassificaSquadra,3,FALSE),-2)),SUMIFS(Dati!$E$2:$E$761,Dati!$A$2:$A$761,$H31,Dati!$H$2:$H$761,$AH31)+SUMIFS(Dati!$L$2:$L$761,Dati!$H$2:$H$761,$H31,Dati!$A$2:$A$761,$AH31),"-")</f>
        <v/>
      </c>
      <c r="CW31" s="22">
        <f>IF(AND($H31&lt;&gt;"",$AI31&lt;&gt;"",$H31&lt;&gt;$AI31,IFERROR(VLOOKUP($H31,areaCercaPuntiClassificaSquadra,3,FALSE),-1)=IFERROR(VLOOKUP($AI31,areaCercaPuntiClassificaSquadra,3,FALSE),-2)),SUMIFS(Dati!$E$2:$E$761,Dati!$A$2:$A$761,$H31,Dati!$H$2:$H$761,$AI31)+SUMIFS(Dati!$L$2:$L$761,Dati!$H$2:$H$761,$H31,Dati!$A$2:$A$761,$AI31),"-")</f>
        <v/>
      </c>
      <c r="CX31" s="22">
        <f>IF(AND($H31&lt;&gt;"",$AJ31&lt;&gt;"",$H31&lt;&gt;$AJ31,IFERROR(VLOOKUP($H31,areaCercaPuntiClassificaSquadra,3,FALSE),-1)=IFERROR(VLOOKUP($AJ31,areaCercaPuntiClassificaSquadra,3,FALSE),-2)),SUMIFS(Dati!$E$2:$E$761,Dati!$A$2:$A$761,$H31,Dati!$H$2:$H$761,$AJ31)+SUMIFS(Dati!$L$2:$L$761,Dati!$H$2:$H$761,$H31,Dati!$A$2:$A$761,$AJ31),"-")</f>
        <v/>
      </c>
      <c r="CY31" s="22">
        <f>IF(AND($H31&lt;&gt;"",$AK31&lt;&gt;"",$H31&lt;&gt;$AK31,IFERROR(VLOOKUP($H31,areaCercaPuntiClassificaSquadra,3,FALSE),-1)=IFERROR(VLOOKUP($AK31,areaCercaPuntiClassificaSquadra,3,FALSE),-2)),SUMIFS(Dati!$E$2:$E$761,Dati!$A$2:$A$761,$H31,Dati!$H$2:$H$761,$AK31)+SUMIFS(Dati!$L$2:$L$761,Dati!$H$2:$H$761,$H31,Dati!$A$2:$A$761,$AK31),"-")</f>
        <v/>
      </c>
      <c r="CZ31" s="22">
        <f>IF(AND($H31&lt;&gt;"",$AL31&lt;&gt;"",$H31&lt;&gt;$AL31,IFERROR(VLOOKUP($H31,areaCercaPuntiClassificaSquadra,3,FALSE),-1)=IFERROR(VLOOKUP($AL31,areaCercaPuntiClassificaSquadra,3,FALSE),-2)),SUMIFS(Dati!$E$2:$E$761,Dati!$A$2:$A$761,$H31,Dati!$H$2:$H$761,$AL31)+SUMIFS(Dati!$L$2:$L$761,Dati!$H$2:$H$761,$H31,Dati!$A$2:$A$761,$AL31),"-")</f>
        <v/>
      </c>
      <c r="DA31" s="22">
        <f>IF(AND($H31&lt;&gt;"",$AM31&lt;&gt;"",$H31&lt;&gt;$AM31,IFERROR(VLOOKUP($H31,areaCercaPuntiClassificaSquadra,3,FALSE),-1)=IFERROR(VLOOKUP($AM31,areaCercaPuntiClassificaSquadra,3,FALSE),-2)),SUMIFS(Dati!$E$2:$E$761,Dati!$A$2:$A$761,$H31,Dati!$H$2:$H$761,$AM31)+SUMIFS(Dati!$L$2:$L$761,Dati!$H$2:$H$761,$H31,Dati!$A$2:$A$761,$AM31),"-")</f>
        <v/>
      </c>
      <c r="DB31" s="22">
        <f>IF(AND($H31&lt;&gt;"",$AN31&lt;&gt;"",$H31&lt;&gt;$AN31,IFERROR(VLOOKUP($H31,areaCercaPuntiClassificaSquadra,3,FALSE),-1)=IFERROR(VLOOKUP($AN31,areaCercaPuntiClassificaSquadra,3,FALSE),-2)),SUMIFS(Dati!$E$2:$E$761,Dati!$A$2:$A$761,$H31,Dati!$H$2:$H$761,$AN31)+SUMIFS(Dati!$L$2:$L$761,Dati!$H$2:$H$761,$H31,Dati!$A$2:$A$761,$AN31),"-")</f>
        <v/>
      </c>
      <c r="DC31" s="22">
        <f>IF(AND($H31&lt;&gt;"",$AO31&lt;&gt;"",$H31&lt;&gt;$AO31,IFERROR(VLOOKUP($H31,areaCercaPuntiClassificaSquadra,3,FALSE),-1)=IFERROR(VLOOKUP($AO31,areaCercaPuntiClassificaSquadra,3,FALSE),-2)),SUMIFS(Dati!$E$2:$E$761,Dati!$A$2:$A$761,$H31,Dati!$H$2:$H$761,$AO31)+SUMIFS(Dati!$L$2:$L$761,Dati!$H$2:$H$761,$H31,Dati!$A$2:$A$761,$AO31),"-")</f>
        <v/>
      </c>
      <c r="DD31" s="22">
        <f>IF(AND($H31&lt;&gt;"",$AP31&lt;&gt;"",$H31&lt;&gt;$AP31,IFERROR(VLOOKUP($H31,areaCercaPuntiClassificaSquadra,3,FALSE),-1)=IFERROR(VLOOKUP($AP31,areaCercaPuntiClassificaSquadra,3,FALSE),-2)),SUMIFS(Dati!$E$2:$E$761,Dati!$A$2:$A$761,$H31,Dati!$H$2:$H$761,$AP31)+SUMIFS(Dati!$L$2:$L$761,Dati!$H$2:$H$761,$H31,Dati!$A$2:$A$761,$AP31),"-")</f>
        <v/>
      </c>
      <c r="DE31" s="22">
        <f>IF(AND($H31&lt;&gt;"",$AQ31&lt;&gt;"",$H31&lt;&gt;$AQ31,IFERROR(VLOOKUP($H31,areaCercaPuntiClassificaSquadra,3,FALSE),-1)=IFERROR(VLOOKUP($AQ31,areaCercaPuntiClassificaSquadra,3,FALSE),-2)),SUMIFS(Dati!$E$2:$E$761,Dati!$A$2:$A$761,$H31,Dati!$H$2:$H$761,$AQ31)+SUMIFS(Dati!$L$2:$L$761,Dati!$H$2:$H$761,$H31,Dati!$A$2:$A$761,$AQ31),"-")</f>
        <v/>
      </c>
      <c r="DF31" s="22">
        <f>IF(AND($H31&lt;&gt;"",$AR31&lt;&gt;"",$H31&lt;&gt;$AR31,IFERROR(VLOOKUP($H31,areaCercaPuntiClassificaSquadra,3,FALSE),-1)=IFERROR(VLOOKUP($AR31,areaCercaPuntiClassificaSquadra,3,FALSE),-2)),SUMIFS(Dati!$E$2:$E$761,Dati!$A$2:$A$761,$H31,Dati!$H$2:$H$761,$AR31)+SUMIFS(Dati!$L$2:$L$761,Dati!$H$2:$H$761,$H31,Dati!$A$2:$A$761,$AR31),"-")</f>
        <v/>
      </c>
      <c r="DH31" s="21">
        <f>$C31</f>
        <v/>
      </c>
      <c r="DI31" s="22">
        <f>IF(AND($H31&lt;&gt;"",$Y31&lt;&gt;"",$H31&lt;&gt;$Y31,IFERROR(VLOOKUP($H31,areaCercaPuntiClassificaSquadra,3,FALSE),-1)=IFERROR(VLOOKUP($Y31,areaCercaPuntiClassificaSquadra,3,FALSE),-2)),SUMIFS(Dati!$F$2:$F$761,Dati!$A$2:$A$761,$H31,Dati!$H$2:$H$761,$Y31)+SUMIFS(Dati!$M$2:$M$761,Dati!$H$2:$H$761,$H31,Dati!$A$2:$A$761,$Y31),"-")</f>
        <v/>
      </c>
      <c r="DJ31" s="22">
        <f>IF(AND($H31&lt;&gt;"",$Z31&lt;&gt;"",$H31&lt;&gt;$Z31,IFERROR(VLOOKUP($H31,areaCercaPuntiClassificaSquadra,3,FALSE),-1)=IFERROR(VLOOKUP($Z31,areaCercaPuntiClassificaSquadra,3,FALSE),-2)),SUMIFS(Dati!$F$2:$F$761,Dati!$A$2:$A$761,$H31,Dati!$H$2:$H$761,$Z31)+SUMIFS(Dati!$M$2:$M$761,Dati!$H$2:$H$761,$H31,Dati!$A$2:$A$761,$Z31),"-")</f>
        <v/>
      </c>
      <c r="DK31" s="22">
        <f>IF(AND($H31&lt;&gt;"",$AA31&lt;&gt;"",$H31&lt;&gt;$AA31,IFERROR(VLOOKUP($H31,areaCercaPuntiClassificaSquadra,3,FALSE),-1)=IFERROR(VLOOKUP($AA31,areaCercaPuntiClassificaSquadra,3,FALSE),-2)),SUMIFS(Dati!$F$2:$F$761,Dati!$A$2:$A$761,$H31,Dati!$H$2:$H$761,$AA31)+SUMIFS(Dati!$M$2:$M$761,Dati!$H$2:$H$761,$H31,Dati!$A$2:$A$761,$AA31),"-")</f>
        <v/>
      </c>
      <c r="DL31" s="22">
        <f>IF(AND($H31&lt;&gt;"",$AB31&lt;&gt;"",$H31&lt;&gt;$AB31,IFERROR(VLOOKUP($H31,areaCercaPuntiClassificaSquadra,3,FALSE),-1)=IFERROR(VLOOKUP($AB31,areaCercaPuntiClassificaSquadra,3,FALSE),-2)),SUMIFS(Dati!$F$2:$F$761,Dati!$A$2:$A$761,$H31,Dati!$H$2:$H$761,$AB31)+SUMIFS(Dati!$M$2:$M$761,Dati!$H$2:$H$761,$H31,Dati!$A$2:$A$761,$AB31),"-")</f>
        <v/>
      </c>
      <c r="DM31" s="22">
        <f>IF(AND($H31&lt;&gt;"",$AC31&lt;&gt;"",$H31&lt;&gt;$AC31,IFERROR(VLOOKUP($H31,areaCercaPuntiClassificaSquadra,3,FALSE),-1)=IFERROR(VLOOKUP($AC31,areaCercaPuntiClassificaSquadra,3,FALSE),-2)),SUMIFS(Dati!$F$2:$F$761,Dati!$A$2:$A$761,$H31,Dati!$H$2:$H$761,$AC31)+SUMIFS(Dati!$M$2:$M$761,Dati!$H$2:$H$761,$H31,Dati!$A$2:$A$761,$AC31),"-")</f>
        <v/>
      </c>
      <c r="DN31" s="22">
        <f>IF(AND($H31&lt;&gt;"",$AD31&lt;&gt;"",$H31&lt;&gt;$AD31,IFERROR(VLOOKUP($H31,areaCercaPuntiClassificaSquadra,3,FALSE),-1)=IFERROR(VLOOKUP($AD31,areaCercaPuntiClassificaSquadra,3,FALSE),-2)),SUMIFS(Dati!$F$2:$F$761,Dati!$A$2:$A$761,$H31,Dati!$H$2:$H$761,$AD31)+SUMIFS(Dati!$M$2:$M$761,Dati!$H$2:$H$761,$H31,Dati!$A$2:$A$761,$AD31),"-")</f>
        <v/>
      </c>
      <c r="DO31" s="22">
        <f>IF(AND($H31&lt;&gt;"",$AE31&lt;&gt;"",$H31&lt;&gt;$AE31,IFERROR(VLOOKUP($H31,areaCercaPuntiClassificaSquadra,3,FALSE),-1)=IFERROR(VLOOKUP($AE31,areaCercaPuntiClassificaSquadra,3,FALSE),-2)),SUMIFS(Dati!$F$2:$F$761,Dati!$A$2:$A$761,$H31,Dati!$H$2:$H$761,$AE31)+SUMIFS(Dati!$M$2:$M$761,Dati!$H$2:$H$761,$H31,Dati!$A$2:$A$761,$AE31),"-")</f>
        <v/>
      </c>
      <c r="DP31" s="22">
        <f>IF(AND($H31&lt;&gt;"",$AF31&lt;&gt;"",$H31&lt;&gt;$AF31,IFERROR(VLOOKUP($H31,areaCercaPuntiClassificaSquadra,3,FALSE),-1)=IFERROR(VLOOKUP($AF31,areaCercaPuntiClassificaSquadra,3,FALSE),-2)),SUMIFS(Dati!$F$2:$F$761,Dati!$A$2:$A$761,$H31,Dati!$H$2:$H$761,$AF31)+SUMIFS(Dati!$M$2:$M$761,Dati!$H$2:$H$761,$H31,Dati!$A$2:$A$761,$AF31),"-")</f>
        <v/>
      </c>
      <c r="DQ31" s="22">
        <f>IF(AND($H31&lt;&gt;"",$AG31&lt;&gt;"",$H31&lt;&gt;$AG31,IFERROR(VLOOKUP($H31,areaCercaPuntiClassificaSquadra,3,FALSE),-1)=IFERROR(VLOOKUP($AG31,areaCercaPuntiClassificaSquadra,3,FALSE),-2)),SUMIFS(Dati!$F$2:$F$761,Dati!$A$2:$A$761,$H31,Dati!$H$2:$H$761,$AG31)+SUMIFS(Dati!$M$2:$M$761,Dati!$H$2:$H$761,$H31,Dati!$A$2:$A$761,$AG31),"-")</f>
        <v/>
      </c>
      <c r="DR31" s="22">
        <f>IF(AND($H31&lt;&gt;"",$AH31&lt;&gt;"",$H31&lt;&gt;$AH31,IFERROR(VLOOKUP($H31,areaCercaPuntiClassificaSquadra,3,FALSE),-1)=IFERROR(VLOOKUP($AH31,areaCercaPuntiClassificaSquadra,3,FALSE),-2)),SUMIFS(Dati!$F$2:$F$761,Dati!$A$2:$A$761,$H31,Dati!$H$2:$H$761,$AH31)+SUMIFS(Dati!$M$2:$M$761,Dati!$H$2:$H$761,$H31,Dati!$A$2:$A$761,$AH31),"-")</f>
        <v/>
      </c>
      <c r="DS31" s="22">
        <f>IF(AND($H31&lt;&gt;"",$AI31&lt;&gt;"",$H31&lt;&gt;$AI31,IFERROR(VLOOKUP($H31,areaCercaPuntiClassificaSquadra,3,FALSE),-1)=IFERROR(VLOOKUP($AI31,areaCercaPuntiClassificaSquadra,3,FALSE),-2)),SUMIFS(Dati!$F$2:$F$761,Dati!$A$2:$A$761,$H31,Dati!$H$2:$H$761,$AI31)+SUMIFS(Dati!$M$2:$M$761,Dati!$H$2:$H$761,$H31,Dati!$A$2:$A$761,$AI31),"-")</f>
        <v/>
      </c>
      <c r="DT31" s="22">
        <f>IF(AND($H31&lt;&gt;"",$AJ31&lt;&gt;"",$H31&lt;&gt;$AJ31,IFERROR(VLOOKUP($H31,areaCercaPuntiClassificaSquadra,3,FALSE),-1)=IFERROR(VLOOKUP($AJ31,areaCercaPuntiClassificaSquadra,3,FALSE),-2)),SUMIFS(Dati!$F$2:$F$761,Dati!$A$2:$A$761,$H31,Dati!$H$2:$H$761,$AJ31)+SUMIFS(Dati!$M$2:$M$761,Dati!$H$2:$H$761,$H31,Dati!$A$2:$A$761,$AJ31),"-")</f>
        <v/>
      </c>
      <c r="DU31" s="22">
        <f>IF(AND($H31&lt;&gt;"",$AK31&lt;&gt;"",$H31&lt;&gt;$AK31,IFERROR(VLOOKUP($H31,areaCercaPuntiClassificaSquadra,3,FALSE),-1)=IFERROR(VLOOKUP($AK31,areaCercaPuntiClassificaSquadra,3,FALSE),-2)),SUMIFS(Dati!$F$2:$F$761,Dati!$A$2:$A$761,$H31,Dati!$H$2:$H$761,$AK31)+SUMIFS(Dati!$M$2:$M$761,Dati!$H$2:$H$761,$H31,Dati!$A$2:$A$761,$AK31),"-")</f>
        <v/>
      </c>
      <c r="DV31" s="22">
        <f>IF(AND($H31&lt;&gt;"",$AL31&lt;&gt;"",$H31&lt;&gt;$AL31,IFERROR(VLOOKUP($H31,areaCercaPuntiClassificaSquadra,3,FALSE),-1)=IFERROR(VLOOKUP($AL31,areaCercaPuntiClassificaSquadra,3,FALSE),-2)),SUMIFS(Dati!$F$2:$F$761,Dati!$A$2:$A$761,$H31,Dati!$H$2:$H$761,$AL31)+SUMIFS(Dati!$M$2:$M$761,Dati!$H$2:$H$761,$H31,Dati!$A$2:$A$761,$AL31),"-")</f>
        <v/>
      </c>
      <c r="DW31" s="22">
        <f>IF(AND($H31&lt;&gt;"",$AM31&lt;&gt;"",$H31&lt;&gt;$AM31,IFERROR(VLOOKUP($H31,areaCercaPuntiClassificaSquadra,3,FALSE),-1)=IFERROR(VLOOKUP($AM31,areaCercaPuntiClassificaSquadra,3,FALSE),-2)),SUMIFS(Dati!$F$2:$F$761,Dati!$A$2:$A$761,$H31,Dati!$H$2:$H$761,$AM31)+SUMIFS(Dati!$M$2:$M$761,Dati!$H$2:$H$761,$H31,Dati!$A$2:$A$761,$AM31),"-")</f>
        <v/>
      </c>
      <c r="DX31" s="22">
        <f>IF(AND($H31&lt;&gt;"",$AN31&lt;&gt;"",$H31&lt;&gt;$AN31,IFERROR(VLOOKUP($H31,areaCercaPuntiClassificaSquadra,3,FALSE),-1)=IFERROR(VLOOKUP($AN31,areaCercaPuntiClassificaSquadra,3,FALSE),-2)),SUMIFS(Dati!$F$2:$F$761,Dati!$A$2:$A$761,$H31,Dati!$H$2:$H$761,$AN31)+SUMIFS(Dati!$M$2:$M$761,Dati!$H$2:$H$761,$H31,Dati!$A$2:$A$761,$AN31),"-")</f>
        <v/>
      </c>
      <c r="DY31" s="22">
        <f>IF(AND($H31&lt;&gt;"",$AO31&lt;&gt;"",$H31&lt;&gt;$AO31,IFERROR(VLOOKUP($H31,areaCercaPuntiClassificaSquadra,3,FALSE),-1)=IFERROR(VLOOKUP($AO31,areaCercaPuntiClassificaSquadra,3,FALSE),-2)),SUMIFS(Dati!$F$2:$F$761,Dati!$A$2:$A$761,$H31,Dati!$H$2:$H$761,$AO31)+SUMIFS(Dati!$M$2:$M$761,Dati!$H$2:$H$761,$H31,Dati!$A$2:$A$761,$AO31),"-")</f>
        <v/>
      </c>
      <c r="DZ31" s="22">
        <f>IF(AND($H31&lt;&gt;"",$AP31&lt;&gt;"",$H31&lt;&gt;$AP31,IFERROR(VLOOKUP($H31,areaCercaPuntiClassificaSquadra,3,FALSE),-1)=IFERROR(VLOOKUP($AP31,areaCercaPuntiClassificaSquadra,3,FALSE),-2)),SUMIFS(Dati!$F$2:$F$761,Dati!$A$2:$A$761,$H31,Dati!$H$2:$H$761,$AP31)+SUMIFS(Dati!$M$2:$M$761,Dati!$H$2:$H$761,$H31,Dati!$A$2:$A$761,$AP31),"-")</f>
        <v/>
      </c>
      <c r="EA31" s="22">
        <f>IF(AND($H31&lt;&gt;"",$AQ31&lt;&gt;"",$H31&lt;&gt;$AQ31,IFERROR(VLOOKUP($H31,areaCercaPuntiClassificaSquadra,3,FALSE),-1)=IFERROR(VLOOKUP($AQ31,areaCercaPuntiClassificaSquadra,3,FALSE),-2)),SUMIFS(Dati!$F$2:$F$761,Dati!$A$2:$A$761,$H31,Dati!$H$2:$H$761,$AQ31)+SUMIFS(Dati!$M$2:$M$761,Dati!$H$2:$H$761,$H31,Dati!$A$2:$A$761,$AQ31),"-")</f>
        <v/>
      </c>
      <c r="EB31" s="22">
        <f>IF(AND($H31&lt;&gt;"",$AR31&lt;&gt;"",$H31&lt;&gt;$AR31,IFERROR(VLOOKUP($H31,areaCercaPuntiClassificaSquadra,3,FALSE),-1)=IFERROR(VLOOKUP($AR31,areaCercaPuntiClassificaSquadra,3,FALSE),-2)),SUMIFS(Dati!$F$2:$F$761,Dati!$A$2:$A$761,$H31,Dati!$H$2:$H$761,$AR31)+SUMIFS(Dati!$M$2:$M$761,Dati!$H$2:$H$761,$H31,Dati!$A$2:$A$761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inlineStr">
        <is>
          <t>Bisonti Belligeranti-Bisontiopoli BO</t>
        </is>
      </c>
      <c r="D32" s="14" t="n"/>
      <c r="E32" s="15" t="inlineStr">
        <is>
          <t>A</t>
        </is>
      </c>
      <c r="G32" s="16">
        <f>IF($C32="","",$E32&amp;(COUNTIFS(I$14:I$93,"&gt;"&amp;I32,E$14:E$93,"="&amp;E32,C$14:C$93,"&lt;&gt;")+COUNTIFS(I$14:I$93,"="&amp;I32,H$14:H$93,"&lt;="&amp;H32,E$14:E$93,"="&amp;E32,C$14:C$93,"&lt;&gt;")))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L32*constPuntiVittoria+M32*constPuntiSconfitta+N32*constPuntiForfait+IF(D32="",0,D32)</f>
        <v/>
      </c>
      <c r="K32" s="12">
        <f>SUM(L32:N32)</f>
        <v/>
      </c>
      <c r="L32" s="12">
        <f>IF($H32="",0,SUMIF(Dati!$A$2:$A$761,$H32,Dati!$B$2:$B$761)+SUMIF(Dati!$H$2:$H$761,$H32,Dati!$I$2:$I$761))</f>
        <v/>
      </c>
      <c r="M32" s="12">
        <f>IF($H32="",0,SUMIF(Dati!$A$2:$A$761,$H32,Dati!$D$2:$D$761)+SUMIF(Dati!$H$2:$H$761,$H32,Dati!$K$2:$K$761))</f>
        <v/>
      </c>
      <c r="N32" s="12">
        <f>IF($H32="",0,SUMIF(Dati!$A$2:$A$761,$H32,Dati!$C$2:$C$761)+SUMIF(Dati!$H$2:$H$761,$H32,Dati!$J$2:$J$761))</f>
        <v/>
      </c>
      <c r="O32" s="12">
        <f>IF($H32="",0,SUMIF(Dati!$A$2:$A$761,$H32,Dati!$E$2:$E$761)+SUMIF(Dati!$H$2:$H$761,$H32,Dati!$L$2:$L$761))</f>
        <v/>
      </c>
      <c r="P32" s="12">
        <f>IF($H32="",0,SUMIF(Dati!$A$2:$A$761,$H32,Dati!$F$2:$F$761)+SUMIF(Dati!$H$2:$H$761,$H32,Dati!$M$2:$M$761))</f>
        <v/>
      </c>
      <c r="Q32" s="12">
        <f>IF($H32="",0,SUMIF(Dati!$A$2:$A$761,$H32,Dati!$G$2:$G$761)+SUMIF(Dati!$H$2:$H$761,$H32,Dati!$N$2:$N$761))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IF(COUNTIFS($E$14:$E$93,$E32,$J$14:$J$93,$J32,$C$14:$C$93,"&lt;&gt;")&lt;=1,"-",SUM(AU32:BN32)&amp;"-"&amp;SUM(BQ32:CJ32))</f>
        <v/>
      </c>
      <c r="V32" s="18">
        <f>IF(COUNTIFS($E$14:$E$93,$E32,$J$14:$J$93,$J32,$C$14:$C$93,"&lt;&gt;",$ED$14:$ED$93,$ED32)&lt;=1,"-",IF(SUM(DI32:EB32)=0,0,ROUND(SUM(CM32:DF32)/SUM(DI32:EB32),3)))</f>
        <v/>
      </c>
      <c r="W32" s="18">
        <f>IF(COUNTIFS($E$14:$E$93,$E32,$J$14:$J$93,$J32,$C$14:$C$93,"&lt;&gt;",$ED$14:$ED$93,$ED32,$V$14:$V$93,$V32)&lt;=1,"-",IF(P32=0,0,ROUND(O32/P32,3)))</f>
        <v/>
      </c>
      <c r="X32" s="19">
        <f>IF($C32="","",$E32&amp;"#"&amp;COUNTIFS($E$14:$E32,$E32,$C$14:$C32,"&lt;&gt;"))</f>
        <v/>
      </c>
      <c r="Y32" s="20">
        <f>IFERROR(INDEX($H$14:$H$93,MATCH($E32&amp;"#1",$X$14:$X$93,0)),"")</f>
        <v/>
      </c>
      <c r="Z32" s="20">
        <f>IFERROR(INDEX($H$14:$H$93,MATCH($E32&amp;"#2",$X$14:$X$93,0)),"")</f>
        <v/>
      </c>
      <c r="AA32" s="20">
        <f>IFERROR(INDEX($H$14:$H$93,MATCH($E32&amp;"#3",$X$14:$X$93,0)),"")</f>
        <v/>
      </c>
      <c r="AB32" s="20">
        <f>IFERROR(INDEX($H$14:$H$93,MATCH($E32&amp;"#4",$X$14:$X$93,0)),"")</f>
        <v/>
      </c>
      <c r="AC32" s="20">
        <f>IFERROR(INDEX($H$14:$H$93,MATCH($E32&amp;"#5",$X$14:$X$93,0)),"")</f>
        <v/>
      </c>
      <c r="AD32" s="20">
        <f>IFERROR(INDEX($H$14:$H$93,MATCH($E32&amp;"#6",$X$14:$X$93,0)),"")</f>
        <v/>
      </c>
      <c r="AE32" s="20">
        <f>IFERROR(INDEX($H$14:$H$93,MATCH($E32&amp;"#7",$X$14:$X$93,0)),"")</f>
        <v/>
      </c>
      <c r="AF32" s="20">
        <f>IFERROR(INDEX($H$14:$H$93,MATCH($E32&amp;"#8",$X$14:$X$93,0)),"")</f>
        <v/>
      </c>
      <c r="AG32" s="20">
        <f>IFERROR(INDEX($H$14:$H$93,MATCH($E32&amp;"#9",$X$14:$X$93,0)),"")</f>
        <v/>
      </c>
      <c r="AH32" s="20">
        <f>IFERROR(INDEX($H$14:$H$93,MATCH($E32&amp;"#10",$X$14:$X$93,0)),"")</f>
        <v/>
      </c>
      <c r="AI32" s="20">
        <f>IFERROR(INDEX($H$14:$H$93,MATCH($E32&amp;"#11",$X$14:$X$93,0)),"")</f>
        <v/>
      </c>
      <c r="AJ32" s="20">
        <f>IFERROR(INDEX($H$14:$H$93,MATCH($E32&amp;"#12",$X$14:$X$93,0)),"")</f>
        <v/>
      </c>
      <c r="AK32" s="20">
        <f>IFERROR(INDEX($H$14:$H$93,MATCH($E32&amp;"#13",$X$14:$X$93,0)),"")</f>
        <v/>
      </c>
      <c r="AL32" s="20">
        <f>IFERROR(INDEX($H$14:$H$93,MATCH($E32&amp;"#14",$X$14:$X$93,0)),"")</f>
        <v/>
      </c>
      <c r="AM32" s="20">
        <f>IFERROR(INDEX($H$14:$H$93,MATCH($E32&amp;"#15",$X$14:$X$93,0)),"")</f>
        <v/>
      </c>
      <c r="AN32" s="20">
        <f>IFERROR(INDEX($H$14:$H$93,MATCH($E32&amp;"#16",$X$14:$X$93,0)),"")</f>
        <v/>
      </c>
      <c r="AO32" s="20">
        <f>IFERROR(INDEX($H$14:$H$93,MATCH($E32&amp;"#17",$X$14:$X$93,0)),"")</f>
        <v/>
      </c>
      <c r="AP32" s="20">
        <f>IFERROR(INDEX($H$14:$H$93,MATCH($E32&amp;"#18",$X$14:$X$93,0)),"")</f>
        <v/>
      </c>
      <c r="AQ32" s="20">
        <f>IFERROR(INDEX($H$14:$H$93,MATCH($E32&amp;"#19",$X$14:$X$93,0)),"")</f>
        <v/>
      </c>
      <c r="AR32" s="20">
        <f>IFERROR(INDEX($H$14:$H$93,MATCH($E32&amp;"#20",$X$14:$X$93,0)),"")</f>
        <v/>
      </c>
      <c r="AT32" s="21">
        <f>$C32</f>
        <v/>
      </c>
      <c r="AU32" s="22">
        <f>IF(AND($H32&lt;&gt;"",$Y32&lt;&gt;"",$H32&lt;&gt;$Y32,IFERROR(VLOOKUP($H32,areaCercaPuntiClassificaSquadra,3,FALSE),-1)=IFERROR(VLOOKUP($Y32,areaCercaPuntiClassificaSquadra,3,FALSE),-2)),SUMIFS(Dati!$B$2:$B$761,Dati!$A$2:$A$761,$H32,Dati!$H$2:$H$761,$Y32)+SUMIFS(Dati!$I$2:$I$761,Dati!$H$2:$H$761,$H32,Dati!$A$2:$A$761,$Y32),"-")</f>
        <v/>
      </c>
      <c r="AV32" s="22">
        <f>IF(AND($H32&lt;&gt;"",$Z32&lt;&gt;"",$H32&lt;&gt;$Z32,IFERROR(VLOOKUP($H32,areaCercaPuntiClassificaSquadra,3,FALSE),-1)=IFERROR(VLOOKUP($Z32,areaCercaPuntiClassificaSquadra,3,FALSE),-2)),SUMIFS(Dati!$B$2:$B$761,Dati!$A$2:$A$761,$H32,Dati!$H$2:$H$761,$Z32)+SUMIFS(Dati!$I$2:$I$761,Dati!$H$2:$H$761,$H32,Dati!$A$2:$A$761,$Z32),"-")</f>
        <v/>
      </c>
      <c r="AW32" s="22">
        <f>IF(AND($H32&lt;&gt;"",$AA32&lt;&gt;"",$H32&lt;&gt;$AA32,IFERROR(VLOOKUP($H32,areaCercaPuntiClassificaSquadra,3,FALSE),-1)=IFERROR(VLOOKUP($AA32,areaCercaPuntiClassificaSquadra,3,FALSE),-2)),SUMIFS(Dati!$B$2:$B$761,Dati!$A$2:$A$761,$H32,Dati!$H$2:$H$761,$AA32)+SUMIFS(Dati!$I$2:$I$761,Dati!$H$2:$H$761,$H32,Dati!$A$2:$A$761,$AA32),"-")</f>
        <v/>
      </c>
      <c r="AX32" s="22">
        <f>IF(AND($H32&lt;&gt;"",$AB32&lt;&gt;"",$H32&lt;&gt;$AB32,IFERROR(VLOOKUP($H32,areaCercaPuntiClassificaSquadra,3,FALSE),-1)=IFERROR(VLOOKUP($AB32,areaCercaPuntiClassificaSquadra,3,FALSE),-2)),SUMIFS(Dati!$B$2:$B$761,Dati!$A$2:$A$761,$H32,Dati!$H$2:$H$761,$AB32)+SUMIFS(Dati!$I$2:$I$761,Dati!$H$2:$H$761,$H32,Dati!$A$2:$A$761,$AB32),"-")</f>
        <v/>
      </c>
      <c r="AY32" s="22">
        <f>IF(AND($H32&lt;&gt;"",$AC32&lt;&gt;"",$H32&lt;&gt;$AC32,IFERROR(VLOOKUP($H32,areaCercaPuntiClassificaSquadra,3,FALSE),-1)=IFERROR(VLOOKUP($AC32,areaCercaPuntiClassificaSquadra,3,FALSE),-2)),SUMIFS(Dati!$B$2:$B$761,Dati!$A$2:$A$761,$H32,Dati!$H$2:$H$761,$AC32)+SUMIFS(Dati!$I$2:$I$761,Dati!$H$2:$H$761,$H32,Dati!$A$2:$A$761,$AC32),"-")</f>
        <v/>
      </c>
      <c r="AZ32" s="22">
        <f>IF(AND($H32&lt;&gt;"",$AD32&lt;&gt;"",$H32&lt;&gt;$AD32,IFERROR(VLOOKUP($H32,areaCercaPuntiClassificaSquadra,3,FALSE),-1)=IFERROR(VLOOKUP($AD32,areaCercaPuntiClassificaSquadra,3,FALSE),-2)),SUMIFS(Dati!$B$2:$B$761,Dati!$A$2:$A$761,$H32,Dati!$H$2:$H$761,$AD32)+SUMIFS(Dati!$I$2:$I$761,Dati!$H$2:$H$761,$H32,Dati!$A$2:$A$761,$AD32),"-")</f>
        <v/>
      </c>
      <c r="BA32" s="22">
        <f>IF(AND($H32&lt;&gt;"",$AE32&lt;&gt;"",$H32&lt;&gt;$AE32,IFERROR(VLOOKUP($H32,areaCercaPuntiClassificaSquadra,3,FALSE),-1)=IFERROR(VLOOKUP($AE32,areaCercaPuntiClassificaSquadra,3,FALSE),-2)),SUMIFS(Dati!$B$2:$B$761,Dati!$A$2:$A$761,$H32,Dati!$H$2:$H$761,$AE32)+SUMIFS(Dati!$I$2:$I$761,Dati!$H$2:$H$761,$H32,Dati!$A$2:$A$761,$AE32),"-")</f>
        <v/>
      </c>
      <c r="BB32" s="22">
        <f>IF(AND($H32&lt;&gt;"",$AF32&lt;&gt;"",$H32&lt;&gt;$AF32,IFERROR(VLOOKUP($H32,areaCercaPuntiClassificaSquadra,3,FALSE),-1)=IFERROR(VLOOKUP($AF32,areaCercaPuntiClassificaSquadra,3,FALSE),-2)),SUMIFS(Dati!$B$2:$B$761,Dati!$A$2:$A$761,$H32,Dati!$H$2:$H$761,$AF32)+SUMIFS(Dati!$I$2:$I$761,Dati!$H$2:$H$761,$H32,Dati!$A$2:$A$761,$AF32),"-")</f>
        <v/>
      </c>
      <c r="BC32" s="22">
        <f>IF(AND($H32&lt;&gt;"",$AG32&lt;&gt;"",$H32&lt;&gt;$AG32,IFERROR(VLOOKUP($H32,areaCercaPuntiClassificaSquadra,3,FALSE),-1)=IFERROR(VLOOKUP($AG32,areaCercaPuntiClassificaSquadra,3,FALSE),-2)),SUMIFS(Dati!$B$2:$B$761,Dati!$A$2:$A$761,$H32,Dati!$H$2:$H$761,$AG32)+SUMIFS(Dati!$I$2:$I$761,Dati!$H$2:$H$761,$H32,Dati!$A$2:$A$761,$AG32),"-")</f>
        <v/>
      </c>
      <c r="BD32" s="22">
        <f>IF(AND($H32&lt;&gt;"",$AH32&lt;&gt;"",$H32&lt;&gt;$AH32,IFERROR(VLOOKUP($H32,areaCercaPuntiClassificaSquadra,3,FALSE),-1)=IFERROR(VLOOKUP($AH32,areaCercaPuntiClassificaSquadra,3,FALSE),-2)),SUMIFS(Dati!$B$2:$B$761,Dati!$A$2:$A$761,$H32,Dati!$H$2:$H$761,$AH32)+SUMIFS(Dati!$I$2:$I$761,Dati!$H$2:$H$761,$H32,Dati!$A$2:$A$761,$AH32),"-")</f>
        <v/>
      </c>
      <c r="BE32" s="22">
        <f>IF(AND($H32&lt;&gt;"",$AI32&lt;&gt;"",$H32&lt;&gt;$AI32,IFERROR(VLOOKUP($H32,areaCercaPuntiClassificaSquadra,3,FALSE),-1)=IFERROR(VLOOKUP($AI32,areaCercaPuntiClassificaSquadra,3,FALSE),-2)),SUMIFS(Dati!$B$2:$B$761,Dati!$A$2:$A$761,$H32,Dati!$H$2:$H$761,$AI32)+SUMIFS(Dati!$I$2:$I$761,Dati!$H$2:$H$761,$H32,Dati!$A$2:$A$761,$AI32),"-")</f>
        <v/>
      </c>
      <c r="BF32" s="22">
        <f>IF(AND($H32&lt;&gt;"",$AJ32&lt;&gt;"",$H32&lt;&gt;$AJ32,IFERROR(VLOOKUP($H32,areaCercaPuntiClassificaSquadra,3,FALSE),-1)=IFERROR(VLOOKUP($AJ32,areaCercaPuntiClassificaSquadra,3,FALSE),-2)),SUMIFS(Dati!$B$2:$B$761,Dati!$A$2:$A$761,$H32,Dati!$H$2:$H$761,$AJ32)+SUMIFS(Dati!$I$2:$I$761,Dati!$H$2:$H$761,$H32,Dati!$A$2:$A$761,$AJ32),"-")</f>
        <v/>
      </c>
      <c r="BG32" s="22">
        <f>IF(AND($H32&lt;&gt;"",$AK32&lt;&gt;"",$H32&lt;&gt;$AK32,IFERROR(VLOOKUP($H32,areaCercaPuntiClassificaSquadra,3,FALSE),-1)=IFERROR(VLOOKUP($AK32,areaCercaPuntiClassificaSquadra,3,FALSE),-2)),SUMIFS(Dati!$B$2:$B$761,Dati!$A$2:$A$761,$H32,Dati!$H$2:$H$761,$AK32)+SUMIFS(Dati!$I$2:$I$761,Dati!$H$2:$H$761,$H32,Dati!$A$2:$A$761,$AK32),"-")</f>
        <v/>
      </c>
      <c r="BH32" s="22">
        <f>IF(AND($H32&lt;&gt;"",$AL32&lt;&gt;"",$H32&lt;&gt;$AL32,IFERROR(VLOOKUP($H32,areaCercaPuntiClassificaSquadra,3,FALSE),-1)=IFERROR(VLOOKUP($AL32,areaCercaPuntiClassificaSquadra,3,FALSE),-2)),SUMIFS(Dati!$B$2:$B$761,Dati!$A$2:$A$761,$H32,Dati!$H$2:$H$761,$AL32)+SUMIFS(Dati!$I$2:$I$761,Dati!$H$2:$H$761,$H32,Dati!$A$2:$A$761,$AL32),"-")</f>
        <v/>
      </c>
      <c r="BI32" s="22">
        <f>IF(AND($H32&lt;&gt;"",$AM32&lt;&gt;"",$H32&lt;&gt;$AM32,IFERROR(VLOOKUP($H32,areaCercaPuntiClassificaSquadra,3,FALSE),-1)=IFERROR(VLOOKUP($AM32,areaCercaPuntiClassificaSquadra,3,FALSE),-2)),SUMIFS(Dati!$B$2:$B$761,Dati!$A$2:$A$761,$H32,Dati!$H$2:$H$761,$AM32)+SUMIFS(Dati!$I$2:$I$761,Dati!$H$2:$H$761,$H32,Dati!$A$2:$A$761,$AM32),"-")</f>
        <v/>
      </c>
      <c r="BJ32" s="22">
        <f>IF(AND($H32&lt;&gt;"",$AN32&lt;&gt;"",$H32&lt;&gt;$AN32,IFERROR(VLOOKUP($H32,areaCercaPuntiClassificaSquadra,3,FALSE),-1)=IFERROR(VLOOKUP($AN32,areaCercaPuntiClassificaSquadra,3,FALSE),-2)),SUMIFS(Dati!$B$2:$B$761,Dati!$A$2:$A$761,$H32,Dati!$H$2:$H$761,$AN32)+SUMIFS(Dati!$I$2:$I$761,Dati!$H$2:$H$761,$H32,Dati!$A$2:$A$761,$AN32),"-")</f>
        <v/>
      </c>
      <c r="BK32" s="22">
        <f>IF(AND($H32&lt;&gt;"",$AO32&lt;&gt;"",$H32&lt;&gt;$AO32,IFERROR(VLOOKUP($H32,areaCercaPuntiClassificaSquadra,3,FALSE),-1)=IFERROR(VLOOKUP($AO32,areaCercaPuntiClassificaSquadra,3,FALSE),-2)),SUMIFS(Dati!$B$2:$B$761,Dati!$A$2:$A$761,$H32,Dati!$H$2:$H$761,$AO32)+SUMIFS(Dati!$I$2:$I$761,Dati!$H$2:$H$761,$H32,Dati!$A$2:$A$761,$AO32),"-")</f>
        <v/>
      </c>
      <c r="BL32" s="22">
        <f>IF(AND($H32&lt;&gt;"",$AP32&lt;&gt;"",$H32&lt;&gt;$AP32,IFERROR(VLOOKUP($H32,areaCercaPuntiClassificaSquadra,3,FALSE),-1)=IFERROR(VLOOKUP($AP32,areaCercaPuntiClassificaSquadra,3,FALSE),-2)),SUMIFS(Dati!$B$2:$B$761,Dati!$A$2:$A$761,$H32,Dati!$H$2:$H$761,$AP32)+SUMIFS(Dati!$I$2:$I$761,Dati!$H$2:$H$761,$H32,Dati!$A$2:$A$761,$AP32),"-")</f>
        <v/>
      </c>
      <c r="BM32" s="22">
        <f>IF(AND($H32&lt;&gt;"",$AQ32&lt;&gt;"",$H32&lt;&gt;$AQ32,IFERROR(VLOOKUP($H32,areaCercaPuntiClassificaSquadra,3,FALSE),-1)=IFERROR(VLOOKUP($AQ32,areaCercaPuntiClassificaSquadra,3,FALSE),-2)),SUMIFS(Dati!$B$2:$B$761,Dati!$A$2:$A$761,$H32,Dati!$H$2:$H$761,$AQ32)+SUMIFS(Dati!$I$2:$I$761,Dati!$H$2:$H$761,$H32,Dati!$A$2:$A$761,$AQ32),"-")</f>
        <v/>
      </c>
      <c r="BN32" s="22">
        <f>IF(AND($H32&lt;&gt;"",$AR32&lt;&gt;"",$H32&lt;&gt;$AR32,IFERROR(VLOOKUP($H32,areaCercaPuntiClassificaSquadra,3,FALSE),-1)=IFERROR(VLOOKUP($AR32,areaCercaPuntiClassificaSquadra,3,FALSE),-2)),SUMIFS(Dati!$B$2:$B$761,Dati!$A$2:$A$761,$H32,Dati!$H$2:$H$761,$AR32)+SUMIFS(Dati!$I$2:$I$761,Dati!$H$2:$H$761,$H32,Dati!$A$2:$A$761,$AR32),"-")</f>
        <v/>
      </c>
      <c r="BP32" s="21">
        <f>$C32</f>
        <v/>
      </c>
      <c r="BQ32" s="22">
        <f>IF(AND($H32&lt;&gt;"",$Y32&lt;&gt;"",$H32&lt;&gt;$Y32,IFERROR(VLOOKUP($H32,areaCercaPuntiClassificaSquadra,3,FALSE),-1)=IFERROR(VLOOKUP($Y32,areaCercaPuntiClassificaSquadra,3,FALSE),-2)),SUMIFS(Dati!$D$2:$D$761,Dati!$A$2:$A$761,$H32,Dati!$H$2:$H$761,$Y32)+SUMIFS(Dati!$K$2:$K$761,Dati!$H$2:$H$761,$H32,Dati!$A$2:$A$761,$Y32)+SUMIFS(Dati!$C$2:$C$761,Dati!$A$2:$A$761,$H32,Dati!$H$2:$H$761,$Y32)+SUMIFS(Dati!$J$2:$J$761,Dati!$H$2:$H$761,$H32,Dati!$A$2:$A$761,$Y32),"-")</f>
        <v/>
      </c>
      <c r="BR32" s="22">
        <f>IF(AND($H32&lt;&gt;"",$Z32&lt;&gt;"",$H32&lt;&gt;$Z32,IFERROR(VLOOKUP($H32,areaCercaPuntiClassificaSquadra,3,FALSE),-1)=IFERROR(VLOOKUP($Z32,areaCercaPuntiClassificaSquadra,3,FALSE),-2)),SUMIFS(Dati!$D$2:$D$761,Dati!$A$2:$A$761,$H32,Dati!$H$2:$H$761,$Z32)+SUMIFS(Dati!$K$2:$K$761,Dati!$H$2:$H$761,$H32,Dati!$A$2:$A$761,$Z32)+SUMIFS(Dati!$C$2:$C$761,Dati!$A$2:$A$761,$H32,Dati!$H$2:$H$761,$Z32)+SUMIFS(Dati!$J$2:$J$761,Dati!$H$2:$H$761,$H32,Dati!$A$2:$A$761,$Z32),"-")</f>
        <v/>
      </c>
      <c r="BS32" s="22">
        <f>IF(AND($H32&lt;&gt;"",$AA32&lt;&gt;"",$H32&lt;&gt;$AA32,IFERROR(VLOOKUP($H32,areaCercaPuntiClassificaSquadra,3,FALSE),-1)=IFERROR(VLOOKUP($AA32,areaCercaPuntiClassificaSquadra,3,FALSE),-2)),SUMIFS(Dati!$D$2:$D$761,Dati!$A$2:$A$761,$H32,Dati!$H$2:$H$761,$AA32)+SUMIFS(Dati!$K$2:$K$761,Dati!$H$2:$H$761,$H32,Dati!$A$2:$A$761,$AA32)+SUMIFS(Dati!$C$2:$C$761,Dati!$A$2:$A$761,$H32,Dati!$H$2:$H$761,$AA32)+SUMIFS(Dati!$J$2:$J$761,Dati!$H$2:$H$761,$H32,Dati!$A$2:$A$761,$AA32),"-")</f>
        <v/>
      </c>
      <c r="BT32" s="22">
        <f>IF(AND($H32&lt;&gt;"",$AB32&lt;&gt;"",$H32&lt;&gt;$AB32,IFERROR(VLOOKUP($H32,areaCercaPuntiClassificaSquadra,3,FALSE),-1)=IFERROR(VLOOKUP($AB32,areaCercaPuntiClassificaSquadra,3,FALSE),-2)),SUMIFS(Dati!$D$2:$D$761,Dati!$A$2:$A$761,$H32,Dati!$H$2:$H$761,$AB32)+SUMIFS(Dati!$K$2:$K$761,Dati!$H$2:$H$761,$H32,Dati!$A$2:$A$761,$AB32)+SUMIFS(Dati!$C$2:$C$761,Dati!$A$2:$A$761,$H32,Dati!$H$2:$H$761,$AB32)+SUMIFS(Dati!$J$2:$J$761,Dati!$H$2:$H$761,$H32,Dati!$A$2:$A$761,$AB32),"-")</f>
        <v/>
      </c>
      <c r="BU32" s="22">
        <f>IF(AND($H32&lt;&gt;"",$AC32&lt;&gt;"",$H32&lt;&gt;$AC32,IFERROR(VLOOKUP($H32,areaCercaPuntiClassificaSquadra,3,FALSE),-1)=IFERROR(VLOOKUP($AC32,areaCercaPuntiClassificaSquadra,3,FALSE),-2)),SUMIFS(Dati!$D$2:$D$761,Dati!$A$2:$A$761,$H32,Dati!$H$2:$H$761,$AC32)+SUMIFS(Dati!$K$2:$K$761,Dati!$H$2:$H$761,$H32,Dati!$A$2:$A$761,$AC32)+SUMIFS(Dati!$C$2:$C$761,Dati!$A$2:$A$761,$H32,Dati!$H$2:$H$761,$AC32)+SUMIFS(Dati!$J$2:$J$761,Dati!$H$2:$H$761,$H32,Dati!$A$2:$A$761,$AC32),"-")</f>
        <v/>
      </c>
      <c r="BV32" s="22">
        <f>IF(AND($H32&lt;&gt;"",$AD32&lt;&gt;"",$H32&lt;&gt;$AD32,IFERROR(VLOOKUP($H32,areaCercaPuntiClassificaSquadra,3,FALSE),-1)=IFERROR(VLOOKUP($AD32,areaCercaPuntiClassificaSquadra,3,FALSE),-2)),SUMIFS(Dati!$D$2:$D$761,Dati!$A$2:$A$761,$H32,Dati!$H$2:$H$761,$AD32)+SUMIFS(Dati!$K$2:$K$761,Dati!$H$2:$H$761,$H32,Dati!$A$2:$A$761,$AD32)+SUMIFS(Dati!$C$2:$C$761,Dati!$A$2:$A$761,$H32,Dati!$H$2:$H$761,$AD32)+SUMIFS(Dati!$J$2:$J$761,Dati!$H$2:$H$761,$H32,Dati!$A$2:$A$761,$AD32),"-")</f>
        <v/>
      </c>
      <c r="BW32" s="22">
        <f>IF(AND($H32&lt;&gt;"",$AE32&lt;&gt;"",$H32&lt;&gt;$AE32,IFERROR(VLOOKUP($H32,areaCercaPuntiClassificaSquadra,3,FALSE),-1)=IFERROR(VLOOKUP($AE32,areaCercaPuntiClassificaSquadra,3,FALSE),-2)),SUMIFS(Dati!$D$2:$D$761,Dati!$A$2:$A$761,$H32,Dati!$H$2:$H$761,$AE32)+SUMIFS(Dati!$K$2:$K$761,Dati!$H$2:$H$761,$H32,Dati!$A$2:$A$761,$AE32)+SUMIFS(Dati!$C$2:$C$761,Dati!$A$2:$A$761,$H32,Dati!$H$2:$H$761,$AE32)+SUMIFS(Dati!$J$2:$J$761,Dati!$H$2:$H$761,$H32,Dati!$A$2:$A$761,$AE32),"-")</f>
        <v/>
      </c>
      <c r="BX32" s="22">
        <f>IF(AND($H32&lt;&gt;"",$AF32&lt;&gt;"",$H32&lt;&gt;$AF32,IFERROR(VLOOKUP($H32,areaCercaPuntiClassificaSquadra,3,FALSE),-1)=IFERROR(VLOOKUP($AF32,areaCercaPuntiClassificaSquadra,3,FALSE),-2)),SUMIFS(Dati!$D$2:$D$761,Dati!$A$2:$A$761,$H32,Dati!$H$2:$H$761,$AF32)+SUMIFS(Dati!$K$2:$K$761,Dati!$H$2:$H$761,$H32,Dati!$A$2:$A$761,$AF32)+SUMIFS(Dati!$C$2:$C$761,Dati!$A$2:$A$761,$H32,Dati!$H$2:$H$761,$AF32)+SUMIFS(Dati!$J$2:$J$761,Dati!$H$2:$H$761,$H32,Dati!$A$2:$A$761,$AF32),"-")</f>
        <v/>
      </c>
      <c r="BY32" s="22">
        <f>IF(AND($H32&lt;&gt;"",$AG32&lt;&gt;"",$H32&lt;&gt;$AG32,IFERROR(VLOOKUP($H32,areaCercaPuntiClassificaSquadra,3,FALSE),-1)=IFERROR(VLOOKUP($AG32,areaCercaPuntiClassificaSquadra,3,FALSE),-2)),SUMIFS(Dati!$D$2:$D$761,Dati!$A$2:$A$761,$H32,Dati!$H$2:$H$761,$AG32)+SUMIFS(Dati!$K$2:$K$761,Dati!$H$2:$H$761,$H32,Dati!$A$2:$A$761,$AG32)+SUMIFS(Dati!$C$2:$C$761,Dati!$A$2:$A$761,$H32,Dati!$H$2:$H$761,$AG32)+SUMIFS(Dati!$J$2:$J$761,Dati!$H$2:$H$761,$H32,Dati!$A$2:$A$761,$AG32),"-")</f>
        <v/>
      </c>
      <c r="BZ32" s="22">
        <f>IF(AND($H32&lt;&gt;"",$AH32&lt;&gt;"",$H32&lt;&gt;$AH32,IFERROR(VLOOKUP($H32,areaCercaPuntiClassificaSquadra,3,FALSE),-1)=IFERROR(VLOOKUP($AH32,areaCercaPuntiClassificaSquadra,3,FALSE),-2)),SUMIFS(Dati!$D$2:$D$761,Dati!$A$2:$A$761,$H32,Dati!$H$2:$H$761,$AH32)+SUMIFS(Dati!$K$2:$K$761,Dati!$H$2:$H$761,$H32,Dati!$A$2:$A$761,$AH32)+SUMIFS(Dati!$C$2:$C$761,Dati!$A$2:$A$761,$H32,Dati!$H$2:$H$761,$AH32)+SUMIFS(Dati!$J$2:$J$761,Dati!$H$2:$H$761,$H32,Dati!$A$2:$A$761,$AH32),"-")</f>
        <v/>
      </c>
      <c r="CA32" s="22">
        <f>IF(AND($H32&lt;&gt;"",$AI32&lt;&gt;"",$H32&lt;&gt;$AI32,IFERROR(VLOOKUP($H32,areaCercaPuntiClassificaSquadra,3,FALSE),-1)=IFERROR(VLOOKUP($AI32,areaCercaPuntiClassificaSquadra,3,FALSE),-2)),SUMIFS(Dati!$D$2:$D$761,Dati!$A$2:$A$761,$H32,Dati!$H$2:$H$761,$AI32)+SUMIFS(Dati!$K$2:$K$761,Dati!$H$2:$H$761,$H32,Dati!$A$2:$A$761,$AI32)+SUMIFS(Dati!$C$2:$C$761,Dati!$A$2:$A$761,$H32,Dati!$H$2:$H$761,$AI32)+SUMIFS(Dati!$J$2:$J$761,Dati!$H$2:$H$761,$H32,Dati!$A$2:$A$761,$AI32),"-")</f>
        <v/>
      </c>
      <c r="CB32" s="22">
        <f>IF(AND($H32&lt;&gt;"",$AJ32&lt;&gt;"",$H32&lt;&gt;$AJ32,IFERROR(VLOOKUP($H32,areaCercaPuntiClassificaSquadra,3,FALSE),-1)=IFERROR(VLOOKUP($AJ32,areaCercaPuntiClassificaSquadra,3,FALSE),-2)),SUMIFS(Dati!$D$2:$D$761,Dati!$A$2:$A$761,$H32,Dati!$H$2:$H$761,$AJ32)+SUMIFS(Dati!$K$2:$K$761,Dati!$H$2:$H$761,$H32,Dati!$A$2:$A$761,$AJ32)+SUMIFS(Dati!$C$2:$C$761,Dati!$A$2:$A$761,$H32,Dati!$H$2:$H$761,$AJ32)+SUMIFS(Dati!$J$2:$J$761,Dati!$H$2:$H$761,$H32,Dati!$A$2:$A$761,$AJ32),"-")</f>
        <v/>
      </c>
      <c r="CC32" s="22">
        <f>IF(AND($H32&lt;&gt;"",$AK32&lt;&gt;"",$H32&lt;&gt;$AK32,IFERROR(VLOOKUP($H32,areaCercaPuntiClassificaSquadra,3,FALSE),-1)=IFERROR(VLOOKUP($AK32,areaCercaPuntiClassificaSquadra,3,FALSE),-2)),SUMIFS(Dati!$D$2:$D$761,Dati!$A$2:$A$761,$H32,Dati!$H$2:$H$761,$AK32)+SUMIFS(Dati!$K$2:$K$761,Dati!$H$2:$H$761,$H32,Dati!$A$2:$A$761,$AK32)+SUMIFS(Dati!$C$2:$C$761,Dati!$A$2:$A$761,$H32,Dati!$H$2:$H$761,$AK32)+SUMIFS(Dati!$J$2:$J$761,Dati!$H$2:$H$761,$H32,Dati!$A$2:$A$761,$AK32),"-")</f>
        <v/>
      </c>
      <c r="CD32" s="22">
        <f>IF(AND($H32&lt;&gt;"",$AL32&lt;&gt;"",$H32&lt;&gt;$AL32,IFERROR(VLOOKUP($H32,areaCercaPuntiClassificaSquadra,3,FALSE),-1)=IFERROR(VLOOKUP($AL32,areaCercaPuntiClassificaSquadra,3,FALSE),-2)),SUMIFS(Dati!$D$2:$D$761,Dati!$A$2:$A$761,$H32,Dati!$H$2:$H$761,$AL32)+SUMIFS(Dati!$K$2:$K$761,Dati!$H$2:$H$761,$H32,Dati!$A$2:$A$761,$AL32)+SUMIFS(Dati!$C$2:$C$761,Dati!$A$2:$A$761,$H32,Dati!$H$2:$H$761,$AL32)+SUMIFS(Dati!$J$2:$J$761,Dati!$H$2:$H$761,$H32,Dati!$A$2:$A$761,$AL32),"-")</f>
        <v/>
      </c>
      <c r="CE32" s="22">
        <f>IF(AND($H32&lt;&gt;"",$AM32&lt;&gt;"",$H32&lt;&gt;$AM32,IFERROR(VLOOKUP($H32,areaCercaPuntiClassificaSquadra,3,FALSE),-1)=IFERROR(VLOOKUP($AM32,areaCercaPuntiClassificaSquadra,3,FALSE),-2)),SUMIFS(Dati!$D$2:$D$761,Dati!$A$2:$A$761,$H32,Dati!$H$2:$H$761,$AM32)+SUMIFS(Dati!$K$2:$K$761,Dati!$H$2:$H$761,$H32,Dati!$A$2:$A$761,$AM32)+SUMIFS(Dati!$C$2:$C$761,Dati!$A$2:$A$761,$H32,Dati!$H$2:$H$761,$AM32)+SUMIFS(Dati!$J$2:$J$761,Dati!$H$2:$H$761,$H32,Dati!$A$2:$A$761,$AM32),"-")</f>
        <v/>
      </c>
      <c r="CF32" s="22">
        <f>IF(AND($H32&lt;&gt;"",$AN32&lt;&gt;"",$H32&lt;&gt;$AN32,IFERROR(VLOOKUP($H32,areaCercaPuntiClassificaSquadra,3,FALSE),-1)=IFERROR(VLOOKUP($AN32,areaCercaPuntiClassificaSquadra,3,FALSE),-2)),SUMIFS(Dati!$D$2:$D$761,Dati!$A$2:$A$761,$H32,Dati!$H$2:$H$761,$AN32)+SUMIFS(Dati!$K$2:$K$761,Dati!$H$2:$H$761,$H32,Dati!$A$2:$A$761,$AN32)+SUMIFS(Dati!$C$2:$C$761,Dati!$A$2:$A$761,$H32,Dati!$H$2:$H$761,$AN32)+SUMIFS(Dati!$J$2:$J$761,Dati!$H$2:$H$761,$H32,Dati!$A$2:$A$761,$AN32),"-")</f>
        <v/>
      </c>
      <c r="CG32" s="22">
        <f>IF(AND($H32&lt;&gt;"",$AO32&lt;&gt;"",$H32&lt;&gt;$AO32,IFERROR(VLOOKUP($H32,areaCercaPuntiClassificaSquadra,3,FALSE),-1)=IFERROR(VLOOKUP($AO32,areaCercaPuntiClassificaSquadra,3,FALSE),-2)),SUMIFS(Dati!$D$2:$D$761,Dati!$A$2:$A$761,$H32,Dati!$H$2:$H$761,$AO32)+SUMIFS(Dati!$K$2:$K$761,Dati!$H$2:$H$761,$H32,Dati!$A$2:$A$761,$AO32)+SUMIFS(Dati!$C$2:$C$761,Dati!$A$2:$A$761,$H32,Dati!$H$2:$H$761,$AO32)+SUMIFS(Dati!$J$2:$J$761,Dati!$H$2:$H$761,$H32,Dati!$A$2:$A$761,$AO32),"-")</f>
        <v/>
      </c>
      <c r="CH32" s="22">
        <f>IF(AND($H32&lt;&gt;"",$AP32&lt;&gt;"",$H32&lt;&gt;$AP32,IFERROR(VLOOKUP($H32,areaCercaPuntiClassificaSquadra,3,FALSE),-1)=IFERROR(VLOOKUP($AP32,areaCercaPuntiClassificaSquadra,3,FALSE),-2)),SUMIFS(Dati!$D$2:$D$761,Dati!$A$2:$A$761,$H32,Dati!$H$2:$H$761,$AP32)+SUMIFS(Dati!$K$2:$K$761,Dati!$H$2:$H$761,$H32,Dati!$A$2:$A$761,$AP32)+SUMIFS(Dati!$C$2:$C$761,Dati!$A$2:$A$761,$H32,Dati!$H$2:$H$761,$AP32)+SUMIFS(Dati!$J$2:$J$761,Dati!$H$2:$H$761,$H32,Dati!$A$2:$A$761,$AP32),"-")</f>
        <v/>
      </c>
      <c r="CI32" s="22">
        <f>IF(AND($H32&lt;&gt;"",$AQ32&lt;&gt;"",$H32&lt;&gt;$AQ32,IFERROR(VLOOKUP($H32,areaCercaPuntiClassificaSquadra,3,FALSE),-1)=IFERROR(VLOOKUP($AQ32,areaCercaPuntiClassificaSquadra,3,FALSE),-2)),SUMIFS(Dati!$D$2:$D$761,Dati!$A$2:$A$761,$H32,Dati!$H$2:$H$761,$AQ32)+SUMIFS(Dati!$K$2:$K$761,Dati!$H$2:$H$761,$H32,Dati!$A$2:$A$761,$AQ32)+SUMIFS(Dati!$C$2:$C$761,Dati!$A$2:$A$761,$H32,Dati!$H$2:$H$761,$AQ32)+SUMIFS(Dati!$J$2:$J$761,Dati!$H$2:$H$761,$H32,Dati!$A$2:$A$761,$AQ32),"-")</f>
        <v/>
      </c>
      <c r="CJ32" s="22">
        <f>IF(AND($H32&lt;&gt;"",$AR32&lt;&gt;"",$H32&lt;&gt;$AR32,IFERROR(VLOOKUP($H32,areaCercaPuntiClassificaSquadra,3,FALSE),-1)=IFERROR(VLOOKUP($AR32,areaCercaPuntiClassificaSquadra,3,FALSE),-2)),SUMIFS(Dati!$D$2:$D$761,Dati!$A$2:$A$761,$H32,Dati!$H$2:$H$761,$AR32)+SUMIFS(Dati!$K$2:$K$761,Dati!$H$2:$H$761,$H32,Dati!$A$2:$A$761,$AR32)+SUMIFS(Dati!$C$2:$C$761,Dati!$A$2:$A$761,$H32,Dati!$H$2:$H$761,$AR32)+SUMIFS(Dati!$J$2:$J$761,Dati!$H$2:$H$761,$H32,Dati!$A$2:$A$761,$AR32),"-")</f>
        <v/>
      </c>
      <c r="CL32" s="21">
        <f>$C32</f>
        <v/>
      </c>
      <c r="CM32" s="22">
        <f>IF(AND($H32&lt;&gt;"",$Y32&lt;&gt;"",$H32&lt;&gt;$Y32,IFERROR(VLOOKUP($H32,areaCercaPuntiClassificaSquadra,3,FALSE),-1)=IFERROR(VLOOKUP($Y32,areaCercaPuntiClassificaSquadra,3,FALSE),-2)),SUMIFS(Dati!$E$2:$E$761,Dati!$A$2:$A$761,$H32,Dati!$H$2:$H$761,$Y32)+SUMIFS(Dati!$L$2:$L$761,Dati!$H$2:$H$761,$H32,Dati!$A$2:$A$761,$Y32),"-")</f>
        <v/>
      </c>
      <c r="CN32" s="22">
        <f>IF(AND($H32&lt;&gt;"",$Z32&lt;&gt;"",$H32&lt;&gt;$Z32,IFERROR(VLOOKUP($H32,areaCercaPuntiClassificaSquadra,3,FALSE),-1)=IFERROR(VLOOKUP($Z32,areaCercaPuntiClassificaSquadra,3,FALSE),-2)),SUMIFS(Dati!$E$2:$E$761,Dati!$A$2:$A$761,$H32,Dati!$H$2:$H$761,$Z32)+SUMIFS(Dati!$L$2:$L$761,Dati!$H$2:$H$761,$H32,Dati!$A$2:$A$761,$Z32),"-")</f>
        <v/>
      </c>
      <c r="CO32" s="22">
        <f>IF(AND($H32&lt;&gt;"",$AA32&lt;&gt;"",$H32&lt;&gt;$AA32,IFERROR(VLOOKUP($H32,areaCercaPuntiClassificaSquadra,3,FALSE),-1)=IFERROR(VLOOKUP($AA32,areaCercaPuntiClassificaSquadra,3,FALSE),-2)),SUMIFS(Dati!$E$2:$E$761,Dati!$A$2:$A$761,$H32,Dati!$H$2:$H$761,$AA32)+SUMIFS(Dati!$L$2:$L$761,Dati!$H$2:$H$761,$H32,Dati!$A$2:$A$761,$AA32),"-")</f>
        <v/>
      </c>
      <c r="CP32" s="22">
        <f>IF(AND($H32&lt;&gt;"",$AB32&lt;&gt;"",$H32&lt;&gt;$AB32,IFERROR(VLOOKUP($H32,areaCercaPuntiClassificaSquadra,3,FALSE),-1)=IFERROR(VLOOKUP($AB32,areaCercaPuntiClassificaSquadra,3,FALSE),-2)),SUMIFS(Dati!$E$2:$E$761,Dati!$A$2:$A$761,$H32,Dati!$H$2:$H$761,$AB32)+SUMIFS(Dati!$L$2:$L$761,Dati!$H$2:$H$761,$H32,Dati!$A$2:$A$761,$AB32),"-")</f>
        <v/>
      </c>
      <c r="CQ32" s="22">
        <f>IF(AND($H32&lt;&gt;"",$AC32&lt;&gt;"",$H32&lt;&gt;$AC32,IFERROR(VLOOKUP($H32,areaCercaPuntiClassificaSquadra,3,FALSE),-1)=IFERROR(VLOOKUP($AC32,areaCercaPuntiClassificaSquadra,3,FALSE),-2)),SUMIFS(Dati!$E$2:$E$761,Dati!$A$2:$A$761,$H32,Dati!$H$2:$H$761,$AC32)+SUMIFS(Dati!$L$2:$L$761,Dati!$H$2:$H$761,$H32,Dati!$A$2:$A$761,$AC32),"-")</f>
        <v/>
      </c>
      <c r="CR32" s="22">
        <f>IF(AND($H32&lt;&gt;"",$AD32&lt;&gt;"",$H32&lt;&gt;$AD32,IFERROR(VLOOKUP($H32,areaCercaPuntiClassificaSquadra,3,FALSE),-1)=IFERROR(VLOOKUP($AD32,areaCercaPuntiClassificaSquadra,3,FALSE),-2)),SUMIFS(Dati!$E$2:$E$761,Dati!$A$2:$A$761,$H32,Dati!$H$2:$H$761,$AD32)+SUMIFS(Dati!$L$2:$L$761,Dati!$H$2:$H$761,$H32,Dati!$A$2:$A$761,$AD32),"-")</f>
        <v/>
      </c>
      <c r="CS32" s="22">
        <f>IF(AND($H32&lt;&gt;"",$AE32&lt;&gt;"",$H32&lt;&gt;$AE32,IFERROR(VLOOKUP($H32,areaCercaPuntiClassificaSquadra,3,FALSE),-1)=IFERROR(VLOOKUP($AE32,areaCercaPuntiClassificaSquadra,3,FALSE),-2)),SUMIFS(Dati!$E$2:$E$761,Dati!$A$2:$A$761,$H32,Dati!$H$2:$H$761,$AE32)+SUMIFS(Dati!$L$2:$L$761,Dati!$H$2:$H$761,$H32,Dati!$A$2:$A$761,$AE32),"-")</f>
        <v/>
      </c>
      <c r="CT32" s="22">
        <f>IF(AND($H32&lt;&gt;"",$AF32&lt;&gt;"",$H32&lt;&gt;$AF32,IFERROR(VLOOKUP($H32,areaCercaPuntiClassificaSquadra,3,FALSE),-1)=IFERROR(VLOOKUP($AF32,areaCercaPuntiClassificaSquadra,3,FALSE),-2)),SUMIFS(Dati!$E$2:$E$761,Dati!$A$2:$A$761,$H32,Dati!$H$2:$H$761,$AF32)+SUMIFS(Dati!$L$2:$L$761,Dati!$H$2:$H$761,$H32,Dati!$A$2:$A$761,$AF32),"-")</f>
        <v/>
      </c>
      <c r="CU32" s="22">
        <f>IF(AND($H32&lt;&gt;"",$AG32&lt;&gt;"",$H32&lt;&gt;$AG32,IFERROR(VLOOKUP($H32,areaCercaPuntiClassificaSquadra,3,FALSE),-1)=IFERROR(VLOOKUP($AG32,areaCercaPuntiClassificaSquadra,3,FALSE),-2)),SUMIFS(Dati!$E$2:$E$761,Dati!$A$2:$A$761,$H32,Dati!$H$2:$H$761,$AG32)+SUMIFS(Dati!$L$2:$L$761,Dati!$H$2:$H$761,$H32,Dati!$A$2:$A$761,$AG32),"-")</f>
        <v/>
      </c>
      <c r="CV32" s="22">
        <f>IF(AND($H32&lt;&gt;"",$AH32&lt;&gt;"",$H32&lt;&gt;$AH32,IFERROR(VLOOKUP($H32,areaCercaPuntiClassificaSquadra,3,FALSE),-1)=IFERROR(VLOOKUP($AH32,areaCercaPuntiClassificaSquadra,3,FALSE),-2)),SUMIFS(Dati!$E$2:$E$761,Dati!$A$2:$A$761,$H32,Dati!$H$2:$H$761,$AH32)+SUMIFS(Dati!$L$2:$L$761,Dati!$H$2:$H$761,$H32,Dati!$A$2:$A$761,$AH32),"-")</f>
        <v/>
      </c>
      <c r="CW32" s="22">
        <f>IF(AND($H32&lt;&gt;"",$AI32&lt;&gt;"",$H32&lt;&gt;$AI32,IFERROR(VLOOKUP($H32,areaCercaPuntiClassificaSquadra,3,FALSE),-1)=IFERROR(VLOOKUP($AI32,areaCercaPuntiClassificaSquadra,3,FALSE),-2)),SUMIFS(Dati!$E$2:$E$761,Dati!$A$2:$A$761,$H32,Dati!$H$2:$H$761,$AI32)+SUMIFS(Dati!$L$2:$L$761,Dati!$H$2:$H$761,$H32,Dati!$A$2:$A$761,$AI32),"-")</f>
        <v/>
      </c>
      <c r="CX32" s="22">
        <f>IF(AND($H32&lt;&gt;"",$AJ32&lt;&gt;"",$H32&lt;&gt;$AJ32,IFERROR(VLOOKUP($H32,areaCercaPuntiClassificaSquadra,3,FALSE),-1)=IFERROR(VLOOKUP($AJ32,areaCercaPuntiClassificaSquadra,3,FALSE),-2)),SUMIFS(Dati!$E$2:$E$761,Dati!$A$2:$A$761,$H32,Dati!$H$2:$H$761,$AJ32)+SUMIFS(Dati!$L$2:$L$761,Dati!$H$2:$H$761,$H32,Dati!$A$2:$A$761,$AJ32),"-")</f>
        <v/>
      </c>
      <c r="CY32" s="22">
        <f>IF(AND($H32&lt;&gt;"",$AK32&lt;&gt;"",$H32&lt;&gt;$AK32,IFERROR(VLOOKUP($H32,areaCercaPuntiClassificaSquadra,3,FALSE),-1)=IFERROR(VLOOKUP($AK32,areaCercaPuntiClassificaSquadra,3,FALSE),-2)),SUMIFS(Dati!$E$2:$E$761,Dati!$A$2:$A$761,$H32,Dati!$H$2:$H$761,$AK32)+SUMIFS(Dati!$L$2:$L$761,Dati!$H$2:$H$761,$H32,Dati!$A$2:$A$761,$AK32),"-")</f>
        <v/>
      </c>
      <c r="CZ32" s="22">
        <f>IF(AND($H32&lt;&gt;"",$AL32&lt;&gt;"",$H32&lt;&gt;$AL32,IFERROR(VLOOKUP($H32,areaCercaPuntiClassificaSquadra,3,FALSE),-1)=IFERROR(VLOOKUP($AL32,areaCercaPuntiClassificaSquadra,3,FALSE),-2)),SUMIFS(Dati!$E$2:$E$761,Dati!$A$2:$A$761,$H32,Dati!$H$2:$H$761,$AL32)+SUMIFS(Dati!$L$2:$L$761,Dati!$H$2:$H$761,$H32,Dati!$A$2:$A$761,$AL32),"-")</f>
        <v/>
      </c>
      <c r="DA32" s="22">
        <f>IF(AND($H32&lt;&gt;"",$AM32&lt;&gt;"",$H32&lt;&gt;$AM32,IFERROR(VLOOKUP($H32,areaCercaPuntiClassificaSquadra,3,FALSE),-1)=IFERROR(VLOOKUP($AM32,areaCercaPuntiClassificaSquadra,3,FALSE),-2)),SUMIFS(Dati!$E$2:$E$761,Dati!$A$2:$A$761,$H32,Dati!$H$2:$H$761,$AM32)+SUMIFS(Dati!$L$2:$L$761,Dati!$H$2:$H$761,$H32,Dati!$A$2:$A$761,$AM32),"-")</f>
        <v/>
      </c>
      <c r="DB32" s="22">
        <f>IF(AND($H32&lt;&gt;"",$AN32&lt;&gt;"",$H32&lt;&gt;$AN32,IFERROR(VLOOKUP($H32,areaCercaPuntiClassificaSquadra,3,FALSE),-1)=IFERROR(VLOOKUP($AN32,areaCercaPuntiClassificaSquadra,3,FALSE),-2)),SUMIFS(Dati!$E$2:$E$761,Dati!$A$2:$A$761,$H32,Dati!$H$2:$H$761,$AN32)+SUMIFS(Dati!$L$2:$L$761,Dati!$H$2:$H$761,$H32,Dati!$A$2:$A$761,$AN32),"-")</f>
        <v/>
      </c>
      <c r="DC32" s="22">
        <f>IF(AND($H32&lt;&gt;"",$AO32&lt;&gt;"",$H32&lt;&gt;$AO32,IFERROR(VLOOKUP($H32,areaCercaPuntiClassificaSquadra,3,FALSE),-1)=IFERROR(VLOOKUP($AO32,areaCercaPuntiClassificaSquadra,3,FALSE),-2)),SUMIFS(Dati!$E$2:$E$761,Dati!$A$2:$A$761,$H32,Dati!$H$2:$H$761,$AO32)+SUMIFS(Dati!$L$2:$L$761,Dati!$H$2:$H$761,$H32,Dati!$A$2:$A$761,$AO32),"-")</f>
        <v/>
      </c>
      <c r="DD32" s="22">
        <f>IF(AND($H32&lt;&gt;"",$AP32&lt;&gt;"",$H32&lt;&gt;$AP32,IFERROR(VLOOKUP($H32,areaCercaPuntiClassificaSquadra,3,FALSE),-1)=IFERROR(VLOOKUP($AP32,areaCercaPuntiClassificaSquadra,3,FALSE),-2)),SUMIFS(Dati!$E$2:$E$761,Dati!$A$2:$A$761,$H32,Dati!$H$2:$H$761,$AP32)+SUMIFS(Dati!$L$2:$L$761,Dati!$H$2:$H$761,$H32,Dati!$A$2:$A$761,$AP32),"-")</f>
        <v/>
      </c>
      <c r="DE32" s="22">
        <f>IF(AND($H32&lt;&gt;"",$AQ32&lt;&gt;"",$H32&lt;&gt;$AQ32,IFERROR(VLOOKUP($H32,areaCercaPuntiClassificaSquadra,3,FALSE),-1)=IFERROR(VLOOKUP($AQ32,areaCercaPuntiClassificaSquadra,3,FALSE),-2)),SUMIFS(Dati!$E$2:$E$761,Dati!$A$2:$A$761,$H32,Dati!$H$2:$H$761,$AQ32)+SUMIFS(Dati!$L$2:$L$761,Dati!$H$2:$H$761,$H32,Dati!$A$2:$A$761,$AQ32),"-")</f>
        <v/>
      </c>
      <c r="DF32" s="22">
        <f>IF(AND($H32&lt;&gt;"",$AR32&lt;&gt;"",$H32&lt;&gt;$AR32,IFERROR(VLOOKUP($H32,areaCercaPuntiClassificaSquadra,3,FALSE),-1)=IFERROR(VLOOKUP($AR32,areaCercaPuntiClassificaSquadra,3,FALSE),-2)),SUMIFS(Dati!$E$2:$E$761,Dati!$A$2:$A$761,$H32,Dati!$H$2:$H$761,$AR32)+SUMIFS(Dati!$L$2:$L$761,Dati!$H$2:$H$761,$H32,Dati!$A$2:$A$761,$AR32),"-")</f>
        <v/>
      </c>
      <c r="DH32" s="21">
        <f>$C32</f>
        <v/>
      </c>
      <c r="DI32" s="22">
        <f>IF(AND($H32&lt;&gt;"",$Y32&lt;&gt;"",$H32&lt;&gt;$Y32,IFERROR(VLOOKUP($H32,areaCercaPuntiClassificaSquadra,3,FALSE),-1)=IFERROR(VLOOKUP($Y32,areaCercaPuntiClassificaSquadra,3,FALSE),-2)),SUMIFS(Dati!$F$2:$F$761,Dati!$A$2:$A$761,$H32,Dati!$H$2:$H$761,$Y32)+SUMIFS(Dati!$M$2:$M$761,Dati!$H$2:$H$761,$H32,Dati!$A$2:$A$761,$Y32),"-")</f>
        <v/>
      </c>
      <c r="DJ32" s="22">
        <f>IF(AND($H32&lt;&gt;"",$Z32&lt;&gt;"",$H32&lt;&gt;$Z32,IFERROR(VLOOKUP($H32,areaCercaPuntiClassificaSquadra,3,FALSE),-1)=IFERROR(VLOOKUP($Z32,areaCercaPuntiClassificaSquadra,3,FALSE),-2)),SUMIFS(Dati!$F$2:$F$761,Dati!$A$2:$A$761,$H32,Dati!$H$2:$H$761,$Z32)+SUMIFS(Dati!$M$2:$M$761,Dati!$H$2:$H$761,$H32,Dati!$A$2:$A$761,$Z32),"-")</f>
        <v/>
      </c>
      <c r="DK32" s="22">
        <f>IF(AND($H32&lt;&gt;"",$AA32&lt;&gt;"",$H32&lt;&gt;$AA32,IFERROR(VLOOKUP($H32,areaCercaPuntiClassificaSquadra,3,FALSE),-1)=IFERROR(VLOOKUP($AA32,areaCercaPuntiClassificaSquadra,3,FALSE),-2)),SUMIFS(Dati!$F$2:$F$761,Dati!$A$2:$A$761,$H32,Dati!$H$2:$H$761,$AA32)+SUMIFS(Dati!$M$2:$M$761,Dati!$H$2:$H$761,$H32,Dati!$A$2:$A$761,$AA32),"-")</f>
        <v/>
      </c>
      <c r="DL32" s="22">
        <f>IF(AND($H32&lt;&gt;"",$AB32&lt;&gt;"",$H32&lt;&gt;$AB32,IFERROR(VLOOKUP($H32,areaCercaPuntiClassificaSquadra,3,FALSE),-1)=IFERROR(VLOOKUP($AB32,areaCercaPuntiClassificaSquadra,3,FALSE),-2)),SUMIFS(Dati!$F$2:$F$761,Dati!$A$2:$A$761,$H32,Dati!$H$2:$H$761,$AB32)+SUMIFS(Dati!$M$2:$M$761,Dati!$H$2:$H$761,$H32,Dati!$A$2:$A$761,$AB32),"-")</f>
        <v/>
      </c>
      <c r="DM32" s="22">
        <f>IF(AND($H32&lt;&gt;"",$AC32&lt;&gt;"",$H32&lt;&gt;$AC32,IFERROR(VLOOKUP($H32,areaCercaPuntiClassificaSquadra,3,FALSE),-1)=IFERROR(VLOOKUP($AC32,areaCercaPuntiClassificaSquadra,3,FALSE),-2)),SUMIFS(Dati!$F$2:$F$761,Dati!$A$2:$A$761,$H32,Dati!$H$2:$H$761,$AC32)+SUMIFS(Dati!$M$2:$M$761,Dati!$H$2:$H$761,$H32,Dati!$A$2:$A$761,$AC32),"-")</f>
        <v/>
      </c>
      <c r="DN32" s="22">
        <f>IF(AND($H32&lt;&gt;"",$AD32&lt;&gt;"",$H32&lt;&gt;$AD32,IFERROR(VLOOKUP($H32,areaCercaPuntiClassificaSquadra,3,FALSE),-1)=IFERROR(VLOOKUP($AD32,areaCercaPuntiClassificaSquadra,3,FALSE),-2)),SUMIFS(Dati!$F$2:$F$761,Dati!$A$2:$A$761,$H32,Dati!$H$2:$H$761,$AD32)+SUMIFS(Dati!$M$2:$M$761,Dati!$H$2:$H$761,$H32,Dati!$A$2:$A$761,$AD32),"-")</f>
        <v/>
      </c>
      <c r="DO32" s="22">
        <f>IF(AND($H32&lt;&gt;"",$AE32&lt;&gt;"",$H32&lt;&gt;$AE32,IFERROR(VLOOKUP($H32,areaCercaPuntiClassificaSquadra,3,FALSE),-1)=IFERROR(VLOOKUP($AE32,areaCercaPuntiClassificaSquadra,3,FALSE),-2)),SUMIFS(Dati!$F$2:$F$761,Dati!$A$2:$A$761,$H32,Dati!$H$2:$H$761,$AE32)+SUMIFS(Dati!$M$2:$M$761,Dati!$H$2:$H$761,$H32,Dati!$A$2:$A$761,$AE32),"-")</f>
        <v/>
      </c>
      <c r="DP32" s="22">
        <f>IF(AND($H32&lt;&gt;"",$AF32&lt;&gt;"",$H32&lt;&gt;$AF32,IFERROR(VLOOKUP($H32,areaCercaPuntiClassificaSquadra,3,FALSE),-1)=IFERROR(VLOOKUP($AF32,areaCercaPuntiClassificaSquadra,3,FALSE),-2)),SUMIFS(Dati!$F$2:$F$761,Dati!$A$2:$A$761,$H32,Dati!$H$2:$H$761,$AF32)+SUMIFS(Dati!$M$2:$M$761,Dati!$H$2:$H$761,$H32,Dati!$A$2:$A$761,$AF32),"-")</f>
        <v/>
      </c>
      <c r="DQ32" s="22">
        <f>IF(AND($H32&lt;&gt;"",$AG32&lt;&gt;"",$H32&lt;&gt;$AG32,IFERROR(VLOOKUP($H32,areaCercaPuntiClassificaSquadra,3,FALSE),-1)=IFERROR(VLOOKUP($AG32,areaCercaPuntiClassificaSquadra,3,FALSE),-2)),SUMIFS(Dati!$F$2:$F$761,Dati!$A$2:$A$761,$H32,Dati!$H$2:$H$761,$AG32)+SUMIFS(Dati!$M$2:$M$761,Dati!$H$2:$H$761,$H32,Dati!$A$2:$A$761,$AG32),"-")</f>
        <v/>
      </c>
      <c r="DR32" s="22">
        <f>IF(AND($H32&lt;&gt;"",$AH32&lt;&gt;"",$H32&lt;&gt;$AH32,IFERROR(VLOOKUP($H32,areaCercaPuntiClassificaSquadra,3,FALSE),-1)=IFERROR(VLOOKUP($AH32,areaCercaPuntiClassificaSquadra,3,FALSE),-2)),SUMIFS(Dati!$F$2:$F$761,Dati!$A$2:$A$761,$H32,Dati!$H$2:$H$761,$AH32)+SUMIFS(Dati!$M$2:$M$761,Dati!$H$2:$H$761,$H32,Dati!$A$2:$A$761,$AH32),"-")</f>
        <v/>
      </c>
      <c r="DS32" s="22">
        <f>IF(AND($H32&lt;&gt;"",$AI32&lt;&gt;"",$H32&lt;&gt;$AI32,IFERROR(VLOOKUP($H32,areaCercaPuntiClassificaSquadra,3,FALSE),-1)=IFERROR(VLOOKUP($AI32,areaCercaPuntiClassificaSquadra,3,FALSE),-2)),SUMIFS(Dati!$F$2:$F$761,Dati!$A$2:$A$761,$H32,Dati!$H$2:$H$761,$AI32)+SUMIFS(Dati!$M$2:$M$761,Dati!$H$2:$H$761,$H32,Dati!$A$2:$A$761,$AI32),"-")</f>
        <v/>
      </c>
      <c r="DT32" s="22">
        <f>IF(AND($H32&lt;&gt;"",$AJ32&lt;&gt;"",$H32&lt;&gt;$AJ32,IFERROR(VLOOKUP($H32,areaCercaPuntiClassificaSquadra,3,FALSE),-1)=IFERROR(VLOOKUP($AJ32,areaCercaPuntiClassificaSquadra,3,FALSE),-2)),SUMIFS(Dati!$F$2:$F$761,Dati!$A$2:$A$761,$H32,Dati!$H$2:$H$761,$AJ32)+SUMIFS(Dati!$M$2:$M$761,Dati!$H$2:$H$761,$H32,Dati!$A$2:$A$761,$AJ32),"-")</f>
        <v/>
      </c>
      <c r="DU32" s="22">
        <f>IF(AND($H32&lt;&gt;"",$AK32&lt;&gt;"",$H32&lt;&gt;$AK32,IFERROR(VLOOKUP($H32,areaCercaPuntiClassificaSquadra,3,FALSE),-1)=IFERROR(VLOOKUP($AK32,areaCercaPuntiClassificaSquadra,3,FALSE),-2)),SUMIFS(Dati!$F$2:$F$761,Dati!$A$2:$A$761,$H32,Dati!$H$2:$H$761,$AK32)+SUMIFS(Dati!$M$2:$M$761,Dati!$H$2:$H$761,$H32,Dati!$A$2:$A$761,$AK32),"-")</f>
        <v/>
      </c>
      <c r="DV32" s="22">
        <f>IF(AND($H32&lt;&gt;"",$AL32&lt;&gt;"",$H32&lt;&gt;$AL32,IFERROR(VLOOKUP($H32,areaCercaPuntiClassificaSquadra,3,FALSE),-1)=IFERROR(VLOOKUP($AL32,areaCercaPuntiClassificaSquadra,3,FALSE),-2)),SUMIFS(Dati!$F$2:$F$761,Dati!$A$2:$A$761,$H32,Dati!$H$2:$H$761,$AL32)+SUMIFS(Dati!$M$2:$M$761,Dati!$H$2:$H$761,$H32,Dati!$A$2:$A$761,$AL32),"-")</f>
        <v/>
      </c>
      <c r="DW32" s="22">
        <f>IF(AND($H32&lt;&gt;"",$AM32&lt;&gt;"",$H32&lt;&gt;$AM32,IFERROR(VLOOKUP($H32,areaCercaPuntiClassificaSquadra,3,FALSE),-1)=IFERROR(VLOOKUP($AM32,areaCercaPuntiClassificaSquadra,3,FALSE),-2)),SUMIFS(Dati!$F$2:$F$761,Dati!$A$2:$A$761,$H32,Dati!$H$2:$H$761,$AM32)+SUMIFS(Dati!$M$2:$M$761,Dati!$H$2:$H$761,$H32,Dati!$A$2:$A$761,$AM32),"-")</f>
        <v/>
      </c>
      <c r="DX32" s="22">
        <f>IF(AND($H32&lt;&gt;"",$AN32&lt;&gt;"",$H32&lt;&gt;$AN32,IFERROR(VLOOKUP($H32,areaCercaPuntiClassificaSquadra,3,FALSE),-1)=IFERROR(VLOOKUP($AN32,areaCercaPuntiClassificaSquadra,3,FALSE),-2)),SUMIFS(Dati!$F$2:$F$761,Dati!$A$2:$A$761,$H32,Dati!$H$2:$H$761,$AN32)+SUMIFS(Dati!$M$2:$M$761,Dati!$H$2:$H$761,$H32,Dati!$A$2:$A$761,$AN32),"-")</f>
        <v/>
      </c>
      <c r="DY32" s="22">
        <f>IF(AND($H32&lt;&gt;"",$AO32&lt;&gt;"",$H32&lt;&gt;$AO32,IFERROR(VLOOKUP($H32,areaCercaPuntiClassificaSquadra,3,FALSE),-1)=IFERROR(VLOOKUP($AO32,areaCercaPuntiClassificaSquadra,3,FALSE),-2)),SUMIFS(Dati!$F$2:$F$761,Dati!$A$2:$A$761,$H32,Dati!$H$2:$H$761,$AO32)+SUMIFS(Dati!$M$2:$M$761,Dati!$H$2:$H$761,$H32,Dati!$A$2:$A$761,$AO32),"-")</f>
        <v/>
      </c>
      <c r="DZ32" s="22">
        <f>IF(AND($H32&lt;&gt;"",$AP32&lt;&gt;"",$H32&lt;&gt;$AP32,IFERROR(VLOOKUP($H32,areaCercaPuntiClassificaSquadra,3,FALSE),-1)=IFERROR(VLOOKUP($AP32,areaCercaPuntiClassificaSquadra,3,FALSE),-2)),SUMIFS(Dati!$F$2:$F$761,Dati!$A$2:$A$761,$H32,Dati!$H$2:$H$761,$AP32)+SUMIFS(Dati!$M$2:$M$761,Dati!$H$2:$H$761,$H32,Dati!$A$2:$A$761,$AP32),"-")</f>
        <v/>
      </c>
      <c r="EA32" s="22">
        <f>IF(AND($H32&lt;&gt;"",$AQ32&lt;&gt;"",$H32&lt;&gt;$AQ32,IFERROR(VLOOKUP($H32,areaCercaPuntiClassificaSquadra,3,FALSE),-1)=IFERROR(VLOOKUP($AQ32,areaCercaPuntiClassificaSquadra,3,FALSE),-2)),SUMIFS(Dati!$F$2:$F$761,Dati!$A$2:$A$761,$H32,Dati!$H$2:$H$761,$AQ32)+SUMIFS(Dati!$M$2:$M$761,Dati!$H$2:$H$761,$H32,Dati!$A$2:$A$761,$AQ32),"-")</f>
        <v/>
      </c>
      <c r="EB32" s="22">
        <f>IF(AND($H32&lt;&gt;"",$AR32&lt;&gt;"",$H32&lt;&gt;$AR32,IFERROR(VLOOKUP($H32,areaCercaPuntiClassificaSquadra,3,FALSE),-1)=IFERROR(VLOOKUP($AR32,areaCercaPuntiClassificaSquadra,3,FALSE),-2)),SUMIFS(Dati!$F$2:$F$761,Dati!$A$2:$A$761,$H32,Dati!$H$2:$H$761,$AR32)+SUMIFS(Dati!$M$2:$M$761,Dati!$H$2:$H$761,$H32,Dati!$A$2:$A$761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inlineStr">
        <is>
          <t>Condor Celeri-Condoropoli CU</t>
        </is>
      </c>
      <c r="D33" s="14" t="n"/>
      <c r="E33" s="15" t="inlineStr">
        <is>
          <t>A</t>
        </is>
      </c>
      <c r="G33" s="16">
        <f>IF($C33="","",$E33&amp;(COUNTIFS(I$14:I$93,"&gt;"&amp;I33,E$14:E$93,"="&amp;E33,C$14:C$93,"&lt;&gt;")+COUNTIFS(I$14:I$93,"="&amp;I33,H$14:H$93,"&lt;="&amp;H33,E$14:E$93,"="&amp;E33,C$14:C$93,"&lt;&gt;")))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L33*constPuntiVittoria+M33*constPuntiSconfitta+N33*constPuntiForfait+IF(D33="",0,D33)</f>
        <v/>
      </c>
      <c r="K33" s="12">
        <f>SUM(L33:N33)</f>
        <v/>
      </c>
      <c r="L33" s="12">
        <f>IF($H33="",0,SUMIF(Dati!$A$2:$A$761,$H33,Dati!$B$2:$B$761)+SUMIF(Dati!$H$2:$H$761,$H33,Dati!$I$2:$I$761))</f>
        <v/>
      </c>
      <c r="M33" s="12">
        <f>IF($H33="",0,SUMIF(Dati!$A$2:$A$761,$H33,Dati!$D$2:$D$761)+SUMIF(Dati!$H$2:$H$761,$H33,Dati!$K$2:$K$761))</f>
        <v/>
      </c>
      <c r="N33" s="12">
        <f>IF($H33="",0,SUMIF(Dati!$A$2:$A$761,$H33,Dati!$C$2:$C$761)+SUMIF(Dati!$H$2:$H$761,$H33,Dati!$J$2:$J$761))</f>
        <v/>
      </c>
      <c r="O33" s="12">
        <f>IF($H33="",0,SUMIF(Dati!$A$2:$A$761,$H33,Dati!$E$2:$E$761)+SUMIF(Dati!$H$2:$H$761,$H33,Dati!$L$2:$L$761))</f>
        <v/>
      </c>
      <c r="P33" s="12">
        <f>IF($H33="",0,SUMIF(Dati!$A$2:$A$761,$H33,Dati!$F$2:$F$761)+SUMIF(Dati!$H$2:$H$761,$H33,Dati!$M$2:$M$761))</f>
        <v/>
      </c>
      <c r="Q33" s="12">
        <f>IF($H33="",0,SUMIF(Dati!$A$2:$A$761,$H33,Dati!$G$2:$G$761)+SUMIF(Dati!$H$2:$H$761,$H33,Dati!$N$2:$N$761))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IF(COUNTIFS($E$14:$E$93,$E33,$J$14:$J$93,$J33,$C$14:$C$93,"&lt;&gt;")&lt;=1,"-",SUM(AU33:BN33)&amp;"-"&amp;SUM(BQ33:CJ33))</f>
        <v/>
      </c>
      <c r="V33" s="18">
        <f>IF(COUNTIFS($E$14:$E$93,$E33,$J$14:$J$93,$J33,$C$14:$C$93,"&lt;&gt;",$ED$14:$ED$93,$ED33)&lt;=1,"-",IF(SUM(DI33:EB33)=0,0,ROUND(SUM(CM33:DF33)/SUM(DI33:EB33),3)))</f>
        <v/>
      </c>
      <c r="W33" s="18">
        <f>IF(COUNTIFS($E$14:$E$93,$E33,$J$14:$J$93,$J33,$C$14:$C$93,"&lt;&gt;",$ED$14:$ED$93,$ED33,$V$14:$V$93,$V33)&lt;=1,"-",IF(P33=0,0,ROUND(O33/P33,3)))</f>
        <v/>
      </c>
      <c r="X33" s="19">
        <f>IF($C33="","",$E33&amp;"#"&amp;COUNTIFS($E$14:$E33,$E33,$C$14:$C33,"&lt;&gt;"))</f>
        <v/>
      </c>
      <c r="Y33" s="20">
        <f>IFERROR(INDEX($H$14:$H$93,MATCH($E33&amp;"#1",$X$14:$X$93,0)),"")</f>
        <v/>
      </c>
      <c r="Z33" s="20">
        <f>IFERROR(INDEX($H$14:$H$93,MATCH($E33&amp;"#2",$X$14:$X$93,0)),"")</f>
        <v/>
      </c>
      <c r="AA33" s="20">
        <f>IFERROR(INDEX($H$14:$H$93,MATCH($E33&amp;"#3",$X$14:$X$93,0)),"")</f>
        <v/>
      </c>
      <c r="AB33" s="20">
        <f>IFERROR(INDEX($H$14:$H$93,MATCH($E33&amp;"#4",$X$14:$X$93,0)),"")</f>
        <v/>
      </c>
      <c r="AC33" s="20">
        <f>IFERROR(INDEX($H$14:$H$93,MATCH($E33&amp;"#5",$X$14:$X$93,0)),"")</f>
        <v/>
      </c>
      <c r="AD33" s="20">
        <f>IFERROR(INDEX($H$14:$H$93,MATCH($E33&amp;"#6",$X$14:$X$93,0)),"")</f>
        <v/>
      </c>
      <c r="AE33" s="20">
        <f>IFERROR(INDEX($H$14:$H$93,MATCH($E33&amp;"#7",$X$14:$X$93,0)),"")</f>
        <v/>
      </c>
      <c r="AF33" s="20">
        <f>IFERROR(INDEX($H$14:$H$93,MATCH($E33&amp;"#8",$X$14:$X$93,0)),"")</f>
        <v/>
      </c>
      <c r="AG33" s="20">
        <f>IFERROR(INDEX($H$14:$H$93,MATCH($E33&amp;"#9",$X$14:$X$93,0)),"")</f>
        <v/>
      </c>
      <c r="AH33" s="20">
        <f>IFERROR(INDEX($H$14:$H$93,MATCH($E33&amp;"#10",$X$14:$X$93,0)),"")</f>
        <v/>
      </c>
      <c r="AI33" s="20">
        <f>IFERROR(INDEX($H$14:$H$93,MATCH($E33&amp;"#11",$X$14:$X$93,0)),"")</f>
        <v/>
      </c>
      <c r="AJ33" s="20">
        <f>IFERROR(INDEX($H$14:$H$93,MATCH($E33&amp;"#12",$X$14:$X$93,0)),"")</f>
        <v/>
      </c>
      <c r="AK33" s="20">
        <f>IFERROR(INDEX($H$14:$H$93,MATCH($E33&amp;"#13",$X$14:$X$93,0)),"")</f>
        <v/>
      </c>
      <c r="AL33" s="20">
        <f>IFERROR(INDEX($H$14:$H$93,MATCH($E33&amp;"#14",$X$14:$X$93,0)),"")</f>
        <v/>
      </c>
      <c r="AM33" s="20">
        <f>IFERROR(INDEX($H$14:$H$93,MATCH($E33&amp;"#15",$X$14:$X$93,0)),"")</f>
        <v/>
      </c>
      <c r="AN33" s="20">
        <f>IFERROR(INDEX($H$14:$H$93,MATCH($E33&amp;"#16",$X$14:$X$93,0)),"")</f>
        <v/>
      </c>
      <c r="AO33" s="20">
        <f>IFERROR(INDEX($H$14:$H$93,MATCH($E33&amp;"#17",$X$14:$X$93,0)),"")</f>
        <v/>
      </c>
      <c r="AP33" s="20">
        <f>IFERROR(INDEX($H$14:$H$93,MATCH($E33&amp;"#18",$X$14:$X$93,0)),"")</f>
        <v/>
      </c>
      <c r="AQ33" s="20">
        <f>IFERROR(INDEX($H$14:$H$93,MATCH($E33&amp;"#19",$X$14:$X$93,0)),"")</f>
        <v/>
      </c>
      <c r="AR33" s="20">
        <f>IFERROR(INDEX($H$14:$H$93,MATCH($E33&amp;"#20",$X$14:$X$93,0)),"")</f>
        <v/>
      </c>
      <c r="AT33" s="21">
        <f>$C33</f>
        <v/>
      </c>
      <c r="AU33" s="22">
        <f>IF(AND($H33&lt;&gt;"",$Y33&lt;&gt;"",$H33&lt;&gt;$Y33,IFERROR(VLOOKUP($H33,areaCercaPuntiClassificaSquadra,3,FALSE),-1)=IFERROR(VLOOKUP($Y33,areaCercaPuntiClassificaSquadra,3,FALSE),-2)),SUMIFS(Dati!$B$2:$B$761,Dati!$A$2:$A$761,$H33,Dati!$H$2:$H$761,$Y33)+SUMIFS(Dati!$I$2:$I$761,Dati!$H$2:$H$761,$H33,Dati!$A$2:$A$761,$Y33),"-")</f>
        <v/>
      </c>
      <c r="AV33" s="22">
        <f>IF(AND($H33&lt;&gt;"",$Z33&lt;&gt;"",$H33&lt;&gt;$Z33,IFERROR(VLOOKUP($H33,areaCercaPuntiClassificaSquadra,3,FALSE),-1)=IFERROR(VLOOKUP($Z33,areaCercaPuntiClassificaSquadra,3,FALSE),-2)),SUMIFS(Dati!$B$2:$B$761,Dati!$A$2:$A$761,$H33,Dati!$H$2:$H$761,$Z33)+SUMIFS(Dati!$I$2:$I$761,Dati!$H$2:$H$761,$H33,Dati!$A$2:$A$761,$Z33),"-")</f>
        <v/>
      </c>
      <c r="AW33" s="22">
        <f>IF(AND($H33&lt;&gt;"",$AA33&lt;&gt;"",$H33&lt;&gt;$AA33,IFERROR(VLOOKUP($H33,areaCercaPuntiClassificaSquadra,3,FALSE),-1)=IFERROR(VLOOKUP($AA33,areaCercaPuntiClassificaSquadra,3,FALSE),-2)),SUMIFS(Dati!$B$2:$B$761,Dati!$A$2:$A$761,$H33,Dati!$H$2:$H$761,$AA33)+SUMIFS(Dati!$I$2:$I$761,Dati!$H$2:$H$761,$H33,Dati!$A$2:$A$761,$AA33),"-")</f>
        <v/>
      </c>
      <c r="AX33" s="22">
        <f>IF(AND($H33&lt;&gt;"",$AB33&lt;&gt;"",$H33&lt;&gt;$AB33,IFERROR(VLOOKUP($H33,areaCercaPuntiClassificaSquadra,3,FALSE),-1)=IFERROR(VLOOKUP($AB33,areaCercaPuntiClassificaSquadra,3,FALSE),-2)),SUMIFS(Dati!$B$2:$B$761,Dati!$A$2:$A$761,$H33,Dati!$H$2:$H$761,$AB33)+SUMIFS(Dati!$I$2:$I$761,Dati!$H$2:$H$761,$H33,Dati!$A$2:$A$761,$AB33),"-")</f>
        <v/>
      </c>
      <c r="AY33" s="22">
        <f>IF(AND($H33&lt;&gt;"",$AC33&lt;&gt;"",$H33&lt;&gt;$AC33,IFERROR(VLOOKUP($H33,areaCercaPuntiClassificaSquadra,3,FALSE),-1)=IFERROR(VLOOKUP($AC33,areaCercaPuntiClassificaSquadra,3,FALSE),-2)),SUMIFS(Dati!$B$2:$B$761,Dati!$A$2:$A$761,$H33,Dati!$H$2:$H$761,$AC33)+SUMIFS(Dati!$I$2:$I$761,Dati!$H$2:$H$761,$H33,Dati!$A$2:$A$761,$AC33),"-")</f>
        <v/>
      </c>
      <c r="AZ33" s="22">
        <f>IF(AND($H33&lt;&gt;"",$AD33&lt;&gt;"",$H33&lt;&gt;$AD33,IFERROR(VLOOKUP($H33,areaCercaPuntiClassificaSquadra,3,FALSE),-1)=IFERROR(VLOOKUP($AD33,areaCercaPuntiClassificaSquadra,3,FALSE),-2)),SUMIFS(Dati!$B$2:$B$761,Dati!$A$2:$A$761,$H33,Dati!$H$2:$H$761,$AD33)+SUMIFS(Dati!$I$2:$I$761,Dati!$H$2:$H$761,$H33,Dati!$A$2:$A$761,$AD33),"-")</f>
        <v/>
      </c>
      <c r="BA33" s="22">
        <f>IF(AND($H33&lt;&gt;"",$AE33&lt;&gt;"",$H33&lt;&gt;$AE33,IFERROR(VLOOKUP($H33,areaCercaPuntiClassificaSquadra,3,FALSE),-1)=IFERROR(VLOOKUP($AE33,areaCercaPuntiClassificaSquadra,3,FALSE),-2)),SUMIFS(Dati!$B$2:$B$761,Dati!$A$2:$A$761,$H33,Dati!$H$2:$H$761,$AE33)+SUMIFS(Dati!$I$2:$I$761,Dati!$H$2:$H$761,$H33,Dati!$A$2:$A$761,$AE33),"-")</f>
        <v/>
      </c>
      <c r="BB33" s="22">
        <f>IF(AND($H33&lt;&gt;"",$AF33&lt;&gt;"",$H33&lt;&gt;$AF33,IFERROR(VLOOKUP($H33,areaCercaPuntiClassificaSquadra,3,FALSE),-1)=IFERROR(VLOOKUP($AF33,areaCercaPuntiClassificaSquadra,3,FALSE),-2)),SUMIFS(Dati!$B$2:$B$761,Dati!$A$2:$A$761,$H33,Dati!$H$2:$H$761,$AF33)+SUMIFS(Dati!$I$2:$I$761,Dati!$H$2:$H$761,$H33,Dati!$A$2:$A$761,$AF33),"-")</f>
        <v/>
      </c>
      <c r="BC33" s="22">
        <f>IF(AND($H33&lt;&gt;"",$AG33&lt;&gt;"",$H33&lt;&gt;$AG33,IFERROR(VLOOKUP($H33,areaCercaPuntiClassificaSquadra,3,FALSE),-1)=IFERROR(VLOOKUP($AG33,areaCercaPuntiClassificaSquadra,3,FALSE),-2)),SUMIFS(Dati!$B$2:$B$761,Dati!$A$2:$A$761,$H33,Dati!$H$2:$H$761,$AG33)+SUMIFS(Dati!$I$2:$I$761,Dati!$H$2:$H$761,$H33,Dati!$A$2:$A$761,$AG33),"-")</f>
        <v/>
      </c>
      <c r="BD33" s="22">
        <f>IF(AND($H33&lt;&gt;"",$AH33&lt;&gt;"",$H33&lt;&gt;$AH33,IFERROR(VLOOKUP($H33,areaCercaPuntiClassificaSquadra,3,FALSE),-1)=IFERROR(VLOOKUP($AH33,areaCercaPuntiClassificaSquadra,3,FALSE),-2)),SUMIFS(Dati!$B$2:$B$761,Dati!$A$2:$A$761,$H33,Dati!$H$2:$H$761,$AH33)+SUMIFS(Dati!$I$2:$I$761,Dati!$H$2:$H$761,$H33,Dati!$A$2:$A$761,$AH33),"-")</f>
        <v/>
      </c>
      <c r="BE33" s="22">
        <f>IF(AND($H33&lt;&gt;"",$AI33&lt;&gt;"",$H33&lt;&gt;$AI33,IFERROR(VLOOKUP($H33,areaCercaPuntiClassificaSquadra,3,FALSE),-1)=IFERROR(VLOOKUP($AI33,areaCercaPuntiClassificaSquadra,3,FALSE),-2)),SUMIFS(Dati!$B$2:$B$761,Dati!$A$2:$A$761,$H33,Dati!$H$2:$H$761,$AI33)+SUMIFS(Dati!$I$2:$I$761,Dati!$H$2:$H$761,$H33,Dati!$A$2:$A$761,$AI33),"-")</f>
        <v/>
      </c>
      <c r="BF33" s="22">
        <f>IF(AND($H33&lt;&gt;"",$AJ33&lt;&gt;"",$H33&lt;&gt;$AJ33,IFERROR(VLOOKUP($H33,areaCercaPuntiClassificaSquadra,3,FALSE),-1)=IFERROR(VLOOKUP($AJ33,areaCercaPuntiClassificaSquadra,3,FALSE),-2)),SUMIFS(Dati!$B$2:$B$761,Dati!$A$2:$A$761,$H33,Dati!$H$2:$H$761,$AJ33)+SUMIFS(Dati!$I$2:$I$761,Dati!$H$2:$H$761,$H33,Dati!$A$2:$A$761,$AJ33),"-")</f>
        <v/>
      </c>
      <c r="BG33" s="22">
        <f>IF(AND($H33&lt;&gt;"",$AK33&lt;&gt;"",$H33&lt;&gt;$AK33,IFERROR(VLOOKUP($H33,areaCercaPuntiClassificaSquadra,3,FALSE),-1)=IFERROR(VLOOKUP($AK33,areaCercaPuntiClassificaSquadra,3,FALSE),-2)),SUMIFS(Dati!$B$2:$B$761,Dati!$A$2:$A$761,$H33,Dati!$H$2:$H$761,$AK33)+SUMIFS(Dati!$I$2:$I$761,Dati!$H$2:$H$761,$H33,Dati!$A$2:$A$761,$AK33),"-")</f>
        <v/>
      </c>
      <c r="BH33" s="22">
        <f>IF(AND($H33&lt;&gt;"",$AL33&lt;&gt;"",$H33&lt;&gt;$AL33,IFERROR(VLOOKUP($H33,areaCercaPuntiClassificaSquadra,3,FALSE),-1)=IFERROR(VLOOKUP($AL33,areaCercaPuntiClassificaSquadra,3,FALSE),-2)),SUMIFS(Dati!$B$2:$B$761,Dati!$A$2:$A$761,$H33,Dati!$H$2:$H$761,$AL33)+SUMIFS(Dati!$I$2:$I$761,Dati!$H$2:$H$761,$H33,Dati!$A$2:$A$761,$AL33),"-")</f>
        <v/>
      </c>
      <c r="BI33" s="22">
        <f>IF(AND($H33&lt;&gt;"",$AM33&lt;&gt;"",$H33&lt;&gt;$AM33,IFERROR(VLOOKUP($H33,areaCercaPuntiClassificaSquadra,3,FALSE),-1)=IFERROR(VLOOKUP($AM33,areaCercaPuntiClassificaSquadra,3,FALSE),-2)),SUMIFS(Dati!$B$2:$B$761,Dati!$A$2:$A$761,$H33,Dati!$H$2:$H$761,$AM33)+SUMIFS(Dati!$I$2:$I$761,Dati!$H$2:$H$761,$H33,Dati!$A$2:$A$761,$AM33),"-")</f>
        <v/>
      </c>
      <c r="BJ33" s="22">
        <f>IF(AND($H33&lt;&gt;"",$AN33&lt;&gt;"",$H33&lt;&gt;$AN33,IFERROR(VLOOKUP($H33,areaCercaPuntiClassificaSquadra,3,FALSE),-1)=IFERROR(VLOOKUP($AN33,areaCercaPuntiClassificaSquadra,3,FALSE),-2)),SUMIFS(Dati!$B$2:$B$761,Dati!$A$2:$A$761,$H33,Dati!$H$2:$H$761,$AN33)+SUMIFS(Dati!$I$2:$I$761,Dati!$H$2:$H$761,$H33,Dati!$A$2:$A$761,$AN33),"-")</f>
        <v/>
      </c>
      <c r="BK33" s="22">
        <f>IF(AND($H33&lt;&gt;"",$AO33&lt;&gt;"",$H33&lt;&gt;$AO33,IFERROR(VLOOKUP($H33,areaCercaPuntiClassificaSquadra,3,FALSE),-1)=IFERROR(VLOOKUP($AO33,areaCercaPuntiClassificaSquadra,3,FALSE),-2)),SUMIFS(Dati!$B$2:$B$761,Dati!$A$2:$A$761,$H33,Dati!$H$2:$H$761,$AO33)+SUMIFS(Dati!$I$2:$I$761,Dati!$H$2:$H$761,$H33,Dati!$A$2:$A$761,$AO33),"-")</f>
        <v/>
      </c>
      <c r="BL33" s="22">
        <f>IF(AND($H33&lt;&gt;"",$AP33&lt;&gt;"",$H33&lt;&gt;$AP33,IFERROR(VLOOKUP($H33,areaCercaPuntiClassificaSquadra,3,FALSE),-1)=IFERROR(VLOOKUP($AP33,areaCercaPuntiClassificaSquadra,3,FALSE),-2)),SUMIFS(Dati!$B$2:$B$761,Dati!$A$2:$A$761,$H33,Dati!$H$2:$H$761,$AP33)+SUMIFS(Dati!$I$2:$I$761,Dati!$H$2:$H$761,$H33,Dati!$A$2:$A$761,$AP33),"-")</f>
        <v/>
      </c>
      <c r="BM33" s="22">
        <f>IF(AND($H33&lt;&gt;"",$AQ33&lt;&gt;"",$H33&lt;&gt;$AQ33,IFERROR(VLOOKUP($H33,areaCercaPuntiClassificaSquadra,3,FALSE),-1)=IFERROR(VLOOKUP($AQ33,areaCercaPuntiClassificaSquadra,3,FALSE),-2)),SUMIFS(Dati!$B$2:$B$761,Dati!$A$2:$A$761,$H33,Dati!$H$2:$H$761,$AQ33)+SUMIFS(Dati!$I$2:$I$761,Dati!$H$2:$H$761,$H33,Dati!$A$2:$A$761,$AQ33),"-")</f>
        <v/>
      </c>
      <c r="BN33" s="22">
        <f>IF(AND($H33&lt;&gt;"",$AR33&lt;&gt;"",$H33&lt;&gt;$AR33,IFERROR(VLOOKUP($H33,areaCercaPuntiClassificaSquadra,3,FALSE),-1)=IFERROR(VLOOKUP($AR33,areaCercaPuntiClassificaSquadra,3,FALSE),-2)),SUMIFS(Dati!$B$2:$B$761,Dati!$A$2:$A$761,$H33,Dati!$H$2:$H$761,$AR33)+SUMIFS(Dati!$I$2:$I$761,Dati!$H$2:$H$761,$H33,Dati!$A$2:$A$761,$AR33),"-")</f>
        <v/>
      </c>
      <c r="BP33" s="21">
        <f>$C33</f>
        <v/>
      </c>
      <c r="BQ33" s="22">
        <f>IF(AND($H33&lt;&gt;"",$Y33&lt;&gt;"",$H33&lt;&gt;$Y33,IFERROR(VLOOKUP($H33,areaCercaPuntiClassificaSquadra,3,FALSE),-1)=IFERROR(VLOOKUP($Y33,areaCercaPuntiClassificaSquadra,3,FALSE),-2)),SUMIFS(Dati!$D$2:$D$761,Dati!$A$2:$A$761,$H33,Dati!$H$2:$H$761,$Y33)+SUMIFS(Dati!$K$2:$K$761,Dati!$H$2:$H$761,$H33,Dati!$A$2:$A$761,$Y33)+SUMIFS(Dati!$C$2:$C$761,Dati!$A$2:$A$761,$H33,Dati!$H$2:$H$761,$Y33)+SUMIFS(Dati!$J$2:$J$761,Dati!$H$2:$H$761,$H33,Dati!$A$2:$A$761,$Y33),"-")</f>
        <v/>
      </c>
      <c r="BR33" s="22">
        <f>IF(AND($H33&lt;&gt;"",$Z33&lt;&gt;"",$H33&lt;&gt;$Z33,IFERROR(VLOOKUP($H33,areaCercaPuntiClassificaSquadra,3,FALSE),-1)=IFERROR(VLOOKUP($Z33,areaCercaPuntiClassificaSquadra,3,FALSE),-2)),SUMIFS(Dati!$D$2:$D$761,Dati!$A$2:$A$761,$H33,Dati!$H$2:$H$761,$Z33)+SUMIFS(Dati!$K$2:$K$761,Dati!$H$2:$H$761,$H33,Dati!$A$2:$A$761,$Z33)+SUMIFS(Dati!$C$2:$C$761,Dati!$A$2:$A$761,$H33,Dati!$H$2:$H$761,$Z33)+SUMIFS(Dati!$J$2:$J$761,Dati!$H$2:$H$761,$H33,Dati!$A$2:$A$761,$Z33),"-")</f>
        <v/>
      </c>
      <c r="BS33" s="22">
        <f>IF(AND($H33&lt;&gt;"",$AA33&lt;&gt;"",$H33&lt;&gt;$AA33,IFERROR(VLOOKUP($H33,areaCercaPuntiClassificaSquadra,3,FALSE),-1)=IFERROR(VLOOKUP($AA33,areaCercaPuntiClassificaSquadra,3,FALSE),-2)),SUMIFS(Dati!$D$2:$D$761,Dati!$A$2:$A$761,$H33,Dati!$H$2:$H$761,$AA33)+SUMIFS(Dati!$K$2:$K$761,Dati!$H$2:$H$761,$H33,Dati!$A$2:$A$761,$AA33)+SUMIFS(Dati!$C$2:$C$761,Dati!$A$2:$A$761,$H33,Dati!$H$2:$H$761,$AA33)+SUMIFS(Dati!$J$2:$J$761,Dati!$H$2:$H$761,$H33,Dati!$A$2:$A$761,$AA33),"-")</f>
        <v/>
      </c>
      <c r="BT33" s="22">
        <f>IF(AND($H33&lt;&gt;"",$AB33&lt;&gt;"",$H33&lt;&gt;$AB33,IFERROR(VLOOKUP($H33,areaCercaPuntiClassificaSquadra,3,FALSE),-1)=IFERROR(VLOOKUP($AB33,areaCercaPuntiClassificaSquadra,3,FALSE),-2)),SUMIFS(Dati!$D$2:$D$761,Dati!$A$2:$A$761,$H33,Dati!$H$2:$H$761,$AB33)+SUMIFS(Dati!$K$2:$K$761,Dati!$H$2:$H$761,$H33,Dati!$A$2:$A$761,$AB33)+SUMIFS(Dati!$C$2:$C$761,Dati!$A$2:$A$761,$H33,Dati!$H$2:$H$761,$AB33)+SUMIFS(Dati!$J$2:$J$761,Dati!$H$2:$H$761,$H33,Dati!$A$2:$A$761,$AB33),"-")</f>
        <v/>
      </c>
      <c r="BU33" s="22">
        <f>IF(AND($H33&lt;&gt;"",$AC33&lt;&gt;"",$H33&lt;&gt;$AC33,IFERROR(VLOOKUP($H33,areaCercaPuntiClassificaSquadra,3,FALSE),-1)=IFERROR(VLOOKUP($AC33,areaCercaPuntiClassificaSquadra,3,FALSE),-2)),SUMIFS(Dati!$D$2:$D$761,Dati!$A$2:$A$761,$H33,Dati!$H$2:$H$761,$AC33)+SUMIFS(Dati!$K$2:$K$761,Dati!$H$2:$H$761,$H33,Dati!$A$2:$A$761,$AC33)+SUMIFS(Dati!$C$2:$C$761,Dati!$A$2:$A$761,$H33,Dati!$H$2:$H$761,$AC33)+SUMIFS(Dati!$J$2:$J$761,Dati!$H$2:$H$761,$H33,Dati!$A$2:$A$761,$AC33),"-")</f>
        <v/>
      </c>
      <c r="BV33" s="22">
        <f>IF(AND($H33&lt;&gt;"",$AD33&lt;&gt;"",$H33&lt;&gt;$AD33,IFERROR(VLOOKUP($H33,areaCercaPuntiClassificaSquadra,3,FALSE),-1)=IFERROR(VLOOKUP($AD33,areaCercaPuntiClassificaSquadra,3,FALSE),-2)),SUMIFS(Dati!$D$2:$D$761,Dati!$A$2:$A$761,$H33,Dati!$H$2:$H$761,$AD33)+SUMIFS(Dati!$K$2:$K$761,Dati!$H$2:$H$761,$H33,Dati!$A$2:$A$761,$AD33)+SUMIFS(Dati!$C$2:$C$761,Dati!$A$2:$A$761,$H33,Dati!$H$2:$H$761,$AD33)+SUMIFS(Dati!$J$2:$J$761,Dati!$H$2:$H$761,$H33,Dati!$A$2:$A$761,$AD33),"-")</f>
        <v/>
      </c>
      <c r="BW33" s="22">
        <f>IF(AND($H33&lt;&gt;"",$AE33&lt;&gt;"",$H33&lt;&gt;$AE33,IFERROR(VLOOKUP($H33,areaCercaPuntiClassificaSquadra,3,FALSE),-1)=IFERROR(VLOOKUP($AE33,areaCercaPuntiClassificaSquadra,3,FALSE),-2)),SUMIFS(Dati!$D$2:$D$761,Dati!$A$2:$A$761,$H33,Dati!$H$2:$H$761,$AE33)+SUMIFS(Dati!$K$2:$K$761,Dati!$H$2:$H$761,$H33,Dati!$A$2:$A$761,$AE33)+SUMIFS(Dati!$C$2:$C$761,Dati!$A$2:$A$761,$H33,Dati!$H$2:$H$761,$AE33)+SUMIFS(Dati!$J$2:$J$761,Dati!$H$2:$H$761,$H33,Dati!$A$2:$A$761,$AE33),"-")</f>
        <v/>
      </c>
      <c r="BX33" s="22">
        <f>IF(AND($H33&lt;&gt;"",$AF33&lt;&gt;"",$H33&lt;&gt;$AF33,IFERROR(VLOOKUP($H33,areaCercaPuntiClassificaSquadra,3,FALSE),-1)=IFERROR(VLOOKUP($AF33,areaCercaPuntiClassificaSquadra,3,FALSE),-2)),SUMIFS(Dati!$D$2:$D$761,Dati!$A$2:$A$761,$H33,Dati!$H$2:$H$761,$AF33)+SUMIFS(Dati!$K$2:$K$761,Dati!$H$2:$H$761,$H33,Dati!$A$2:$A$761,$AF33)+SUMIFS(Dati!$C$2:$C$761,Dati!$A$2:$A$761,$H33,Dati!$H$2:$H$761,$AF33)+SUMIFS(Dati!$J$2:$J$761,Dati!$H$2:$H$761,$H33,Dati!$A$2:$A$761,$AF33),"-")</f>
        <v/>
      </c>
      <c r="BY33" s="22">
        <f>IF(AND($H33&lt;&gt;"",$AG33&lt;&gt;"",$H33&lt;&gt;$AG33,IFERROR(VLOOKUP($H33,areaCercaPuntiClassificaSquadra,3,FALSE),-1)=IFERROR(VLOOKUP($AG33,areaCercaPuntiClassificaSquadra,3,FALSE),-2)),SUMIFS(Dati!$D$2:$D$761,Dati!$A$2:$A$761,$H33,Dati!$H$2:$H$761,$AG33)+SUMIFS(Dati!$K$2:$K$761,Dati!$H$2:$H$761,$H33,Dati!$A$2:$A$761,$AG33)+SUMIFS(Dati!$C$2:$C$761,Dati!$A$2:$A$761,$H33,Dati!$H$2:$H$761,$AG33)+SUMIFS(Dati!$J$2:$J$761,Dati!$H$2:$H$761,$H33,Dati!$A$2:$A$761,$AG33),"-")</f>
        <v/>
      </c>
      <c r="BZ33" s="22">
        <f>IF(AND($H33&lt;&gt;"",$AH33&lt;&gt;"",$H33&lt;&gt;$AH33,IFERROR(VLOOKUP($H33,areaCercaPuntiClassificaSquadra,3,FALSE),-1)=IFERROR(VLOOKUP($AH33,areaCercaPuntiClassificaSquadra,3,FALSE),-2)),SUMIFS(Dati!$D$2:$D$761,Dati!$A$2:$A$761,$H33,Dati!$H$2:$H$761,$AH33)+SUMIFS(Dati!$K$2:$K$761,Dati!$H$2:$H$761,$H33,Dati!$A$2:$A$761,$AH33)+SUMIFS(Dati!$C$2:$C$761,Dati!$A$2:$A$761,$H33,Dati!$H$2:$H$761,$AH33)+SUMIFS(Dati!$J$2:$J$761,Dati!$H$2:$H$761,$H33,Dati!$A$2:$A$761,$AH33),"-")</f>
        <v/>
      </c>
      <c r="CA33" s="22">
        <f>IF(AND($H33&lt;&gt;"",$AI33&lt;&gt;"",$H33&lt;&gt;$AI33,IFERROR(VLOOKUP($H33,areaCercaPuntiClassificaSquadra,3,FALSE),-1)=IFERROR(VLOOKUP($AI33,areaCercaPuntiClassificaSquadra,3,FALSE),-2)),SUMIFS(Dati!$D$2:$D$761,Dati!$A$2:$A$761,$H33,Dati!$H$2:$H$761,$AI33)+SUMIFS(Dati!$K$2:$K$761,Dati!$H$2:$H$761,$H33,Dati!$A$2:$A$761,$AI33)+SUMIFS(Dati!$C$2:$C$761,Dati!$A$2:$A$761,$H33,Dati!$H$2:$H$761,$AI33)+SUMIFS(Dati!$J$2:$J$761,Dati!$H$2:$H$761,$H33,Dati!$A$2:$A$761,$AI33),"-")</f>
        <v/>
      </c>
      <c r="CB33" s="22">
        <f>IF(AND($H33&lt;&gt;"",$AJ33&lt;&gt;"",$H33&lt;&gt;$AJ33,IFERROR(VLOOKUP($H33,areaCercaPuntiClassificaSquadra,3,FALSE),-1)=IFERROR(VLOOKUP($AJ33,areaCercaPuntiClassificaSquadra,3,FALSE),-2)),SUMIFS(Dati!$D$2:$D$761,Dati!$A$2:$A$761,$H33,Dati!$H$2:$H$761,$AJ33)+SUMIFS(Dati!$K$2:$K$761,Dati!$H$2:$H$761,$H33,Dati!$A$2:$A$761,$AJ33)+SUMIFS(Dati!$C$2:$C$761,Dati!$A$2:$A$761,$H33,Dati!$H$2:$H$761,$AJ33)+SUMIFS(Dati!$J$2:$J$761,Dati!$H$2:$H$761,$H33,Dati!$A$2:$A$761,$AJ33),"-")</f>
        <v/>
      </c>
      <c r="CC33" s="22">
        <f>IF(AND($H33&lt;&gt;"",$AK33&lt;&gt;"",$H33&lt;&gt;$AK33,IFERROR(VLOOKUP($H33,areaCercaPuntiClassificaSquadra,3,FALSE),-1)=IFERROR(VLOOKUP($AK33,areaCercaPuntiClassificaSquadra,3,FALSE),-2)),SUMIFS(Dati!$D$2:$D$761,Dati!$A$2:$A$761,$H33,Dati!$H$2:$H$761,$AK33)+SUMIFS(Dati!$K$2:$K$761,Dati!$H$2:$H$761,$H33,Dati!$A$2:$A$761,$AK33)+SUMIFS(Dati!$C$2:$C$761,Dati!$A$2:$A$761,$H33,Dati!$H$2:$H$761,$AK33)+SUMIFS(Dati!$J$2:$J$761,Dati!$H$2:$H$761,$H33,Dati!$A$2:$A$761,$AK33),"-")</f>
        <v/>
      </c>
      <c r="CD33" s="22">
        <f>IF(AND($H33&lt;&gt;"",$AL33&lt;&gt;"",$H33&lt;&gt;$AL33,IFERROR(VLOOKUP($H33,areaCercaPuntiClassificaSquadra,3,FALSE),-1)=IFERROR(VLOOKUP($AL33,areaCercaPuntiClassificaSquadra,3,FALSE),-2)),SUMIFS(Dati!$D$2:$D$761,Dati!$A$2:$A$761,$H33,Dati!$H$2:$H$761,$AL33)+SUMIFS(Dati!$K$2:$K$761,Dati!$H$2:$H$761,$H33,Dati!$A$2:$A$761,$AL33)+SUMIFS(Dati!$C$2:$C$761,Dati!$A$2:$A$761,$H33,Dati!$H$2:$H$761,$AL33)+SUMIFS(Dati!$J$2:$J$761,Dati!$H$2:$H$761,$H33,Dati!$A$2:$A$761,$AL33),"-")</f>
        <v/>
      </c>
      <c r="CE33" s="22">
        <f>IF(AND($H33&lt;&gt;"",$AM33&lt;&gt;"",$H33&lt;&gt;$AM33,IFERROR(VLOOKUP($H33,areaCercaPuntiClassificaSquadra,3,FALSE),-1)=IFERROR(VLOOKUP($AM33,areaCercaPuntiClassificaSquadra,3,FALSE),-2)),SUMIFS(Dati!$D$2:$D$761,Dati!$A$2:$A$761,$H33,Dati!$H$2:$H$761,$AM33)+SUMIFS(Dati!$K$2:$K$761,Dati!$H$2:$H$761,$H33,Dati!$A$2:$A$761,$AM33)+SUMIFS(Dati!$C$2:$C$761,Dati!$A$2:$A$761,$H33,Dati!$H$2:$H$761,$AM33)+SUMIFS(Dati!$J$2:$J$761,Dati!$H$2:$H$761,$H33,Dati!$A$2:$A$761,$AM33),"-")</f>
        <v/>
      </c>
      <c r="CF33" s="22">
        <f>IF(AND($H33&lt;&gt;"",$AN33&lt;&gt;"",$H33&lt;&gt;$AN33,IFERROR(VLOOKUP($H33,areaCercaPuntiClassificaSquadra,3,FALSE),-1)=IFERROR(VLOOKUP($AN33,areaCercaPuntiClassificaSquadra,3,FALSE),-2)),SUMIFS(Dati!$D$2:$D$761,Dati!$A$2:$A$761,$H33,Dati!$H$2:$H$761,$AN33)+SUMIFS(Dati!$K$2:$K$761,Dati!$H$2:$H$761,$H33,Dati!$A$2:$A$761,$AN33)+SUMIFS(Dati!$C$2:$C$761,Dati!$A$2:$A$761,$H33,Dati!$H$2:$H$761,$AN33)+SUMIFS(Dati!$J$2:$J$761,Dati!$H$2:$H$761,$H33,Dati!$A$2:$A$761,$AN33),"-")</f>
        <v/>
      </c>
      <c r="CG33" s="22">
        <f>IF(AND($H33&lt;&gt;"",$AO33&lt;&gt;"",$H33&lt;&gt;$AO33,IFERROR(VLOOKUP($H33,areaCercaPuntiClassificaSquadra,3,FALSE),-1)=IFERROR(VLOOKUP($AO33,areaCercaPuntiClassificaSquadra,3,FALSE),-2)),SUMIFS(Dati!$D$2:$D$761,Dati!$A$2:$A$761,$H33,Dati!$H$2:$H$761,$AO33)+SUMIFS(Dati!$K$2:$K$761,Dati!$H$2:$H$761,$H33,Dati!$A$2:$A$761,$AO33)+SUMIFS(Dati!$C$2:$C$761,Dati!$A$2:$A$761,$H33,Dati!$H$2:$H$761,$AO33)+SUMIFS(Dati!$J$2:$J$761,Dati!$H$2:$H$761,$H33,Dati!$A$2:$A$761,$AO33),"-")</f>
        <v/>
      </c>
      <c r="CH33" s="22">
        <f>IF(AND($H33&lt;&gt;"",$AP33&lt;&gt;"",$H33&lt;&gt;$AP33,IFERROR(VLOOKUP($H33,areaCercaPuntiClassificaSquadra,3,FALSE),-1)=IFERROR(VLOOKUP($AP33,areaCercaPuntiClassificaSquadra,3,FALSE),-2)),SUMIFS(Dati!$D$2:$D$761,Dati!$A$2:$A$761,$H33,Dati!$H$2:$H$761,$AP33)+SUMIFS(Dati!$K$2:$K$761,Dati!$H$2:$H$761,$H33,Dati!$A$2:$A$761,$AP33)+SUMIFS(Dati!$C$2:$C$761,Dati!$A$2:$A$761,$H33,Dati!$H$2:$H$761,$AP33)+SUMIFS(Dati!$J$2:$J$761,Dati!$H$2:$H$761,$H33,Dati!$A$2:$A$761,$AP33),"-")</f>
        <v/>
      </c>
      <c r="CI33" s="22">
        <f>IF(AND($H33&lt;&gt;"",$AQ33&lt;&gt;"",$H33&lt;&gt;$AQ33,IFERROR(VLOOKUP($H33,areaCercaPuntiClassificaSquadra,3,FALSE),-1)=IFERROR(VLOOKUP($AQ33,areaCercaPuntiClassificaSquadra,3,FALSE),-2)),SUMIFS(Dati!$D$2:$D$761,Dati!$A$2:$A$761,$H33,Dati!$H$2:$H$761,$AQ33)+SUMIFS(Dati!$K$2:$K$761,Dati!$H$2:$H$761,$H33,Dati!$A$2:$A$761,$AQ33)+SUMIFS(Dati!$C$2:$C$761,Dati!$A$2:$A$761,$H33,Dati!$H$2:$H$761,$AQ33)+SUMIFS(Dati!$J$2:$J$761,Dati!$H$2:$H$761,$H33,Dati!$A$2:$A$761,$AQ33),"-")</f>
        <v/>
      </c>
      <c r="CJ33" s="22">
        <f>IF(AND($H33&lt;&gt;"",$AR33&lt;&gt;"",$H33&lt;&gt;$AR33,IFERROR(VLOOKUP($H33,areaCercaPuntiClassificaSquadra,3,FALSE),-1)=IFERROR(VLOOKUP($AR33,areaCercaPuntiClassificaSquadra,3,FALSE),-2)),SUMIFS(Dati!$D$2:$D$761,Dati!$A$2:$A$761,$H33,Dati!$H$2:$H$761,$AR33)+SUMIFS(Dati!$K$2:$K$761,Dati!$H$2:$H$761,$H33,Dati!$A$2:$A$761,$AR33)+SUMIFS(Dati!$C$2:$C$761,Dati!$A$2:$A$761,$H33,Dati!$H$2:$H$761,$AR33)+SUMIFS(Dati!$J$2:$J$761,Dati!$H$2:$H$761,$H33,Dati!$A$2:$A$761,$AR33),"-")</f>
        <v/>
      </c>
      <c r="CL33" s="21">
        <f>$C33</f>
        <v/>
      </c>
      <c r="CM33" s="22">
        <f>IF(AND($H33&lt;&gt;"",$Y33&lt;&gt;"",$H33&lt;&gt;$Y33,IFERROR(VLOOKUP($H33,areaCercaPuntiClassificaSquadra,3,FALSE),-1)=IFERROR(VLOOKUP($Y33,areaCercaPuntiClassificaSquadra,3,FALSE),-2)),SUMIFS(Dati!$E$2:$E$761,Dati!$A$2:$A$761,$H33,Dati!$H$2:$H$761,$Y33)+SUMIFS(Dati!$L$2:$L$761,Dati!$H$2:$H$761,$H33,Dati!$A$2:$A$761,$Y33),"-")</f>
        <v/>
      </c>
      <c r="CN33" s="22">
        <f>IF(AND($H33&lt;&gt;"",$Z33&lt;&gt;"",$H33&lt;&gt;$Z33,IFERROR(VLOOKUP($H33,areaCercaPuntiClassificaSquadra,3,FALSE),-1)=IFERROR(VLOOKUP($Z33,areaCercaPuntiClassificaSquadra,3,FALSE),-2)),SUMIFS(Dati!$E$2:$E$761,Dati!$A$2:$A$761,$H33,Dati!$H$2:$H$761,$Z33)+SUMIFS(Dati!$L$2:$L$761,Dati!$H$2:$H$761,$H33,Dati!$A$2:$A$761,$Z33),"-")</f>
        <v/>
      </c>
      <c r="CO33" s="22">
        <f>IF(AND($H33&lt;&gt;"",$AA33&lt;&gt;"",$H33&lt;&gt;$AA33,IFERROR(VLOOKUP($H33,areaCercaPuntiClassificaSquadra,3,FALSE),-1)=IFERROR(VLOOKUP($AA33,areaCercaPuntiClassificaSquadra,3,FALSE),-2)),SUMIFS(Dati!$E$2:$E$761,Dati!$A$2:$A$761,$H33,Dati!$H$2:$H$761,$AA33)+SUMIFS(Dati!$L$2:$L$761,Dati!$H$2:$H$761,$H33,Dati!$A$2:$A$761,$AA33),"-")</f>
        <v/>
      </c>
      <c r="CP33" s="22">
        <f>IF(AND($H33&lt;&gt;"",$AB33&lt;&gt;"",$H33&lt;&gt;$AB33,IFERROR(VLOOKUP($H33,areaCercaPuntiClassificaSquadra,3,FALSE),-1)=IFERROR(VLOOKUP($AB33,areaCercaPuntiClassificaSquadra,3,FALSE),-2)),SUMIFS(Dati!$E$2:$E$761,Dati!$A$2:$A$761,$H33,Dati!$H$2:$H$761,$AB33)+SUMIFS(Dati!$L$2:$L$761,Dati!$H$2:$H$761,$H33,Dati!$A$2:$A$761,$AB33),"-")</f>
        <v/>
      </c>
      <c r="CQ33" s="22">
        <f>IF(AND($H33&lt;&gt;"",$AC33&lt;&gt;"",$H33&lt;&gt;$AC33,IFERROR(VLOOKUP($H33,areaCercaPuntiClassificaSquadra,3,FALSE),-1)=IFERROR(VLOOKUP($AC33,areaCercaPuntiClassificaSquadra,3,FALSE),-2)),SUMIFS(Dati!$E$2:$E$761,Dati!$A$2:$A$761,$H33,Dati!$H$2:$H$761,$AC33)+SUMIFS(Dati!$L$2:$L$761,Dati!$H$2:$H$761,$H33,Dati!$A$2:$A$761,$AC33),"-")</f>
        <v/>
      </c>
      <c r="CR33" s="22">
        <f>IF(AND($H33&lt;&gt;"",$AD33&lt;&gt;"",$H33&lt;&gt;$AD33,IFERROR(VLOOKUP($H33,areaCercaPuntiClassificaSquadra,3,FALSE),-1)=IFERROR(VLOOKUP($AD33,areaCercaPuntiClassificaSquadra,3,FALSE),-2)),SUMIFS(Dati!$E$2:$E$761,Dati!$A$2:$A$761,$H33,Dati!$H$2:$H$761,$AD33)+SUMIFS(Dati!$L$2:$L$761,Dati!$H$2:$H$761,$H33,Dati!$A$2:$A$761,$AD33),"-")</f>
        <v/>
      </c>
      <c r="CS33" s="22">
        <f>IF(AND($H33&lt;&gt;"",$AE33&lt;&gt;"",$H33&lt;&gt;$AE33,IFERROR(VLOOKUP($H33,areaCercaPuntiClassificaSquadra,3,FALSE),-1)=IFERROR(VLOOKUP($AE33,areaCercaPuntiClassificaSquadra,3,FALSE),-2)),SUMIFS(Dati!$E$2:$E$761,Dati!$A$2:$A$761,$H33,Dati!$H$2:$H$761,$AE33)+SUMIFS(Dati!$L$2:$L$761,Dati!$H$2:$H$761,$H33,Dati!$A$2:$A$761,$AE33),"-")</f>
        <v/>
      </c>
      <c r="CT33" s="22">
        <f>IF(AND($H33&lt;&gt;"",$AF33&lt;&gt;"",$H33&lt;&gt;$AF33,IFERROR(VLOOKUP($H33,areaCercaPuntiClassificaSquadra,3,FALSE),-1)=IFERROR(VLOOKUP($AF33,areaCercaPuntiClassificaSquadra,3,FALSE),-2)),SUMIFS(Dati!$E$2:$E$761,Dati!$A$2:$A$761,$H33,Dati!$H$2:$H$761,$AF33)+SUMIFS(Dati!$L$2:$L$761,Dati!$H$2:$H$761,$H33,Dati!$A$2:$A$761,$AF33),"-")</f>
        <v/>
      </c>
      <c r="CU33" s="22">
        <f>IF(AND($H33&lt;&gt;"",$AG33&lt;&gt;"",$H33&lt;&gt;$AG33,IFERROR(VLOOKUP($H33,areaCercaPuntiClassificaSquadra,3,FALSE),-1)=IFERROR(VLOOKUP($AG33,areaCercaPuntiClassificaSquadra,3,FALSE),-2)),SUMIFS(Dati!$E$2:$E$761,Dati!$A$2:$A$761,$H33,Dati!$H$2:$H$761,$AG33)+SUMIFS(Dati!$L$2:$L$761,Dati!$H$2:$H$761,$H33,Dati!$A$2:$A$761,$AG33),"-")</f>
        <v/>
      </c>
      <c r="CV33" s="22">
        <f>IF(AND($H33&lt;&gt;"",$AH33&lt;&gt;"",$H33&lt;&gt;$AH33,IFERROR(VLOOKUP($H33,areaCercaPuntiClassificaSquadra,3,FALSE),-1)=IFERROR(VLOOKUP($AH33,areaCercaPuntiClassificaSquadra,3,FALSE),-2)),SUMIFS(Dati!$E$2:$E$761,Dati!$A$2:$A$761,$H33,Dati!$H$2:$H$761,$AH33)+SUMIFS(Dati!$L$2:$L$761,Dati!$H$2:$H$761,$H33,Dati!$A$2:$A$761,$AH33),"-")</f>
        <v/>
      </c>
      <c r="CW33" s="22">
        <f>IF(AND($H33&lt;&gt;"",$AI33&lt;&gt;"",$H33&lt;&gt;$AI33,IFERROR(VLOOKUP($H33,areaCercaPuntiClassificaSquadra,3,FALSE),-1)=IFERROR(VLOOKUP($AI33,areaCercaPuntiClassificaSquadra,3,FALSE),-2)),SUMIFS(Dati!$E$2:$E$761,Dati!$A$2:$A$761,$H33,Dati!$H$2:$H$761,$AI33)+SUMIFS(Dati!$L$2:$L$761,Dati!$H$2:$H$761,$H33,Dati!$A$2:$A$761,$AI33),"-")</f>
        <v/>
      </c>
      <c r="CX33" s="22">
        <f>IF(AND($H33&lt;&gt;"",$AJ33&lt;&gt;"",$H33&lt;&gt;$AJ33,IFERROR(VLOOKUP($H33,areaCercaPuntiClassificaSquadra,3,FALSE),-1)=IFERROR(VLOOKUP($AJ33,areaCercaPuntiClassificaSquadra,3,FALSE),-2)),SUMIFS(Dati!$E$2:$E$761,Dati!$A$2:$A$761,$H33,Dati!$H$2:$H$761,$AJ33)+SUMIFS(Dati!$L$2:$L$761,Dati!$H$2:$H$761,$H33,Dati!$A$2:$A$761,$AJ33),"-")</f>
        <v/>
      </c>
      <c r="CY33" s="22">
        <f>IF(AND($H33&lt;&gt;"",$AK33&lt;&gt;"",$H33&lt;&gt;$AK33,IFERROR(VLOOKUP($H33,areaCercaPuntiClassificaSquadra,3,FALSE),-1)=IFERROR(VLOOKUP($AK33,areaCercaPuntiClassificaSquadra,3,FALSE),-2)),SUMIFS(Dati!$E$2:$E$761,Dati!$A$2:$A$761,$H33,Dati!$H$2:$H$761,$AK33)+SUMIFS(Dati!$L$2:$L$761,Dati!$H$2:$H$761,$H33,Dati!$A$2:$A$761,$AK33),"-")</f>
        <v/>
      </c>
      <c r="CZ33" s="22">
        <f>IF(AND($H33&lt;&gt;"",$AL33&lt;&gt;"",$H33&lt;&gt;$AL33,IFERROR(VLOOKUP($H33,areaCercaPuntiClassificaSquadra,3,FALSE),-1)=IFERROR(VLOOKUP($AL33,areaCercaPuntiClassificaSquadra,3,FALSE),-2)),SUMIFS(Dati!$E$2:$E$761,Dati!$A$2:$A$761,$H33,Dati!$H$2:$H$761,$AL33)+SUMIFS(Dati!$L$2:$L$761,Dati!$H$2:$H$761,$H33,Dati!$A$2:$A$761,$AL33),"-")</f>
        <v/>
      </c>
      <c r="DA33" s="22">
        <f>IF(AND($H33&lt;&gt;"",$AM33&lt;&gt;"",$H33&lt;&gt;$AM33,IFERROR(VLOOKUP($H33,areaCercaPuntiClassificaSquadra,3,FALSE),-1)=IFERROR(VLOOKUP($AM33,areaCercaPuntiClassificaSquadra,3,FALSE),-2)),SUMIFS(Dati!$E$2:$E$761,Dati!$A$2:$A$761,$H33,Dati!$H$2:$H$761,$AM33)+SUMIFS(Dati!$L$2:$L$761,Dati!$H$2:$H$761,$H33,Dati!$A$2:$A$761,$AM33),"-")</f>
        <v/>
      </c>
      <c r="DB33" s="22">
        <f>IF(AND($H33&lt;&gt;"",$AN33&lt;&gt;"",$H33&lt;&gt;$AN33,IFERROR(VLOOKUP($H33,areaCercaPuntiClassificaSquadra,3,FALSE),-1)=IFERROR(VLOOKUP($AN33,areaCercaPuntiClassificaSquadra,3,FALSE),-2)),SUMIFS(Dati!$E$2:$E$761,Dati!$A$2:$A$761,$H33,Dati!$H$2:$H$761,$AN33)+SUMIFS(Dati!$L$2:$L$761,Dati!$H$2:$H$761,$H33,Dati!$A$2:$A$761,$AN33),"-")</f>
        <v/>
      </c>
      <c r="DC33" s="22">
        <f>IF(AND($H33&lt;&gt;"",$AO33&lt;&gt;"",$H33&lt;&gt;$AO33,IFERROR(VLOOKUP($H33,areaCercaPuntiClassificaSquadra,3,FALSE),-1)=IFERROR(VLOOKUP($AO33,areaCercaPuntiClassificaSquadra,3,FALSE),-2)),SUMIFS(Dati!$E$2:$E$761,Dati!$A$2:$A$761,$H33,Dati!$H$2:$H$761,$AO33)+SUMIFS(Dati!$L$2:$L$761,Dati!$H$2:$H$761,$H33,Dati!$A$2:$A$761,$AO33),"-")</f>
        <v/>
      </c>
      <c r="DD33" s="22">
        <f>IF(AND($H33&lt;&gt;"",$AP33&lt;&gt;"",$H33&lt;&gt;$AP33,IFERROR(VLOOKUP($H33,areaCercaPuntiClassificaSquadra,3,FALSE),-1)=IFERROR(VLOOKUP($AP33,areaCercaPuntiClassificaSquadra,3,FALSE),-2)),SUMIFS(Dati!$E$2:$E$761,Dati!$A$2:$A$761,$H33,Dati!$H$2:$H$761,$AP33)+SUMIFS(Dati!$L$2:$L$761,Dati!$H$2:$H$761,$H33,Dati!$A$2:$A$761,$AP33),"-")</f>
        <v/>
      </c>
      <c r="DE33" s="22">
        <f>IF(AND($H33&lt;&gt;"",$AQ33&lt;&gt;"",$H33&lt;&gt;$AQ33,IFERROR(VLOOKUP($H33,areaCercaPuntiClassificaSquadra,3,FALSE),-1)=IFERROR(VLOOKUP($AQ33,areaCercaPuntiClassificaSquadra,3,FALSE),-2)),SUMIFS(Dati!$E$2:$E$761,Dati!$A$2:$A$761,$H33,Dati!$H$2:$H$761,$AQ33)+SUMIFS(Dati!$L$2:$L$761,Dati!$H$2:$H$761,$H33,Dati!$A$2:$A$761,$AQ33),"-")</f>
        <v/>
      </c>
      <c r="DF33" s="22">
        <f>IF(AND($H33&lt;&gt;"",$AR33&lt;&gt;"",$H33&lt;&gt;$AR33,IFERROR(VLOOKUP($H33,areaCercaPuntiClassificaSquadra,3,FALSE),-1)=IFERROR(VLOOKUP($AR33,areaCercaPuntiClassificaSquadra,3,FALSE),-2)),SUMIFS(Dati!$E$2:$E$761,Dati!$A$2:$A$761,$H33,Dati!$H$2:$H$761,$AR33)+SUMIFS(Dati!$L$2:$L$761,Dati!$H$2:$H$761,$H33,Dati!$A$2:$A$761,$AR33),"-")</f>
        <v/>
      </c>
      <c r="DH33" s="21">
        <f>$C33</f>
        <v/>
      </c>
      <c r="DI33" s="22">
        <f>IF(AND($H33&lt;&gt;"",$Y33&lt;&gt;"",$H33&lt;&gt;$Y33,IFERROR(VLOOKUP($H33,areaCercaPuntiClassificaSquadra,3,FALSE),-1)=IFERROR(VLOOKUP($Y33,areaCercaPuntiClassificaSquadra,3,FALSE),-2)),SUMIFS(Dati!$F$2:$F$761,Dati!$A$2:$A$761,$H33,Dati!$H$2:$H$761,$Y33)+SUMIFS(Dati!$M$2:$M$761,Dati!$H$2:$H$761,$H33,Dati!$A$2:$A$761,$Y33),"-")</f>
        <v/>
      </c>
      <c r="DJ33" s="22">
        <f>IF(AND($H33&lt;&gt;"",$Z33&lt;&gt;"",$H33&lt;&gt;$Z33,IFERROR(VLOOKUP($H33,areaCercaPuntiClassificaSquadra,3,FALSE),-1)=IFERROR(VLOOKUP($Z33,areaCercaPuntiClassificaSquadra,3,FALSE),-2)),SUMIFS(Dati!$F$2:$F$761,Dati!$A$2:$A$761,$H33,Dati!$H$2:$H$761,$Z33)+SUMIFS(Dati!$M$2:$M$761,Dati!$H$2:$H$761,$H33,Dati!$A$2:$A$761,$Z33),"-")</f>
        <v/>
      </c>
      <c r="DK33" s="22">
        <f>IF(AND($H33&lt;&gt;"",$AA33&lt;&gt;"",$H33&lt;&gt;$AA33,IFERROR(VLOOKUP($H33,areaCercaPuntiClassificaSquadra,3,FALSE),-1)=IFERROR(VLOOKUP($AA33,areaCercaPuntiClassificaSquadra,3,FALSE),-2)),SUMIFS(Dati!$F$2:$F$761,Dati!$A$2:$A$761,$H33,Dati!$H$2:$H$761,$AA33)+SUMIFS(Dati!$M$2:$M$761,Dati!$H$2:$H$761,$H33,Dati!$A$2:$A$761,$AA33),"-")</f>
        <v/>
      </c>
      <c r="DL33" s="22">
        <f>IF(AND($H33&lt;&gt;"",$AB33&lt;&gt;"",$H33&lt;&gt;$AB33,IFERROR(VLOOKUP($H33,areaCercaPuntiClassificaSquadra,3,FALSE),-1)=IFERROR(VLOOKUP($AB33,areaCercaPuntiClassificaSquadra,3,FALSE),-2)),SUMIFS(Dati!$F$2:$F$761,Dati!$A$2:$A$761,$H33,Dati!$H$2:$H$761,$AB33)+SUMIFS(Dati!$M$2:$M$761,Dati!$H$2:$H$761,$H33,Dati!$A$2:$A$761,$AB33),"-")</f>
        <v/>
      </c>
      <c r="DM33" s="22">
        <f>IF(AND($H33&lt;&gt;"",$AC33&lt;&gt;"",$H33&lt;&gt;$AC33,IFERROR(VLOOKUP($H33,areaCercaPuntiClassificaSquadra,3,FALSE),-1)=IFERROR(VLOOKUP($AC33,areaCercaPuntiClassificaSquadra,3,FALSE),-2)),SUMIFS(Dati!$F$2:$F$761,Dati!$A$2:$A$761,$H33,Dati!$H$2:$H$761,$AC33)+SUMIFS(Dati!$M$2:$M$761,Dati!$H$2:$H$761,$H33,Dati!$A$2:$A$761,$AC33),"-")</f>
        <v/>
      </c>
      <c r="DN33" s="22">
        <f>IF(AND($H33&lt;&gt;"",$AD33&lt;&gt;"",$H33&lt;&gt;$AD33,IFERROR(VLOOKUP($H33,areaCercaPuntiClassificaSquadra,3,FALSE),-1)=IFERROR(VLOOKUP($AD33,areaCercaPuntiClassificaSquadra,3,FALSE),-2)),SUMIFS(Dati!$F$2:$F$761,Dati!$A$2:$A$761,$H33,Dati!$H$2:$H$761,$AD33)+SUMIFS(Dati!$M$2:$M$761,Dati!$H$2:$H$761,$H33,Dati!$A$2:$A$761,$AD33),"-")</f>
        <v/>
      </c>
      <c r="DO33" s="22">
        <f>IF(AND($H33&lt;&gt;"",$AE33&lt;&gt;"",$H33&lt;&gt;$AE33,IFERROR(VLOOKUP($H33,areaCercaPuntiClassificaSquadra,3,FALSE),-1)=IFERROR(VLOOKUP($AE33,areaCercaPuntiClassificaSquadra,3,FALSE),-2)),SUMIFS(Dati!$F$2:$F$761,Dati!$A$2:$A$761,$H33,Dati!$H$2:$H$761,$AE33)+SUMIFS(Dati!$M$2:$M$761,Dati!$H$2:$H$761,$H33,Dati!$A$2:$A$761,$AE33),"-")</f>
        <v/>
      </c>
      <c r="DP33" s="22">
        <f>IF(AND($H33&lt;&gt;"",$AF33&lt;&gt;"",$H33&lt;&gt;$AF33,IFERROR(VLOOKUP($H33,areaCercaPuntiClassificaSquadra,3,FALSE),-1)=IFERROR(VLOOKUP($AF33,areaCercaPuntiClassificaSquadra,3,FALSE),-2)),SUMIFS(Dati!$F$2:$F$761,Dati!$A$2:$A$761,$H33,Dati!$H$2:$H$761,$AF33)+SUMIFS(Dati!$M$2:$M$761,Dati!$H$2:$H$761,$H33,Dati!$A$2:$A$761,$AF33),"-")</f>
        <v/>
      </c>
      <c r="DQ33" s="22">
        <f>IF(AND($H33&lt;&gt;"",$AG33&lt;&gt;"",$H33&lt;&gt;$AG33,IFERROR(VLOOKUP($H33,areaCercaPuntiClassificaSquadra,3,FALSE),-1)=IFERROR(VLOOKUP($AG33,areaCercaPuntiClassificaSquadra,3,FALSE),-2)),SUMIFS(Dati!$F$2:$F$761,Dati!$A$2:$A$761,$H33,Dati!$H$2:$H$761,$AG33)+SUMIFS(Dati!$M$2:$M$761,Dati!$H$2:$H$761,$H33,Dati!$A$2:$A$761,$AG33),"-")</f>
        <v/>
      </c>
      <c r="DR33" s="22">
        <f>IF(AND($H33&lt;&gt;"",$AH33&lt;&gt;"",$H33&lt;&gt;$AH33,IFERROR(VLOOKUP($H33,areaCercaPuntiClassificaSquadra,3,FALSE),-1)=IFERROR(VLOOKUP($AH33,areaCercaPuntiClassificaSquadra,3,FALSE),-2)),SUMIFS(Dati!$F$2:$F$761,Dati!$A$2:$A$761,$H33,Dati!$H$2:$H$761,$AH33)+SUMIFS(Dati!$M$2:$M$761,Dati!$H$2:$H$761,$H33,Dati!$A$2:$A$761,$AH33),"-")</f>
        <v/>
      </c>
      <c r="DS33" s="22">
        <f>IF(AND($H33&lt;&gt;"",$AI33&lt;&gt;"",$H33&lt;&gt;$AI33,IFERROR(VLOOKUP($H33,areaCercaPuntiClassificaSquadra,3,FALSE),-1)=IFERROR(VLOOKUP($AI33,areaCercaPuntiClassificaSquadra,3,FALSE),-2)),SUMIFS(Dati!$F$2:$F$761,Dati!$A$2:$A$761,$H33,Dati!$H$2:$H$761,$AI33)+SUMIFS(Dati!$M$2:$M$761,Dati!$H$2:$H$761,$H33,Dati!$A$2:$A$761,$AI33),"-")</f>
        <v/>
      </c>
      <c r="DT33" s="22">
        <f>IF(AND($H33&lt;&gt;"",$AJ33&lt;&gt;"",$H33&lt;&gt;$AJ33,IFERROR(VLOOKUP($H33,areaCercaPuntiClassificaSquadra,3,FALSE),-1)=IFERROR(VLOOKUP($AJ33,areaCercaPuntiClassificaSquadra,3,FALSE),-2)),SUMIFS(Dati!$F$2:$F$761,Dati!$A$2:$A$761,$H33,Dati!$H$2:$H$761,$AJ33)+SUMIFS(Dati!$M$2:$M$761,Dati!$H$2:$H$761,$H33,Dati!$A$2:$A$761,$AJ33),"-")</f>
        <v/>
      </c>
      <c r="DU33" s="22">
        <f>IF(AND($H33&lt;&gt;"",$AK33&lt;&gt;"",$H33&lt;&gt;$AK33,IFERROR(VLOOKUP($H33,areaCercaPuntiClassificaSquadra,3,FALSE),-1)=IFERROR(VLOOKUP($AK33,areaCercaPuntiClassificaSquadra,3,FALSE),-2)),SUMIFS(Dati!$F$2:$F$761,Dati!$A$2:$A$761,$H33,Dati!$H$2:$H$761,$AK33)+SUMIFS(Dati!$M$2:$M$761,Dati!$H$2:$H$761,$H33,Dati!$A$2:$A$761,$AK33),"-")</f>
        <v/>
      </c>
      <c r="DV33" s="22">
        <f>IF(AND($H33&lt;&gt;"",$AL33&lt;&gt;"",$H33&lt;&gt;$AL33,IFERROR(VLOOKUP($H33,areaCercaPuntiClassificaSquadra,3,FALSE),-1)=IFERROR(VLOOKUP($AL33,areaCercaPuntiClassificaSquadra,3,FALSE),-2)),SUMIFS(Dati!$F$2:$F$761,Dati!$A$2:$A$761,$H33,Dati!$H$2:$H$761,$AL33)+SUMIFS(Dati!$M$2:$M$761,Dati!$H$2:$H$761,$H33,Dati!$A$2:$A$761,$AL33),"-")</f>
        <v/>
      </c>
      <c r="DW33" s="22">
        <f>IF(AND($H33&lt;&gt;"",$AM33&lt;&gt;"",$H33&lt;&gt;$AM33,IFERROR(VLOOKUP($H33,areaCercaPuntiClassificaSquadra,3,FALSE),-1)=IFERROR(VLOOKUP($AM33,areaCercaPuntiClassificaSquadra,3,FALSE),-2)),SUMIFS(Dati!$F$2:$F$761,Dati!$A$2:$A$761,$H33,Dati!$H$2:$H$761,$AM33)+SUMIFS(Dati!$M$2:$M$761,Dati!$H$2:$H$761,$H33,Dati!$A$2:$A$761,$AM33),"-")</f>
        <v/>
      </c>
      <c r="DX33" s="22">
        <f>IF(AND($H33&lt;&gt;"",$AN33&lt;&gt;"",$H33&lt;&gt;$AN33,IFERROR(VLOOKUP($H33,areaCercaPuntiClassificaSquadra,3,FALSE),-1)=IFERROR(VLOOKUP($AN33,areaCercaPuntiClassificaSquadra,3,FALSE),-2)),SUMIFS(Dati!$F$2:$F$761,Dati!$A$2:$A$761,$H33,Dati!$H$2:$H$761,$AN33)+SUMIFS(Dati!$M$2:$M$761,Dati!$H$2:$H$761,$H33,Dati!$A$2:$A$761,$AN33),"-")</f>
        <v/>
      </c>
      <c r="DY33" s="22">
        <f>IF(AND($H33&lt;&gt;"",$AO33&lt;&gt;"",$H33&lt;&gt;$AO33,IFERROR(VLOOKUP($H33,areaCercaPuntiClassificaSquadra,3,FALSE),-1)=IFERROR(VLOOKUP($AO33,areaCercaPuntiClassificaSquadra,3,FALSE),-2)),SUMIFS(Dati!$F$2:$F$761,Dati!$A$2:$A$761,$H33,Dati!$H$2:$H$761,$AO33)+SUMIFS(Dati!$M$2:$M$761,Dati!$H$2:$H$761,$H33,Dati!$A$2:$A$761,$AO33),"-")</f>
        <v/>
      </c>
      <c r="DZ33" s="22">
        <f>IF(AND($H33&lt;&gt;"",$AP33&lt;&gt;"",$H33&lt;&gt;$AP33,IFERROR(VLOOKUP($H33,areaCercaPuntiClassificaSquadra,3,FALSE),-1)=IFERROR(VLOOKUP($AP33,areaCercaPuntiClassificaSquadra,3,FALSE),-2)),SUMIFS(Dati!$F$2:$F$761,Dati!$A$2:$A$761,$H33,Dati!$H$2:$H$761,$AP33)+SUMIFS(Dati!$M$2:$M$761,Dati!$H$2:$H$761,$H33,Dati!$A$2:$A$761,$AP33),"-")</f>
        <v/>
      </c>
      <c r="EA33" s="22">
        <f>IF(AND($H33&lt;&gt;"",$AQ33&lt;&gt;"",$H33&lt;&gt;$AQ33,IFERROR(VLOOKUP($H33,areaCercaPuntiClassificaSquadra,3,FALSE),-1)=IFERROR(VLOOKUP($AQ33,areaCercaPuntiClassificaSquadra,3,FALSE),-2)),SUMIFS(Dati!$F$2:$F$761,Dati!$A$2:$A$761,$H33,Dati!$H$2:$H$761,$AQ33)+SUMIFS(Dati!$M$2:$M$761,Dati!$H$2:$H$761,$H33,Dati!$A$2:$A$761,$AQ33),"-")</f>
        <v/>
      </c>
      <c r="EB33" s="22">
        <f>IF(AND($H33&lt;&gt;"",$AR33&lt;&gt;"",$H33&lt;&gt;$AR33,IFERROR(VLOOKUP($H33,areaCercaPuntiClassificaSquadra,3,FALSE),-1)=IFERROR(VLOOKUP($AR33,areaCercaPuntiClassificaSquadra,3,FALSE),-2)),SUMIFS(Dati!$F$2:$F$761,Dati!$A$2:$A$761,$H33,Dati!$H$2:$H$761,$AR33)+SUMIFS(Dati!$M$2:$M$761,Dati!$H$2:$H$761,$H33,Dati!$A$2:$A$761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inlineStr">
        <is>
          <t>Delfini Docili-Delfiniopoli DA</t>
        </is>
      </c>
      <c r="D34" s="14" t="n"/>
      <c r="E34" s="23" t="inlineStr">
        <is>
          <t>B</t>
        </is>
      </c>
      <c r="G34" s="24">
        <f>IF($C34="","",$E34&amp;(COUNTIFS(I$14:I$93,"&gt;"&amp;I34,E$14:E$93,"="&amp;E34,C$14:C$93,"&lt;&gt;")+COUNTIFS(I$14:I$93,"="&amp;I34,H$14:H$93,"&lt;="&amp;H34,E$14:E$93,"="&amp;E34,C$14:C$93,"&lt;&gt;")))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L34*constPuntiVittoria+M34*constPuntiSconfitta+N34*constPuntiForfait+IF(D34="",0,D34)</f>
        <v/>
      </c>
      <c r="K34" s="12">
        <f>SUM(L34:N34)</f>
        <v/>
      </c>
      <c r="L34" s="12">
        <f>IF($H34="",0,SUMIF(Dati!$A$2:$A$761,$H34,Dati!$B$2:$B$761)+SUMIF(Dati!$H$2:$H$761,$H34,Dati!$I$2:$I$761))</f>
        <v/>
      </c>
      <c r="M34" s="12">
        <f>IF($H34="",0,SUMIF(Dati!$A$2:$A$761,$H34,Dati!$D$2:$D$761)+SUMIF(Dati!$H$2:$H$761,$H34,Dati!$K$2:$K$761))</f>
        <v/>
      </c>
      <c r="N34" s="12">
        <f>IF($H34="",0,SUMIF(Dati!$A$2:$A$761,$H34,Dati!$C$2:$C$761)+SUMIF(Dati!$H$2:$H$761,$H34,Dati!$J$2:$J$761))</f>
        <v/>
      </c>
      <c r="O34" s="12">
        <f>IF($H34="",0,SUMIF(Dati!$A$2:$A$761,$H34,Dati!$E$2:$E$761)+SUMIF(Dati!$H$2:$H$761,$H34,Dati!$L$2:$L$761))</f>
        <v/>
      </c>
      <c r="P34" s="12">
        <f>IF($H34="",0,SUMIF(Dati!$A$2:$A$761,$H34,Dati!$F$2:$F$761)+SUMIF(Dati!$H$2:$H$761,$H34,Dati!$M$2:$M$761))</f>
        <v/>
      </c>
      <c r="Q34" s="12">
        <f>IF($H34="",0,SUMIF(Dati!$A$2:$A$761,$H34,Dati!$G$2:$G$761)+SUMIF(Dati!$H$2:$H$761,$H34,Dati!$N$2:$N$761))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IF(COUNTIFS($E$14:$E$93,$E34,$J$14:$J$93,$J34,$C$14:$C$93,"&lt;&gt;")&lt;=1,"-",SUM(AU34:BN34)&amp;"-"&amp;SUM(BQ34:CJ34))</f>
        <v/>
      </c>
      <c r="V34" s="18">
        <f>IF(COUNTIFS($E$14:$E$93,$E34,$J$14:$J$93,$J34,$C$14:$C$93,"&lt;&gt;",$ED$14:$ED$93,$ED34)&lt;=1,"-",IF(SUM(DI34:EB34)=0,0,ROUND(SUM(CM34:DF34)/SUM(DI34:EB34),3)))</f>
        <v/>
      </c>
      <c r="W34" s="18">
        <f>IF(COUNTIFS($E$14:$E$93,$E34,$J$14:$J$93,$J34,$C$14:$C$93,"&lt;&gt;",$ED$14:$ED$93,$ED34,$V$14:$V$93,$V34)&lt;=1,"-",IF(P34=0,0,ROUND(O34/P34,3)))</f>
        <v/>
      </c>
      <c r="X34" s="19">
        <f>IF($C34="","",$E34&amp;"#"&amp;COUNTIFS($E$14:$E34,$E34,$C$14:$C34,"&lt;&gt;"))</f>
        <v/>
      </c>
      <c r="Y34" s="20">
        <f>IFERROR(INDEX($H$14:$H$93,MATCH($E34&amp;"#1",$X$14:$X$93,0)),"")</f>
        <v/>
      </c>
      <c r="Z34" s="20">
        <f>IFERROR(INDEX($H$14:$H$93,MATCH($E34&amp;"#2",$X$14:$X$93,0)),"")</f>
        <v/>
      </c>
      <c r="AA34" s="20">
        <f>IFERROR(INDEX($H$14:$H$93,MATCH($E34&amp;"#3",$X$14:$X$93,0)),"")</f>
        <v/>
      </c>
      <c r="AB34" s="20">
        <f>IFERROR(INDEX($H$14:$H$93,MATCH($E34&amp;"#4",$X$14:$X$93,0)),"")</f>
        <v/>
      </c>
      <c r="AC34" s="20">
        <f>IFERROR(INDEX($H$14:$H$93,MATCH($E34&amp;"#5",$X$14:$X$93,0)),"")</f>
        <v/>
      </c>
      <c r="AD34" s="20">
        <f>IFERROR(INDEX($H$14:$H$93,MATCH($E34&amp;"#6",$X$14:$X$93,0)),"")</f>
        <v/>
      </c>
      <c r="AE34" s="20">
        <f>IFERROR(INDEX($H$14:$H$93,MATCH($E34&amp;"#7",$X$14:$X$93,0)),"")</f>
        <v/>
      </c>
      <c r="AF34" s="20">
        <f>IFERROR(INDEX($H$14:$H$93,MATCH($E34&amp;"#8",$X$14:$X$93,0)),"")</f>
        <v/>
      </c>
      <c r="AG34" s="20">
        <f>IFERROR(INDEX($H$14:$H$93,MATCH($E34&amp;"#9",$X$14:$X$93,0)),"")</f>
        <v/>
      </c>
      <c r="AH34" s="20">
        <f>IFERROR(INDEX($H$14:$H$93,MATCH($E34&amp;"#10",$X$14:$X$93,0)),"")</f>
        <v/>
      </c>
      <c r="AI34" s="20">
        <f>IFERROR(INDEX($H$14:$H$93,MATCH($E34&amp;"#11",$X$14:$X$93,0)),"")</f>
        <v/>
      </c>
      <c r="AJ34" s="20">
        <f>IFERROR(INDEX($H$14:$H$93,MATCH($E34&amp;"#12",$X$14:$X$93,0)),"")</f>
        <v/>
      </c>
      <c r="AK34" s="20">
        <f>IFERROR(INDEX($H$14:$H$93,MATCH($E34&amp;"#13",$X$14:$X$93,0)),"")</f>
        <v/>
      </c>
      <c r="AL34" s="20">
        <f>IFERROR(INDEX($H$14:$H$93,MATCH($E34&amp;"#14",$X$14:$X$93,0)),"")</f>
        <v/>
      </c>
      <c r="AM34" s="20">
        <f>IFERROR(INDEX($H$14:$H$93,MATCH($E34&amp;"#15",$X$14:$X$93,0)),"")</f>
        <v/>
      </c>
      <c r="AN34" s="20">
        <f>IFERROR(INDEX($H$14:$H$93,MATCH($E34&amp;"#16",$X$14:$X$93,0)),"")</f>
        <v/>
      </c>
      <c r="AO34" s="20">
        <f>IFERROR(INDEX($H$14:$H$93,MATCH($E34&amp;"#17",$X$14:$X$93,0)),"")</f>
        <v/>
      </c>
      <c r="AP34" s="20">
        <f>IFERROR(INDEX($H$14:$H$93,MATCH($E34&amp;"#18",$X$14:$X$93,0)),"")</f>
        <v/>
      </c>
      <c r="AQ34" s="20">
        <f>IFERROR(INDEX($H$14:$H$93,MATCH($E34&amp;"#19",$X$14:$X$93,0)),"")</f>
        <v/>
      </c>
      <c r="AR34" s="20">
        <f>IFERROR(INDEX($H$14:$H$93,MATCH($E34&amp;"#20",$X$14:$X$93,0)),"")</f>
        <v/>
      </c>
      <c r="AT34" s="21">
        <f>$C34</f>
        <v/>
      </c>
      <c r="AU34" s="22">
        <f>IF(AND($H34&lt;&gt;"",$Y34&lt;&gt;"",$H34&lt;&gt;$Y34,IFERROR(VLOOKUP($H34,areaCercaPuntiClassificaSquadra,3,FALSE),-1)=IFERROR(VLOOKUP($Y34,areaCercaPuntiClassificaSquadra,3,FALSE),-2)),SUMIFS(Dati!$B$2:$B$761,Dati!$A$2:$A$761,$H34,Dati!$H$2:$H$761,$Y34)+SUMIFS(Dati!$I$2:$I$761,Dati!$H$2:$H$761,$H34,Dati!$A$2:$A$761,$Y34),"-")</f>
        <v/>
      </c>
      <c r="AV34" s="22">
        <f>IF(AND($H34&lt;&gt;"",$Z34&lt;&gt;"",$H34&lt;&gt;$Z34,IFERROR(VLOOKUP($H34,areaCercaPuntiClassificaSquadra,3,FALSE),-1)=IFERROR(VLOOKUP($Z34,areaCercaPuntiClassificaSquadra,3,FALSE),-2)),SUMIFS(Dati!$B$2:$B$761,Dati!$A$2:$A$761,$H34,Dati!$H$2:$H$761,$Z34)+SUMIFS(Dati!$I$2:$I$761,Dati!$H$2:$H$761,$H34,Dati!$A$2:$A$761,$Z34),"-")</f>
        <v/>
      </c>
      <c r="AW34" s="22">
        <f>IF(AND($H34&lt;&gt;"",$AA34&lt;&gt;"",$H34&lt;&gt;$AA34,IFERROR(VLOOKUP($H34,areaCercaPuntiClassificaSquadra,3,FALSE),-1)=IFERROR(VLOOKUP($AA34,areaCercaPuntiClassificaSquadra,3,FALSE),-2)),SUMIFS(Dati!$B$2:$B$761,Dati!$A$2:$A$761,$H34,Dati!$H$2:$H$761,$AA34)+SUMIFS(Dati!$I$2:$I$761,Dati!$H$2:$H$761,$H34,Dati!$A$2:$A$761,$AA34),"-")</f>
        <v/>
      </c>
      <c r="AX34" s="22">
        <f>IF(AND($H34&lt;&gt;"",$AB34&lt;&gt;"",$H34&lt;&gt;$AB34,IFERROR(VLOOKUP($H34,areaCercaPuntiClassificaSquadra,3,FALSE),-1)=IFERROR(VLOOKUP($AB34,areaCercaPuntiClassificaSquadra,3,FALSE),-2)),SUMIFS(Dati!$B$2:$B$761,Dati!$A$2:$A$761,$H34,Dati!$H$2:$H$761,$AB34)+SUMIFS(Dati!$I$2:$I$761,Dati!$H$2:$H$761,$H34,Dati!$A$2:$A$761,$AB34),"-")</f>
        <v/>
      </c>
      <c r="AY34" s="22">
        <f>IF(AND($H34&lt;&gt;"",$AC34&lt;&gt;"",$H34&lt;&gt;$AC34,IFERROR(VLOOKUP($H34,areaCercaPuntiClassificaSquadra,3,FALSE),-1)=IFERROR(VLOOKUP($AC34,areaCercaPuntiClassificaSquadra,3,FALSE),-2)),SUMIFS(Dati!$B$2:$B$761,Dati!$A$2:$A$761,$H34,Dati!$H$2:$H$761,$AC34)+SUMIFS(Dati!$I$2:$I$761,Dati!$H$2:$H$761,$H34,Dati!$A$2:$A$761,$AC34),"-")</f>
        <v/>
      </c>
      <c r="AZ34" s="22">
        <f>IF(AND($H34&lt;&gt;"",$AD34&lt;&gt;"",$H34&lt;&gt;$AD34,IFERROR(VLOOKUP($H34,areaCercaPuntiClassificaSquadra,3,FALSE),-1)=IFERROR(VLOOKUP($AD34,areaCercaPuntiClassificaSquadra,3,FALSE),-2)),SUMIFS(Dati!$B$2:$B$761,Dati!$A$2:$A$761,$H34,Dati!$H$2:$H$761,$AD34)+SUMIFS(Dati!$I$2:$I$761,Dati!$H$2:$H$761,$H34,Dati!$A$2:$A$761,$AD34),"-")</f>
        <v/>
      </c>
      <c r="BA34" s="22">
        <f>IF(AND($H34&lt;&gt;"",$AE34&lt;&gt;"",$H34&lt;&gt;$AE34,IFERROR(VLOOKUP($H34,areaCercaPuntiClassificaSquadra,3,FALSE),-1)=IFERROR(VLOOKUP($AE34,areaCercaPuntiClassificaSquadra,3,FALSE),-2)),SUMIFS(Dati!$B$2:$B$761,Dati!$A$2:$A$761,$H34,Dati!$H$2:$H$761,$AE34)+SUMIFS(Dati!$I$2:$I$761,Dati!$H$2:$H$761,$H34,Dati!$A$2:$A$761,$AE34),"-")</f>
        <v/>
      </c>
      <c r="BB34" s="22">
        <f>IF(AND($H34&lt;&gt;"",$AF34&lt;&gt;"",$H34&lt;&gt;$AF34,IFERROR(VLOOKUP($H34,areaCercaPuntiClassificaSquadra,3,FALSE),-1)=IFERROR(VLOOKUP($AF34,areaCercaPuntiClassificaSquadra,3,FALSE),-2)),SUMIFS(Dati!$B$2:$B$761,Dati!$A$2:$A$761,$H34,Dati!$H$2:$H$761,$AF34)+SUMIFS(Dati!$I$2:$I$761,Dati!$H$2:$H$761,$H34,Dati!$A$2:$A$761,$AF34),"-")</f>
        <v/>
      </c>
      <c r="BC34" s="22">
        <f>IF(AND($H34&lt;&gt;"",$AG34&lt;&gt;"",$H34&lt;&gt;$AG34,IFERROR(VLOOKUP($H34,areaCercaPuntiClassificaSquadra,3,FALSE),-1)=IFERROR(VLOOKUP($AG34,areaCercaPuntiClassificaSquadra,3,FALSE),-2)),SUMIFS(Dati!$B$2:$B$761,Dati!$A$2:$A$761,$H34,Dati!$H$2:$H$761,$AG34)+SUMIFS(Dati!$I$2:$I$761,Dati!$H$2:$H$761,$H34,Dati!$A$2:$A$761,$AG34),"-")</f>
        <v/>
      </c>
      <c r="BD34" s="22">
        <f>IF(AND($H34&lt;&gt;"",$AH34&lt;&gt;"",$H34&lt;&gt;$AH34,IFERROR(VLOOKUP($H34,areaCercaPuntiClassificaSquadra,3,FALSE),-1)=IFERROR(VLOOKUP($AH34,areaCercaPuntiClassificaSquadra,3,FALSE),-2)),SUMIFS(Dati!$B$2:$B$761,Dati!$A$2:$A$761,$H34,Dati!$H$2:$H$761,$AH34)+SUMIFS(Dati!$I$2:$I$761,Dati!$H$2:$H$761,$H34,Dati!$A$2:$A$761,$AH34),"-")</f>
        <v/>
      </c>
      <c r="BE34" s="22">
        <f>IF(AND($H34&lt;&gt;"",$AI34&lt;&gt;"",$H34&lt;&gt;$AI34,IFERROR(VLOOKUP($H34,areaCercaPuntiClassificaSquadra,3,FALSE),-1)=IFERROR(VLOOKUP($AI34,areaCercaPuntiClassificaSquadra,3,FALSE),-2)),SUMIFS(Dati!$B$2:$B$761,Dati!$A$2:$A$761,$H34,Dati!$H$2:$H$761,$AI34)+SUMIFS(Dati!$I$2:$I$761,Dati!$H$2:$H$761,$H34,Dati!$A$2:$A$761,$AI34),"-")</f>
        <v/>
      </c>
      <c r="BF34" s="22">
        <f>IF(AND($H34&lt;&gt;"",$AJ34&lt;&gt;"",$H34&lt;&gt;$AJ34,IFERROR(VLOOKUP($H34,areaCercaPuntiClassificaSquadra,3,FALSE),-1)=IFERROR(VLOOKUP($AJ34,areaCercaPuntiClassificaSquadra,3,FALSE),-2)),SUMIFS(Dati!$B$2:$B$761,Dati!$A$2:$A$761,$H34,Dati!$H$2:$H$761,$AJ34)+SUMIFS(Dati!$I$2:$I$761,Dati!$H$2:$H$761,$H34,Dati!$A$2:$A$761,$AJ34),"-")</f>
        <v/>
      </c>
      <c r="BG34" s="22">
        <f>IF(AND($H34&lt;&gt;"",$AK34&lt;&gt;"",$H34&lt;&gt;$AK34,IFERROR(VLOOKUP($H34,areaCercaPuntiClassificaSquadra,3,FALSE),-1)=IFERROR(VLOOKUP($AK34,areaCercaPuntiClassificaSquadra,3,FALSE),-2)),SUMIFS(Dati!$B$2:$B$761,Dati!$A$2:$A$761,$H34,Dati!$H$2:$H$761,$AK34)+SUMIFS(Dati!$I$2:$I$761,Dati!$H$2:$H$761,$H34,Dati!$A$2:$A$761,$AK34),"-")</f>
        <v/>
      </c>
      <c r="BH34" s="22">
        <f>IF(AND($H34&lt;&gt;"",$AL34&lt;&gt;"",$H34&lt;&gt;$AL34,IFERROR(VLOOKUP($H34,areaCercaPuntiClassificaSquadra,3,FALSE),-1)=IFERROR(VLOOKUP($AL34,areaCercaPuntiClassificaSquadra,3,FALSE),-2)),SUMIFS(Dati!$B$2:$B$761,Dati!$A$2:$A$761,$H34,Dati!$H$2:$H$761,$AL34)+SUMIFS(Dati!$I$2:$I$761,Dati!$H$2:$H$761,$H34,Dati!$A$2:$A$761,$AL34),"-")</f>
        <v/>
      </c>
      <c r="BI34" s="22">
        <f>IF(AND($H34&lt;&gt;"",$AM34&lt;&gt;"",$H34&lt;&gt;$AM34,IFERROR(VLOOKUP($H34,areaCercaPuntiClassificaSquadra,3,FALSE),-1)=IFERROR(VLOOKUP($AM34,areaCercaPuntiClassificaSquadra,3,FALSE),-2)),SUMIFS(Dati!$B$2:$B$761,Dati!$A$2:$A$761,$H34,Dati!$H$2:$H$761,$AM34)+SUMIFS(Dati!$I$2:$I$761,Dati!$H$2:$H$761,$H34,Dati!$A$2:$A$761,$AM34),"-")</f>
        <v/>
      </c>
      <c r="BJ34" s="22">
        <f>IF(AND($H34&lt;&gt;"",$AN34&lt;&gt;"",$H34&lt;&gt;$AN34,IFERROR(VLOOKUP($H34,areaCercaPuntiClassificaSquadra,3,FALSE),-1)=IFERROR(VLOOKUP($AN34,areaCercaPuntiClassificaSquadra,3,FALSE),-2)),SUMIFS(Dati!$B$2:$B$761,Dati!$A$2:$A$761,$H34,Dati!$H$2:$H$761,$AN34)+SUMIFS(Dati!$I$2:$I$761,Dati!$H$2:$H$761,$H34,Dati!$A$2:$A$761,$AN34),"-")</f>
        <v/>
      </c>
      <c r="BK34" s="22">
        <f>IF(AND($H34&lt;&gt;"",$AO34&lt;&gt;"",$H34&lt;&gt;$AO34,IFERROR(VLOOKUP($H34,areaCercaPuntiClassificaSquadra,3,FALSE),-1)=IFERROR(VLOOKUP($AO34,areaCercaPuntiClassificaSquadra,3,FALSE),-2)),SUMIFS(Dati!$B$2:$B$761,Dati!$A$2:$A$761,$H34,Dati!$H$2:$H$761,$AO34)+SUMIFS(Dati!$I$2:$I$761,Dati!$H$2:$H$761,$H34,Dati!$A$2:$A$761,$AO34),"-")</f>
        <v/>
      </c>
      <c r="BL34" s="22">
        <f>IF(AND($H34&lt;&gt;"",$AP34&lt;&gt;"",$H34&lt;&gt;$AP34,IFERROR(VLOOKUP($H34,areaCercaPuntiClassificaSquadra,3,FALSE),-1)=IFERROR(VLOOKUP($AP34,areaCercaPuntiClassificaSquadra,3,FALSE),-2)),SUMIFS(Dati!$B$2:$B$761,Dati!$A$2:$A$761,$H34,Dati!$H$2:$H$761,$AP34)+SUMIFS(Dati!$I$2:$I$761,Dati!$H$2:$H$761,$H34,Dati!$A$2:$A$761,$AP34),"-")</f>
        <v/>
      </c>
      <c r="BM34" s="22">
        <f>IF(AND($H34&lt;&gt;"",$AQ34&lt;&gt;"",$H34&lt;&gt;$AQ34,IFERROR(VLOOKUP($H34,areaCercaPuntiClassificaSquadra,3,FALSE),-1)=IFERROR(VLOOKUP($AQ34,areaCercaPuntiClassificaSquadra,3,FALSE),-2)),SUMIFS(Dati!$B$2:$B$761,Dati!$A$2:$A$761,$H34,Dati!$H$2:$H$761,$AQ34)+SUMIFS(Dati!$I$2:$I$761,Dati!$H$2:$H$761,$H34,Dati!$A$2:$A$761,$AQ34),"-")</f>
        <v/>
      </c>
      <c r="BN34" s="22">
        <f>IF(AND($H34&lt;&gt;"",$AR34&lt;&gt;"",$H34&lt;&gt;$AR34,IFERROR(VLOOKUP($H34,areaCercaPuntiClassificaSquadra,3,FALSE),-1)=IFERROR(VLOOKUP($AR34,areaCercaPuntiClassificaSquadra,3,FALSE),-2)),SUMIFS(Dati!$B$2:$B$761,Dati!$A$2:$A$761,$H34,Dati!$H$2:$H$761,$AR34)+SUMIFS(Dati!$I$2:$I$761,Dati!$H$2:$H$761,$H34,Dati!$A$2:$A$761,$AR34),"-")</f>
        <v/>
      </c>
      <c r="BP34" s="21">
        <f>$C34</f>
        <v/>
      </c>
      <c r="BQ34" s="22">
        <f>IF(AND($H34&lt;&gt;"",$Y34&lt;&gt;"",$H34&lt;&gt;$Y34,IFERROR(VLOOKUP($H34,areaCercaPuntiClassificaSquadra,3,FALSE),-1)=IFERROR(VLOOKUP($Y34,areaCercaPuntiClassificaSquadra,3,FALSE),-2)),SUMIFS(Dati!$D$2:$D$761,Dati!$A$2:$A$761,$H34,Dati!$H$2:$H$761,$Y34)+SUMIFS(Dati!$K$2:$K$761,Dati!$H$2:$H$761,$H34,Dati!$A$2:$A$761,$Y34)+SUMIFS(Dati!$C$2:$C$761,Dati!$A$2:$A$761,$H34,Dati!$H$2:$H$761,$Y34)+SUMIFS(Dati!$J$2:$J$761,Dati!$H$2:$H$761,$H34,Dati!$A$2:$A$761,$Y34),"-")</f>
        <v/>
      </c>
      <c r="BR34" s="22">
        <f>IF(AND($H34&lt;&gt;"",$Z34&lt;&gt;"",$H34&lt;&gt;$Z34,IFERROR(VLOOKUP($H34,areaCercaPuntiClassificaSquadra,3,FALSE),-1)=IFERROR(VLOOKUP($Z34,areaCercaPuntiClassificaSquadra,3,FALSE),-2)),SUMIFS(Dati!$D$2:$D$761,Dati!$A$2:$A$761,$H34,Dati!$H$2:$H$761,$Z34)+SUMIFS(Dati!$K$2:$K$761,Dati!$H$2:$H$761,$H34,Dati!$A$2:$A$761,$Z34)+SUMIFS(Dati!$C$2:$C$761,Dati!$A$2:$A$761,$H34,Dati!$H$2:$H$761,$Z34)+SUMIFS(Dati!$J$2:$J$761,Dati!$H$2:$H$761,$H34,Dati!$A$2:$A$761,$Z34),"-")</f>
        <v/>
      </c>
      <c r="BS34" s="22">
        <f>IF(AND($H34&lt;&gt;"",$AA34&lt;&gt;"",$H34&lt;&gt;$AA34,IFERROR(VLOOKUP($H34,areaCercaPuntiClassificaSquadra,3,FALSE),-1)=IFERROR(VLOOKUP($AA34,areaCercaPuntiClassificaSquadra,3,FALSE),-2)),SUMIFS(Dati!$D$2:$D$761,Dati!$A$2:$A$761,$H34,Dati!$H$2:$H$761,$AA34)+SUMIFS(Dati!$K$2:$K$761,Dati!$H$2:$H$761,$H34,Dati!$A$2:$A$761,$AA34)+SUMIFS(Dati!$C$2:$C$761,Dati!$A$2:$A$761,$H34,Dati!$H$2:$H$761,$AA34)+SUMIFS(Dati!$J$2:$J$761,Dati!$H$2:$H$761,$H34,Dati!$A$2:$A$761,$AA34),"-")</f>
        <v/>
      </c>
      <c r="BT34" s="22">
        <f>IF(AND($H34&lt;&gt;"",$AB34&lt;&gt;"",$H34&lt;&gt;$AB34,IFERROR(VLOOKUP($H34,areaCercaPuntiClassificaSquadra,3,FALSE),-1)=IFERROR(VLOOKUP($AB34,areaCercaPuntiClassificaSquadra,3,FALSE),-2)),SUMIFS(Dati!$D$2:$D$761,Dati!$A$2:$A$761,$H34,Dati!$H$2:$H$761,$AB34)+SUMIFS(Dati!$K$2:$K$761,Dati!$H$2:$H$761,$H34,Dati!$A$2:$A$761,$AB34)+SUMIFS(Dati!$C$2:$C$761,Dati!$A$2:$A$761,$H34,Dati!$H$2:$H$761,$AB34)+SUMIFS(Dati!$J$2:$J$761,Dati!$H$2:$H$761,$H34,Dati!$A$2:$A$761,$AB34),"-")</f>
        <v/>
      </c>
      <c r="BU34" s="22">
        <f>IF(AND($H34&lt;&gt;"",$AC34&lt;&gt;"",$H34&lt;&gt;$AC34,IFERROR(VLOOKUP($H34,areaCercaPuntiClassificaSquadra,3,FALSE),-1)=IFERROR(VLOOKUP($AC34,areaCercaPuntiClassificaSquadra,3,FALSE),-2)),SUMIFS(Dati!$D$2:$D$761,Dati!$A$2:$A$761,$H34,Dati!$H$2:$H$761,$AC34)+SUMIFS(Dati!$K$2:$K$761,Dati!$H$2:$H$761,$H34,Dati!$A$2:$A$761,$AC34)+SUMIFS(Dati!$C$2:$C$761,Dati!$A$2:$A$761,$H34,Dati!$H$2:$H$761,$AC34)+SUMIFS(Dati!$J$2:$J$761,Dati!$H$2:$H$761,$H34,Dati!$A$2:$A$761,$AC34),"-")</f>
        <v/>
      </c>
      <c r="BV34" s="22">
        <f>IF(AND($H34&lt;&gt;"",$AD34&lt;&gt;"",$H34&lt;&gt;$AD34,IFERROR(VLOOKUP($H34,areaCercaPuntiClassificaSquadra,3,FALSE),-1)=IFERROR(VLOOKUP($AD34,areaCercaPuntiClassificaSquadra,3,FALSE),-2)),SUMIFS(Dati!$D$2:$D$761,Dati!$A$2:$A$761,$H34,Dati!$H$2:$H$761,$AD34)+SUMIFS(Dati!$K$2:$K$761,Dati!$H$2:$H$761,$H34,Dati!$A$2:$A$761,$AD34)+SUMIFS(Dati!$C$2:$C$761,Dati!$A$2:$A$761,$H34,Dati!$H$2:$H$761,$AD34)+SUMIFS(Dati!$J$2:$J$761,Dati!$H$2:$H$761,$H34,Dati!$A$2:$A$761,$AD34),"-")</f>
        <v/>
      </c>
      <c r="BW34" s="22">
        <f>IF(AND($H34&lt;&gt;"",$AE34&lt;&gt;"",$H34&lt;&gt;$AE34,IFERROR(VLOOKUP($H34,areaCercaPuntiClassificaSquadra,3,FALSE),-1)=IFERROR(VLOOKUP($AE34,areaCercaPuntiClassificaSquadra,3,FALSE),-2)),SUMIFS(Dati!$D$2:$D$761,Dati!$A$2:$A$761,$H34,Dati!$H$2:$H$761,$AE34)+SUMIFS(Dati!$K$2:$K$761,Dati!$H$2:$H$761,$H34,Dati!$A$2:$A$761,$AE34)+SUMIFS(Dati!$C$2:$C$761,Dati!$A$2:$A$761,$H34,Dati!$H$2:$H$761,$AE34)+SUMIFS(Dati!$J$2:$J$761,Dati!$H$2:$H$761,$H34,Dati!$A$2:$A$761,$AE34),"-")</f>
        <v/>
      </c>
      <c r="BX34" s="22">
        <f>IF(AND($H34&lt;&gt;"",$AF34&lt;&gt;"",$H34&lt;&gt;$AF34,IFERROR(VLOOKUP($H34,areaCercaPuntiClassificaSquadra,3,FALSE),-1)=IFERROR(VLOOKUP($AF34,areaCercaPuntiClassificaSquadra,3,FALSE),-2)),SUMIFS(Dati!$D$2:$D$761,Dati!$A$2:$A$761,$H34,Dati!$H$2:$H$761,$AF34)+SUMIFS(Dati!$K$2:$K$761,Dati!$H$2:$H$761,$H34,Dati!$A$2:$A$761,$AF34)+SUMIFS(Dati!$C$2:$C$761,Dati!$A$2:$A$761,$H34,Dati!$H$2:$H$761,$AF34)+SUMIFS(Dati!$J$2:$J$761,Dati!$H$2:$H$761,$H34,Dati!$A$2:$A$761,$AF34),"-")</f>
        <v/>
      </c>
      <c r="BY34" s="22">
        <f>IF(AND($H34&lt;&gt;"",$AG34&lt;&gt;"",$H34&lt;&gt;$AG34,IFERROR(VLOOKUP($H34,areaCercaPuntiClassificaSquadra,3,FALSE),-1)=IFERROR(VLOOKUP($AG34,areaCercaPuntiClassificaSquadra,3,FALSE),-2)),SUMIFS(Dati!$D$2:$D$761,Dati!$A$2:$A$761,$H34,Dati!$H$2:$H$761,$AG34)+SUMIFS(Dati!$K$2:$K$761,Dati!$H$2:$H$761,$H34,Dati!$A$2:$A$761,$AG34)+SUMIFS(Dati!$C$2:$C$761,Dati!$A$2:$A$761,$H34,Dati!$H$2:$H$761,$AG34)+SUMIFS(Dati!$J$2:$J$761,Dati!$H$2:$H$761,$H34,Dati!$A$2:$A$761,$AG34),"-")</f>
        <v/>
      </c>
      <c r="BZ34" s="22">
        <f>IF(AND($H34&lt;&gt;"",$AH34&lt;&gt;"",$H34&lt;&gt;$AH34,IFERROR(VLOOKUP($H34,areaCercaPuntiClassificaSquadra,3,FALSE),-1)=IFERROR(VLOOKUP($AH34,areaCercaPuntiClassificaSquadra,3,FALSE),-2)),SUMIFS(Dati!$D$2:$D$761,Dati!$A$2:$A$761,$H34,Dati!$H$2:$H$761,$AH34)+SUMIFS(Dati!$K$2:$K$761,Dati!$H$2:$H$761,$H34,Dati!$A$2:$A$761,$AH34)+SUMIFS(Dati!$C$2:$C$761,Dati!$A$2:$A$761,$H34,Dati!$H$2:$H$761,$AH34)+SUMIFS(Dati!$J$2:$J$761,Dati!$H$2:$H$761,$H34,Dati!$A$2:$A$761,$AH34),"-")</f>
        <v/>
      </c>
      <c r="CA34" s="22">
        <f>IF(AND($H34&lt;&gt;"",$AI34&lt;&gt;"",$H34&lt;&gt;$AI34,IFERROR(VLOOKUP($H34,areaCercaPuntiClassificaSquadra,3,FALSE),-1)=IFERROR(VLOOKUP($AI34,areaCercaPuntiClassificaSquadra,3,FALSE),-2)),SUMIFS(Dati!$D$2:$D$761,Dati!$A$2:$A$761,$H34,Dati!$H$2:$H$761,$AI34)+SUMIFS(Dati!$K$2:$K$761,Dati!$H$2:$H$761,$H34,Dati!$A$2:$A$761,$AI34)+SUMIFS(Dati!$C$2:$C$761,Dati!$A$2:$A$761,$H34,Dati!$H$2:$H$761,$AI34)+SUMIFS(Dati!$J$2:$J$761,Dati!$H$2:$H$761,$H34,Dati!$A$2:$A$761,$AI34),"-")</f>
        <v/>
      </c>
      <c r="CB34" s="22">
        <f>IF(AND($H34&lt;&gt;"",$AJ34&lt;&gt;"",$H34&lt;&gt;$AJ34,IFERROR(VLOOKUP($H34,areaCercaPuntiClassificaSquadra,3,FALSE),-1)=IFERROR(VLOOKUP($AJ34,areaCercaPuntiClassificaSquadra,3,FALSE),-2)),SUMIFS(Dati!$D$2:$D$761,Dati!$A$2:$A$761,$H34,Dati!$H$2:$H$761,$AJ34)+SUMIFS(Dati!$K$2:$K$761,Dati!$H$2:$H$761,$H34,Dati!$A$2:$A$761,$AJ34)+SUMIFS(Dati!$C$2:$C$761,Dati!$A$2:$A$761,$H34,Dati!$H$2:$H$761,$AJ34)+SUMIFS(Dati!$J$2:$J$761,Dati!$H$2:$H$761,$H34,Dati!$A$2:$A$761,$AJ34),"-")</f>
        <v/>
      </c>
      <c r="CC34" s="22">
        <f>IF(AND($H34&lt;&gt;"",$AK34&lt;&gt;"",$H34&lt;&gt;$AK34,IFERROR(VLOOKUP($H34,areaCercaPuntiClassificaSquadra,3,FALSE),-1)=IFERROR(VLOOKUP($AK34,areaCercaPuntiClassificaSquadra,3,FALSE),-2)),SUMIFS(Dati!$D$2:$D$761,Dati!$A$2:$A$761,$H34,Dati!$H$2:$H$761,$AK34)+SUMIFS(Dati!$K$2:$K$761,Dati!$H$2:$H$761,$H34,Dati!$A$2:$A$761,$AK34)+SUMIFS(Dati!$C$2:$C$761,Dati!$A$2:$A$761,$H34,Dati!$H$2:$H$761,$AK34)+SUMIFS(Dati!$J$2:$J$761,Dati!$H$2:$H$761,$H34,Dati!$A$2:$A$761,$AK34),"-")</f>
        <v/>
      </c>
      <c r="CD34" s="22">
        <f>IF(AND($H34&lt;&gt;"",$AL34&lt;&gt;"",$H34&lt;&gt;$AL34,IFERROR(VLOOKUP($H34,areaCercaPuntiClassificaSquadra,3,FALSE),-1)=IFERROR(VLOOKUP($AL34,areaCercaPuntiClassificaSquadra,3,FALSE),-2)),SUMIFS(Dati!$D$2:$D$761,Dati!$A$2:$A$761,$H34,Dati!$H$2:$H$761,$AL34)+SUMIFS(Dati!$K$2:$K$761,Dati!$H$2:$H$761,$H34,Dati!$A$2:$A$761,$AL34)+SUMIFS(Dati!$C$2:$C$761,Dati!$A$2:$A$761,$H34,Dati!$H$2:$H$761,$AL34)+SUMIFS(Dati!$J$2:$J$761,Dati!$H$2:$H$761,$H34,Dati!$A$2:$A$761,$AL34),"-")</f>
        <v/>
      </c>
      <c r="CE34" s="22">
        <f>IF(AND($H34&lt;&gt;"",$AM34&lt;&gt;"",$H34&lt;&gt;$AM34,IFERROR(VLOOKUP($H34,areaCercaPuntiClassificaSquadra,3,FALSE),-1)=IFERROR(VLOOKUP($AM34,areaCercaPuntiClassificaSquadra,3,FALSE),-2)),SUMIFS(Dati!$D$2:$D$761,Dati!$A$2:$A$761,$H34,Dati!$H$2:$H$761,$AM34)+SUMIFS(Dati!$K$2:$K$761,Dati!$H$2:$H$761,$H34,Dati!$A$2:$A$761,$AM34)+SUMIFS(Dati!$C$2:$C$761,Dati!$A$2:$A$761,$H34,Dati!$H$2:$H$761,$AM34)+SUMIFS(Dati!$J$2:$J$761,Dati!$H$2:$H$761,$H34,Dati!$A$2:$A$761,$AM34),"-")</f>
        <v/>
      </c>
      <c r="CF34" s="22">
        <f>IF(AND($H34&lt;&gt;"",$AN34&lt;&gt;"",$H34&lt;&gt;$AN34,IFERROR(VLOOKUP($H34,areaCercaPuntiClassificaSquadra,3,FALSE),-1)=IFERROR(VLOOKUP($AN34,areaCercaPuntiClassificaSquadra,3,FALSE),-2)),SUMIFS(Dati!$D$2:$D$761,Dati!$A$2:$A$761,$H34,Dati!$H$2:$H$761,$AN34)+SUMIFS(Dati!$K$2:$K$761,Dati!$H$2:$H$761,$H34,Dati!$A$2:$A$761,$AN34)+SUMIFS(Dati!$C$2:$C$761,Dati!$A$2:$A$761,$H34,Dati!$H$2:$H$761,$AN34)+SUMIFS(Dati!$J$2:$J$761,Dati!$H$2:$H$761,$H34,Dati!$A$2:$A$761,$AN34),"-")</f>
        <v/>
      </c>
      <c r="CG34" s="22">
        <f>IF(AND($H34&lt;&gt;"",$AO34&lt;&gt;"",$H34&lt;&gt;$AO34,IFERROR(VLOOKUP($H34,areaCercaPuntiClassificaSquadra,3,FALSE),-1)=IFERROR(VLOOKUP($AO34,areaCercaPuntiClassificaSquadra,3,FALSE),-2)),SUMIFS(Dati!$D$2:$D$761,Dati!$A$2:$A$761,$H34,Dati!$H$2:$H$761,$AO34)+SUMIFS(Dati!$K$2:$K$761,Dati!$H$2:$H$761,$H34,Dati!$A$2:$A$761,$AO34)+SUMIFS(Dati!$C$2:$C$761,Dati!$A$2:$A$761,$H34,Dati!$H$2:$H$761,$AO34)+SUMIFS(Dati!$J$2:$J$761,Dati!$H$2:$H$761,$H34,Dati!$A$2:$A$761,$AO34),"-")</f>
        <v/>
      </c>
      <c r="CH34" s="22">
        <f>IF(AND($H34&lt;&gt;"",$AP34&lt;&gt;"",$H34&lt;&gt;$AP34,IFERROR(VLOOKUP($H34,areaCercaPuntiClassificaSquadra,3,FALSE),-1)=IFERROR(VLOOKUP($AP34,areaCercaPuntiClassificaSquadra,3,FALSE),-2)),SUMIFS(Dati!$D$2:$D$761,Dati!$A$2:$A$761,$H34,Dati!$H$2:$H$761,$AP34)+SUMIFS(Dati!$K$2:$K$761,Dati!$H$2:$H$761,$H34,Dati!$A$2:$A$761,$AP34)+SUMIFS(Dati!$C$2:$C$761,Dati!$A$2:$A$761,$H34,Dati!$H$2:$H$761,$AP34)+SUMIFS(Dati!$J$2:$J$761,Dati!$H$2:$H$761,$H34,Dati!$A$2:$A$761,$AP34),"-")</f>
        <v/>
      </c>
      <c r="CI34" s="22">
        <f>IF(AND($H34&lt;&gt;"",$AQ34&lt;&gt;"",$H34&lt;&gt;$AQ34,IFERROR(VLOOKUP($H34,areaCercaPuntiClassificaSquadra,3,FALSE),-1)=IFERROR(VLOOKUP($AQ34,areaCercaPuntiClassificaSquadra,3,FALSE),-2)),SUMIFS(Dati!$D$2:$D$761,Dati!$A$2:$A$761,$H34,Dati!$H$2:$H$761,$AQ34)+SUMIFS(Dati!$K$2:$K$761,Dati!$H$2:$H$761,$H34,Dati!$A$2:$A$761,$AQ34)+SUMIFS(Dati!$C$2:$C$761,Dati!$A$2:$A$761,$H34,Dati!$H$2:$H$761,$AQ34)+SUMIFS(Dati!$J$2:$J$761,Dati!$H$2:$H$761,$H34,Dati!$A$2:$A$761,$AQ34),"-")</f>
        <v/>
      </c>
      <c r="CJ34" s="22">
        <f>IF(AND($H34&lt;&gt;"",$AR34&lt;&gt;"",$H34&lt;&gt;$AR34,IFERROR(VLOOKUP($H34,areaCercaPuntiClassificaSquadra,3,FALSE),-1)=IFERROR(VLOOKUP($AR34,areaCercaPuntiClassificaSquadra,3,FALSE),-2)),SUMIFS(Dati!$D$2:$D$761,Dati!$A$2:$A$761,$H34,Dati!$H$2:$H$761,$AR34)+SUMIFS(Dati!$K$2:$K$761,Dati!$H$2:$H$761,$H34,Dati!$A$2:$A$761,$AR34)+SUMIFS(Dati!$C$2:$C$761,Dati!$A$2:$A$761,$H34,Dati!$H$2:$H$761,$AR34)+SUMIFS(Dati!$J$2:$J$761,Dati!$H$2:$H$761,$H34,Dati!$A$2:$A$761,$AR34),"-")</f>
        <v/>
      </c>
      <c r="CL34" s="21">
        <f>$C34</f>
        <v/>
      </c>
      <c r="CM34" s="22">
        <f>IF(AND($H34&lt;&gt;"",$Y34&lt;&gt;"",$H34&lt;&gt;$Y34,IFERROR(VLOOKUP($H34,areaCercaPuntiClassificaSquadra,3,FALSE),-1)=IFERROR(VLOOKUP($Y34,areaCercaPuntiClassificaSquadra,3,FALSE),-2)),SUMIFS(Dati!$E$2:$E$761,Dati!$A$2:$A$761,$H34,Dati!$H$2:$H$761,$Y34)+SUMIFS(Dati!$L$2:$L$761,Dati!$H$2:$H$761,$H34,Dati!$A$2:$A$761,$Y34),"-")</f>
        <v/>
      </c>
      <c r="CN34" s="22">
        <f>IF(AND($H34&lt;&gt;"",$Z34&lt;&gt;"",$H34&lt;&gt;$Z34,IFERROR(VLOOKUP($H34,areaCercaPuntiClassificaSquadra,3,FALSE),-1)=IFERROR(VLOOKUP($Z34,areaCercaPuntiClassificaSquadra,3,FALSE),-2)),SUMIFS(Dati!$E$2:$E$761,Dati!$A$2:$A$761,$H34,Dati!$H$2:$H$761,$Z34)+SUMIFS(Dati!$L$2:$L$761,Dati!$H$2:$H$761,$H34,Dati!$A$2:$A$761,$Z34),"-")</f>
        <v/>
      </c>
      <c r="CO34" s="22">
        <f>IF(AND($H34&lt;&gt;"",$AA34&lt;&gt;"",$H34&lt;&gt;$AA34,IFERROR(VLOOKUP($H34,areaCercaPuntiClassificaSquadra,3,FALSE),-1)=IFERROR(VLOOKUP($AA34,areaCercaPuntiClassificaSquadra,3,FALSE),-2)),SUMIFS(Dati!$E$2:$E$761,Dati!$A$2:$A$761,$H34,Dati!$H$2:$H$761,$AA34)+SUMIFS(Dati!$L$2:$L$761,Dati!$H$2:$H$761,$H34,Dati!$A$2:$A$761,$AA34),"-")</f>
        <v/>
      </c>
      <c r="CP34" s="22">
        <f>IF(AND($H34&lt;&gt;"",$AB34&lt;&gt;"",$H34&lt;&gt;$AB34,IFERROR(VLOOKUP($H34,areaCercaPuntiClassificaSquadra,3,FALSE),-1)=IFERROR(VLOOKUP($AB34,areaCercaPuntiClassificaSquadra,3,FALSE),-2)),SUMIFS(Dati!$E$2:$E$761,Dati!$A$2:$A$761,$H34,Dati!$H$2:$H$761,$AB34)+SUMIFS(Dati!$L$2:$L$761,Dati!$H$2:$H$761,$H34,Dati!$A$2:$A$761,$AB34),"-")</f>
        <v/>
      </c>
      <c r="CQ34" s="22">
        <f>IF(AND($H34&lt;&gt;"",$AC34&lt;&gt;"",$H34&lt;&gt;$AC34,IFERROR(VLOOKUP($H34,areaCercaPuntiClassificaSquadra,3,FALSE),-1)=IFERROR(VLOOKUP($AC34,areaCercaPuntiClassificaSquadra,3,FALSE),-2)),SUMIFS(Dati!$E$2:$E$761,Dati!$A$2:$A$761,$H34,Dati!$H$2:$H$761,$AC34)+SUMIFS(Dati!$L$2:$L$761,Dati!$H$2:$H$761,$H34,Dati!$A$2:$A$761,$AC34),"-")</f>
        <v/>
      </c>
      <c r="CR34" s="22">
        <f>IF(AND($H34&lt;&gt;"",$AD34&lt;&gt;"",$H34&lt;&gt;$AD34,IFERROR(VLOOKUP($H34,areaCercaPuntiClassificaSquadra,3,FALSE),-1)=IFERROR(VLOOKUP($AD34,areaCercaPuntiClassificaSquadra,3,FALSE),-2)),SUMIFS(Dati!$E$2:$E$761,Dati!$A$2:$A$761,$H34,Dati!$H$2:$H$761,$AD34)+SUMIFS(Dati!$L$2:$L$761,Dati!$H$2:$H$761,$H34,Dati!$A$2:$A$761,$AD34),"-")</f>
        <v/>
      </c>
      <c r="CS34" s="22">
        <f>IF(AND($H34&lt;&gt;"",$AE34&lt;&gt;"",$H34&lt;&gt;$AE34,IFERROR(VLOOKUP($H34,areaCercaPuntiClassificaSquadra,3,FALSE),-1)=IFERROR(VLOOKUP($AE34,areaCercaPuntiClassificaSquadra,3,FALSE),-2)),SUMIFS(Dati!$E$2:$E$761,Dati!$A$2:$A$761,$H34,Dati!$H$2:$H$761,$AE34)+SUMIFS(Dati!$L$2:$L$761,Dati!$H$2:$H$761,$H34,Dati!$A$2:$A$761,$AE34),"-")</f>
        <v/>
      </c>
      <c r="CT34" s="22">
        <f>IF(AND($H34&lt;&gt;"",$AF34&lt;&gt;"",$H34&lt;&gt;$AF34,IFERROR(VLOOKUP($H34,areaCercaPuntiClassificaSquadra,3,FALSE),-1)=IFERROR(VLOOKUP($AF34,areaCercaPuntiClassificaSquadra,3,FALSE),-2)),SUMIFS(Dati!$E$2:$E$761,Dati!$A$2:$A$761,$H34,Dati!$H$2:$H$761,$AF34)+SUMIFS(Dati!$L$2:$L$761,Dati!$H$2:$H$761,$H34,Dati!$A$2:$A$761,$AF34),"-")</f>
        <v/>
      </c>
      <c r="CU34" s="22">
        <f>IF(AND($H34&lt;&gt;"",$AG34&lt;&gt;"",$H34&lt;&gt;$AG34,IFERROR(VLOOKUP($H34,areaCercaPuntiClassificaSquadra,3,FALSE),-1)=IFERROR(VLOOKUP($AG34,areaCercaPuntiClassificaSquadra,3,FALSE),-2)),SUMIFS(Dati!$E$2:$E$761,Dati!$A$2:$A$761,$H34,Dati!$H$2:$H$761,$AG34)+SUMIFS(Dati!$L$2:$L$761,Dati!$H$2:$H$761,$H34,Dati!$A$2:$A$761,$AG34),"-")</f>
        <v/>
      </c>
      <c r="CV34" s="22">
        <f>IF(AND($H34&lt;&gt;"",$AH34&lt;&gt;"",$H34&lt;&gt;$AH34,IFERROR(VLOOKUP($H34,areaCercaPuntiClassificaSquadra,3,FALSE),-1)=IFERROR(VLOOKUP($AH34,areaCercaPuntiClassificaSquadra,3,FALSE),-2)),SUMIFS(Dati!$E$2:$E$761,Dati!$A$2:$A$761,$H34,Dati!$H$2:$H$761,$AH34)+SUMIFS(Dati!$L$2:$L$761,Dati!$H$2:$H$761,$H34,Dati!$A$2:$A$761,$AH34),"-")</f>
        <v/>
      </c>
      <c r="CW34" s="22">
        <f>IF(AND($H34&lt;&gt;"",$AI34&lt;&gt;"",$H34&lt;&gt;$AI34,IFERROR(VLOOKUP($H34,areaCercaPuntiClassificaSquadra,3,FALSE),-1)=IFERROR(VLOOKUP($AI34,areaCercaPuntiClassificaSquadra,3,FALSE),-2)),SUMIFS(Dati!$E$2:$E$761,Dati!$A$2:$A$761,$H34,Dati!$H$2:$H$761,$AI34)+SUMIFS(Dati!$L$2:$L$761,Dati!$H$2:$H$761,$H34,Dati!$A$2:$A$761,$AI34),"-")</f>
        <v/>
      </c>
      <c r="CX34" s="22">
        <f>IF(AND($H34&lt;&gt;"",$AJ34&lt;&gt;"",$H34&lt;&gt;$AJ34,IFERROR(VLOOKUP($H34,areaCercaPuntiClassificaSquadra,3,FALSE),-1)=IFERROR(VLOOKUP($AJ34,areaCercaPuntiClassificaSquadra,3,FALSE),-2)),SUMIFS(Dati!$E$2:$E$761,Dati!$A$2:$A$761,$H34,Dati!$H$2:$H$761,$AJ34)+SUMIFS(Dati!$L$2:$L$761,Dati!$H$2:$H$761,$H34,Dati!$A$2:$A$761,$AJ34),"-")</f>
        <v/>
      </c>
      <c r="CY34" s="22">
        <f>IF(AND($H34&lt;&gt;"",$AK34&lt;&gt;"",$H34&lt;&gt;$AK34,IFERROR(VLOOKUP($H34,areaCercaPuntiClassificaSquadra,3,FALSE),-1)=IFERROR(VLOOKUP($AK34,areaCercaPuntiClassificaSquadra,3,FALSE),-2)),SUMIFS(Dati!$E$2:$E$761,Dati!$A$2:$A$761,$H34,Dati!$H$2:$H$761,$AK34)+SUMIFS(Dati!$L$2:$L$761,Dati!$H$2:$H$761,$H34,Dati!$A$2:$A$761,$AK34),"-")</f>
        <v/>
      </c>
      <c r="CZ34" s="22">
        <f>IF(AND($H34&lt;&gt;"",$AL34&lt;&gt;"",$H34&lt;&gt;$AL34,IFERROR(VLOOKUP($H34,areaCercaPuntiClassificaSquadra,3,FALSE),-1)=IFERROR(VLOOKUP($AL34,areaCercaPuntiClassificaSquadra,3,FALSE),-2)),SUMIFS(Dati!$E$2:$E$761,Dati!$A$2:$A$761,$H34,Dati!$H$2:$H$761,$AL34)+SUMIFS(Dati!$L$2:$L$761,Dati!$H$2:$H$761,$H34,Dati!$A$2:$A$761,$AL34),"-")</f>
        <v/>
      </c>
      <c r="DA34" s="22">
        <f>IF(AND($H34&lt;&gt;"",$AM34&lt;&gt;"",$H34&lt;&gt;$AM34,IFERROR(VLOOKUP($H34,areaCercaPuntiClassificaSquadra,3,FALSE),-1)=IFERROR(VLOOKUP($AM34,areaCercaPuntiClassificaSquadra,3,FALSE),-2)),SUMIFS(Dati!$E$2:$E$761,Dati!$A$2:$A$761,$H34,Dati!$H$2:$H$761,$AM34)+SUMIFS(Dati!$L$2:$L$761,Dati!$H$2:$H$761,$H34,Dati!$A$2:$A$761,$AM34),"-")</f>
        <v/>
      </c>
      <c r="DB34" s="22">
        <f>IF(AND($H34&lt;&gt;"",$AN34&lt;&gt;"",$H34&lt;&gt;$AN34,IFERROR(VLOOKUP($H34,areaCercaPuntiClassificaSquadra,3,FALSE),-1)=IFERROR(VLOOKUP($AN34,areaCercaPuntiClassificaSquadra,3,FALSE),-2)),SUMIFS(Dati!$E$2:$E$761,Dati!$A$2:$A$761,$H34,Dati!$H$2:$H$761,$AN34)+SUMIFS(Dati!$L$2:$L$761,Dati!$H$2:$H$761,$H34,Dati!$A$2:$A$761,$AN34),"-")</f>
        <v/>
      </c>
      <c r="DC34" s="22">
        <f>IF(AND($H34&lt;&gt;"",$AO34&lt;&gt;"",$H34&lt;&gt;$AO34,IFERROR(VLOOKUP($H34,areaCercaPuntiClassificaSquadra,3,FALSE),-1)=IFERROR(VLOOKUP($AO34,areaCercaPuntiClassificaSquadra,3,FALSE),-2)),SUMIFS(Dati!$E$2:$E$761,Dati!$A$2:$A$761,$H34,Dati!$H$2:$H$761,$AO34)+SUMIFS(Dati!$L$2:$L$761,Dati!$H$2:$H$761,$H34,Dati!$A$2:$A$761,$AO34),"-")</f>
        <v/>
      </c>
      <c r="DD34" s="22">
        <f>IF(AND($H34&lt;&gt;"",$AP34&lt;&gt;"",$H34&lt;&gt;$AP34,IFERROR(VLOOKUP($H34,areaCercaPuntiClassificaSquadra,3,FALSE),-1)=IFERROR(VLOOKUP($AP34,areaCercaPuntiClassificaSquadra,3,FALSE),-2)),SUMIFS(Dati!$E$2:$E$761,Dati!$A$2:$A$761,$H34,Dati!$H$2:$H$761,$AP34)+SUMIFS(Dati!$L$2:$L$761,Dati!$H$2:$H$761,$H34,Dati!$A$2:$A$761,$AP34),"-")</f>
        <v/>
      </c>
      <c r="DE34" s="22">
        <f>IF(AND($H34&lt;&gt;"",$AQ34&lt;&gt;"",$H34&lt;&gt;$AQ34,IFERROR(VLOOKUP($H34,areaCercaPuntiClassificaSquadra,3,FALSE),-1)=IFERROR(VLOOKUP($AQ34,areaCercaPuntiClassificaSquadra,3,FALSE),-2)),SUMIFS(Dati!$E$2:$E$761,Dati!$A$2:$A$761,$H34,Dati!$H$2:$H$761,$AQ34)+SUMIFS(Dati!$L$2:$L$761,Dati!$H$2:$H$761,$H34,Dati!$A$2:$A$761,$AQ34),"-")</f>
        <v/>
      </c>
      <c r="DF34" s="22">
        <f>IF(AND($H34&lt;&gt;"",$AR34&lt;&gt;"",$H34&lt;&gt;$AR34,IFERROR(VLOOKUP($H34,areaCercaPuntiClassificaSquadra,3,FALSE),-1)=IFERROR(VLOOKUP($AR34,areaCercaPuntiClassificaSquadra,3,FALSE),-2)),SUMIFS(Dati!$E$2:$E$761,Dati!$A$2:$A$761,$H34,Dati!$H$2:$H$761,$AR34)+SUMIFS(Dati!$L$2:$L$761,Dati!$H$2:$H$761,$H34,Dati!$A$2:$A$761,$AR34),"-")</f>
        <v/>
      </c>
      <c r="DH34" s="21">
        <f>$C34</f>
        <v/>
      </c>
      <c r="DI34" s="22">
        <f>IF(AND($H34&lt;&gt;"",$Y34&lt;&gt;"",$H34&lt;&gt;$Y34,IFERROR(VLOOKUP($H34,areaCercaPuntiClassificaSquadra,3,FALSE),-1)=IFERROR(VLOOKUP($Y34,areaCercaPuntiClassificaSquadra,3,FALSE),-2)),SUMIFS(Dati!$F$2:$F$761,Dati!$A$2:$A$761,$H34,Dati!$H$2:$H$761,$Y34)+SUMIFS(Dati!$M$2:$M$761,Dati!$H$2:$H$761,$H34,Dati!$A$2:$A$761,$Y34),"-")</f>
        <v/>
      </c>
      <c r="DJ34" s="22">
        <f>IF(AND($H34&lt;&gt;"",$Z34&lt;&gt;"",$H34&lt;&gt;$Z34,IFERROR(VLOOKUP($H34,areaCercaPuntiClassificaSquadra,3,FALSE),-1)=IFERROR(VLOOKUP($Z34,areaCercaPuntiClassificaSquadra,3,FALSE),-2)),SUMIFS(Dati!$F$2:$F$761,Dati!$A$2:$A$761,$H34,Dati!$H$2:$H$761,$Z34)+SUMIFS(Dati!$M$2:$M$761,Dati!$H$2:$H$761,$H34,Dati!$A$2:$A$761,$Z34),"-")</f>
        <v/>
      </c>
      <c r="DK34" s="22">
        <f>IF(AND($H34&lt;&gt;"",$AA34&lt;&gt;"",$H34&lt;&gt;$AA34,IFERROR(VLOOKUP($H34,areaCercaPuntiClassificaSquadra,3,FALSE),-1)=IFERROR(VLOOKUP($AA34,areaCercaPuntiClassificaSquadra,3,FALSE),-2)),SUMIFS(Dati!$F$2:$F$761,Dati!$A$2:$A$761,$H34,Dati!$H$2:$H$761,$AA34)+SUMIFS(Dati!$M$2:$M$761,Dati!$H$2:$H$761,$H34,Dati!$A$2:$A$761,$AA34),"-")</f>
        <v/>
      </c>
      <c r="DL34" s="22">
        <f>IF(AND($H34&lt;&gt;"",$AB34&lt;&gt;"",$H34&lt;&gt;$AB34,IFERROR(VLOOKUP($H34,areaCercaPuntiClassificaSquadra,3,FALSE),-1)=IFERROR(VLOOKUP($AB34,areaCercaPuntiClassificaSquadra,3,FALSE),-2)),SUMIFS(Dati!$F$2:$F$761,Dati!$A$2:$A$761,$H34,Dati!$H$2:$H$761,$AB34)+SUMIFS(Dati!$M$2:$M$761,Dati!$H$2:$H$761,$H34,Dati!$A$2:$A$761,$AB34),"-")</f>
        <v/>
      </c>
      <c r="DM34" s="22">
        <f>IF(AND($H34&lt;&gt;"",$AC34&lt;&gt;"",$H34&lt;&gt;$AC34,IFERROR(VLOOKUP($H34,areaCercaPuntiClassificaSquadra,3,FALSE),-1)=IFERROR(VLOOKUP($AC34,areaCercaPuntiClassificaSquadra,3,FALSE),-2)),SUMIFS(Dati!$F$2:$F$761,Dati!$A$2:$A$761,$H34,Dati!$H$2:$H$761,$AC34)+SUMIFS(Dati!$M$2:$M$761,Dati!$H$2:$H$761,$H34,Dati!$A$2:$A$761,$AC34),"-")</f>
        <v/>
      </c>
      <c r="DN34" s="22">
        <f>IF(AND($H34&lt;&gt;"",$AD34&lt;&gt;"",$H34&lt;&gt;$AD34,IFERROR(VLOOKUP($H34,areaCercaPuntiClassificaSquadra,3,FALSE),-1)=IFERROR(VLOOKUP($AD34,areaCercaPuntiClassificaSquadra,3,FALSE),-2)),SUMIFS(Dati!$F$2:$F$761,Dati!$A$2:$A$761,$H34,Dati!$H$2:$H$761,$AD34)+SUMIFS(Dati!$M$2:$M$761,Dati!$H$2:$H$761,$H34,Dati!$A$2:$A$761,$AD34),"-")</f>
        <v/>
      </c>
      <c r="DO34" s="22">
        <f>IF(AND($H34&lt;&gt;"",$AE34&lt;&gt;"",$H34&lt;&gt;$AE34,IFERROR(VLOOKUP($H34,areaCercaPuntiClassificaSquadra,3,FALSE),-1)=IFERROR(VLOOKUP($AE34,areaCercaPuntiClassificaSquadra,3,FALSE),-2)),SUMIFS(Dati!$F$2:$F$761,Dati!$A$2:$A$761,$H34,Dati!$H$2:$H$761,$AE34)+SUMIFS(Dati!$M$2:$M$761,Dati!$H$2:$H$761,$H34,Dati!$A$2:$A$761,$AE34),"-")</f>
        <v/>
      </c>
      <c r="DP34" s="22">
        <f>IF(AND($H34&lt;&gt;"",$AF34&lt;&gt;"",$H34&lt;&gt;$AF34,IFERROR(VLOOKUP($H34,areaCercaPuntiClassificaSquadra,3,FALSE),-1)=IFERROR(VLOOKUP($AF34,areaCercaPuntiClassificaSquadra,3,FALSE),-2)),SUMIFS(Dati!$F$2:$F$761,Dati!$A$2:$A$761,$H34,Dati!$H$2:$H$761,$AF34)+SUMIFS(Dati!$M$2:$M$761,Dati!$H$2:$H$761,$H34,Dati!$A$2:$A$761,$AF34),"-")</f>
        <v/>
      </c>
      <c r="DQ34" s="22">
        <f>IF(AND($H34&lt;&gt;"",$AG34&lt;&gt;"",$H34&lt;&gt;$AG34,IFERROR(VLOOKUP($H34,areaCercaPuntiClassificaSquadra,3,FALSE),-1)=IFERROR(VLOOKUP($AG34,areaCercaPuntiClassificaSquadra,3,FALSE),-2)),SUMIFS(Dati!$F$2:$F$761,Dati!$A$2:$A$761,$H34,Dati!$H$2:$H$761,$AG34)+SUMIFS(Dati!$M$2:$M$761,Dati!$H$2:$H$761,$H34,Dati!$A$2:$A$761,$AG34),"-")</f>
        <v/>
      </c>
      <c r="DR34" s="22">
        <f>IF(AND($H34&lt;&gt;"",$AH34&lt;&gt;"",$H34&lt;&gt;$AH34,IFERROR(VLOOKUP($H34,areaCercaPuntiClassificaSquadra,3,FALSE),-1)=IFERROR(VLOOKUP($AH34,areaCercaPuntiClassificaSquadra,3,FALSE),-2)),SUMIFS(Dati!$F$2:$F$761,Dati!$A$2:$A$761,$H34,Dati!$H$2:$H$761,$AH34)+SUMIFS(Dati!$M$2:$M$761,Dati!$H$2:$H$761,$H34,Dati!$A$2:$A$761,$AH34),"-")</f>
        <v/>
      </c>
      <c r="DS34" s="22">
        <f>IF(AND($H34&lt;&gt;"",$AI34&lt;&gt;"",$H34&lt;&gt;$AI34,IFERROR(VLOOKUP($H34,areaCercaPuntiClassificaSquadra,3,FALSE),-1)=IFERROR(VLOOKUP($AI34,areaCercaPuntiClassificaSquadra,3,FALSE),-2)),SUMIFS(Dati!$F$2:$F$761,Dati!$A$2:$A$761,$H34,Dati!$H$2:$H$761,$AI34)+SUMIFS(Dati!$M$2:$M$761,Dati!$H$2:$H$761,$H34,Dati!$A$2:$A$761,$AI34),"-")</f>
        <v/>
      </c>
      <c r="DT34" s="22">
        <f>IF(AND($H34&lt;&gt;"",$AJ34&lt;&gt;"",$H34&lt;&gt;$AJ34,IFERROR(VLOOKUP($H34,areaCercaPuntiClassificaSquadra,3,FALSE),-1)=IFERROR(VLOOKUP($AJ34,areaCercaPuntiClassificaSquadra,3,FALSE),-2)),SUMIFS(Dati!$F$2:$F$761,Dati!$A$2:$A$761,$H34,Dati!$H$2:$H$761,$AJ34)+SUMIFS(Dati!$M$2:$M$761,Dati!$H$2:$H$761,$H34,Dati!$A$2:$A$761,$AJ34),"-")</f>
        <v/>
      </c>
      <c r="DU34" s="22">
        <f>IF(AND($H34&lt;&gt;"",$AK34&lt;&gt;"",$H34&lt;&gt;$AK34,IFERROR(VLOOKUP($H34,areaCercaPuntiClassificaSquadra,3,FALSE),-1)=IFERROR(VLOOKUP($AK34,areaCercaPuntiClassificaSquadra,3,FALSE),-2)),SUMIFS(Dati!$F$2:$F$761,Dati!$A$2:$A$761,$H34,Dati!$H$2:$H$761,$AK34)+SUMIFS(Dati!$M$2:$M$761,Dati!$H$2:$H$761,$H34,Dati!$A$2:$A$761,$AK34),"-")</f>
        <v/>
      </c>
      <c r="DV34" s="22">
        <f>IF(AND($H34&lt;&gt;"",$AL34&lt;&gt;"",$H34&lt;&gt;$AL34,IFERROR(VLOOKUP($H34,areaCercaPuntiClassificaSquadra,3,FALSE),-1)=IFERROR(VLOOKUP($AL34,areaCercaPuntiClassificaSquadra,3,FALSE),-2)),SUMIFS(Dati!$F$2:$F$761,Dati!$A$2:$A$761,$H34,Dati!$H$2:$H$761,$AL34)+SUMIFS(Dati!$M$2:$M$761,Dati!$H$2:$H$761,$H34,Dati!$A$2:$A$761,$AL34),"-")</f>
        <v/>
      </c>
      <c r="DW34" s="22">
        <f>IF(AND($H34&lt;&gt;"",$AM34&lt;&gt;"",$H34&lt;&gt;$AM34,IFERROR(VLOOKUP($H34,areaCercaPuntiClassificaSquadra,3,FALSE),-1)=IFERROR(VLOOKUP($AM34,areaCercaPuntiClassificaSquadra,3,FALSE),-2)),SUMIFS(Dati!$F$2:$F$761,Dati!$A$2:$A$761,$H34,Dati!$H$2:$H$761,$AM34)+SUMIFS(Dati!$M$2:$M$761,Dati!$H$2:$H$761,$H34,Dati!$A$2:$A$761,$AM34),"-")</f>
        <v/>
      </c>
      <c r="DX34" s="22">
        <f>IF(AND($H34&lt;&gt;"",$AN34&lt;&gt;"",$H34&lt;&gt;$AN34,IFERROR(VLOOKUP($H34,areaCercaPuntiClassificaSquadra,3,FALSE),-1)=IFERROR(VLOOKUP($AN34,areaCercaPuntiClassificaSquadra,3,FALSE),-2)),SUMIFS(Dati!$F$2:$F$761,Dati!$A$2:$A$761,$H34,Dati!$H$2:$H$761,$AN34)+SUMIFS(Dati!$M$2:$M$761,Dati!$H$2:$H$761,$H34,Dati!$A$2:$A$761,$AN34),"-")</f>
        <v/>
      </c>
      <c r="DY34" s="22">
        <f>IF(AND($H34&lt;&gt;"",$AO34&lt;&gt;"",$H34&lt;&gt;$AO34,IFERROR(VLOOKUP($H34,areaCercaPuntiClassificaSquadra,3,FALSE),-1)=IFERROR(VLOOKUP($AO34,areaCercaPuntiClassificaSquadra,3,FALSE),-2)),SUMIFS(Dati!$F$2:$F$761,Dati!$A$2:$A$761,$H34,Dati!$H$2:$H$761,$AO34)+SUMIFS(Dati!$M$2:$M$761,Dati!$H$2:$H$761,$H34,Dati!$A$2:$A$761,$AO34),"-")</f>
        <v/>
      </c>
      <c r="DZ34" s="22">
        <f>IF(AND($H34&lt;&gt;"",$AP34&lt;&gt;"",$H34&lt;&gt;$AP34,IFERROR(VLOOKUP($H34,areaCercaPuntiClassificaSquadra,3,FALSE),-1)=IFERROR(VLOOKUP($AP34,areaCercaPuntiClassificaSquadra,3,FALSE),-2)),SUMIFS(Dati!$F$2:$F$761,Dati!$A$2:$A$761,$H34,Dati!$H$2:$H$761,$AP34)+SUMIFS(Dati!$M$2:$M$761,Dati!$H$2:$H$761,$H34,Dati!$A$2:$A$761,$AP34),"-")</f>
        <v/>
      </c>
      <c r="EA34" s="22">
        <f>IF(AND($H34&lt;&gt;"",$AQ34&lt;&gt;"",$H34&lt;&gt;$AQ34,IFERROR(VLOOKUP($H34,areaCercaPuntiClassificaSquadra,3,FALSE),-1)=IFERROR(VLOOKUP($AQ34,areaCercaPuntiClassificaSquadra,3,FALSE),-2)),SUMIFS(Dati!$F$2:$F$761,Dati!$A$2:$A$761,$H34,Dati!$H$2:$H$761,$AQ34)+SUMIFS(Dati!$M$2:$M$761,Dati!$H$2:$H$761,$H34,Dati!$A$2:$A$761,$AQ34),"-")</f>
        <v/>
      </c>
      <c r="EB34" s="22">
        <f>IF(AND($H34&lt;&gt;"",$AR34&lt;&gt;"",$H34&lt;&gt;$AR34,IFERROR(VLOOKUP($H34,areaCercaPuntiClassificaSquadra,3,FALSE),-1)=IFERROR(VLOOKUP($AR34,areaCercaPuntiClassificaSquadra,3,FALSE),-2)),SUMIFS(Dati!$F$2:$F$761,Dati!$A$2:$A$761,$H34,Dati!$H$2:$H$761,$AR34)+SUMIFS(Dati!$M$2:$M$761,Dati!$H$2:$H$761,$H34,Dati!$A$2:$A$761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inlineStr">
        <is>
          <t>Elefanti Eleganti-Elefantiopoli EE</t>
        </is>
      </c>
      <c r="D35" s="14" t="n"/>
      <c r="E35" s="23" t="inlineStr">
        <is>
          <t>B</t>
        </is>
      </c>
      <c r="G35" s="24">
        <f>IF($C35="","",$E35&amp;(COUNTIFS(I$14:I$93,"&gt;"&amp;I35,E$14:E$93,"="&amp;E35,C$14:C$93,"&lt;&gt;")+COUNTIFS(I$14:I$93,"="&amp;I35,H$14:H$93,"&lt;="&amp;H35,E$14:E$93,"="&amp;E35,C$14:C$93,"&lt;&gt;")))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L35*constPuntiVittoria+M35*constPuntiSconfitta+N35*constPuntiForfait+IF(D35="",0,D35)</f>
        <v/>
      </c>
      <c r="K35" s="12">
        <f>SUM(L35:N35)</f>
        <v/>
      </c>
      <c r="L35" s="12">
        <f>IF($H35="",0,SUMIF(Dati!$A$2:$A$761,$H35,Dati!$B$2:$B$761)+SUMIF(Dati!$H$2:$H$761,$H35,Dati!$I$2:$I$761))</f>
        <v/>
      </c>
      <c r="M35" s="12">
        <f>IF($H35="",0,SUMIF(Dati!$A$2:$A$761,$H35,Dati!$D$2:$D$761)+SUMIF(Dati!$H$2:$H$761,$H35,Dati!$K$2:$K$761))</f>
        <v/>
      </c>
      <c r="N35" s="12">
        <f>IF($H35="",0,SUMIF(Dati!$A$2:$A$761,$H35,Dati!$C$2:$C$761)+SUMIF(Dati!$H$2:$H$761,$H35,Dati!$J$2:$J$761))</f>
        <v/>
      </c>
      <c r="O35" s="12">
        <f>IF($H35="",0,SUMIF(Dati!$A$2:$A$761,$H35,Dati!$E$2:$E$761)+SUMIF(Dati!$H$2:$H$761,$H35,Dati!$L$2:$L$761))</f>
        <v/>
      </c>
      <c r="P35" s="12">
        <f>IF($H35="",0,SUMIF(Dati!$A$2:$A$761,$H35,Dati!$F$2:$F$761)+SUMIF(Dati!$H$2:$H$761,$H35,Dati!$M$2:$M$761))</f>
        <v/>
      </c>
      <c r="Q35" s="12">
        <f>IF($H35="",0,SUMIF(Dati!$A$2:$A$761,$H35,Dati!$G$2:$G$761)+SUMIF(Dati!$H$2:$H$761,$H35,Dati!$N$2:$N$761))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IF(COUNTIFS($E$14:$E$93,$E35,$J$14:$J$93,$J35,$C$14:$C$93,"&lt;&gt;")&lt;=1,"-",SUM(AU35:BN35)&amp;"-"&amp;SUM(BQ35:CJ35))</f>
        <v/>
      </c>
      <c r="V35" s="18">
        <f>IF(COUNTIFS($E$14:$E$93,$E35,$J$14:$J$93,$J35,$C$14:$C$93,"&lt;&gt;",$ED$14:$ED$93,$ED35)&lt;=1,"-",IF(SUM(DI35:EB35)=0,0,ROUND(SUM(CM35:DF35)/SUM(DI35:EB35),3)))</f>
        <v/>
      </c>
      <c r="W35" s="18">
        <f>IF(COUNTIFS($E$14:$E$93,$E35,$J$14:$J$93,$J35,$C$14:$C$93,"&lt;&gt;",$ED$14:$ED$93,$ED35,$V$14:$V$93,$V35)&lt;=1,"-",IF(P35=0,0,ROUND(O35/P35,3)))</f>
        <v/>
      </c>
      <c r="X35" s="19">
        <f>IF($C35="","",$E35&amp;"#"&amp;COUNTIFS($E$14:$E35,$E35,$C$14:$C35,"&lt;&gt;"))</f>
        <v/>
      </c>
      <c r="Y35" s="20">
        <f>IFERROR(INDEX($H$14:$H$93,MATCH($E35&amp;"#1",$X$14:$X$93,0)),"")</f>
        <v/>
      </c>
      <c r="Z35" s="20">
        <f>IFERROR(INDEX($H$14:$H$93,MATCH($E35&amp;"#2",$X$14:$X$93,0)),"")</f>
        <v/>
      </c>
      <c r="AA35" s="20">
        <f>IFERROR(INDEX($H$14:$H$93,MATCH($E35&amp;"#3",$X$14:$X$93,0)),"")</f>
        <v/>
      </c>
      <c r="AB35" s="20">
        <f>IFERROR(INDEX($H$14:$H$93,MATCH($E35&amp;"#4",$X$14:$X$93,0)),"")</f>
        <v/>
      </c>
      <c r="AC35" s="20">
        <f>IFERROR(INDEX($H$14:$H$93,MATCH($E35&amp;"#5",$X$14:$X$93,0)),"")</f>
        <v/>
      </c>
      <c r="AD35" s="20">
        <f>IFERROR(INDEX($H$14:$H$93,MATCH($E35&amp;"#6",$X$14:$X$93,0)),"")</f>
        <v/>
      </c>
      <c r="AE35" s="20">
        <f>IFERROR(INDEX($H$14:$H$93,MATCH($E35&amp;"#7",$X$14:$X$93,0)),"")</f>
        <v/>
      </c>
      <c r="AF35" s="20">
        <f>IFERROR(INDEX($H$14:$H$93,MATCH($E35&amp;"#8",$X$14:$X$93,0)),"")</f>
        <v/>
      </c>
      <c r="AG35" s="20">
        <f>IFERROR(INDEX($H$14:$H$93,MATCH($E35&amp;"#9",$X$14:$X$93,0)),"")</f>
        <v/>
      </c>
      <c r="AH35" s="20">
        <f>IFERROR(INDEX($H$14:$H$93,MATCH($E35&amp;"#10",$X$14:$X$93,0)),"")</f>
        <v/>
      </c>
      <c r="AI35" s="20">
        <f>IFERROR(INDEX($H$14:$H$93,MATCH($E35&amp;"#11",$X$14:$X$93,0)),"")</f>
        <v/>
      </c>
      <c r="AJ35" s="20">
        <f>IFERROR(INDEX($H$14:$H$93,MATCH($E35&amp;"#12",$X$14:$X$93,0)),"")</f>
        <v/>
      </c>
      <c r="AK35" s="20">
        <f>IFERROR(INDEX($H$14:$H$93,MATCH($E35&amp;"#13",$X$14:$X$93,0)),"")</f>
        <v/>
      </c>
      <c r="AL35" s="20">
        <f>IFERROR(INDEX($H$14:$H$93,MATCH($E35&amp;"#14",$X$14:$X$93,0)),"")</f>
        <v/>
      </c>
      <c r="AM35" s="20">
        <f>IFERROR(INDEX($H$14:$H$93,MATCH($E35&amp;"#15",$X$14:$X$93,0)),"")</f>
        <v/>
      </c>
      <c r="AN35" s="20">
        <f>IFERROR(INDEX($H$14:$H$93,MATCH($E35&amp;"#16",$X$14:$X$93,0)),"")</f>
        <v/>
      </c>
      <c r="AO35" s="20">
        <f>IFERROR(INDEX($H$14:$H$93,MATCH($E35&amp;"#17",$X$14:$X$93,0)),"")</f>
        <v/>
      </c>
      <c r="AP35" s="20">
        <f>IFERROR(INDEX($H$14:$H$93,MATCH($E35&amp;"#18",$X$14:$X$93,0)),"")</f>
        <v/>
      </c>
      <c r="AQ35" s="20">
        <f>IFERROR(INDEX($H$14:$H$93,MATCH($E35&amp;"#19",$X$14:$X$93,0)),"")</f>
        <v/>
      </c>
      <c r="AR35" s="20">
        <f>IFERROR(INDEX($H$14:$H$93,MATCH($E35&amp;"#20",$X$14:$X$93,0)),"")</f>
        <v/>
      </c>
      <c r="AT35" s="21">
        <f>$C35</f>
        <v/>
      </c>
      <c r="AU35" s="22">
        <f>IF(AND($H35&lt;&gt;"",$Y35&lt;&gt;"",$H35&lt;&gt;$Y35,IFERROR(VLOOKUP($H35,areaCercaPuntiClassificaSquadra,3,FALSE),-1)=IFERROR(VLOOKUP($Y35,areaCercaPuntiClassificaSquadra,3,FALSE),-2)),SUMIFS(Dati!$B$2:$B$761,Dati!$A$2:$A$761,$H35,Dati!$H$2:$H$761,$Y35)+SUMIFS(Dati!$I$2:$I$761,Dati!$H$2:$H$761,$H35,Dati!$A$2:$A$761,$Y35),"-")</f>
        <v/>
      </c>
      <c r="AV35" s="22">
        <f>IF(AND($H35&lt;&gt;"",$Z35&lt;&gt;"",$H35&lt;&gt;$Z35,IFERROR(VLOOKUP($H35,areaCercaPuntiClassificaSquadra,3,FALSE),-1)=IFERROR(VLOOKUP($Z35,areaCercaPuntiClassificaSquadra,3,FALSE),-2)),SUMIFS(Dati!$B$2:$B$761,Dati!$A$2:$A$761,$H35,Dati!$H$2:$H$761,$Z35)+SUMIFS(Dati!$I$2:$I$761,Dati!$H$2:$H$761,$H35,Dati!$A$2:$A$761,$Z35),"-")</f>
        <v/>
      </c>
      <c r="AW35" s="22">
        <f>IF(AND($H35&lt;&gt;"",$AA35&lt;&gt;"",$H35&lt;&gt;$AA35,IFERROR(VLOOKUP($H35,areaCercaPuntiClassificaSquadra,3,FALSE),-1)=IFERROR(VLOOKUP($AA35,areaCercaPuntiClassificaSquadra,3,FALSE),-2)),SUMIFS(Dati!$B$2:$B$761,Dati!$A$2:$A$761,$H35,Dati!$H$2:$H$761,$AA35)+SUMIFS(Dati!$I$2:$I$761,Dati!$H$2:$H$761,$H35,Dati!$A$2:$A$761,$AA35),"-")</f>
        <v/>
      </c>
      <c r="AX35" s="22">
        <f>IF(AND($H35&lt;&gt;"",$AB35&lt;&gt;"",$H35&lt;&gt;$AB35,IFERROR(VLOOKUP($H35,areaCercaPuntiClassificaSquadra,3,FALSE),-1)=IFERROR(VLOOKUP($AB35,areaCercaPuntiClassificaSquadra,3,FALSE),-2)),SUMIFS(Dati!$B$2:$B$761,Dati!$A$2:$A$761,$H35,Dati!$H$2:$H$761,$AB35)+SUMIFS(Dati!$I$2:$I$761,Dati!$H$2:$H$761,$H35,Dati!$A$2:$A$761,$AB35),"-")</f>
        <v/>
      </c>
      <c r="AY35" s="22">
        <f>IF(AND($H35&lt;&gt;"",$AC35&lt;&gt;"",$H35&lt;&gt;$AC35,IFERROR(VLOOKUP($H35,areaCercaPuntiClassificaSquadra,3,FALSE),-1)=IFERROR(VLOOKUP($AC35,areaCercaPuntiClassificaSquadra,3,FALSE),-2)),SUMIFS(Dati!$B$2:$B$761,Dati!$A$2:$A$761,$H35,Dati!$H$2:$H$761,$AC35)+SUMIFS(Dati!$I$2:$I$761,Dati!$H$2:$H$761,$H35,Dati!$A$2:$A$761,$AC35),"-")</f>
        <v/>
      </c>
      <c r="AZ35" s="22">
        <f>IF(AND($H35&lt;&gt;"",$AD35&lt;&gt;"",$H35&lt;&gt;$AD35,IFERROR(VLOOKUP($H35,areaCercaPuntiClassificaSquadra,3,FALSE),-1)=IFERROR(VLOOKUP($AD35,areaCercaPuntiClassificaSquadra,3,FALSE),-2)),SUMIFS(Dati!$B$2:$B$761,Dati!$A$2:$A$761,$H35,Dati!$H$2:$H$761,$AD35)+SUMIFS(Dati!$I$2:$I$761,Dati!$H$2:$H$761,$H35,Dati!$A$2:$A$761,$AD35),"-")</f>
        <v/>
      </c>
      <c r="BA35" s="22">
        <f>IF(AND($H35&lt;&gt;"",$AE35&lt;&gt;"",$H35&lt;&gt;$AE35,IFERROR(VLOOKUP($H35,areaCercaPuntiClassificaSquadra,3,FALSE),-1)=IFERROR(VLOOKUP($AE35,areaCercaPuntiClassificaSquadra,3,FALSE),-2)),SUMIFS(Dati!$B$2:$B$761,Dati!$A$2:$A$761,$H35,Dati!$H$2:$H$761,$AE35)+SUMIFS(Dati!$I$2:$I$761,Dati!$H$2:$H$761,$H35,Dati!$A$2:$A$761,$AE35),"-")</f>
        <v/>
      </c>
      <c r="BB35" s="22">
        <f>IF(AND($H35&lt;&gt;"",$AF35&lt;&gt;"",$H35&lt;&gt;$AF35,IFERROR(VLOOKUP($H35,areaCercaPuntiClassificaSquadra,3,FALSE),-1)=IFERROR(VLOOKUP($AF35,areaCercaPuntiClassificaSquadra,3,FALSE),-2)),SUMIFS(Dati!$B$2:$B$761,Dati!$A$2:$A$761,$H35,Dati!$H$2:$H$761,$AF35)+SUMIFS(Dati!$I$2:$I$761,Dati!$H$2:$H$761,$H35,Dati!$A$2:$A$761,$AF35),"-")</f>
        <v/>
      </c>
      <c r="BC35" s="22">
        <f>IF(AND($H35&lt;&gt;"",$AG35&lt;&gt;"",$H35&lt;&gt;$AG35,IFERROR(VLOOKUP($H35,areaCercaPuntiClassificaSquadra,3,FALSE),-1)=IFERROR(VLOOKUP($AG35,areaCercaPuntiClassificaSquadra,3,FALSE),-2)),SUMIFS(Dati!$B$2:$B$761,Dati!$A$2:$A$761,$H35,Dati!$H$2:$H$761,$AG35)+SUMIFS(Dati!$I$2:$I$761,Dati!$H$2:$H$761,$H35,Dati!$A$2:$A$761,$AG35),"-")</f>
        <v/>
      </c>
      <c r="BD35" s="22">
        <f>IF(AND($H35&lt;&gt;"",$AH35&lt;&gt;"",$H35&lt;&gt;$AH35,IFERROR(VLOOKUP($H35,areaCercaPuntiClassificaSquadra,3,FALSE),-1)=IFERROR(VLOOKUP($AH35,areaCercaPuntiClassificaSquadra,3,FALSE),-2)),SUMIFS(Dati!$B$2:$B$761,Dati!$A$2:$A$761,$H35,Dati!$H$2:$H$761,$AH35)+SUMIFS(Dati!$I$2:$I$761,Dati!$H$2:$H$761,$H35,Dati!$A$2:$A$761,$AH35),"-")</f>
        <v/>
      </c>
      <c r="BE35" s="22">
        <f>IF(AND($H35&lt;&gt;"",$AI35&lt;&gt;"",$H35&lt;&gt;$AI35,IFERROR(VLOOKUP($H35,areaCercaPuntiClassificaSquadra,3,FALSE),-1)=IFERROR(VLOOKUP($AI35,areaCercaPuntiClassificaSquadra,3,FALSE),-2)),SUMIFS(Dati!$B$2:$B$761,Dati!$A$2:$A$761,$H35,Dati!$H$2:$H$761,$AI35)+SUMIFS(Dati!$I$2:$I$761,Dati!$H$2:$H$761,$H35,Dati!$A$2:$A$761,$AI35),"-")</f>
        <v/>
      </c>
      <c r="BF35" s="22">
        <f>IF(AND($H35&lt;&gt;"",$AJ35&lt;&gt;"",$H35&lt;&gt;$AJ35,IFERROR(VLOOKUP($H35,areaCercaPuntiClassificaSquadra,3,FALSE),-1)=IFERROR(VLOOKUP($AJ35,areaCercaPuntiClassificaSquadra,3,FALSE),-2)),SUMIFS(Dati!$B$2:$B$761,Dati!$A$2:$A$761,$H35,Dati!$H$2:$H$761,$AJ35)+SUMIFS(Dati!$I$2:$I$761,Dati!$H$2:$H$761,$H35,Dati!$A$2:$A$761,$AJ35),"-")</f>
        <v/>
      </c>
      <c r="BG35" s="22">
        <f>IF(AND($H35&lt;&gt;"",$AK35&lt;&gt;"",$H35&lt;&gt;$AK35,IFERROR(VLOOKUP($H35,areaCercaPuntiClassificaSquadra,3,FALSE),-1)=IFERROR(VLOOKUP($AK35,areaCercaPuntiClassificaSquadra,3,FALSE),-2)),SUMIFS(Dati!$B$2:$B$761,Dati!$A$2:$A$761,$H35,Dati!$H$2:$H$761,$AK35)+SUMIFS(Dati!$I$2:$I$761,Dati!$H$2:$H$761,$H35,Dati!$A$2:$A$761,$AK35),"-")</f>
        <v/>
      </c>
      <c r="BH35" s="22">
        <f>IF(AND($H35&lt;&gt;"",$AL35&lt;&gt;"",$H35&lt;&gt;$AL35,IFERROR(VLOOKUP($H35,areaCercaPuntiClassificaSquadra,3,FALSE),-1)=IFERROR(VLOOKUP($AL35,areaCercaPuntiClassificaSquadra,3,FALSE),-2)),SUMIFS(Dati!$B$2:$B$761,Dati!$A$2:$A$761,$H35,Dati!$H$2:$H$761,$AL35)+SUMIFS(Dati!$I$2:$I$761,Dati!$H$2:$H$761,$H35,Dati!$A$2:$A$761,$AL35),"-")</f>
        <v/>
      </c>
      <c r="BI35" s="22">
        <f>IF(AND($H35&lt;&gt;"",$AM35&lt;&gt;"",$H35&lt;&gt;$AM35,IFERROR(VLOOKUP($H35,areaCercaPuntiClassificaSquadra,3,FALSE),-1)=IFERROR(VLOOKUP($AM35,areaCercaPuntiClassificaSquadra,3,FALSE),-2)),SUMIFS(Dati!$B$2:$B$761,Dati!$A$2:$A$761,$H35,Dati!$H$2:$H$761,$AM35)+SUMIFS(Dati!$I$2:$I$761,Dati!$H$2:$H$761,$H35,Dati!$A$2:$A$761,$AM35),"-")</f>
        <v/>
      </c>
      <c r="BJ35" s="22">
        <f>IF(AND($H35&lt;&gt;"",$AN35&lt;&gt;"",$H35&lt;&gt;$AN35,IFERROR(VLOOKUP($H35,areaCercaPuntiClassificaSquadra,3,FALSE),-1)=IFERROR(VLOOKUP($AN35,areaCercaPuntiClassificaSquadra,3,FALSE),-2)),SUMIFS(Dati!$B$2:$B$761,Dati!$A$2:$A$761,$H35,Dati!$H$2:$H$761,$AN35)+SUMIFS(Dati!$I$2:$I$761,Dati!$H$2:$H$761,$H35,Dati!$A$2:$A$761,$AN35),"-")</f>
        <v/>
      </c>
      <c r="BK35" s="22">
        <f>IF(AND($H35&lt;&gt;"",$AO35&lt;&gt;"",$H35&lt;&gt;$AO35,IFERROR(VLOOKUP($H35,areaCercaPuntiClassificaSquadra,3,FALSE),-1)=IFERROR(VLOOKUP($AO35,areaCercaPuntiClassificaSquadra,3,FALSE),-2)),SUMIFS(Dati!$B$2:$B$761,Dati!$A$2:$A$761,$H35,Dati!$H$2:$H$761,$AO35)+SUMIFS(Dati!$I$2:$I$761,Dati!$H$2:$H$761,$H35,Dati!$A$2:$A$761,$AO35),"-")</f>
        <v/>
      </c>
      <c r="BL35" s="22">
        <f>IF(AND($H35&lt;&gt;"",$AP35&lt;&gt;"",$H35&lt;&gt;$AP35,IFERROR(VLOOKUP($H35,areaCercaPuntiClassificaSquadra,3,FALSE),-1)=IFERROR(VLOOKUP($AP35,areaCercaPuntiClassificaSquadra,3,FALSE),-2)),SUMIFS(Dati!$B$2:$B$761,Dati!$A$2:$A$761,$H35,Dati!$H$2:$H$761,$AP35)+SUMIFS(Dati!$I$2:$I$761,Dati!$H$2:$H$761,$H35,Dati!$A$2:$A$761,$AP35),"-")</f>
        <v/>
      </c>
      <c r="BM35" s="22">
        <f>IF(AND($H35&lt;&gt;"",$AQ35&lt;&gt;"",$H35&lt;&gt;$AQ35,IFERROR(VLOOKUP($H35,areaCercaPuntiClassificaSquadra,3,FALSE),-1)=IFERROR(VLOOKUP($AQ35,areaCercaPuntiClassificaSquadra,3,FALSE),-2)),SUMIFS(Dati!$B$2:$B$761,Dati!$A$2:$A$761,$H35,Dati!$H$2:$H$761,$AQ35)+SUMIFS(Dati!$I$2:$I$761,Dati!$H$2:$H$761,$H35,Dati!$A$2:$A$761,$AQ35),"-")</f>
        <v/>
      </c>
      <c r="BN35" s="22">
        <f>IF(AND($H35&lt;&gt;"",$AR35&lt;&gt;"",$H35&lt;&gt;$AR35,IFERROR(VLOOKUP($H35,areaCercaPuntiClassificaSquadra,3,FALSE),-1)=IFERROR(VLOOKUP($AR35,areaCercaPuntiClassificaSquadra,3,FALSE),-2)),SUMIFS(Dati!$B$2:$B$761,Dati!$A$2:$A$761,$H35,Dati!$H$2:$H$761,$AR35)+SUMIFS(Dati!$I$2:$I$761,Dati!$H$2:$H$761,$H35,Dati!$A$2:$A$761,$AR35),"-")</f>
        <v/>
      </c>
      <c r="BP35" s="21">
        <f>$C35</f>
        <v/>
      </c>
      <c r="BQ35" s="22">
        <f>IF(AND($H35&lt;&gt;"",$Y35&lt;&gt;"",$H35&lt;&gt;$Y35,IFERROR(VLOOKUP($H35,areaCercaPuntiClassificaSquadra,3,FALSE),-1)=IFERROR(VLOOKUP($Y35,areaCercaPuntiClassificaSquadra,3,FALSE),-2)),SUMIFS(Dati!$D$2:$D$761,Dati!$A$2:$A$761,$H35,Dati!$H$2:$H$761,$Y35)+SUMIFS(Dati!$K$2:$K$761,Dati!$H$2:$H$761,$H35,Dati!$A$2:$A$761,$Y35)+SUMIFS(Dati!$C$2:$C$761,Dati!$A$2:$A$761,$H35,Dati!$H$2:$H$761,$Y35)+SUMIFS(Dati!$J$2:$J$761,Dati!$H$2:$H$761,$H35,Dati!$A$2:$A$761,$Y35),"-")</f>
        <v/>
      </c>
      <c r="BR35" s="22">
        <f>IF(AND($H35&lt;&gt;"",$Z35&lt;&gt;"",$H35&lt;&gt;$Z35,IFERROR(VLOOKUP($H35,areaCercaPuntiClassificaSquadra,3,FALSE),-1)=IFERROR(VLOOKUP($Z35,areaCercaPuntiClassificaSquadra,3,FALSE),-2)),SUMIFS(Dati!$D$2:$D$761,Dati!$A$2:$A$761,$H35,Dati!$H$2:$H$761,$Z35)+SUMIFS(Dati!$K$2:$K$761,Dati!$H$2:$H$761,$H35,Dati!$A$2:$A$761,$Z35)+SUMIFS(Dati!$C$2:$C$761,Dati!$A$2:$A$761,$H35,Dati!$H$2:$H$761,$Z35)+SUMIFS(Dati!$J$2:$J$761,Dati!$H$2:$H$761,$H35,Dati!$A$2:$A$761,$Z35),"-")</f>
        <v/>
      </c>
      <c r="BS35" s="22">
        <f>IF(AND($H35&lt;&gt;"",$AA35&lt;&gt;"",$H35&lt;&gt;$AA35,IFERROR(VLOOKUP($H35,areaCercaPuntiClassificaSquadra,3,FALSE),-1)=IFERROR(VLOOKUP($AA35,areaCercaPuntiClassificaSquadra,3,FALSE),-2)),SUMIFS(Dati!$D$2:$D$761,Dati!$A$2:$A$761,$H35,Dati!$H$2:$H$761,$AA35)+SUMIFS(Dati!$K$2:$K$761,Dati!$H$2:$H$761,$H35,Dati!$A$2:$A$761,$AA35)+SUMIFS(Dati!$C$2:$C$761,Dati!$A$2:$A$761,$H35,Dati!$H$2:$H$761,$AA35)+SUMIFS(Dati!$J$2:$J$761,Dati!$H$2:$H$761,$H35,Dati!$A$2:$A$761,$AA35),"-")</f>
        <v/>
      </c>
      <c r="BT35" s="22">
        <f>IF(AND($H35&lt;&gt;"",$AB35&lt;&gt;"",$H35&lt;&gt;$AB35,IFERROR(VLOOKUP($H35,areaCercaPuntiClassificaSquadra,3,FALSE),-1)=IFERROR(VLOOKUP($AB35,areaCercaPuntiClassificaSquadra,3,FALSE),-2)),SUMIFS(Dati!$D$2:$D$761,Dati!$A$2:$A$761,$H35,Dati!$H$2:$H$761,$AB35)+SUMIFS(Dati!$K$2:$K$761,Dati!$H$2:$H$761,$H35,Dati!$A$2:$A$761,$AB35)+SUMIFS(Dati!$C$2:$C$761,Dati!$A$2:$A$761,$H35,Dati!$H$2:$H$761,$AB35)+SUMIFS(Dati!$J$2:$J$761,Dati!$H$2:$H$761,$H35,Dati!$A$2:$A$761,$AB35),"-")</f>
        <v/>
      </c>
      <c r="BU35" s="22">
        <f>IF(AND($H35&lt;&gt;"",$AC35&lt;&gt;"",$H35&lt;&gt;$AC35,IFERROR(VLOOKUP($H35,areaCercaPuntiClassificaSquadra,3,FALSE),-1)=IFERROR(VLOOKUP($AC35,areaCercaPuntiClassificaSquadra,3,FALSE),-2)),SUMIFS(Dati!$D$2:$D$761,Dati!$A$2:$A$761,$H35,Dati!$H$2:$H$761,$AC35)+SUMIFS(Dati!$K$2:$K$761,Dati!$H$2:$H$761,$H35,Dati!$A$2:$A$761,$AC35)+SUMIFS(Dati!$C$2:$C$761,Dati!$A$2:$A$761,$H35,Dati!$H$2:$H$761,$AC35)+SUMIFS(Dati!$J$2:$J$761,Dati!$H$2:$H$761,$H35,Dati!$A$2:$A$761,$AC35),"-")</f>
        <v/>
      </c>
      <c r="BV35" s="22">
        <f>IF(AND($H35&lt;&gt;"",$AD35&lt;&gt;"",$H35&lt;&gt;$AD35,IFERROR(VLOOKUP($H35,areaCercaPuntiClassificaSquadra,3,FALSE),-1)=IFERROR(VLOOKUP($AD35,areaCercaPuntiClassificaSquadra,3,FALSE),-2)),SUMIFS(Dati!$D$2:$D$761,Dati!$A$2:$A$761,$H35,Dati!$H$2:$H$761,$AD35)+SUMIFS(Dati!$K$2:$K$761,Dati!$H$2:$H$761,$H35,Dati!$A$2:$A$761,$AD35)+SUMIFS(Dati!$C$2:$C$761,Dati!$A$2:$A$761,$H35,Dati!$H$2:$H$761,$AD35)+SUMIFS(Dati!$J$2:$J$761,Dati!$H$2:$H$761,$H35,Dati!$A$2:$A$761,$AD35),"-")</f>
        <v/>
      </c>
      <c r="BW35" s="22">
        <f>IF(AND($H35&lt;&gt;"",$AE35&lt;&gt;"",$H35&lt;&gt;$AE35,IFERROR(VLOOKUP($H35,areaCercaPuntiClassificaSquadra,3,FALSE),-1)=IFERROR(VLOOKUP($AE35,areaCercaPuntiClassificaSquadra,3,FALSE),-2)),SUMIFS(Dati!$D$2:$D$761,Dati!$A$2:$A$761,$H35,Dati!$H$2:$H$761,$AE35)+SUMIFS(Dati!$K$2:$K$761,Dati!$H$2:$H$761,$H35,Dati!$A$2:$A$761,$AE35)+SUMIFS(Dati!$C$2:$C$761,Dati!$A$2:$A$761,$H35,Dati!$H$2:$H$761,$AE35)+SUMIFS(Dati!$J$2:$J$761,Dati!$H$2:$H$761,$H35,Dati!$A$2:$A$761,$AE35),"-")</f>
        <v/>
      </c>
      <c r="BX35" s="22">
        <f>IF(AND($H35&lt;&gt;"",$AF35&lt;&gt;"",$H35&lt;&gt;$AF35,IFERROR(VLOOKUP($H35,areaCercaPuntiClassificaSquadra,3,FALSE),-1)=IFERROR(VLOOKUP($AF35,areaCercaPuntiClassificaSquadra,3,FALSE),-2)),SUMIFS(Dati!$D$2:$D$761,Dati!$A$2:$A$761,$H35,Dati!$H$2:$H$761,$AF35)+SUMIFS(Dati!$K$2:$K$761,Dati!$H$2:$H$761,$H35,Dati!$A$2:$A$761,$AF35)+SUMIFS(Dati!$C$2:$C$761,Dati!$A$2:$A$761,$H35,Dati!$H$2:$H$761,$AF35)+SUMIFS(Dati!$J$2:$J$761,Dati!$H$2:$H$761,$H35,Dati!$A$2:$A$761,$AF35),"-")</f>
        <v/>
      </c>
      <c r="BY35" s="22">
        <f>IF(AND($H35&lt;&gt;"",$AG35&lt;&gt;"",$H35&lt;&gt;$AG35,IFERROR(VLOOKUP($H35,areaCercaPuntiClassificaSquadra,3,FALSE),-1)=IFERROR(VLOOKUP($AG35,areaCercaPuntiClassificaSquadra,3,FALSE),-2)),SUMIFS(Dati!$D$2:$D$761,Dati!$A$2:$A$761,$H35,Dati!$H$2:$H$761,$AG35)+SUMIFS(Dati!$K$2:$K$761,Dati!$H$2:$H$761,$H35,Dati!$A$2:$A$761,$AG35)+SUMIFS(Dati!$C$2:$C$761,Dati!$A$2:$A$761,$H35,Dati!$H$2:$H$761,$AG35)+SUMIFS(Dati!$J$2:$J$761,Dati!$H$2:$H$761,$H35,Dati!$A$2:$A$761,$AG35),"-")</f>
        <v/>
      </c>
      <c r="BZ35" s="22">
        <f>IF(AND($H35&lt;&gt;"",$AH35&lt;&gt;"",$H35&lt;&gt;$AH35,IFERROR(VLOOKUP($H35,areaCercaPuntiClassificaSquadra,3,FALSE),-1)=IFERROR(VLOOKUP($AH35,areaCercaPuntiClassificaSquadra,3,FALSE),-2)),SUMIFS(Dati!$D$2:$D$761,Dati!$A$2:$A$761,$H35,Dati!$H$2:$H$761,$AH35)+SUMIFS(Dati!$K$2:$K$761,Dati!$H$2:$H$761,$H35,Dati!$A$2:$A$761,$AH35)+SUMIFS(Dati!$C$2:$C$761,Dati!$A$2:$A$761,$H35,Dati!$H$2:$H$761,$AH35)+SUMIFS(Dati!$J$2:$J$761,Dati!$H$2:$H$761,$H35,Dati!$A$2:$A$761,$AH35),"-")</f>
        <v/>
      </c>
      <c r="CA35" s="22">
        <f>IF(AND($H35&lt;&gt;"",$AI35&lt;&gt;"",$H35&lt;&gt;$AI35,IFERROR(VLOOKUP($H35,areaCercaPuntiClassificaSquadra,3,FALSE),-1)=IFERROR(VLOOKUP($AI35,areaCercaPuntiClassificaSquadra,3,FALSE),-2)),SUMIFS(Dati!$D$2:$D$761,Dati!$A$2:$A$761,$H35,Dati!$H$2:$H$761,$AI35)+SUMIFS(Dati!$K$2:$K$761,Dati!$H$2:$H$761,$H35,Dati!$A$2:$A$761,$AI35)+SUMIFS(Dati!$C$2:$C$761,Dati!$A$2:$A$761,$H35,Dati!$H$2:$H$761,$AI35)+SUMIFS(Dati!$J$2:$J$761,Dati!$H$2:$H$761,$H35,Dati!$A$2:$A$761,$AI35),"-")</f>
        <v/>
      </c>
      <c r="CB35" s="22">
        <f>IF(AND($H35&lt;&gt;"",$AJ35&lt;&gt;"",$H35&lt;&gt;$AJ35,IFERROR(VLOOKUP($H35,areaCercaPuntiClassificaSquadra,3,FALSE),-1)=IFERROR(VLOOKUP($AJ35,areaCercaPuntiClassificaSquadra,3,FALSE),-2)),SUMIFS(Dati!$D$2:$D$761,Dati!$A$2:$A$761,$H35,Dati!$H$2:$H$761,$AJ35)+SUMIFS(Dati!$K$2:$K$761,Dati!$H$2:$H$761,$H35,Dati!$A$2:$A$761,$AJ35)+SUMIFS(Dati!$C$2:$C$761,Dati!$A$2:$A$761,$H35,Dati!$H$2:$H$761,$AJ35)+SUMIFS(Dati!$J$2:$J$761,Dati!$H$2:$H$761,$H35,Dati!$A$2:$A$761,$AJ35),"-")</f>
        <v/>
      </c>
      <c r="CC35" s="22">
        <f>IF(AND($H35&lt;&gt;"",$AK35&lt;&gt;"",$H35&lt;&gt;$AK35,IFERROR(VLOOKUP($H35,areaCercaPuntiClassificaSquadra,3,FALSE),-1)=IFERROR(VLOOKUP($AK35,areaCercaPuntiClassificaSquadra,3,FALSE),-2)),SUMIFS(Dati!$D$2:$D$761,Dati!$A$2:$A$761,$H35,Dati!$H$2:$H$761,$AK35)+SUMIFS(Dati!$K$2:$K$761,Dati!$H$2:$H$761,$H35,Dati!$A$2:$A$761,$AK35)+SUMIFS(Dati!$C$2:$C$761,Dati!$A$2:$A$761,$H35,Dati!$H$2:$H$761,$AK35)+SUMIFS(Dati!$J$2:$J$761,Dati!$H$2:$H$761,$H35,Dati!$A$2:$A$761,$AK35),"-")</f>
        <v/>
      </c>
      <c r="CD35" s="22">
        <f>IF(AND($H35&lt;&gt;"",$AL35&lt;&gt;"",$H35&lt;&gt;$AL35,IFERROR(VLOOKUP($H35,areaCercaPuntiClassificaSquadra,3,FALSE),-1)=IFERROR(VLOOKUP($AL35,areaCercaPuntiClassificaSquadra,3,FALSE),-2)),SUMIFS(Dati!$D$2:$D$761,Dati!$A$2:$A$761,$H35,Dati!$H$2:$H$761,$AL35)+SUMIFS(Dati!$K$2:$K$761,Dati!$H$2:$H$761,$H35,Dati!$A$2:$A$761,$AL35)+SUMIFS(Dati!$C$2:$C$761,Dati!$A$2:$A$761,$H35,Dati!$H$2:$H$761,$AL35)+SUMIFS(Dati!$J$2:$J$761,Dati!$H$2:$H$761,$H35,Dati!$A$2:$A$761,$AL35),"-")</f>
        <v/>
      </c>
      <c r="CE35" s="22">
        <f>IF(AND($H35&lt;&gt;"",$AM35&lt;&gt;"",$H35&lt;&gt;$AM35,IFERROR(VLOOKUP($H35,areaCercaPuntiClassificaSquadra,3,FALSE),-1)=IFERROR(VLOOKUP($AM35,areaCercaPuntiClassificaSquadra,3,FALSE),-2)),SUMIFS(Dati!$D$2:$D$761,Dati!$A$2:$A$761,$H35,Dati!$H$2:$H$761,$AM35)+SUMIFS(Dati!$K$2:$K$761,Dati!$H$2:$H$761,$H35,Dati!$A$2:$A$761,$AM35)+SUMIFS(Dati!$C$2:$C$761,Dati!$A$2:$A$761,$H35,Dati!$H$2:$H$761,$AM35)+SUMIFS(Dati!$J$2:$J$761,Dati!$H$2:$H$761,$H35,Dati!$A$2:$A$761,$AM35),"-")</f>
        <v/>
      </c>
      <c r="CF35" s="22">
        <f>IF(AND($H35&lt;&gt;"",$AN35&lt;&gt;"",$H35&lt;&gt;$AN35,IFERROR(VLOOKUP($H35,areaCercaPuntiClassificaSquadra,3,FALSE),-1)=IFERROR(VLOOKUP($AN35,areaCercaPuntiClassificaSquadra,3,FALSE),-2)),SUMIFS(Dati!$D$2:$D$761,Dati!$A$2:$A$761,$H35,Dati!$H$2:$H$761,$AN35)+SUMIFS(Dati!$K$2:$K$761,Dati!$H$2:$H$761,$H35,Dati!$A$2:$A$761,$AN35)+SUMIFS(Dati!$C$2:$C$761,Dati!$A$2:$A$761,$H35,Dati!$H$2:$H$761,$AN35)+SUMIFS(Dati!$J$2:$J$761,Dati!$H$2:$H$761,$H35,Dati!$A$2:$A$761,$AN35),"-")</f>
        <v/>
      </c>
      <c r="CG35" s="22">
        <f>IF(AND($H35&lt;&gt;"",$AO35&lt;&gt;"",$H35&lt;&gt;$AO35,IFERROR(VLOOKUP($H35,areaCercaPuntiClassificaSquadra,3,FALSE),-1)=IFERROR(VLOOKUP($AO35,areaCercaPuntiClassificaSquadra,3,FALSE),-2)),SUMIFS(Dati!$D$2:$D$761,Dati!$A$2:$A$761,$H35,Dati!$H$2:$H$761,$AO35)+SUMIFS(Dati!$K$2:$K$761,Dati!$H$2:$H$761,$H35,Dati!$A$2:$A$761,$AO35)+SUMIFS(Dati!$C$2:$C$761,Dati!$A$2:$A$761,$H35,Dati!$H$2:$H$761,$AO35)+SUMIFS(Dati!$J$2:$J$761,Dati!$H$2:$H$761,$H35,Dati!$A$2:$A$761,$AO35),"-")</f>
        <v/>
      </c>
      <c r="CH35" s="22">
        <f>IF(AND($H35&lt;&gt;"",$AP35&lt;&gt;"",$H35&lt;&gt;$AP35,IFERROR(VLOOKUP($H35,areaCercaPuntiClassificaSquadra,3,FALSE),-1)=IFERROR(VLOOKUP($AP35,areaCercaPuntiClassificaSquadra,3,FALSE),-2)),SUMIFS(Dati!$D$2:$D$761,Dati!$A$2:$A$761,$H35,Dati!$H$2:$H$761,$AP35)+SUMIFS(Dati!$K$2:$K$761,Dati!$H$2:$H$761,$H35,Dati!$A$2:$A$761,$AP35)+SUMIFS(Dati!$C$2:$C$761,Dati!$A$2:$A$761,$H35,Dati!$H$2:$H$761,$AP35)+SUMIFS(Dati!$J$2:$J$761,Dati!$H$2:$H$761,$H35,Dati!$A$2:$A$761,$AP35),"-")</f>
        <v/>
      </c>
      <c r="CI35" s="22">
        <f>IF(AND($H35&lt;&gt;"",$AQ35&lt;&gt;"",$H35&lt;&gt;$AQ35,IFERROR(VLOOKUP($H35,areaCercaPuntiClassificaSquadra,3,FALSE),-1)=IFERROR(VLOOKUP($AQ35,areaCercaPuntiClassificaSquadra,3,FALSE),-2)),SUMIFS(Dati!$D$2:$D$761,Dati!$A$2:$A$761,$H35,Dati!$H$2:$H$761,$AQ35)+SUMIFS(Dati!$K$2:$K$761,Dati!$H$2:$H$761,$H35,Dati!$A$2:$A$761,$AQ35)+SUMIFS(Dati!$C$2:$C$761,Dati!$A$2:$A$761,$H35,Dati!$H$2:$H$761,$AQ35)+SUMIFS(Dati!$J$2:$J$761,Dati!$H$2:$H$761,$H35,Dati!$A$2:$A$761,$AQ35),"-")</f>
        <v/>
      </c>
      <c r="CJ35" s="22">
        <f>IF(AND($H35&lt;&gt;"",$AR35&lt;&gt;"",$H35&lt;&gt;$AR35,IFERROR(VLOOKUP($H35,areaCercaPuntiClassificaSquadra,3,FALSE),-1)=IFERROR(VLOOKUP($AR35,areaCercaPuntiClassificaSquadra,3,FALSE),-2)),SUMIFS(Dati!$D$2:$D$761,Dati!$A$2:$A$761,$H35,Dati!$H$2:$H$761,$AR35)+SUMIFS(Dati!$K$2:$K$761,Dati!$H$2:$H$761,$H35,Dati!$A$2:$A$761,$AR35)+SUMIFS(Dati!$C$2:$C$761,Dati!$A$2:$A$761,$H35,Dati!$H$2:$H$761,$AR35)+SUMIFS(Dati!$J$2:$J$761,Dati!$H$2:$H$761,$H35,Dati!$A$2:$A$761,$AR35),"-")</f>
        <v/>
      </c>
      <c r="CL35" s="21">
        <f>$C35</f>
        <v/>
      </c>
      <c r="CM35" s="22">
        <f>IF(AND($H35&lt;&gt;"",$Y35&lt;&gt;"",$H35&lt;&gt;$Y35,IFERROR(VLOOKUP($H35,areaCercaPuntiClassificaSquadra,3,FALSE),-1)=IFERROR(VLOOKUP($Y35,areaCercaPuntiClassificaSquadra,3,FALSE),-2)),SUMIFS(Dati!$E$2:$E$761,Dati!$A$2:$A$761,$H35,Dati!$H$2:$H$761,$Y35)+SUMIFS(Dati!$L$2:$L$761,Dati!$H$2:$H$761,$H35,Dati!$A$2:$A$761,$Y35),"-")</f>
        <v/>
      </c>
      <c r="CN35" s="22">
        <f>IF(AND($H35&lt;&gt;"",$Z35&lt;&gt;"",$H35&lt;&gt;$Z35,IFERROR(VLOOKUP($H35,areaCercaPuntiClassificaSquadra,3,FALSE),-1)=IFERROR(VLOOKUP($Z35,areaCercaPuntiClassificaSquadra,3,FALSE),-2)),SUMIFS(Dati!$E$2:$E$761,Dati!$A$2:$A$761,$H35,Dati!$H$2:$H$761,$Z35)+SUMIFS(Dati!$L$2:$L$761,Dati!$H$2:$H$761,$H35,Dati!$A$2:$A$761,$Z35),"-")</f>
        <v/>
      </c>
      <c r="CO35" s="22">
        <f>IF(AND($H35&lt;&gt;"",$AA35&lt;&gt;"",$H35&lt;&gt;$AA35,IFERROR(VLOOKUP($H35,areaCercaPuntiClassificaSquadra,3,FALSE),-1)=IFERROR(VLOOKUP($AA35,areaCercaPuntiClassificaSquadra,3,FALSE),-2)),SUMIFS(Dati!$E$2:$E$761,Dati!$A$2:$A$761,$H35,Dati!$H$2:$H$761,$AA35)+SUMIFS(Dati!$L$2:$L$761,Dati!$H$2:$H$761,$H35,Dati!$A$2:$A$761,$AA35),"-")</f>
        <v/>
      </c>
      <c r="CP35" s="22">
        <f>IF(AND($H35&lt;&gt;"",$AB35&lt;&gt;"",$H35&lt;&gt;$AB35,IFERROR(VLOOKUP($H35,areaCercaPuntiClassificaSquadra,3,FALSE),-1)=IFERROR(VLOOKUP($AB35,areaCercaPuntiClassificaSquadra,3,FALSE),-2)),SUMIFS(Dati!$E$2:$E$761,Dati!$A$2:$A$761,$H35,Dati!$H$2:$H$761,$AB35)+SUMIFS(Dati!$L$2:$L$761,Dati!$H$2:$H$761,$H35,Dati!$A$2:$A$761,$AB35),"-")</f>
        <v/>
      </c>
      <c r="CQ35" s="22">
        <f>IF(AND($H35&lt;&gt;"",$AC35&lt;&gt;"",$H35&lt;&gt;$AC35,IFERROR(VLOOKUP($H35,areaCercaPuntiClassificaSquadra,3,FALSE),-1)=IFERROR(VLOOKUP($AC35,areaCercaPuntiClassificaSquadra,3,FALSE),-2)),SUMIFS(Dati!$E$2:$E$761,Dati!$A$2:$A$761,$H35,Dati!$H$2:$H$761,$AC35)+SUMIFS(Dati!$L$2:$L$761,Dati!$H$2:$H$761,$H35,Dati!$A$2:$A$761,$AC35),"-")</f>
        <v/>
      </c>
      <c r="CR35" s="22">
        <f>IF(AND($H35&lt;&gt;"",$AD35&lt;&gt;"",$H35&lt;&gt;$AD35,IFERROR(VLOOKUP($H35,areaCercaPuntiClassificaSquadra,3,FALSE),-1)=IFERROR(VLOOKUP($AD35,areaCercaPuntiClassificaSquadra,3,FALSE),-2)),SUMIFS(Dati!$E$2:$E$761,Dati!$A$2:$A$761,$H35,Dati!$H$2:$H$761,$AD35)+SUMIFS(Dati!$L$2:$L$761,Dati!$H$2:$H$761,$H35,Dati!$A$2:$A$761,$AD35),"-")</f>
        <v/>
      </c>
      <c r="CS35" s="22">
        <f>IF(AND($H35&lt;&gt;"",$AE35&lt;&gt;"",$H35&lt;&gt;$AE35,IFERROR(VLOOKUP($H35,areaCercaPuntiClassificaSquadra,3,FALSE),-1)=IFERROR(VLOOKUP($AE35,areaCercaPuntiClassificaSquadra,3,FALSE),-2)),SUMIFS(Dati!$E$2:$E$761,Dati!$A$2:$A$761,$H35,Dati!$H$2:$H$761,$AE35)+SUMIFS(Dati!$L$2:$L$761,Dati!$H$2:$H$761,$H35,Dati!$A$2:$A$761,$AE35),"-")</f>
        <v/>
      </c>
      <c r="CT35" s="22">
        <f>IF(AND($H35&lt;&gt;"",$AF35&lt;&gt;"",$H35&lt;&gt;$AF35,IFERROR(VLOOKUP($H35,areaCercaPuntiClassificaSquadra,3,FALSE),-1)=IFERROR(VLOOKUP($AF35,areaCercaPuntiClassificaSquadra,3,FALSE),-2)),SUMIFS(Dati!$E$2:$E$761,Dati!$A$2:$A$761,$H35,Dati!$H$2:$H$761,$AF35)+SUMIFS(Dati!$L$2:$L$761,Dati!$H$2:$H$761,$H35,Dati!$A$2:$A$761,$AF35),"-")</f>
        <v/>
      </c>
      <c r="CU35" s="22">
        <f>IF(AND($H35&lt;&gt;"",$AG35&lt;&gt;"",$H35&lt;&gt;$AG35,IFERROR(VLOOKUP($H35,areaCercaPuntiClassificaSquadra,3,FALSE),-1)=IFERROR(VLOOKUP($AG35,areaCercaPuntiClassificaSquadra,3,FALSE),-2)),SUMIFS(Dati!$E$2:$E$761,Dati!$A$2:$A$761,$H35,Dati!$H$2:$H$761,$AG35)+SUMIFS(Dati!$L$2:$L$761,Dati!$H$2:$H$761,$H35,Dati!$A$2:$A$761,$AG35),"-")</f>
        <v/>
      </c>
      <c r="CV35" s="22">
        <f>IF(AND($H35&lt;&gt;"",$AH35&lt;&gt;"",$H35&lt;&gt;$AH35,IFERROR(VLOOKUP($H35,areaCercaPuntiClassificaSquadra,3,FALSE),-1)=IFERROR(VLOOKUP($AH35,areaCercaPuntiClassificaSquadra,3,FALSE),-2)),SUMIFS(Dati!$E$2:$E$761,Dati!$A$2:$A$761,$H35,Dati!$H$2:$H$761,$AH35)+SUMIFS(Dati!$L$2:$L$761,Dati!$H$2:$H$761,$H35,Dati!$A$2:$A$761,$AH35),"-")</f>
        <v/>
      </c>
      <c r="CW35" s="22">
        <f>IF(AND($H35&lt;&gt;"",$AI35&lt;&gt;"",$H35&lt;&gt;$AI35,IFERROR(VLOOKUP($H35,areaCercaPuntiClassificaSquadra,3,FALSE),-1)=IFERROR(VLOOKUP($AI35,areaCercaPuntiClassificaSquadra,3,FALSE),-2)),SUMIFS(Dati!$E$2:$E$761,Dati!$A$2:$A$761,$H35,Dati!$H$2:$H$761,$AI35)+SUMIFS(Dati!$L$2:$L$761,Dati!$H$2:$H$761,$H35,Dati!$A$2:$A$761,$AI35),"-")</f>
        <v/>
      </c>
      <c r="CX35" s="22">
        <f>IF(AND($H35&lt;&gt;"",$AJ35&lt;&gt;"",$H35&lt;&gt;$AJ35,IFERROR(VLOOKUP($H35,areaCercaPuntiClassificaSquadra,3,FALSE),-1)=IFERROR(VLOOKUP($AJ35,areaCercaPuntiClassificaSquadra,3,FALSE),-2)),SUMIFS(Dati!$E$2:$E$761,Dati!$A$2:$A$761,$H35,Dati!$H$2:$H$761,$AJ35)+SUMIFS(Dati!$L$2:$L$761,Dati!$H$2:$H$761,$H35,Dati!$A$2:$A$761,$AJ35),"-")</f>
        <v/>
      </c>
      <c r="CY35" s="22">
        <f>IF(AND($H35&lt;&gt;"",$AK35&lt;&gt;"",$H35&lt;&gt;$AK35,IFERROR(VLOOKUP($H35,areaCercaPuntiClassificaSquadra,3,FALSE),-1)=IFERROR(VLOOKUP($AK35,areaCercaPuntiClassificaSquadra,3,FALSE),-2)),SUMIFS(Dati!$E$2:$E$761,Dati!$A$2:$A$761,$H35,Dati!$H$2:$H$761,$AK35)+SUMIFS(Dati!$L$2:$L$761,Dati!$H$2:$H$761,$H35,Dati!$A$2:$A$761,$AK35),"-")</f>
        <v/>
      </c>
      <c r="CZ35" s="22">
        <f>IF(AND($H35&lt;&gt;"",$AL35&lt;&gt;"",$H35&lt;&gt;$AL35,IFERROR(VLOOKUP($H35,areaCercaPuntiClassificaSquadra,3,FALSE),-1)=IFERROR(VLOOKUP($AL35,areaCercaPuntiClassificaSquadra,3,FALSE),-2)),SUMIFS(Dati!$E$2:$E$761,Dati!$A$2:$A$761,$H35,Dati!$H$2:$H$761,$AL35)+SUMIFS(Dati!$L$2:$L$761,Dati!$H$2:$H$761,$H35,Dati!$A$2:$A$761,$AL35),"-")</f>
        <v/>
      </c>
      <c r="DA35" s="22">
        <f>IF(AND($H35&lt;&gt;"",$AM35&lt;&gt;"",$H35&lt;&gt;$AM35,IFERROR(VLOOKUP($H35,areaCercaPuntiClassificaSquadra,3,FALSE),-1)=IFERROR(VLOOKUP($AM35,areaCercaPuntiClassificaSquadra,3,FALSE),-2)),SUMIFS(Dati!$E$2:$E$761,Dati!$A$2:$A$761,$H35,Dati!$H$2:$H$761,$AM35)+SUMIFS(Dati!$L$2:$L$761,Dati!$H$2:$H$761,$H35,Dati!$A$2:$A$761,$AM35),"-")</f>
        <v/>
      </c>
      <c r="DB35" s="22">
        <f>IF(AND($H35&lt;&gt;"",$AN35&lt;&gt;"",$H35&lt;&gt;$AN35,IFERROR(VLOOKUP($H35,areaCercaPuntiClassificaSquadra,3,FALSE),-1)=IFERROR(VLOOKUP($AN35,areaCercaPuntiClassificaSquadra,3,FALSE),-2)),SUMIFS(Dati!$E$2:$E$761,Dati!$A$2:$A$761,$H35,Dati!$H$2:$H$761,$AN35)+SUMIFS(Dati!$L$2:$L$761,Dati!$H$2:$H$761,$H35,Dati!$A$2:$A$761,$AN35),"-")</f>
        <v/>
      </c>
      <c r="DC35" s="22">
        <f>IF(AND($H35&lt;&gt;"",$AO35&lt;&gt;"",$H35&lt;&gt;$AO35,IFERROR(VLOOKUP($H35,areaCercaPuntiClassificaSquadra,3,FALSE),-1)=IFERROR(VLOOKUP($AO35,areaCercaPuntiClassificaSquadra,3,FALSE),-2)),SUMIFS(Dati!$E$2:$E$761,Dati!$A$2:$A$761,$H35,Dati!$H$2:$H$761,$AO35)+SUMIFS(Dati!$L$2:$L$761,Dati!$H$2:$H$761,$H35,Dati!$A$2:$A$761,$AO35),"-")</f>
        <v/>
      </c>
      <c r="DD35" s="22">
        <f>IF(AND($H35&lt;&gt;"",$AP35&lt;&gt;"",$H35&lt;&gt;$AP35,IFERROR(VLOOKUP($H35,areaCercaPuntiClassificaSquadra,3,FALSE),-1)=IFERROR(VLOOKUP($AP35,areaCercaPuntiClassificaSquadra,3,FALSE),-2)),SUMIFS(Dati!$E$2:$E$761,Dati!$A$2:$A$761,$H35,Dati!$H$2:$H$761,$AP35)+SUMIFS(Dati!$L$2:$L$761,Dati!$H$2:$H$761,$H35,Dati!$A$2:$A$761,$AP35),"-")</f>
        <v/>
      </c>
      <c r="DE35" s="22">
        <f>IF(AND($H35&lt;&gt;"",$AQ35&lt;&gt;"",$H35&lt;&gt;$AQ35,IFERROR(VLOOKUP($H35,areaCercaPuntiClassificaSquadra,3,FALSE),-1)=IFERROR(VLOOKUP($AQ35,areaCercaPuntiClassificaSquadra,3,FALSE),-2)),SUMIFS(Dati!$E$2:$E$761,Dati!$A$2:$A$761,$H35,Dati!$H$2:$H$761,$AQ35)+SUMIFS(Dati!$L$2:$L$761,Dati!$H$2:$H$761,$H35,Dati!$A$2:$A$761,$AQ35),"-")</f>
        <v/>
      </c>
      <c r="DF35" s="22">
        <f>IF(AND($H35&lt;&gt;"",$AR35&lt;&gt;"",$H35&lt;&gt;$AR35,IFERROR(VLOOKUP($H35,areaCercaPuntiClassificaSquadra,3,FALSE),-1)=IFERROR(VLOOKUP($AR35,areaCercaPuntiClassificaSquadra,3,FALSE),-2)),SUMIFS(Dati!$E$2:$E$761,Dati!$A$2:$A$761,$H35,Dati!$H$2:$H$761,$AR35)+SUMIFS(Dati!$L$2:$L$761,Dati!$H$2:$H$761,$H35,Dati!$A$2:$A$761,$AR35),"-")</f>
        <v/>
      </c>
      <c r="DH35" s="21">
        <f>$C35</f>
        <v/>
      </c>
      <c r="DI35" s="22">
        <f>IF(AND($H35&lt;&gt;"",$Y35&lt;&gt;"",$H35&lt;&gt;$Y35,IFERROR(VLOOKUP($H35,areaCercaPuntiClassificaSquadra,3,FALSE),-1)=IFERROR(VLOOKUP($Y35,areaCercaPuntiClassificaSquadra,3,FALSE),-2)),SUMIFS(Dati!$F$2:$F$761,Dati!$A$2:$A$761,$H35,Dati!$H$2:$H$761,$Y35)+SUMIFS(Dati!$M$2:$M$761,Dati!$H$2:$H$761,$H35,Dati!$A$2:$A$761,$Y35),"-")</f>
        <v/>
      </c>
      <c r="DJ35" s="22">
        <f>IF(AND($H35&lt;&gt;"",$Z35&lt;&gt;"",$H35&lt;&gt;$Z35,IFERROR(VLOOKUP($H35,areaCercaPuntiClassificaSquadra,3,FALSE),-1)=IFERROR(VLOOKUP($Z35,areaCercaPuntiClassificaSquadra,3,FALSE),-2)),SUMIFS(Dati!$F$2:$F$761,Dati!$A$2:$A$761,$H35,Dati!$H$2:$H$761,$Z35)+SUMIFS(Dati!$M$2:$M$761,Dati!$H$2:$H$761,$H35,Dati!$A$2:$A$761,$Z35),"-")</f>
        <v/>
      </c>
      <c r="DK35" s="22">
        <f>IF(AND($H35&lt;&gt;"",$AA35&lt;&gt;"",$H35&lt;&gt;$AA35,IFERROR(VLOOKUP($H35,areaCercaPuntiClassificaSquadra,3,FALSE),-1)=IFERROR(VLOOKUP($AA35,areaCercaPuntiClassificaSquadra,3,FALSE),-2)),SUMIFS(Dati!$F$2:$F$761,Dati!$A$2:$A$761,$H35,Dati!$H$2:$H$761,$AA35)+SUMIFS(Dati!$M$2:$M$761,Dati!$H$2:$H$761,$H35,Dati!$A$2:$A$761,$AA35),"-")</f>
        <v/>
      </c>
      <c r="DL35" s="22">
        <f>IF(AND($H35&lt;&gt;"",$AB35&lt;&gt;"",$H35&lt;&gt;$AB35,IFERROR(VLOOKUP($H35,areaCercaPuntiClassificaSquadra,3,FALSE),-1)=IFERROR(VLOOKUP($AB35,areaCercaPuntiClassificaSquadra,3,FALSE),-2)),SUMIFS(Dati!$F$2:$F$761,Dati!$A$2:$A$761,$H35,Dati!$H$2:$H$761,$AB35)+SUMIFS(Dati!$M$2:$M$761,Dati!$H$2:$H$761,$H35,Dati!$A$2:$A$761,$AB35),"-")</f>
        <v/>
      </c>
      <c r="DM35" s="22">
        <f>IF(AND($H35&lt;&gt;"",$AC35&lt;&gt;"",$H35&lt;&gt;$AC35,IFERROR(VLOOKUP($H35,areaCercaPuntiClassificaSquadra,3,FALSE),-1)=IFERROR(VLOOKUP($AC35,areaCercaPuntiClassificaSquadra,3,FALSE),-2)),SUMIFS(Dati!$F$2:$F$761,Dati!$A$2:$A$761,$H35,Dati!$H$2:$H$761,$AC35)+SUMIFS(Dati!$M$2:$M$761,Dati!$H$2:$H$761,$H35,Dati!$A$2:$A$761,$AC35),"-")</f>
        <v/>
      </c>
      <c r="DN35" s="22">
        <f>IF(AND($H35&lt;&gt;"",$AD35&lt;&gt;"",$H35&lt;&gt;$AD35,IFERROR(VLOOKUP($H35,areaCercaPuntiClassificaSquadra,3,FALSE),-1)=IFERROR(VLOOKUP($AD35,areaCercaPuntiClassificaSquadra,3,FALSE),-2)),SUMIFS(Dati!$F$2:$F$761,Dati!$A$2:$A$761,$H35,Dati!$H$2:$H$761,$AD35)+SUMIFS(Dati!$M$2:$M$761,Dati!$H$2:$H$761,$H35,Dati!$A$2:$A$761,$AD35),"-")</f>
        <v/>
      </c>
      <c r="DO35" s="22">
        <f>IF(AND($H35&lt;&gt;"",$AE35&lt;&gt;"",$H35&lt;&gt;$AE35,IFERROR(VLOOKUP($H35,areaCercaPuntiClassificaSquadra,3,FALSE),-1)=IFERROR(VLOOKUP($AE35,areaCercaPuntiClassificaSquadra,3,FALSE),-2)),SUMIFS(Dati!$F$2:$F$761,Dati!$A$2:$A$761,$H35,Dati!$H$2:$H$761,$AE35)+SUMIFS(Dati!$M$2:$M$761,Dati!$H$2:$H$761,$H35,Dati!$A$2:$A$761,$AE35),"-")</f>
        <v/>
      </c>
      <c r="DP35" s="22">
        <f>IF(AND($H35&lt;&gt;"",$AF35&lt;&gt;"",$H35&lt;&gt;$AF35,IFERROR(VLOOKUP($H35,areaCercaPuntiClassificaSquadra,3,FALSE),-1)=IFERROR(VLOOKUP($AF35,areaCercaPuntiClassificaSquadra,3,FALSE),-2)),SUMIFS(Dati!$F$2:$F$761,Dati!$A$2:$A$761,$H35,Dati!$H$2:$H$761,$AF35)+SUMIFS(Dati!$M$2:$M$761,Dati!$H$2:$H$761,$H35,Dati!$A$2:$A$761,$AF35),"-")</f>
        <v/>
      </c>
      <c r="DQ35" s="22">
        <f>IF(AND($H35&lt;&gt;"",$AG35&lt;&gt;"",$H35&lt;&gt;$AG35,IFERROR(VLOOKUP($H35,areaCercaPuntiClassificaSquadra,3,FALSE),-1)=IFERROR(VLOOKUP($AG35,areaCercaPuntiClassificaSquadra,3,FALSE),-2)),SUMIFS(Dati!$F$2:$F$761,Dati!$A$2:$A$761,$H35,Dati!$H$2:$H$761,$AG35)+SUMIFS(Dati!$M$2:$M$761,Dati!$H$2:$H$761,$H35,Dati!$A$2:$A$761,$AG35),"-")</f>
        <v/>
      </c>
      <c r="DR35" s="22">
        <f>IF(AND($H35&lt;&gt;"",$AH35&lt;&gt;"",$H35&lt;&gt;$AH35,IFERROR(VLOOKUP($H35,areaCercaPuntiClassificaSquadra,3,FALSE),-1)=IFERROR(VLOOKUP($AH35,areaCercaPuntiClassificaSquadra,3,FALSE),-2)),SUMIFS(Dati!$F$2:$F$761,Dati!$A$2:$A$761,$H35,Dati!$H$2:$H$761,$AH35)+SUMIFS(Dati!$M$2:$M$761,Dati!$H$2:$H$761,$H35,Dati!$A$2:$A$761,$AH35),"-")</f>
        <v/>
      </c>
      <c r="DS35" s="22">
        <f>IF(AND($H35&lt;&gt;"",$AI35&lt;&gt;"",$H35&lt;&gt;$AI35,IFERROR(VLOOKUP($H35,areaCercaPuntiClassificaSquadra,3,FALSE),-1)=IFERROR(VLOOKUP($AI35,areaCercaPuntiClassificaSquadra,3,FALSE),-2)),SUMIFS(Dati!$F$2:$F$761,Dati!$A$2:$A$761,$H35,Dati!$H$2:$H$761,$AI35)+SUMIFS(Dati!$M$2:$M$761,Dati!$H$2:$H$761,$H35,Dati!$A$2:$A$761,$AI35),"-")</f>
        <v/>
      </c>
      <c r="DT35" s="22">
        <f>IF(AND($H35&lt;&gt;"",$AJ35&lt;&gt;"",$H35&lt;&gt;$AJ35,IFERROR(VLOOKUP($H35,areaCercaPuntiClassificaSquadra,3,FALSE),-1)=IFERROR(VLOOKUP($AJ35,areaCercaPuntiClassificaSquadra,3,FALSE),-2)),SUMIFS(Dati!$F$2:$F$761,Dati!$A$2:$A$761,$H35,Dati!$H$2:$H$761,$AJ35)+SUMIFS(Dati!$M$2:$M$761,Dati!$H$2:$H$761,$H35,Dati!$A$2:$A$761,$AJ35),"-")</f>
        <v/>
      </c>
      <c r="DU35" s="22">
        <f>IF(AND($H35&lt;&gt;"",$AK35&lt;&gt;"",$H35&lt;&gt;$AK35,IFERROR(VLOOKUP($H35,areaCercaPuntiClassificaSquadra,3,FALSE),-1)=IFERROR(VLOOKUP($AK35,areaCercaPuntiClassificaSquadra,3,FALSE),-2)),SUMIFS(Dati!$F$2:$F$761,Dati!$A$2:$A$761,$H35,Dati!$H$2:$H$761,$AK35)+SUMIFS(Dati!$M$2:$M$761,Dati!$H$2:$H$761,$H35,Dati!$A$2:$A$761,$AK35),"-")</f>
        <v/>
      </c>
      <c r="DV35" s="22">
        <f>IF(AND($H35&lt;&gt;"",$AL35&lt;&gt;"",$H35&lt;&gt;$AL35,IFERROR(VLOOKUP($H35,areaCercaPuntiClassificaSquadra,3,FALSE),-1)=IFERROR(VLOOKUP($AL35,areaCercaPuntiClassificaSquadra,3,FALSE),-2)),SUMIFS(Dati!$F$2:$F$761,Dati!$A$2:$A$761,$H35,Dati!$H$2:$H$761,$AL35)+SUMIFS(Dati!$M$2:$M$761,Dati!$H$2:$H$761,$H35,Dati!$A$2:$A$761,$AL35),"-")</f>
        <v/>
      </c>
      <c r="DW35" s="22">
        <f>IF(AND($H35&lt;&gt;"",$AM35&lt;&gt;"",$H35&lt;&gt;$AM35,IFERROR(VLOOKUP($H35,areaCercaPuntiClassificaSquadra,3,FALSE),-1)=IFERROR(VLOOKUP($AM35,areaCercaPuntiClassificaSquadra,3,FALSE),-2)),SUMIFS(Dati!$F$2:$F$761,Dati!$A$2:$A$761,$H35,Dati!$H$2:$H$761,$AM35)+SUMIFS(Dati!$M$2:$M$761,Dati!$H$2:$H$761,$H35,Dati!$A$2:$A$761,$AM35),"-")</f>
        <v/>
      </c>
      <c r="DX35" s="22">
        <f>IF(AND($H35&lt;&gt;"",$AN35&lt;&gt;"",$H35&lt;&gt;$AN35,IFERROR(VLOOKUP($H35,areaCercaPuntiClassificaSquadra,3,FALSE),-1)=IFERROR(VLOOKUP($AN35,areaCercaPuntiClassificaSquadra,3,FALSE),-2)),SUMIFS(Dati!$F$2:$F$761,Dati!$A$2:$A$761,$H35,Dati!$H$2:$H$761,$AN35)+SUMIFS(Dati!$M$2:$M$761,Dati!$H$2:$H$761,$H35,Dati!$A$2:$A$761,$AN35),"-")</f>
        <v/>
      </c>
      <c r="DY35" s="22">
        <f>IF(AND($H35&lt;&gt;"",$AO35&lt;&gt;"",$H35&lt;&gt;$AO35,IFERROR(VLOOKUP($H35,areaCercaPuntiClassificaSquadra,3,FALSE),-1)=IFERROR(VLOOKUP($AO35,areaCercaPuntiClassificaSquadra,3,FALSE),-2)),SUMIFS(Dati!$F$2:$F$761,Dati!$A$2:$A$761,$H35,Dati!$H$2:$H$761,$AO35)+SUMIFS(Dati!$M$2:$M$761,Dati!$H$2:$H$761,$H35,Dati!$A$2:$A$761,$AO35),"-")</f>
        <v/>
      </c>
      <c r="DZ35" s="22">
        <f>IF(AND($H35&lt;&gt;"",$AP35&lt;&gt;"",$H35&lt;&gt;$AP35,IFERROR(VLOOKUP($H35,areaCercaPuntiClassificaSquadra,3,FALSE),-1)=IFERROR(VLOOKUP($AP35,areaCercaPuntiClassificaSquadra,3,FALSE),-2)),SUMIFS(Dati!$F$2:$F$761,Dati!$A$2:$A$761,$H35,Dati!$H$2:$H$761,$AP35)+SUMIFS(Dati!$M$2:$M$761,Dati!$H$2:$H$761,$H35,Dati!$A$2:$A$761,$AP35),"-")</f>
        <v/>
      </c>
      <c r="EA35" s="22">
        <f>IF(AND($H35&lt;&gt;"",$AQ35&lt;&gt;"",$H35&lt;&gt;$AQ35,IFERROR(VLOOKUP($H35,areaCercaPuntiClassificaSquadra,3,FALSE),-1)=IFERROR(VLOOKUP($AQ35,areaCercaPuntiClassificaSquadra,3,FALSE),-2)),SUMIFS(Dati!$F$2:$F$761,Dati!$A$2:$A$761,$H35,Dati!$H$2:$H$761,$AQ35)+SUMIFS(Dati!$M$2:$M$761,Dati!$H$2:$H$761,$H35,Dati!$A$2:$A$761,$AQ35),"-")</f>
        <v/>
      </c>
      <c r="EB35" s="22">
        <f>IF(AND($H35&lt;&gt;"",$AR35&lt;&gt;"",$H35&lt;&gt;$AR35,IFERROR(VLOOKUP($H35,areaCercaPuntiClassificaSquadra,3,FALSE),-1)=IFERROR(VLOOKUP($AR35,areaCercaPuntiClassificaSquadra,3,FALSE),-2)),SUMIFS(Dati!$F$2:$F$761,Dati!$A$2:$A$761,$H35,Dati!$H$2:$H$761,$AR35)+SUMIFS(Dati!$M$2:$M$761,Dati!$H$2:$H$761,$H35,Dati!$A$2:$A$761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inlineStr">
        <is>
          <t>Fenicotteri Feroci-Fenicotteriopoli FI</t>
        </is>
      </c>
      <c r="D36" s="14" t="n"/>
      <c r="E36" s="23" t="inlineStr">
        <is>
          <t>B</t>
        </is>
      </c>
      <c r="G36" s="24">
        <f>IF($C36="","",$E36&amp;(COUNTIFS(I$14:I$93,"&gt;"&amp;I36,E$14:E$93,"="&amp;E36,C$14:C$93,"&lt;&gt;")+COUNTIFS(I$14:I$93,"="&amp;I36,H$14:H$93,"&lt;="&amp;H36,E$14:E$93,"="&amp;E36,C$14:C$93,"&lt;&gt;")))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L36*constPuntiVittoria+M36*constPuntiSconfitta+N36*constPuntiForfait+IF(D36="",0,D36)</f>
        <v/>
      </c>
      <c r="K36" s="12">
        <f>SUM(L36:N36)</f>
        <v/>
      </c>
      <c r="L36" s="12">
        <f>IF($H36="",0,SUMIF(Dati!$A$2:$A$761,$H36,Dati!$B$2:$B$761)+SUMIF(Dati!$H$2:$H$761,$H36,Dati!$I$2:$I$761))</f>
        <v/>
      </c>
      <c r="M36" s="12">
        <f>IF($H36="",0,SUMIF(Dati!$A$2:$A$761,$H36,Dati!$D$2:$D$761)+SUMIF(Dati!$H$2:$H$761,$H36,Dati!$K$2:$K$761))</f>
        <v/>
      </c>
      <c r="N36" s="12">
        <f>IF($H36="",0,SUMIF(Dati!$A$2:$A$761,$H36,Dati!$C$2:$C$761)+SUMIF(Dati!$H$2:$H$761,$H36,Dati!$J$2:$J$761))</f>
        <v/>
      </c>
      <c r="O36" s="12">
        <f>IF($H36="",0,SUMIF(Dati!$A$2:$A$761,$H36,Dati!$E$2:$E$761)+SUMIF(Dati!$H$2:$H$761,$H36,Dati!$L$2:$L$761))</f>
        <v/>
      </c>
      <c r="P36" s="12">
        <f>IF($H36="",0,SUMIF(Dati!$A$2:$A$761,$H36,Dati!$F$2:$F$761)+SUMIF(Dati!$H$2:$H$761,$H36,Dati!$M$2:$M$761))</f>
        <v/>
      </c>
      <c r="Q36" s="12">
        <f>IF($H36="",0,SUMIF(Dati!$A$2:$A$761,$H36,Dati!$G$2:$G$761)+SUMIF(Dati!$H$2:$H$761,$H36,Dati!$N$2:$N$761))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IF(COUNTIFS($E$14:$E$93,$E36,$J$14:$J$93,$J36,$C$14:$C$93,"&lt;&gt;")&lt;=1,"-",SUM(AU36:BN36)&amp;"-"&amp;SUM(BQ36:CJ36))</f>
        <v/>
      </c>
      <c r="V36" s="18">
        <f>IF(COUNTIFS($E$14:$E$93,$E36,$J$14:$J$93,$J36,$C$14:$C$93,"&lt;&gt;",$ED$14:$ED$93,$ED36)&lt;=1,"-",IF(SUM(DI36:EB36)=0,0,ROUND(SUM(CM36:DF36)/SUM(DI36:EB36),3)))</f>
        <v/>
      </c>
      <c r="W36" s="18">
        <f>IF(COUNTIFS($E$14:$E$93,$E36,$J$14:$J$93,$J36,$C$14:$C$93,"&lt;&gt;",$ED$14:$ED$93,$ED36,$V$14:$V$93,$V36)&lt;=1,"-",IF(P36=0,0,ROUND(O36/P36,3)))</f>
        <v/>
      </c>
      <c r="X36" s="19">
        <f>IF($C36="","",$E36&amp;"#"&amp;COUNTIFS($E$14:$E36,$E36,$C$14:$C36,"&lt;&gt;"))</f>
        <v/>
      </c>
      <c r="Y36" s="20">
        <f>IFERROR(INDEX($H$14:$H$93,MATCH($E36&amp;"#1",$X$14:$X$93,0)),"")</f>
        <v/>
      </c>
      <c r="Z36" s="20">
        <f>IFERROR(INDEX($H$14:$H$93,MATCH($E36&amp;"#2",$X$14:$X$93,0)),"")</f>
        <v/>
      </c>
      <c r="AA36" s="20">
        <f>IFERROR(INDEX($H$14:$H$93,MATCH($E36&amp;"#3",$X$14:$X$93,0)),"")</f>
        <v/>
      </c>
      <c r="AB36" s="20">
        <f>IFERROR(INDEX($H$14:$H$93,MATCH($E36&amp;"#4",$X$14:$X$93,0)),"")</f>
        <v/>
      </c>
      <c r="AC36" s="20">
        <f>IFERROR(INDEX($H$14:$H$93,MATCH($E36&amp;"#5",$X$14:$X$93,0)),"")</f>
        <v/>
      </c>
      <c r="AD36" s="20">
        <f>IFERROR(INDEX($H$14:$H$93,MATCH($E36&amp;"#6",$X$14:$X$93,0)),"")</f>
        <v/>
      </c>
      <c r="AE36" s="20">
        <f>IFERROR(INDEX($H$14:$H$93,MATCH($E36&amp;"#7",$X$14:$X$93,0)),"")</f>
        <v/>
      </c>
      <c r="AF36" s="20">
        <f>IFERROR(INDEX($H$14:$H$93,MATCH($E36&amp;"#8",$X$14:$X$93,0)),"")</f>
        <v/>
      </c>
      <c r="AG36" s="20">
        <f>IFERROR(INDEX($H$14:$H$93,MATCH($E36&amp;"#9",$X$14:$X$93,0)),"")</f>
        <v/>
      </c>
      <c r="AH36" s="20">
        <f>IFERROR(INDEX($H$14:$H$93,MATCH($E36&amp;"#10",$X$14:$X$93,0)),"")</f>
        <v/>
      </c>
      <c r="AI36" s="20">
        <f>IFERROR(INDEX($H$14:$H$93,MATCH($E36&amp;"#11",$X$14:$X$93,0)),"")</f>
        <v/>
      </c>
      <c r="AJ36" s="20">
        <f>IFERROR(INDEX($H$14:$H$93,MATCH($E36&amp;"#12",$X$14:$X$93,0)),"")</f>
        <v/>
      </c>
      <c r="AK36" s="20">
        <f>IFERROR(INDEX($H$14:$H$93,MATCH($E36&amp;"#13",$X$14:$X$93,0)),"")</f>
        <v/>
      </c>
      <c r="AL36" s="20">
        <f>IFERROR(INDEX($H$14:$H$93,MATCH($E36&amp;"#14",$X$14:$X$93,0)),"")</f>
        <v/>
      </c>
      <c r="AM36" s="20">
        <f>IFERROR(INDEX($H$14:$H$93,MATCH($E36&amp;"#15",$X$14:$X$93,0)),"")</f>
        <v/>
      </c>
      <c r="AN36" s="20">
        <f>IFERROR(INDEX($H$14:$H$93,MATCH($E36&amp;"#16",$X$14:$X$93,0)),"")</f>
        <v/>
      </c>
      <c r="AO36" s="20">
        <f>IFERROR(INDEX($H$14:$H$93,MATCH($E36&amp;"#17",$X$14:$X$93,0)),"")</f>
        <v/>
      </c>
      <c r="AP36" s="20">
        <f>IFERROR(INDEX($H$14:$H$93,MATCH($E36&amp;"#18",$X$14:$X$93,0)),"")</f>
        <v/>
      </c>
      <c r="AQ36" s="20">
        <f>IFERROR(INDEX($H$14:$H$93,MATCH($E36&amp;"#19",$X$14:$X$93,0)),"")</f>
        <v/>
      </c>
      <c r="AR36" s="20">
        <f>IFERROR(INDEX($H$14:$H$93,MATCH($E36&amp;"#20",$X$14:$X$93,0)),"")</f>
        <v/>
      </c>
      <c r="AT36" s="21">
        <f>$C36</f>
        <v/>
      </c>
      <c r="AU36" s="22">
        <f>IF(AND($H36&lt;&gt;"",$Y36&lt;&gt;"",$H36&lt;&gt;$Y36,IFERROR(VLOOKUP($H36,areaCercaPuntiClassificaSquadra,3,FALSE),-1)=IFERROR(VLOOKUP($Y36,areaCercaPuntiClassificaSquadra,3,FALSE),-2)),SUMIFS(Dati!$B$2:$B$761,Dati!$A$2:$A$761,$H36,Dati!$H$2:$H$761,$Y36)+SUMIFS(Dati!$I$2:$I$761,Dati!$H$2:$H$761,$H36,Dati!$A$2:$A$761,$Y36),"-")</f>
        <v/>
      </c>
      <c r="AV36" s="22">
        <f>IF(AND($H36&lt;&gt;"",$Z36&lt;&gt;"",$H36&lt;&gt;$Z36,IFERROR(VLOOKUP($H36,areaCercaPuntiClassificaSquadra,3,FALSE),-1)=IFERROR(VLOOKUP($Z36,areaCercaPuntiClassificaSquadra,3,FALSE),-2)),SUMIFS(Dati!$B$2:$B$761,Dati!$A$2:$A$761,$H36,Dati!$H$2:$H$761,$Z36)+SUMIFS(Dati!$I$2:$I$761,Dati!$H$2:$H$761,$H36,Dati!$A$2:$A$761,$Z36),"-")</f>
        <v/>
      </c>
      <c r="AW36" s="22">
        <f>IF(AND($H36&lt;&gt;"",$AA36&lt;&gt;"",$H36&lt;&gt;$AA36,IFERROR(VLOOKUP($H36,areaCercaPuntiClassificaSquadra,3,FALSE),-1)=IFERROR(VLOOKUP($AA36,areaCercaPuntiClassificaSquadra,3,FALSE),-2)),SUMIFS(Dati!$B$2:$B$761,Dati!$A$2:$A$761,$H36,Dati!$H$2:$H$761,$AA36)+SUMIFS(Dati!$I$2:$I$761,Dati!$H$2:$H$761,$H36,Dati!$A$2:$A$761,$AA36),"-")</f>
        <v/>
      </c>
      <c r="AX36" s="22">
        <f>IF(AND($H36&lt;&gt;"",$AB36&lt;&gt;"",$H36&lt;&gt;$AB36,IFERROR(VLOOKUP($H36,areaCercaPuntiClassificaSquadra,3,FALSE),-1)=IFERROR(VLOOKUP($AB36,areaCercaPuntiClassificaSquadra,3,FALSE),-2)),SUMIFS(Dati!$B$2:$B$761,Dati!$A$2:$A$761,$H36,Dati!$H$2:$H$761,$AB36)+SUMIFS(Dati!$I$2:$I$761,Dati!$H$2:$H$761,$H36,Dati!$A$2:$A$761,$AB36),"-")</f>
        <v/>
      </c>
      <c r="AY36" s="22">
        <f>IF(AND($H36&lt;&gt;"",$AC36&lt;&gt;"",$H36&lt;&gt;$AC36,IFERROR(VLOOKUP($H36,areaCercaPuntiClassificaSquadra,3,FALSE),-1)=IFERROR(VLOOKUP($AC36,areaCercaPuntiClassificaSquadra,3,FALSE),-2)),SUMIFS(Dati!$B$2:$B$761,Dati!$A$2:$A$761,$H36,Dati!$H$2:$H$761,$AC36)+SUMIFS(Dati!$I$2:$I$761,Dati!$H$2:$H$761,$H36,Dati!$A$2:$A$761,$AC36),"-")</f>
        <v/>
      </c>
      <c r="AZ36" s="22">
        <f>IF(AND($H36&lt;&gt;"",$AD36&lt;&gt;"",$H36&lt;&gt;$AD36,IFERROR(VLOOKUP($H36,areaCercaPuntiClassificaSquadra,3,FALSE),-1)=IFERROR(VLOOKUP($AD36,areaCercaPuntiClassificaSquadra,3,FALSE),-2)),SUMIFS(Dati!$B$2:$B$761,Dati!$A$2:$A$761,$H36,Dati!$H$2:$H$761,$AD36)+SUMIFS(Dati!$I$2:$I$761,Dati!$H$2:$H$761,$H36,Dati!$A$2:$A$761,$AD36),"-")</f>
        <v/>
      </c>
      <c r="BA36" s="22">
        <f>IF(AND($H36&lt;&gt;"",$AE36&lt;&gt;"",$H36&lt;&gt;$AE36,IFERROR(VLOOKUP($H36,areaCercaPuntiClassificaSquadra,3,FALSE),-1)=IFERROR(VLOOKUP($AE36,areaCercaPuntiClassificaSquadra,3,FALSE),-2)),SUMIFS(Dati!$B$2:$B$761,Dati!$A$2:$A$761,$H36,Dati!$H$2:$H$761,$AE36)+SUMIFS(Dati!$I$2:$I$761,Dati!$H$2:$H$761,$H36,Dati!$A$2:$A$761,$AE36),"-")</f>
        <v/>
      </c>
      <c r="BB36" s="22">
        <f>IF(AND($H36&lt;&gt;"",$AF36&lt;&gt;"",$H36&lt;&gt;$AF36,IFERROR(VLOOKUP($H36,areaCercaPuntiClassificaSquadra,3,FALSE),-1)=IFERROR(VLOOKUP($AF36,areaCercaPuntiClassificaSquadra,3,FALSE),-2)),SUMIFS(Dati!$B$2:$B$761,Dati!$A$2:$A$761,$H36,Dati!$H$2:$H$761,$AF36)+SUMIFS(Dati!$I$2:$I$761,Dati!$H$2:$H$761,$H36,Dati!$A$2:$A$761,$AF36),"-")</f>
        <v/>
      </c>
      <c r="BC36" s="22">
        <f>IF(AND($H36&lt;&gt;"",$AG36&lt;&gt;"",$H36&lt;&gt;$AG36,IFERROR(VLOOKUP($H36,areaCercaPuntiClassificaSquadra,3,FALSE),-1)=IFERROR(VLOOKUP($AG36,areaCercaPuntiClassificaSquadra,3,FALSE),-2)),SUMIFS(Dati!$B$2:$B$761,Dati!$A$2:$A$761,$H36,Dati!$H$2:$H$761,$AG36)+SUMIFS(Dati!$I$2:$I$761,Dati!$H$2:$H$761,$H36,Dati!$A$2:$A$761,$AG36),"-")</f>
        <v/>
      </c>
      <c r="BD36" s="22">
        <f>IF(AND($H36&lt;&gt;"",$AH36&lt;&gt;"",$H36&lt;&gt;$AH36,IFERROR(VLOOKUP($H36,areaCercaPuntiClassificaSquadra,3,FALSE),-1)=IFERROR(VLOOKUP($AH36,areaCercaPuntiClassificaSquadra,3,FALSE),-2)),SUMIFS(Dati!$B$2:$B$761,Dati!$A$2:$A$761,$H36,Dati!$H$2:$H$761,$AH36)+SUMIFS(Dati!$I$2:$I$761,Dati!$H$2:$H$761,$H36,Dati!$A$2:$A$761,$AH36),"-")</f>
        <v/>
      </c>
      <c r="BE36" s="22">
        <f>IF(AND($H36&lt;&gt;"",$AI36&lt;&gt;"",$H36&lt;&gt;$AI36,IFERROR(VLOOKUP($H36,areaCercaPuntiClassificaSquadra,3,FALSE),-1)=IFERROR(VLOOKUP($AI36,areaCercaPuntiClassificaSquadra,3,FALSE),-2)),SUMIFS(Dati!$B$2:$B$761,Dati!$A$2:$A$761,$H36,Dati!$H$2:$H$761,$AI36)+SUMIFS(Dati!$I$2:$I$761,Dati!$H$2:$H$761,$H36,Dati!$A$2:$A$761,$AI36),"-")</f>
        <v/>
      </c>
      <c r="BF36" s="22">
        <f>IF(AND($H36&lt;&gt;"",$AJ36&lt;&gt;"",$H36&lt;&gt;$AJ36,IFERROR(VLOOKUP($H36,areaCercaPuntiClassificaSquadra,3,FALSE),-1)=IFERROR(VLOOKUP($AJ36,areaCercaPuntiClassificaSquadra,3,FALSE),-2)),SUMIFS(Dati!$B$2:$B$761,Dati!$A$2:$A$761,$H36,Dati!$H$2:$H$761,$AJ36)+SUMIFS(Dati!$I$2:$I$761,Dati!$H$2:$H$761,$H36,Dati!$A$2:$A$761,$AJ36),"-")</f>
        <v/>
      </c>
      <c r="BG36" s="22">
        <f>IF(AND($H36&lt;&gt;"",$AK36&lt;&gt;"",$H36&lt;&gt;$AK36,IFERROR(VLOOKUP($H36,areaCercaPuntiClassificaSquadra,3,FALSE),-1)=IFERROR(VLOOKUP($AK36,areaCercaPuntiClassificaSquadra,3,FALSE),-2)),SUMIFS(Dati!$B$2:$B$761,Dati!$A$2:$A$761,$H36,Dati!$H$2:$H$761,$AK36)+SUMIFS(Dati!$I$2:$I$761,Dati!$H$2:$H$761,$H36,Dati!$A$2:$A$761,$AK36),"-")</f>
        <v/>
      </c>
      <c r="BH36" s="22">
        <f>IF(AND($H36&lt;&gt;"",$AL36&lt;&gt;"",$H36&lt;&gt;$AL36,IFERROR(VLOOKUP($H36,areaCercaPuntiClassificaSquadra,3,FALSE),-1)=IFERROR(VLOOKUP($AL36,areaCercaPuntiClassificaSquadra,3,FALSE),-2)),SUMIFS(Dati!$B$2:$B$761,Dati!$A$2:$A$761,$H36,Dati!$H$2:$H$761,$AL36)+SUMIFS(Dati!$I$2:$I$761,Dati!$H$2:$H$761,$H36,Dati!$A$2:$A$761,$AL36),"-")</f>
        <v/>
      </c>
      <c r="BI36" s="22">
        <f>IF(AND($H36&lt;&gt;"",$AM36&lt;&gt;"",$H36&lt;&gt;$AM36,IFERROR(VLOOKUP($H36,areaCercaPuntiClassificaSquadra,3,FALSE),-1)=IFERROR(VLOOKUP($AM36,areaCercaPuntiClassificaSquadra,3,FALSE),-2)),SUMIFS(Dati!$B$2:$B$761,Dati!$A$2:$A$761,$H36,Dati!$H$2:$H$761,$AM36)+SUMIFS(Dati!$I$2:$I$761,Dati!$H$2:$H$761,$H36,Dati!$A$2:$A$761,$AM36),"-")</f>
        <v/>
      </c>
      <c r="BJ36" s="22">
        <f>IF(AND($H36&lt;&gt;"",$AN36&lt;&gt;"",$H36&lt;&gt;$AN36,IFERROR(VLOOKUP($H36,areaCercaPuntiClassificaSquadra,3,FALSE),-1)=IFERROR(VLOOKUP($AN36,areaCercaPuntiClassificaSquadra,3,FALSE),-2)),SUMIFS(Dati!$B$2:$B$761,Dati!$A$2:$A$761,$H36,Dati!$H$2:$H$761,$AN36)+SUMIFS(Dati!$I$2:$I$761,Dati!$H$2:$H$761,$H36,Dati!$A$2:$A$761,$AN36),"-")</f>
        <v/>
      </c>
      <c r="BK36" s="22">
        <f>IF(AND($H36&lt;&gt;"",$AO36&lt;&gt;"",$H36&lt;&gt;$AO36,IFERROR(VLOOKUP($H36,areaCercaPuntiClassificaSquadra,3,FALSE),-1)=IFERROR(VLOOKUP($AO36,areaCercaPuntiClassificaSquadra,3,FALSE),-2)),SUMIFS(Dati!$B$2:$B$761,Dati!$A$2:$A$761,$H36,Dati!$H$2:$H$761,$AO36)+SUMIFS(Dati!$I$2:$I$761,Dati!$H$2:$H$761,$H36,Dati!$A$2:$A$761,$AO36),"-")</f>
        <v/>
      </c>
      <c r="BL36" s="22">
        <f>IF(AND($H36&lt;&gt;"",$AP36&lt;&gt;"",$H36&lt;&gt;$AP36,IFERROR(VLOOKUP($H36,areaCercaPuntiClassificaSquadra,3,FALSE),-1)=IFERROR(VLOOKUP($AP36,areaCercaPuntiClassificaSquadra,3,FALSE),-2)),SUMIFS(Dati!$B$2:$B$761,Dati!$A$2:$A$761,$H36,Dati!$H$2:$H$761,$AP36)+SUMIFS(Dati!$I$2:$I$761,Dati!$H$2:$H$761,$H36,Dati!$A$2:$A$761,$AP36),"-")</f>
        <v/>
      </c>
      <c r="BM36" s="22">
        <f>IF(AND($H36&lt;&gt;"",$AQ36&lt;&gt;"",$H36&lt;&gt;$AQ36,IFERROR(VLOOKUP($H36,areaCercaPuntiClassificaSquadra,3,FALSE),-1)=IFERROR(VLOOKUP($AQ36,areaCercaPuntiClassificaSquadra,3,FALSE),-2)),SUMIFS(Dati!$B$2:$B$761,Dati!$A$2:$A$761,$H36,Dati!$H$2:$H$761,$AQ36)+SUMIFS(Dati!$I$2:$I$761,Dati!$H$2:$H$761,$H36,Dati!$A$2:$A$761,$AQ36),"-")</f>
        <v/>
      </c>
      <c r="BN36" s="22">
        <f>IF(AND($H36&lt;&gt;"",$AR36&lt;&gt;"",$H36&lt;&gt;$AR36,IFERROR(VLOOKUP($H36,areaCercaPuntiClassificaSquadra,3,FALSE),-1)=IFERROR(VLOOKUP($AR36,areaCercaPuntiClassificaSquadra,3,FALSE),-2)),SUMIFS(Dati!$B$2:$B$761,Dati!$A$2:$A$761,$H36,Dati!$H$2:$H$761,$AR36)+SUMIFS(Dati!$I$2:$I$761,Dati!$H$2:$H$761,$H36,Dati!$A$2:$A$761,$AR36),"-")</f>
        <v/>
      </c>
      <c r="BP36" s="21">
        <f>$C36</f>
        <v/>
      </c>
      <c r="BQ36" s="22">
        <f>IF(AND($H36&lt;&gt;"",$Y36&lt;&gt;"",$H36&lt;&gt;$Y36,IFERROR(VLOOKUP($H36,areaCercaPuntiClassificaSquadra,3,FALSE),-1)=IFERROR(VLOOKUP($Y36,areaCercaPuntiClassificaSquadra,3,FALSE),-2)),SUMIFS(Dati!$D$2:$D$761,Dati!$A$2:$A$761,$H36,Dati!$H$2:$H$761,$Y36)+SUMIFS(Dati!$K$2:$K$761,Dati!$H$2:$H$761,$H36,Dati!$A$2:$A$761,$Y36)+SUMIFS(Dati!$C$2:$C$761,Dati!$A$2:$A$761,$H36,Dati!$H$2:$H$761,$Y36)+SUMIFS(Dati!$J$2:$J$761,Dati!$H$2:$H$761,$H36,Dati!$A$2:$A$761,$Y36),"-")</f>
        <v/>
      </c>
      <c r="BR36" s="22">
        <f>IF(AND($H36&lt;&gt;"",$Z36&lt;&gt;"",$H36&lt;&gt;$Z36,IFERROR(VLOOKUP($H36,areaCercaPuntiClassificaSquadra,3,FALSE),-1)=IFERROR(VLOOKUP($Z36,areaCercaPuntiClassificaSquadra,3,FALSE),-2)),SUMIFS(Dati!$D$2:$D$761,Dati!$A$2:$A$761,$H36,Dati!$H$2:$H$761,$Z36)+SUMIFS(Dati!$K$2:$K$761,Dati!$H$2:$H$761,$H36,Dati!$A$2:$A$761,$Z36)+SUMIFS(Dati!$C$2:$C$761,Dati!$A$2:$A$761,$H36,Dati!$H$2:$H$761,$Z36)+SUMIFS(Dati!$J$2:$J$761,Dati!$H$2:$H$761,$H36,Dati!$A$2:$A$761,$Z36),"-")</f>
        <v/>
      </c>
      <c r="BS36" s="22">
        <f>IF(AND($H36&lt;&gt;"",$AA36&lt;&gt;"",$H36&lt;&gt;$AA36,IFERROR(VLOOKUP($H36,areaCercaPuntiClassificaSquadra,3,FALSE),-1)=IFERROR(VLOOKUP($AA36,areaCercaPuntiClassificaSquadra,3,FALSE),-2)),SUMIFS(Dati!$D$2:$D$761,Dati!$A$2:$A$761,$H36,Dati!$H$2:$H$761,$AA36)+SUMIFS(Dati!$K$2:$K$761,Dati!$H$2:$H$761,$H36,Dati!$A$2:$A$761,$AA36)+SUMIFS(Dati!$C$2:$C$761,Dati!$A$2:$A$761,$H36,Dati!$H$2:$H$761,$AA36)+SUMIFS(Dati!$J$2:$J$761,Dati!$H$2:$H$761,$H36,Dati!$A$2:$A$761,$AA36),"-")</f>
        <v/>
      </c>
      <c r="BT36" s="22">
        <f>IF(AND($H36&lt;&gt;"",$AB36&lt;&gt;"",$H36&lt;&gt;$AB36,IFERROR(VLOOKUP($H36,areaCercaPuntiClassificaSquadra,3,FALSE),-1)=IFERROR(VLOOKUP($AB36,areaCercaPuntiClassificaSquadra,3,FALSE),-2)),SUMIFS(Dati!$D$2:$D$761,Dati!$A$2:$A$761,$H36,Dati!$H$2:$H$761,$AB36)+SUMIFS(Dati!$K$2:$K$761,Dati!$H$2:$H$761,$H36,Dati!$A$2:$A$761,$AB36)+SUMIFS(Dati!$C$2:$C$761,Dati!$A$2:$A$761,$H36,Dati!$H$2:$H$761,$AB36)+SUMIFS(Dati!$J$2:$J$761,Dati!$H$2:$H$761,$H36,Dati!$A$2:$A$761,$AB36),"-")</f>
        <v/>
      </c>
      <c r="BU36" s="22">
        <f>IF(AND($H36&lt;&gt;"",$AC36&lt;&gt;"",$H36&lt;&gt;$AC36,IFERROR(VLOOKUP($H36,areaCercaPuntiClassificaSquadra,3,FALSE),-1)=IFERROR(VLOOKUP($AC36,areaCercaPuntiClassificaSquadra,3,FALSE),-2)),SUMIFS(Dati!$D$2:$D$761,Dati!$A$2:$A$761,$H36,Dati!$H$2:$H$761,$AC36)+SUMIFS(Dati!$K$2:$K$761,Dati!$H$2:$H$761,$H36,Dati!$A$2:$A$761,$AC36)+SUMIFS(Dati!$C$2:$C$761,Dati!$A$2:$A$761,$H36,Dati!$H$2:$H$761,$AC36)+SUMIFS(Dati!$J$2:$J$761,Dati!$H$2:$H$761,$H36,Dati!$A$2:$A$761,$AC36),"-")</f>
        <v/>
      </c>
      <c r="BV36" s="22">
        <f>IF(AND($H36&lt;&gt;"",$AD36&lt;&gt;"",$H36&lt;&gt;$AD36,IFERROR(VLOOKUP($H36,areaCercaPuntiClassificaSquadra,3,FALSE),-1)=IFERROR(VLOOKUP($AD36,areaCercaPuntiClassificaSquadra,3,FALSE),-2)),SUMIFS(Dati!$D$2:$D$761,Dati!$A$2:$A$761,$H36,Dati!$H$2:$H$761,$AD36)+SUMIFS(Dati!$K$2:$K$761,Dati!$H$2:$H$761,$H36,Dati!$A$2:$A$761,$AD36)+SUMIFS(Dati!$C$2:$C$761,Dati!$A$2:$A$761,$H36,Dati!$H$2:$H$761,$AD36)+SUMIFS(Dati!$J$2:$J$761,Dati!$H$2:$H$761,$H36,Dati!$A$2:$A$761,$AD36),"-")</f>
        <v/>
      </c>
      <c r="BW36" s="22">
        <f>IF(AND($H36&lt;&gt;"",$AE36&lt;&gt;"",$H36&lt;&gt;$AE36,IFERROR(VLOOKUP($H36,areaCercaPuntiClassificaSquadra,3,FALSE),-1)=IFERROR(VLOOKUP($AE36,areaCercaPuntiClassificaSquadra,3,FALSE),-2)),SUMIFS(Dati!$D$2:$D$761,Dati!$A$2:$A$761,$H36,Dati!$H$2:$H$761,$AE36)+SUMIFS(Dati!$K$2:$K$761,Dati!$H$2:$H$761,$H36,Dati!$A$2:$A$761,$AE36)+SUMIFS(Dati!$C$2:$C$761,Dati!$A$2:$A$761,$H36,Dati!$H$2:$H$761,$AE36)+SUMIFS(Dati!$J$2:$J$761,Dati!$H$2:$H$761,$H36,Dati!$A$2:$A$761,$AE36),"-")</f>
        <v/>
      </c>
      <c r="BX36" s="22">
        <f>IF(AND($H36&lt;&gt;"",$AF36&lt;&gt;"",$H36&lt;&gt;$AF36,IFERROR(VLOOKUP($H36,areaCercaPuntiClassificaSquadra,3,FALSE),-1)=IFERROR(VLOOKUP($AF36,areaCercaPuntiClassificaSquadra,3,FALSE),-2)),SUMIFS(Dati!$D$2:$D$761,Dati!$A$2:$A$761,$H36,Dati!$H$2:$H$761,$AF36)+SUMIFS(Dati!$K$2:$K$761,Dati!$H$2:$H$761,$H36,Dati!$A$2:$A$761,$AF36)+SUMIFS(Dati!$C$2:$C$761,Dati!$A$2:$A$761,$H36,Dati!$H$2:$H$761,$AF36)+SUMIFS(Dati!$J$2:$J$761,Dati!$H$2:$H$761,$H36,Dati!$A$2:$A$761,$AF36),"-")</f>
        <v/>
      </c>
      <c r="BY36" s="22">
        <f>IF(AND($H36&lt;&gt;"",$AG36&lt;&gt;"",$H36&lt;&gt;$AG36,IFERROR(VLOOKUP($H36,areaCercaPuntiClassificaSquadra,3,FALSE),-1)=IFERROR(VLOOKUP($AG36,areaCercaPuntiClassificaSquadra,3,FALSE),-2)),SUMIFS(Dati!$D$2:$D$761,Dati!$A$2:$A$761,$H36,Dati!$H$2:$H$761,$AG36)+SUMIFS(Dati!$K$2:$K$761,Dati!$H$2:$H$761,$H36,Dati!$A$2:$A$761,$AG36)+SUMIFS(Dati!$C$2:$C$761,Dati!$A$2:$A$761,$H36,Dati!$H$2:$H$761,$AG36)+SUMIFS(Dati!$J$2:$J$761,Dati!$H$2:$H$761,$H36,Dati!$A$2:$A$761,$AG36),"-")</f>
        <v/>
      </c>
      <c r="BZ36" s="22">
        <f>IF(AND($H36&lt;&gt;"",$AH36&lt;&gt;"",$H36&lt;&gt;$AH36,IFERROR(VLOOKUP($H36,areaCercaPuntiClassificaSquadra,3,FALSE),-1)=IFERROR(VLOOKUP($AH36,areaCercaPuntiClassificaSquadra,3,FALSE),-2)),SUMIFS(Dati!$D$2:$D$761,Dati!$A$2:$A$761,$H36,Dati!$H$2:$H$761,$AH36)+SUMIFS(Dati!$K$2:$K$761,Dati!$H$2:$H$761,$H36,Dati!$A$2:$A$761,$AH36)+SUMIFS(Dati!$C$2:$C$761,Dati!$A$2:$A$761,$H36,Dati!$H$2:$H$761,$AH36)+SUMIFS(Dati!$J$2:$J$761,Dati!$H$2:$H$761,$H36,Dati!$A$2:$A$761,$AH36),"-")</f>
        <v/>
      </c>
      <c r="CA36" s="22">
        <f>IF(AND($H36&lt;&gt;"",$AI36&lt;&gt;"",$H36&lt;&gt;$AI36,IFERROR(VLOOKUP($H36,areaCercaPuntiClassificaSquadra,3,FALSE),-1)=IFERROR(VLOOKUP($AI36,areaCercaPuntiClassificaSquadra,3,FALSE),-2)),SUMIFS(Dati!$D$2:$D$761,Dati!$A$2:$A$761,$H36,Dati!$H$2:$H$761,$AI36)+SUMIFS(Dati!$K$2:$K$761,Dati!$H$2:$H$761,$H36,Dati!$A$2:$A$761,$AI36)+SUMIFS(Dati!$C$2:$C$761,Dati!$A$2:$A$761,$H36,Dati!$H$2:$H$761,$AI36)+SUMIFS(Dati!$J$2:$J$761,Dati!$H$2:$H$761,$H36,Dati!$A$2:$A$761,$AI36),"-")</f>
        <v/>
      </c>
      <c r="CB36" s="22">
        <f>IF(AND($H36&lt;&gt;"",$AJ36&lt;&gt;"",$H36&lt;&gt;$AJ36,IFERROR(VLOOKUP($H36,areaCercaPuntiClassificaSquadra,3,FALSE),-1)=IFERROR(VLOOKUP($AJ36,areaCercaPuntiClassificaSquadra,3,FALSE),-2)),SUMIFS(Dati!$D$2:$D$761,Dati!$A$2:$A$761,$H36,Dati!$H$2:$H$761,$AJ36)+SUMIFS(Dati!$K$2:$K$761,Dati!$H$2:$H$761,$H36,Dati!$A$2:$A$761,$AJ36)+SUMIFS(Dati!$C$2:$C$761,Dati!$A$2:$A$761,$H36,Dati!$H$2:$H$761,$AJ36)+SUMIFS(Dati!$J$2:$J$761,Dati!$H$2:$H$761,$H36,Dati!$A$2:$A$761,$AJ36),"-")</f>
        <v/>
      </c>
      <c r="CC36" s="22">
        <f>IF(AND($H36&lt;&gt;"",$AK36&lt;&gt;"",$H36&lt;&gt;$AK36,IFERROR(VLOOKUP($H36,areaCercaPuntiClassificaSquadra,3,FALSE),-1)=IFERROR(VLOOKUP($AK36,areaCercaPuntiClassificaSquadra,3,FALSE),-2)),SUMIFS(Dati!$D$2:$D$761,Dati!$A$2:$A$761,$H36,Dati!$H$2:$H$761,$AK36)+SUMIFS(Dati!$K$2:$K$761,Dati!$H$2:$H$761,$H36,Dati!$A$2:$A$761,$AK36)+SUMIFS(Dati!$C$2:$C$761,Dati!$A$2:$A$761,$H36,Dati!$H$2:$H$761,$AK36)+SUMIFS(Dati!$J$2:$J$761,Dati!$H$2:$H$761,$H36,Dati!$A$2:$A$761,$AK36),"-")</f>
        <v/>
      </c>
      <c r="CD36" s="22">
        <f>IF(AND($H36&lt;&gt;"",$AL36&lt;&gt;"",$H36&lt;&gt;$AL36,IFERROR(VLOOKUP($H36,areaCercaPuntiClassificaSquadra,3,FALSE),-1)=IFERROR(VLOOKUP($AL36,areaCercaPuntiClassificaSquadra,3,FALSE),-2)),SUMIFS(Dati!$D$2:$D$761,Dati!$A$2:$A$761,$H36,Dati!$H$2:$H$761,$AL36)+SUMIFS(Dati!$K$2:$K$761,Dati!$H$2:$H$761,$H36,Dati!$A$2:$A$761,$AL36)+SUMIFS(Dati!$C$2:$C$761,Dati!$A$2:$A$761,$H36,Dati!$H$2:$H$761,$AL36)+SUMIFS(Dati!$J$2:$J$761,Dati!$H$2:$H$761,$H36,Dati!$A$2:$A$761,$AL36),"-")</f>
        <v/>
      </c>
      <c r="CE36" s="22">
        <f>IF(AND($H36&lt;&gt;"",$AM36&lt;&gt;"",$H36&lt;&gt;$AM36,IFERROR(VLOOKUP($H36,areaCercaPuntiClassificaSquadra,3,FALSE),-1)=IFERROR(VLOOKUP($AM36,areaCercaPuntiClassificaSquadra,3,FALSE),-2)),SUMIFS(Dati!$D$2:$D$761,Dati!$A$2:$A$761,$H36,Dati!$H$2:$H$761,$AM36)+SUMIFS(Dati!$K$2:$K$761,Dati!$H$2:$H$761,$H36,Dati!$A$2:$A$761,$AM36)+SUMIFS(Dati!$C$2:$C$761,Dati!$A$2:$A$761,$H36,Dati!$H$2:$H$761,$AM36)+SUMIFS(Dati!$J$2:$J$761,Dati!$H$2:$H$761,$H36,Dati!$A$2:$A$761,$AM36),"-")</f>
        <v/>
      </c>
      <c r="CF36" s="22">
        <f>IF(AND($H36&lt;&gt;"",$AN36&lt;&gt;"",$H36&lt;&gt;$AN36,IFERROR(VLOOKUP($H36,areaCercaPuntiClassificaSquadra,3,FALSE),-1)=IFERROR(VLOOKUP($AN36,areaCercaPuntiClassificaSquadra,3,FALSE),-2)),SUMIFS(Dati!$D$2:$D$761,Dati!$A$2:$A$761,$H36,Dati!$H$2:$H$761,$AN36)+SUMIFS(Dati!$K$2:$K$761,Dati!$H$2:$H$761,$H36,Dati!$A$2:$A$761,$AN36)+SUMIFS(Dati!$C$2:$C$761,Dati!$A$2:$A$761,$H36,Dati!$H$2:$H$761,$AN36)+SUMIFS(Dati!$J$2:$J$761,Dati!$H$2:$H$761,$H36,Dati!$A$2:$A$761,$AN36),"-")</f>
        <v/>
      </c>
      <c r="CG36" s="22">
        <f>IF(AND($H36&lt;&gt;"",$AO36&lt;&gt;"",$H36&lt;&gt;$AO36,IFERROR(VLOOKUP($H36,areaCercaPuntiClassificaSquadra,3,FALSE),-1)=IFERROR(VLOOKUP($AO36,areaCercaPuntiClassificaSquadra,3,FALSE),-2)),SUMIFS(Dati!$D$2:$D$761,Dati!$A$2:$A$761,$H36,Dati!$H$2:$H$761,$AO36)+SUMIFS(Dati!$K$2:$K$761,Dati!$H$2:$H$761,$H36,Dati!$A$2:$A$761,$AO36)+SUMIFS(Dati!$C$2:$C$761,Dati!$A$2:$A$761,$H36,Dati!$H$2:$H$761,$AO36)+SUMIFS(Dati!$J$2:$J$761,Dati!$H$2:$H$761,$H36,Dati!$A$2:$A$761,$AO36),"-")</f>
        <v/>
      </c>
      <c r="CH36" s="22">
        <f>IF(AND($H36&lt;&gt;"",$AP36&lt;&gt;"",$H36&lt;&gt;$AP36,IFERROR(VLOOKUP($H36,areaCercaPuntiClassificaSquadra,3,FALSE),-1)=IFERROR(VLOOKUP($AP36,areaCercaPuntiClassificaSquadra,3,FALSE),-2)),SUMIFS(Dati!$D$2:$D$761,Dati!$A$2:$A$761,$H36,Dati!$H$2:$H$761,$AP36)+SUMIFS(Dati!$K$2:$K$761,Dati!$H$2:$H$761,$H36,Dati!$A$2:$A$761,$AP36)+SUMIFS(Dati!$C$2:$C$761,Dati!$A$2:$A$761,$H36,Dati!$H$2:$H$761,$AP36)+SUMIFS(Dati!$J$2:$J$761,Dati!$H$2:$H$761,$H36,Dati!$A$2:$A$761,$AP36),"-")</f>
        <v/>
      </c>
      <c r="CI36" s="22">
        <f>IF(AND($H36&lt;&gt;"",$AQ36&lt;&gt;"",$H36&lt;&gt;$AQ36,IFERROR(VLOOKUP($H36,areaCercaPuntiClassificaSquadra,3,FALSE),-1)=IFERROR(VLOOKUP($AQ36,areaCercaPuntiClassificaSquadra,3,FALSE),-2)),SUMIFS(Dati!$D$2:$D$761,Dati!$A$2:$A$761,$H36,Dati!$H$2:$H$761,$AQ36)+SUMIFS(Dati!$K$2:$K$761,Dati!$H$2:$H$761,$H36,Dati!$A$2:$A$761,$AQ36)+SUMIFS(Dati!$C$2:$C$761,Dati!$A$2:$A$761,$H36,Dati!$H$2:$H$761,$AQ36)+SUMIFS(Dati!$J$2:$J$761,Dati!$H$2:$H$761,$H36,Dati!$A$2:$A$761,$AQ36),"-")</f>
        <v/>
      </c>
      <c r="CJ36" s="22">
        <f>IF(AND($H36&lt;&gt;"",$AR36&lt;&gt;"",$H36&lt;&gt;$AR36,IFERROR(VLOOKUP($H36,areaCercaPuntiClassificaSquadra,3,FALSE),-1)=IFERROR(VLOOKUP($AR36,areaCercaPuntiClassificaSquadra,3,FALSE),-2)),SUMIFS(Dati!$D$2:$D$761,Dati!$A$2:$A$761,$H36,Dati!$H$2:$H$761,$AR36)+SUMIFS(Dati!$K$2:$K$761,Dati!$H$2:$H$761,$H36,Dati!$A$2:$A$761,$AR36)+SUMIFS(Dati!$C$2:$C$761,Dati!$A$2:$A$761,$H36,Dati!$H$2:$H$761,$AR36)+SUMIFS(Dati!$J$2:$J$761,Dati!$H$2:$H$761,$H36,Dati!$A$2:$A$761,$AR36),"-")</f>
        <v/>
      </c>
      <c r="CL36" s="21">
        <f>$C36</f>
        <v/>
      </c>
      <c r="CM36" s="22">
        <f>IF(AND($H36&lt;&gt;"",$Y36&lt;&gt;"",$H36&lt;&gt;$Y36,IFERROR(VLOOKUP($H36,areaCercaPuntiClassificaSquadra,3,FALSE),-1)=IFERROR(VLOOKUP($Y36,areaCercaPuntiClassificaSquadra,3,FALSE),-2)),SUMIFS(Dati!$E$2:$E$761,Dati!$A$2:$A$761,$H36,Dati!$H$2:$H$761,$Y36)+SUMIFS(Dati!$L$2:$L$761,Dati!$H$2:$H$761,$H36,Dati!$A$2:$A$761,$Y36),"-")</f>
        <v/>
      </c>
      <c r="CN36" s="22">
        <f>IF(AND($H36&lt;&gt;"",$Z36&lt;&gt;"",$H36&lt;&gt;$Z36,IFERROR(VLOOKUP($H36,areaCercaPuntiClassificaSquadra,3,FALSE),-1)=IFERROR(VLOOKUP($Z36,areaCercaPuntiClassificaSquadra,3,FALSE),-2)),SUMIFS(Dati!$E$2:$E$761,Dati!$A$2:$A$761,$H36,Dati!$H$2:$H$761,$Z36)+SUMIFS(Dati!$L$2:$L$761,Dati!$H$2:$H$761,$H36,Dati!$A$2:$A$761,$Z36),"-")</f>
        <v/>
      </c>
      <c r="CO36" s="22">
        <f>IF(AND($H36&lt;&gt;"",$AA36&lt;&gt;"",$H36&lt;&gt;$AA36,IFERROR(VLOOKUP($H36,areaCercaPuntiClassificaSquadra,3,FALSE),-1)=IFERROR(VLOOKUP($AA36,areaCercaPuntiClassificaSquadra,3,FALSE),-2)),SUMIFS(Dati!$E$2:$E$761,Dati!$A$2:$A$761,$H36,Dati!$H$2:$H$761,$AA36)+SUMIFS(Dati!$L$2:$L$761,Dati!$H$2:$H$761,$H36,Dati!$A$2:$A$761,$AA36),"-")</f>
        <v/>
      </c>
      <c r="CP36" s="22">
        <f>IF(AND($H36&lt;&gt;"",$AB36&lt;&gt;"",$H36&lt;&gt;$AB36,IFERROR(VLOOKUP($H36,areaCercaPuntiClassificaSquadra,3,FALSE),-1)=IFERROR(VLOOKUP($AB36,areaCercaPuntiClassificaSquadra,3,FALSE),-2)),SUMIFS(Dati!$E$2:$E$761,Dati!$A$2:$A$761,$H36,Dati!$H$2:$H$761,$AB36)+SUMIFS(Dati!$L$2:$L$761,Dati!$H$2:$H$761,$H36,Dati!$A$2:$A$761,$AB36),"-")</f>
        <v/>
      </c>
      <c r="CQ36" s="22">
        <f>IF(AND($H36&lt;&gt;"",$AC36&lt;&gt;"",$H36&lt;&gt;$AC36,IFERROR(VLOOKUP($H36,areaCercaPuntiClassificaSquadra,3,FALSE),-1)=IFERROR(VLOOKUP($AC36,areaCercaPuntiClassificaSquadra,3,FALSE),-2)),SUMIFS(Dati!$E$2:$E$761,Dati!$A$2:$A$761,$H36,Dati!$H$2:$H$761,$AC36)+SUMIFS(Dati!$L$2:$L$761,Dati!$H$2:$H$761,$H36,Dati!$A$2:$A$761,$AC36),"-")</f>
        <v/>
      </c>
      <c r="CR36" s="22">
        <f>IF(AND($H36&lt;&gt;"",$AD36&lt;&gt;"",$H36&lt;&gt;$AD36,IFERROR(VLOOKUP($H36,areaCercaPuntiClassificaSquadra,3,FALSE),-1)=IFERROR(VLOOKUP($AD36,areaCercaPuntiClassificaSquadra,3,FALSE),-2)),SUMIFS(Dati!$E$2:$E$761,Dati!$A$2:$A$761,$H36,Dati!$H$2:$H$761,$AD36)+SUMIFS(Dati!$L$2:$L$761,Dati!$H$2:$H$761,$H36,Dati!$A$2:$A$761,$AD36),"-")</f>
        <v/>
      </c>
      <c r="CS36" s="22">
        <f>IF(AND($H36&lt;&gt;"",$AE36&lt;&gt;"",$H36&lt;&gt;$AE36,IFERROR(VLOOKUP($H36,areaCercaPuntiClassificaSquadra,3,FALSE),-1)=IFERROR(VLOOKUP($AE36,areaCercaPuntiClassificaSquadra,3,FALSE),-2)),SUMIFS(Dati!$E$2:$E$761,Dati!$A$2:$A$761,$H36,Dati!$H$2:$H$761,$AE36)+SUMIFS(Dati!$L$2:$L$761,Dati!$H$2:$H$761,$H36,Dati!$A$2:$A$761,$AE36),"-")</f>
        <v/>
      </c>
      <c r="CT36" s="22">
        <f>IF(AND($H36&lt;&gt;"",$AF36&lt;&gt;"",$H36&lt;&gt;$AF36,IFERROR(VLOOKUP($H36,areaCercaPuntiClassificaSquadra,3,FALSE),-1)=IFERROR(VLOOKUP($AF36,areaCercaPuntiClassificaSquadra,3,FALSE),-2)),SUMIFS(Dati!$E$2:$E$761,Dati!$A$2:$A$761,$H36,Dati!$H$2:$H$761,$AF36)+SUMIFS(Dati!$L$2:$L$761,Dati!$H$2:$H$761,$H36,Dati!$A$2:$A$761,$AF36),"-")</f>
        <v/>
      </c>
      <c r="CU36" s="22">
        <f>IF(AND($H36&lt;&gt;"",$AG36&lt;&gt;"",$H36&lt;&gt;$AG36,IFERROR(VLOOKUP($H36,areaCercaPuntiClassificaSquadra,3,FALSE),-1)=IFERROR(VLOOKUP($AG36,areaCercaPuntiClassificaSquadra,3,FALSE),-2)),SUMIFS(Dati!$E$2:$E$761,Dati!$A$2:$A$761,$H36,Dati!$H$2:$H$761,$AG36)+SUMIFS(Dati!$L$2:$L$761,Dati!$H$2:$H$761,$H36,Dati!$A$2:$A$761,$AG36),"-")</f>
        <v/>
      </c>
      <c r="CV36" s="22">
        <f>IF(AND($H36&lt;&gt;"",$AH36&lt;&gt;"",$H36&lt;&gt;$AH36,IFERROR(VLOOKUP($H36,areaCercaPuntiClassificaSquadra,3,FALSE),-1)=IFERROR(VLOOKUP($AH36,areaCercaPuntiClassificaSquadra,3,FALSE),-2)),SUMIFS(Dati!$E$2:$E$761,Dati!$A$2:$A$761,$H36,Dati!$H$2:$H$761,$AH36)+SUMIFS(Dati!$L$2:$L$761,Dati!$H$2:$H$761,$H36,Dati!$A$2:$A$761,$AH36),"-")</f>
        <v/>
      </c>
      <c r="CW36" s="22">
        <f>IF(AND($H36&lt;&gt;"",$AI36&lt;&gt;"",$H36&lt;&gt;$AI36,IFERROR(VLOOKUP($H36,areaCercaPuntiClassificaSquadra,3,FALSE),-1)=IFERROR(VLOOKUP($AI36,areaCercaPuntiClassificaSquadra,3,FALSE),-2)),SUMIFS(Dati!$E$2:$E$761,Dati!$A$2:$A$761,$H36,Dati!$H$2:$H$761,$AI36)+SUMIFS(Dati!$L$2:$L$761,Dati!$H$2:$H$761,$H36,Dati!$A$2:$A$761,$AI36),"-")</f>
        <v/>
      </c>
      <c r="CX36" s="22">
        <f>IF(AND($H36&lt;&gt;"",$AJ36&lt;&gt;"",$H36&lt;&gt;$AJ36,IFERROR(VLOOKUP($H36,areaCercaPuntiClassificaSquadra,3,FALSE),-1)=IFERROR(VLOOKUP($AJ36,areaCercaPuntiClassificaSquadra,3,FALSE),-2)),SUMIFS(Dati!$E$2:$E$761,Dati!$A$2:$A$761,$H36,Dati!$H$2:$H$761,$AJ36)+SUMIFS(Dati!$L$2:$L$761,Dati!$H$2:$H$761,$H36,Dati!$A$2:$A$761,$AJ36),"-")</f>
        <v/>
      </c>
      <c r="CY36" s="22">
        <f>IF(AND($H36&lt;&gt;"",$AK36&lt;&gt;"",$H36&lt;&gt;$AK36,IFERROR(VLOOKUP($H36,areaCercaPuntiClassificaSquadra,3,FALSE),-1)=IFERROR(VLOOKUP($AK36,areaCercaPuntiClassificaSquadra,3,FALSE),-2)),SUMIFS(Dati!$E$2:$E$761,Dati!$A$2:$A$761,$H36,Dati!$H$2:$H$761,$AK36)+SUMIFS(Dati!$L$2:$L$761,Dati!$H$2:$H$761,$H36,Dati!$A$2:$A$761,$AK36),"-")</f>
        <v/>
      </c>
      <c r="CZ36" s="22">
        <f>IF(AND($H36&lt;&gt;"",$AL36&lt;&gt;"",$H36&lt;&gt;$AL36,IFERROR(VLOOKUP($H36,areaCercaPuntiClassificaSquadra,3,FALSE),-1)=IFERROR(VLOOKUP($AL36,areaCercaPuntiClassificaSquadra,3,FALSE),-2)),SUMIFS(Dati!$E$2:$E$761,Dati!$A$2:$A$761,$H36,Dati!$H$2:$H$761,$AL36)+SUMIFS(Dati!$L$2:$L$761,Dati!$H$2:$H$761,$H36,Dati!$A$2:$A$761,$AL36),"-")</f>
        <v/>
      </c>
      <c r="DA36" s="22">
        <f>IF(AND($H36&lt;&gt;"",$AM36&lt;&gt;"",$H36&lt;&gt;$AM36,IFERROR(VLOOKUP($H36,areaCercaPuntiClassificaSquadra,3,FALSE),-1)=IFERROR(VLOOKUP($AM36,areaCercaPuntiClassificaSquadra,3,FALSE),-2)),SUMIFS(Dati!$E$2:$E$761,Dati!$A$2:$A$761,$H36,Dati!$H$2:$H$761,$AM36)+SUMIFS(Dati!$L$2:$L$761,Dati!$H$2:$H$761,$H36,Dati!$A$2:$A$761,$AM36),"-")</f>
        <v/>
      </c>
      <c r="DB36" s="22">
        <f>IF(AND($H36&lt;&gt;"",$AN36&lt;&gt;"",$H36&lt;&gt;$AN36,IFERROR(VLOOKUP($H36,areaCercaPuntiClassificaSquadra,3,FALSE),-1)=IFERROR(VLOOKUP($AN36,areaCercaPuntiClassificaSquadra,3,FALSE),-2)),SUMIFS(Dati!$E$2:$E$761,Dati!$A$2:$A$761,$H36,Dati!$H$2:$H$761,$AN36)+SUMIFS(Dati!$L$2:$L$761,Dati!$H$2:$H$761,$H36,Dati!$A$2:$A$761,$AN36),"-")</f>
        <v/>
      </c>
      <c r="DC36" s="22">
        <f>IF(AND($H36&lt;&gt;"",$AO36&lt;&gt;"",$H36&lt;&gt;$AO36,IFERROR(VLOOKUP($H36,areaCercaPuntiClassificaSquadra,3,FALSE),-1)=IFERROR(VLOOKUP($AO36,areaCercaPuntiClassificaSquadra,3,FALSE),-2)),SUMIFS(Dati!$E$2:$E$761,Dati!$A$2:$A$761,$H36,Dati!$H$2:$H$761,$AO36)+SUMIFS(Dati!$L$2:$L$761,Dati!$H$2:$H$761,$H36,Dati!$A$2:$A$761,$AO36),"-")</f>
        <v/>
      </c>
      <c r="DD36" s="22">
        <f>IF(AND($H36&lt;&gt;"",$AP36&lt;&gt;"",$H36&lt;&gt;$AP36,IFERROR(VLOOKUP($H36,areaCercaPuntiClassificaSquadra,3,FALSE),-1)=IFERROR(VLOOKUP($AP36,areaCercaPuntiClassificaSquadra,3,FALSE),-2)),SUMIFS(Dati!$E$2:$E$761,Dati!$A$2:$A$761,$H36,Dati!$H$2:$H$761,$AP36)+SUMIFS(Dati!$L$2:$L$761,Dati!$H$2:$H$761,$H36,Dati!$A$2:$A$761,$AP36),"-")</f>
        <v/>
      </c>
      <c r="DE36" s="22">
        <f>IF(AND($H36&lt;&gt;"",$AQ36&lt;&gt;"",$H36&lt;&gt;$AQ36,IFERROR(VLOOKUP($H36,areaCercaPuntiClassificaSquadra,3,FALSE),-1)=IFERROR(VLOOKUP($AQ36,areaCercaPuntiClassificaSquadra,3,FALSE),-2)),SUMIFS(Dati!$E$2:$E$761,Dati!$A$2:$A$761,$H36,Dati!$H$2:$H$761,$AQ36)+SUMIFS(Dati!$L$2:$L$761,Dati!$H$2:$H$761,$H36,Dati!$A$2:$A$761,$AQ36),"-")</f>
        <v/>
      </c>
      <c r="DF36" s="22">
        <f>IF(AND($H36&lt;&gt;"",$AR36&lt;&gt;"",$H36&lt;&gt;$AR36,IFERROR(VLOOKUP($H36,areaCercaPuntiClassificaSquadra,3,FALSE),-1)=IFERROR(VLOOKUP($AR36,areaCercaPuntiClassificaSquadra,3,FALSE),-2)),SUMIFS(Dati!$E$2:$E$761,Dati!$A$2:$A$761,$H36,Dati!$H$2:$H$761,$AR36)+SUMIFS(Dati!$L$2:$L$761,Dati!$H$2:$H$761,$H36,Dati!$A$2:$A$761,$AR36),"-")</f>
        <v/>
      </c>
      <c r="DH36" s="21">
        <f>$C36</f>
        <v/>
      </c>
      <c r="DI36" s="22">
        <f>IF(AND($H36&lt;&gt;"",$Y36&lt;&gt;"",$H36&lt;&gt;$Y36,IFERROR(VLOOKUP($H36,areaCercaPuntiClassificaSquadra,3,FALSE),-1)=IFERROR(VLOOKUP($Y36,areaCercaPuntiClassificaSquadra,3,FALSE),-2)),SUMIFS(Dati!$F$2:$F$761,Dati!$A$2:$A$761,$H36,Dati!$H$2:$H$761,$Y36)+SUMIFS(Dati!$M$2:$M$761,Dati!$H$2:$H$761,$H36,Dati!$A$2:$A$761,$Y36),"-")</f>
        <v/>
      </c>
      <c r="DJ36" s="22">
        <f>IF(AND($H36&lt;&gt;"",$Z36&lt;&gt;"",$H36&lt;&gt;$Z36,IFERROR(VLOOKUP($H36,areaCercaPuntiClassificaSquadra,3,FALSE),-1)=IFERROR(VLOOKUP($Z36,areaCercaPuntiClassificaSquadra,3,FALSE),-2)),SUMIFS(Dati!$F$2:$F$761,Dati!$A$2:$A$761,$H36,Dati!$H$2:$H$761,$Z36)+SUMIFS(Dati!$M$2:$M$761,Dati!$H$2:$H$761,$H36,Dati!$A$2:$A$761,$Z36),"-")</f>
        <v/>
      </c>
      <c r="DK36" s="22">
        <f>IF(AND($H36&lt;&gt;"",$AA36&lt;&gt;"",$H36&lt;&gt;$AA36,IFERROR(VLOOKUP($H36,areaCercaPuntiClassificaSquadra,3,FALSE),-1)=IFERROR(VLOOKUP($AA36,areaCercaPuntiClassificaSquadra,3,FALSE),-2)),SUMIFS(Dati!$F$2:$F$761,Dati!$A$2:$A$761,$H36,Dati!$H$2:$H$761,$AA36)+SUMIFS(Dati!$M$2:$M$761,Dati!$H$2:$H$761,$H36,Dati!$A$2:$A$761,$AA36),"-")</f>
        <v/>
      </c>
      <c r="DL36" s="22">
        <f>IF(AND($H36&lt;&gt;"",$AB36&lt;&gt;"",$H36&lt;&gt;$AB36,IFERROR(VLOOKUP($H36,areaCercaPuntiClassificaSquadra,3,FALSE),-1)=IFERROR(VLOOKUP($AB36,areaCercaPuntiClassificaSquadra,3,FALSE),-2)),SUMIFS(Dati!$F$2:$F$761,Dati!$A$2:$A$761,$H36,Dati!$H$2:$H$761,$AB36)+SUMIFS(Dati!$M$2:$M$761,Dati!$H$2:$H$761,$H36,Dati!$A$2:$A$761,$AB36),"-")</f>
        <v/>
      </c>
      <c r="DM36" s="22">
        <f>IF(AND($H36&lt;&gt;"",$AC36&lt;&gt;"",$H36&lt;&gt;$AC36,IFERROR(VLOOKUP($H36,areaCercaPuntiClassificaSquadra,3,FALSE),-1)=IFERROR(VLOOKUP($AC36,areaCercaPuntiClassificaSquadra,3,FALSE),-2)),SUMIFS(Dati!$F$2:$F$761,Dati!$A$2:$A$761,$H36,Dati!$H$2:$H$761,$AC36)+SUMIFS(Dati!$M$2:$M$761,Dati!$H$2:$H$761,$H36,Dati!$A$2:$A$761,$AC36),"-")</f>
        <v/>
      </c>
      <c r="DN36" s="22">
        <f>IF(AND($H36&lt;&gt;"",$AD36&lt;&gt;"",$H36&lt;&gt;$AD36,IFERROR(VLOOKUP($H36,areaCercaPuntiClassificaSquadra,3,FALSE),-1)=IFERROR(VLOOKUP($AD36,areaCercaPuntiClassificaSquadra,3,FALSE),-2)),SUMIFS(Dati!$F$2:$F$761,Dati!$A$2:$A$761,$H36,Dati!$H$2:$H$761,$AD36)+SUMIFS(Dati!$M$2:$M$761,Dati!$H$2:$H$761,$H36,Dati!$A$2:$A$761,$AD36),"-")</f>
        <v/>
      </c>
      <c r="DO36" s="22">
        <f>IF(AND($H36&lt;&gt;"",$AE36&lt;&gt;"",$H36&lt;&gt;$AE36,IFERROR(VLOOKUP($H36,areaCercaPuntiClassificaSquadra,3,FALSE),-1)=IFERROR(VLOOKUP($AE36,areaCercaPuntiClassificaSquadra,3,FALSE),-2)),SUMIFS(Dati!$F$2:$F$761,Dati!$A$2:$A$761,$H36,Dati!$H$2:$H$761,$AE36)+SUMIFS(Dati!$M$2:$M$761,Dati!$H$2:$H$761,$H36,Dati!$A$2:$A$761,$AE36),"-")</f>
        <v/>
      </c>
      <c r="DP36" s="22">
        <f>IF(AND($H36&lt;&gt;"",$AF36&lt;&gt;"",$H36&lt;&gt;$AF36,IFERROR(VLOOKUP($H36,areaCercaPuntiClassificaSquadra,3,FALSE),-1)=IFERROR(VLOOKUP($AF36,areaCercaPuntiClassificaSquadra,3,FALSE),-2)),SUMIFS(Dati!$F$2:$F$761,Dati!$A$2:$A$761,$H36,Dati!$H$2:$H$761,$AF36)+SUMIFS(Dati!$M$2:$M$761,Dati!$H$2:$H$761,$H36,Dati!$A$2:$A$761,$AF36),"-")</f>
        <v/>
      </c>
      <c r="DQ36" s="22">
        <f>IF(AND($H36&lt;&gt;"",$AG36&lt;&gt;"",$H36&lt;&gt;$AG36,IFERROR(VLOOKUP($H36,areaCercaPuntiClassificaSquadra,3,FALSE),-1)=IFERROR(VLOOKUP($AG36,areaCercaPuntiClassificaSquadra,3,FALSE),-2)),SUMIFS(Dati!$F$2:$F$761,Dati!$A$2:$A$761,$H36,Dati!$H$2:$H$761,$AG36)+SUMIFS(Dati!$M$2:$M$761,Dati!$H$2:$H$761,$H36,Dati!$A$2:$A$761,$AG36),"-")</f>
        <v/>
      </c>
      <c r="DR36" s="22">
        <f>IF(AND($H36&lt;&gt;"",$AH36&lt;&gt;"",$H36&lt;&gt;$AH36,IFERROR(VLOOKUP($H36,areaCercaPuntiClassificaSquadra,3,FALSE),-1)=IFERROR(VLOOKUP($AH36,areaCercaPuntiClassificaSquadra,3,FALSE),-2)),SUMIFS(Dati!$F$2:$F$761,Dati!$A$2:$A$761,$H36,Dati!$H$2:$H$761,$AH36)+SUMIFS(Dati!$M$2:$M$761,Dati!$H$2:$H$761,$H36,Dati!$A$2:$A$761,$AH36),"-")</f>
        <v/>
      </c>
      <c r="DS36" s="22">
        <f>IF(AND($H36&lt;&gt;"",$AI36&lt;&gt;"",$H36&lt;&gt;$AI36,IFERROR(VLOOKUP($H36,areaCercaPuntiClassificaSquadra,3,FALSE),-1)=IFERROR(VLOOKUP($AI36,areaCercaPuntiClassificaSquadra,3,FALSE),-2)),SUMIFS(Dati!$F$2:$F$761,Dati!$A$2:$A$761,$H36,Dati!$H$2:$H$761,$AI36)+SUMIFS(Dati!$M$2:$M$761,Dati!$H$2:$H$761,$H36,Dati!$A$2:$A$761,$AI36),"-")</f>
        <v/>
      </c>
      <c r="DT36" s="22">
        <f>IF(AND($H36&lt;&gt;"",$AJ36&lt;&gt;"",$H36&lt;&gt;$AJ36,IFERROR(VLOOKUP($H36,areaCercaPuntiClassificaSquadra,3,FALSE),-1)=IFERROR(VLOOKUP($AJ36,areaCercaPuntiClassificaSquadra,3,FALSE),-2)),SUMIFS(Dati!$F$2:$F$761,Dati!$A$2:$A$761,$H36,Dati!$H$2:$H$761,$AJ36)+SUMIFS(Dati!$M$2:$M$761,Dati!$H$2:$H$761,$H36,Dati!$A$2:$A$761,$AJ36),"-")</f>
        <v/>
      </c>
      <c r="DU36" s="22">
        <f>IF(AND($H36&lt;&gt;"",$AK36&lt;&gt;"",$H36&lt;&gt;$AK36,IFERROR(VLOOKUP($H36,areaCercaPuntiClassificaSquadra,3,FALSE),-1)=IFERROR(VLOOKUP($AK36,areaCercaPuntiClassificaSquadra,3,FALSE),-2)),SUMIFS(Dati!$F$2:$F$761,Dati!$A$2:$A$761,$H36,Dati!$H$2:$H$761,$AK36)+SUMIFS(Dati!$M$2:$M$761,Dati!$H$2:$H$761,$H36,Dati!$A$2:$A$761,$AK36),"-")</f>
        <v/>
      </c>
      <c r="DV36" s="22">
        <f>IF(AND($H36&lt;&gt;"",$AL36&lt;&gt;"",$H36&lt;&gt;$AL36,IFERROR(VLOOKUP($H36,areaCercaPuntiClassificaSquadra,3,FALSE),-1)=IFERROR(VLOOKUP($AL36,areaCercaPuntiClassificaSquadra,3,FALSE),-2)),SUMIFS(Dati!$F$2:$F$761,Dati!$A$2:$A$761,$H36,Dati!$H$2:$H$761,$AL36)+SUMIFS(Dati!$M$2:$M$761,Dati!$H$2:$H$761,$H36,Dati!$A$2:$A$761,$AL36),"-")</f>
        <v/>
      </c>
      <c r="DW36" s="22">
        <f>IF(AND($H36&lt;&gt;"",$AM36&lt;&gt;"",$H36&lt;&gt;$AM36,IFERROR(VLOOKUP($H36,areaCercaPuntiClassificaSquadra,3,FALSE),-1)=IFERROR(VLOOKUP($AM36,areaCercaPuntiClassificaSquadra,3,FALSE),-2)),SUMIFS(Dati!$F$2:$F$761,Dati!$A$2:$A$761,$H36,Dati!$H$2:$H$761,$AM36)+SUMIFS(Dati!$M$2:$M$761,Dati!$H$2:$H$761,$H36,Dati!$A$2:$A$761,$AM36),"-")</f>
        <v/>
      </c>
      <c r="DX36" s="22">
        <f>IF(AND($H36&lt;&gt;"",$AN36&lt;&gt;"",$H36&lt;&gt;$AN36,IFERROR(VLOOKUP($H36,areaCercaPuntiClassificaSquadra,3,FALSE),-1)=IFERROR(VLOOKUP($AN36,areaCercaPuntiClassificaSquadra,3,FALSE),-2)),SUMIFS(Dati!$F$2:$F$761,Dati!$A$2:$A$761,$H36,Dati!$H$2:$H$761,$AN36)+SUMIFS(Dati!$M$2:$M$761,Dati!$H$2:$H$761,$H36,Dati!$A$2:$A$761,$AN36),"-")</f>
        <v/>
      </c>
      <c r="DY36" s="22">
        <f>IF(AND($H36&lt;&gt;"",$AO36&lt;&gt;"",$H36&lt;&gt;$AO36,IFERROR(VLOOKUP($H36,areaCercaPuntiClassificaSquadra,3,FALSE),-1)=IFERROR(VLOOKUP($AO36,areaCercaPuntiClassificaSquadra,3,FALSE),-2)),SUMIFS(Dati!$F$2:$F$761,Dati!$A$2:$A$761,$H36,Dati!$H$2:$H$761,$AO36)+SUMIFS(Dati!$M$2:$M$761,Dati!$H$2:$H$761,$H36,Dati!$A$2:$A$761,$AO36),"-")</f>
        <v/>
      </c>
      <c r="DZ36" s="22">
        <f>IF(AND($H36&lt;&gt;"",$AP36&lt;&gt;"",$H36&lt;&gt;$AP36,IFERROR(VLOOKUP($H36,areaCercaPuntiClassificaSquadra,3,FALSE),-1)=IFERROR(VLOOKUP($AP36,areaCercaPuntiClassificaSquadra,3,FALSE),-2)),SUMIFS(Dati!$F$2:$F$761,Dati!$A$2:$A$761,$H36,Dati!$H$2:$H$761,$AP36)+SUMIFS(Dati!$M$2:$M$761,Dati!$H$2:$H$761,$H36,Dati!$A$2:$A$761,$AP36),"-")</f>
        <v/>
      </c>
      <c r="EA36" s="22">
        <f>IF(AND($H36&lt;&gt;"",$AQ36&lt;&gt;"",$H36&lt;&gt;$AQ36,IFERROR(VLOOKUP($H36,areaCercaPuntiClassificaSquadra,3,FALSE),-1)=IFERROR(VLOOKUP($AQ36,areaCercaPuntiClassificaSquadra,3,FALSE),-2)),SUMIFS(Dati!$F$2:$F$761,Dati!$A$2:$A$761,$H36,Dati!$H$2:$H$761,$AQ36)+SUMIFS(Dati!$M$2:$M$761,Dati!$H$2:$H$761,$H36,Dati!$A$2:$A$761,$AQ36),"-")</f>
        <v/>
      </c>
      <c r="EB36" s="22">
        <f>IF(AND($H36&lt;&gt;"",$AR36&lt;&gt;"",$H36&lt;&gt;$AR36,IFERROR(VLOOKUP($H36,areaCercaPuntiClassificaSquadra,3,FALSE),-1)=IFERROR(VLOOKUP($AR36,areaCercaPuntiClassificaSquadra,3,FALSE),-2)),SUMIFS(Dati!$F$2:$F$761,Dati!$A$2:$A$761,$H36,Dati!$H$2:$H$761,$AR36)+SUMIFS(Dati!$M$2:$M$761,Dati!$H$2:$H$761,$H36,Dati!$A$2:$A$761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inlineStr">
        <is>
          <t>Gufi Gentili-Gufiopoli GO</t>
        </is>
      </c>
      <c r="D37" s="14" t="n"/>
      <c r="E37" s="23" t="inlineStr">
        <is>
          <t>B</t>
        </is>
      </c>
      <c r="G37" s="24">
        <f>IF($C37="","",$E37&amp;(COUNTIFS(I$14:I$93,"&gt;"&amp;I37,E$14:E$93,"="&amp;E37,C$14:C$93,"&lt;&gt;")+COUNTIFS(I$14:I$93,"="&amp;I37,H$14:H$93,"&lt;="&amp;H37,E$14:E$93,"="&amp;E37,C$14:C$93,"&lt;&gt;")))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L37*constPuntiVittoria+M37*constPuntiSconfitta+N37*constPuntiForfait+IF(D37="",0,D37)</f>
        <v/>
      </c>
      <c r="K37" s="12">
        <f>SUM(L37:N37)</f>
        <v/>
      </c>
      <c r="L37" s="12">
        <f>IF($H37="",0,SUMIF(Dati!$A$2:$A$761,$H37,Dati!$B$2:$B$761)+SUMIF(Dati!$H$2:$H$761,$H37,Dati!$I$2:$I$761))</f>
        <v/>
      </c>
      <c r="M37" s="12">
        <f>IF($H37="",0,SUMIF(Dati!$A$2:$A$761,$H37,Dati!$D$2:$D$761)+SUMIF(Dati!$H$2:$H$761,$H37,Dati!$K$2:$K$761))</f>
        <v/>
      </c>
      <c r="N37" s="12">
        <f>IF($H37="",0,SUMIF(Dati!$A$2:$A$761,$H37,Dati!$C$2:$C$761)+SUMIF(Dati!$H$2:$H$761,$H37,Dati!$J$2:$J$761))</f>
        <v/>
      </c>
      <c r="O37" s="12">
        <f>IF($H37="",0,SUMIF(Dati!$A$2:$A$761,$H37,Dati!$E$2:$E$761)+SUMIF(Dati!$H$2:$H$761,$H37,Dati!$L$2:$L$761))</f>
        <v/>
      </c>
      <c r="P37" s="12">
        <f>IF($H37="",0,SUMIF(Dati!$A$2:$A$761,$H37,Dati!$F$2:$F$761)+SUMIF(Dati!$H$2:$H$761,$H37,Dati!$M$2:$M$761))</f>
        <v/>
      </c>
      <c r="Q37" s="12">
        <f>IF($H37="",0,SUMIF(Dati!$A$2:$A$761,$H37,Dati!$G$2:$G$761)+SUMIF(Dati!$H$2:$H$761,$H37,Dati!$N$2:$N$761))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IF(COUNTIFS($E$14:$E$93,$E37,$J$14:$J$93,$J37,$C$14:$C$93,"&lt;&gt;")&lt;=1,"-",SUM(AU37:BN37)&amp;"-"&amp;SUM(BQ37:CJ37))</f>
        <v/>
      </c>
      <c r="V37" s="18">
        <f>IF(COUNTIFS($E$14:$E$93,$E37,$J$14:$J$93,$J37,$C$14:$C$93,"&lt;&gt;",$ED$14:$ED$93,$ED37)&lt;=1,"-",IF(SUM(DI37:EB37)=0,0,ROUND(SUM(CM37:DF37)/SUM(DI37:EB37),3)))</f>
        <v/>
      </c>
      <c r="W37" s="18">
        <f>IF(COUNTIFS($E$14:$E$93,$E37,$J$14:$J$93,$J37,$C$14:$C$93,"&lt;&gt;",$ED$14:$ED$93,$ED37,$V$14:$V$93,$V37)&lt;=1,"-",IF(P37=0,0,ROUND(O37/P37,3)))</f>
        <v/>
      </c>
      <c r="X37" s="19">
        <f>IF($C37="","",$E37&amp;"#"&amp;COUNTIFS($E$14:$E37,$E37,$C$14:$C37,"&lt;&gt;"))</f>
        <v/>
      </c>
      <c r="Y37" s="20">
        <f>IFERROR(INDEX($H$14:$H$93,MATCH($E37&amp;"#1",$X$14:$X$93,0)),"")</f>
        <v/>
      </c>
      <c r="Z37" s="20">
        <f>IFERROR(INDEX($H$14:$H$93,MATCH($E37&amp;"#2",$X$14:$X$93,0)),"")</f>
        <v/>
      </c>
      <c r="AA37" s="20">
        <f>IFERROR(INDEX($H$14:$H$93,MATCH($E37&amp;"#3",$X$14:$X$93,0)),"")</f>
        <v/>
      </c>
      <c r="AB37" s="20">
        <f>IFERROR(INDEX($H$14:$H$93,MATCH($E37&amp;"#4",$X$14:$X$93,0)),"")</f>
        <v/>
      </c>
      <c r="AC37" s="20">
        <f>IFERROR(INDEX($H$14:$H$93,MATCH($E37&amp;"#5",$X$14:$X$93,0)),"")</f>
        <v/>
      </c>
      <c r="AD37" s="20">
        <f>IFERROR(INDEX($H$14:$H$93,MATCH($E37&amp;"#6",$X$14:$X$93,0)),"")</f>
        <v/>
      </c>
      <c r="AE37" s="20">
        <f>IFERROR(INDEX($H$14:$H$93,MATCH($E37&amp;"#7",$X$14:$X$93,0)),"")</f>
        <v/>
      </c>
      <c r="AF37" s="20">
        <f>IFERROR(INDEX($H$14:$H$93,MATCH($E37&amp;"#8",$X$14:$X$93,0)),"")</f>
        <v/>
      </c>
      <c r="AG37" s="20">
        <f>IFERROR(INDEX($H$14:$H$93,MATCH($E37&amp;"#9",$X$14:$X$93,0)),"")</f>
        <v/>
      </c>
      <c r="AH37" s="20">
        <f>IFERROR(INDEX($H$14:$H$93,MATCH($E37&amp;"#10",$X$14:$X$93,0)),"")</f>
        <v/>
      </c>
      <c r="AI37" s="20">
        <f>IFERROR(INDEX($H$14:$H$93,MATCH($E37&amp;"#11",$X$14:$X$93,0)),"")</f>
        <v/>
      </c>
      <c r="AJ37" s="20">
        <f>IFERROR(INDEX($H$14:$H$93,MATCH($E37&amp;"#12",$X$14:$X$93,0)),"")</f>
        <v/>
      </c>
      <c r="AK37" s="20">
        <f>IFERROR(INDEX($H$14:$H$93,MATCH($E37&amp;"#13",$X$14:$X$93,0)),"")</f>
        <v/>
      </c>
      <c r="AL37" s="20">
        <f>IFERROR(INDEX($H$14:$H$93,MATCH($E37&amp;"#14",$X$14:$X$93,0)),"")</f>
        <v/>
      </c>
      <c r="AM37" s="20">
        <f>IFERROR(INDEX($H$14:$H$93,MATCH($E37&amp;"#15",$X$14:$X$93,0)),"")</f>
        <v/>
      </c>
      <c r="AN37" s="20">
        <f>IFERROR(INDEX($H$14:$H$93,MATCH($E37&amp;"#16",$X$14:$X$93,0)),"")</f>
        <v/>
      </c>
      <c r="AO37" s="20">
        <f>IFERROR(INDEX($H$14:$H$93,MATCH($E37&amp;"#17",$X$14:$X$93,0)),"")</f>
        <v/>
      </c>
      <c r="AP37" s="20">
        <f>IFERROR(INDEX($H$14:$H$93,MATCH($E37&amp;"#18",$X$14:$X$93,0)),"")</f>
        <v/>
      </c>
      <c r="AQ37" s="20">
        <f>IFERROR(INDEX($H$14:$H$93,MATCH($E37&amp;"#19",$X$14:$X$93,0)),"")</f>
        <v/>
      </c>
      <c r="AR37" s="20">
        <f>IFERROR(INDEX($H$14:$H$93,MATCH($E37&amp;"#20",$X$14:$X$93,0)),"")</f>
        <v/>
      </c>
      <c r="AT37" s="21">
        <f>$C37</f>
        <v/>
      </c>
      <c r="AU37" s="22">
        <f>IF(AND($H37&lt;&gt;"",$Y37&lt;&gt;"",$H37&lt;&gt;$Y37,IFERROR(VLOOKUP($H37,areaCercaPuntiClassificaSquadra,3,FALSE),-1)=IFERROR(VLOOKUP($Y37,areaCercaPuntiClassificaSquadra,3,FALSE),-2)),SUMIFS(Dati!$B$2:$B$761,Dati!$A$2:$A$761,$H37,Dati!$H$2:$H$761,$Y37)+SUMIFS(Dati!$I$2:$I$761,Dati!$H$2:$H$761,$H37,Dati!$A$2:$A$761,$Y37),"-")</f>
        <v/>
      </c>
      <c r="AV37" s="22">
        <f>IF(AND($H37&lt;&gt;"",$Z37&lt;&gt;"",$H37&lt;&gt;$Z37,IFERROR(VLOOKUP($H37,areaCercaPuntiClassificaSquadra,3,FALSE),-1)=IFERROR(VLOOKUP($Z37,areaCercaPuntiClassificaSquadra,3,FALSE),-2)),SUMIFS(Dati!$B$2:$B$761,Dati!$A$2:$A$761,$H37,Dati!$H$2:$H$761,$Z37)+SUMIFS(Dati!$I$2:$I$761,Dati!$H$2:$H$761,$H37,Dati!$A$2:$A$761,$Z37),"-")</f>
        <v/>
      </c>
      <c r="AW37" s="22">
        <f>IF(AND($H37&lt;&gt;"",$AA37&lt;&gt;"",$H37&lt;&gt;$AA37,IFERROR(VLOOKUP($H37,areaCercaPuntiClassificaSquadra,3,FALSE),-1)=IFERROR(VLOOKUP($AA37,areaCercaPuntiClassificaSquadra,3,FALSE),-2)),SUMIFS(Dati!$B$2:$B$761,Dati!$A$2:$A$761,$H37,Dati!$H$2:$H$761,$AA37)+SUMIFS(Dati!$I$2:$I$761,Dati!$H$2:$H$761,$H37,Dati!$A$2:$A$761,$AA37),"-")</f>
        <v/>
      </c>
      <c r="AX37" s="22">
        <f>IF(AND($H37&lt;&gt;"",$AB37&lt;&gt;"",$H37&lt;&gt;$AB37,IFERROR(VLOOKUP($H37,areaCercaPuntiClassificaSquadra,3,FALSE),-1)=IFERROR(VLOOKUP($AB37,areaCercaPuntiClassificaSquadra,3,FALSE),-2)),SUMIFS(Dati!$B$2:$B$761,Dati!$A$2:$A$761,$H37,Dati!$H$2:$H$761,$AB37)+SUMIFS(Dati!$I$2:$I$761,Dati!$H$2:$H$761,$H37,Dati!$A$2:$A$761,$AB37),"-")</f>
        <v/>
      </c>
      <c r="AY37" s="22">
        <f>IF(AND($H37&lt;&gt;"",$AC37&lt;&gt;"",$H37&lt;&gt;$AC37,IFERROR(VLOOKUP($H37,areaCercaPuntiClassificaSquadra,3,FALSE),-1)=IFERROR(VLOOKUP($AC37,areaCercaPuntiClassificaSquadra,3,FALSE),-2)),SUMIFS(Dati!$B$2:$B$761,Dati!$A$2:$A$761,$H37,Dati!$H$2:$H$761,$AC37)+SUMIFS(Dati!$I$2:$I$761,Dati!$H$2:$H$761,$H37,Dati!$A$2:$A$761,$AC37),"-")</f>
        <v/>
      </c>
      <c r="AZ37" s="22">
        <f>IF(AND($H37&lt;&gt;"",$AD37&lt;&gt;"",$H37&lt;&gt;$AD37,IFERROR(VLOOKUP($H37,areaCercaPuntiClassificaSquadra,3,FALSE),-1)=IFERROR(VLOOKUP($AD37,areaCercaPuntiClassificaSquadra,3,FALSE),-2)),SUMIFS(Dati!$B$2:$B$761,Dati!$A$2:$A$761,$H37,Dati!$H$2:$H$761,$AD37)+SUMIFS(Dati!$I$2:$I$761,Dati!$H$2:$H$761,$H37,Dati!$A$2:$A$761,$AD37),"-")</f>
        <v/>
      </c>
      <c r="BA37" s="22">
        <f>IF(AND($H37&lt;&gt;"",$AE37&lt;&gt;"",$H37&lt;&gt;$AE37,IFERROR(VLOOKUP($H37,areaCercaPuntiClassificaSquadra,3,FALSE),-1)=IFERROR(VLOOKUP($AE37,areaCercaPuntiClassificaSquadra,3,FALSE),-2)),SUMIFS(Dati!$B$2:$B$761,Dati!$A$2:$A$761,$H37,Dati!$H$2:$H$761,$AE37)+SUMIFS(Dati!$I$2:$I$761,Dati!$H$2:$H$761,$H37,Dati!$A$2:$A$761,$AE37),"-")</f>
        <v/>
      </c>
      <c r="BB37" s="22">
        <f>IF(AND($H37&lt;&gt;"",$AF37&lt;&gt;"",$H37&lt;&gt;$AF37,IFERROR(VLOOKUP($H37,areaCercaPuntiClassificaSquadra,3,FALSE),-1)=IFERROR(VLOOKUP($AF37,areaCercaPuntiClassificaSquadra,3,FALSE),-2)),SUMIFS(Dati!$B$2:$B$761,Dati!$A$2:$A$761,$H37,Dati!$H$2:$H$761,$AF37)+SUMIFS(Dati!$I$2:$I$761,Dati!$H$2:$H$761,$H37,Dati!$A$2:$A$761,$AF37),"-")</f>
        <v/>
      </c>
      <c r="BC37" s="22">
        <f>IF(AND($H37&lt;&gt;"",$AG37&lt;&gt;"",$H37&lt;&gt;$AG37,IFERROR(VLOOKUP($H37,areaCercaPuntiClassificaSquadra,3,FALSE),-1)=IFERROR(VLOOKUP($AG37,areaCercaPuntiClassificaSquadra,3,FALSE),-2)),SUMIFS(Dati!$B$2:$B$761,Dati!$A$2:$A$761,$H37,Dati!$H$2:$H$761,$AG37)+SUMIFS(Dati!$I$2:$I$761,Dati!$H$2:$H$761,$H37,Dati!$A$2:$A$761,$AG37),"-")</f>
        <v/>
      </c>
      <c r="BD37" s="22">
        <f>IF(AND($H37&lt;&gt;"",$AH37&lt;&gt;"",$H37&lt;&gt;$AH37,IFERROR(VLOOKUP($H37,areaCercaPuntiClassificaSquadra,3,FALSE),-1)=IFERROR(VLOOKUP($AH37,areaCercaPuntiClassificaSquadra,3,FALSE),-2)),SUMIFS(Dati!$B$2:$B$761,Dati!$A$2:$A$761,$H37,Dati!$H$2:$H$761,$AH37)+SUMIFS(Dati!$I$2:$I$761,Dati!$H$2:$H$761,$H37,Dati!$A$2:$A$761,$AH37),"-")</f>
        <v/>
      </c>
      <c r="BE37" s="22">
        <f>IF(AND($H37&lt;&gt;"",$AI37&lt;&gt;"",$H37&lt;&gt;$AI37,IFERROR(VLOOKUP($H37,areaCercaPuntiClassificaSquadra,3,FALSE),-1)=IFERROR(VLOOKUP($AI37,areaCercaPuntiClassificaSquadra,3,FALSE),-2)),SUMIFS(Dati!$B$2:$B$761,Dati!$A$2:$A$761,$H37,Dati!$H$2:$H$761,$AI37)+SUMIFS(Dati!$I$2:$I$761,Dati!$H$2:$H$761,$H37,Dati!$A$2:$A$761,$AI37),"-")</f>
        <v/>
      </c>
      <c r="BF37" s="22">
        <f>IF(AND($H37&lt;&gt;"",$AJ37&lt;&gt;"",$H37&lt;&gt;$AJ37,IFERROR(VLOOKUP($H37,areaCercaPuntiClassificaSquadra,3,FALSE),-1)=IFERROR(VLOOKUP($AJ37,areaCercaPuntiClassificaSquadra,3,FALSE),-2)),SUMIFS(Dati!$B$2:$B$761,Dati!$A$2:$A$761,$H37,Dati!$H$2:$H$761,$AJ37)+SUMIFS(Dati!$I$2:$I$761,Dati!$H$2:$H$761,$H37,Dati!$A$2:$A$761,$AJ37),"-")</f>
        <v/>
      </c>
      <c r="BG37" s="22">
        <f>IF(AND($H37&lt;&gt;"",$AK37&lt;&gt;"",$H37&lt;&gt;$AK37,IFERROR(VLOOKUP($H37,areaCercaPuntiClassificaSquadra,3,FALSE),-1)=IFERROR(VLOOKUP($AK37,areaCercaPuntiClassificaSquadra,3,FALSE),-2)),SUMIFS(Dati!$B$2:$B$761,Dati!$A$2:$A$761,$H37,Dati!$H$2:$H$761,$AK37)+SUMIFS(Dati!$I$2:$I$761,Dati!$H$2:$H$761,$H37,Dati!$A$2:$A$761,$AK37),"-")</f>
        <v/>
      </c>
      <c r="BH37" s="22">
        <f>IF(AND($H37&lt;&gt;"",$AL37&lt;&gt;"",$H37&lt;&gt;$AL37,IFERROR(VLOOKUP($H37,areaCercaPuntiClassificaSquadra,3,FALSE),-1)=IFERROR(VLOOKUP($AL37,areaCercaPuntiClassificaSquadra,3,FALSE),-2)),SUMIFS(Dati!$B$2:$B$761,Dati!$A$2:$A$761,$H37,Dati!$H$2:$H$761,$AL37)+SUMIFS(Dati!$I$2:$I$761,Dati!$H$2:$H$761,$H37,Dati!$A$2:$A$761,$AL37),"-")</f>
        <v/>
      </c>
      <c r="BI37" s="22">
        <f>IF(AND($H37&lt;&gt;"",$AM37&lt;&gt;"",$H37&lt;&gt;$AM37,IFERROR(VLOOKUP($H37,areaCercaPuntiClassificaSquadra,3,FALSE),-1)=IFERROR(VLOOKUP($AM37,areaCercaPuntiClassificaSquadra,3,FALSE),-2)),SUMIFS(Dati!$B$2:$B$761,Dati!$A$2:$A$761,$H37,Dati!$H$2:$H$761,$AM37)+SUMIFS(Dati!$I$2:$I$761,Dati!$H$2:$H$761,$H37,Dati!$A$2:$A$761,$AM37),"-")</f>
        <v/>
      </c>
      <c r="BJ37" s="22">
        <f>IF(AND($H37&lt;&gt;"",$AN37&lt;&gt;"",$H37&lt;&gt;$AN37,IFERROR(VLOOKUP($H37,areaCercaPuntiClassificaSquadra,3,FALSE),-1)=IFERROR(VLOOKUP($AN37,areaCercaPuntiClassificaSquadra,3,FALSE),-2)),SUMIFS(Dati!$B$2:$B$761,Dati!$A$2:$A$761,$H37,Dati!$H$2:$H$761,$AN37)+SUMIFS(Dati!$I$2:$I$761,Dati!$H$2:$H$761,$H37,Dati!$A$2:$A$761,$AN37),"-")</f>
        <v/>
      </c>
      <c r="BK37" s="22">
        <f>IF(AND($H37&lt;&gt;"",$AO37&lt;&gt;"",$H37&lt;&gt;$AO37,IFERROR(VLOOKUP($H37,areaCercaPuntiClassificaSquadra,3,FALSE),-1)=IFERROR(VLOOKUP($AO37,areaCercaPuntiClassificaSquadra,3,FALSE),-2)),SUMIFS(Dati!$B$2:$B$761,Dati!$A$2:$A$761,$H37,Dati!$H$2:$H$761,$AO37)+SUMIFS(Dati!$I$2:$I$761,Dati!$H$2:$H$761,$H37,Dati!$A$2:$A$761,$AO37),"-")</f>
        <v/>
      </c>
      <c r="BL37" s="22">
        <f>IF(AND($H37&lt;&gt;"",$AP37&lt;&gt;"",$H37&lt;&gt;$AP37,IFERROR(VLOOKUP($H37,areaCercaPuntiClassificaSquadra,3,FALSE),-1)=IFERROR(VLOOKUP($AP37,areaCercaPuntiClassificaSquadra,3,FALSE),-2)),SUMIFS(Dati!$B$2:$B$761,Dati!$A$2:$A$761,$H37,Dati!$H$2:$H$761,$AP37)+SUMIFS(Dati!$I$2:$I$761,Dati!$H$2:$H$761,$H37,Dati!$A$2:$A$761,$AP37),"-")</f>
        <v/>
      </c>
      <c r="BM37" s="22">
        <f>IF(AND($H37&lt;&gt;"",$AQ37&lt;&gt;"",$H37&lt;&gt;$AQ37,IFERROR(VLOOKUP($H37,areaCercaPuntiClassificaSquadra,3,FALSE),-1)=IFERROR(VLOOKUP($AQ37,areaCercaPuntiClassificaSquadra,3,FALSE),-2)),SUMIFS(Dati!$B$2:$B$761,Dati!$A$2:$A$761,$H37,Dati!$H$2:$H$761,$AQ37)+SUMIFS(Dati!$I$2:$I$761,Dati!$H$2:$H$761,$H37,Dati!$A$2:$A$761,$AQ37),"-")</f>
        <v/>
      </c>
      <c r="BN37" s="22">
        <f>IF(AND($H37&lt;&gt;"",$AR37&lt;&gt;"",$H37&lt;&gt;$AR37,IFERROR(VLOOKUP($H37,areaCercaPuntiClassificaSquadra,3,FALSE),-1)=IFERROR(VLOOKUP($AR37,areaCercaPuntiClassificaSquadra,3,FALSE),-2)),SUMIFS(Dati!$B$2:$B$761,Dati!$A$2:$A$761,$H37,Dati!$H$2:$H$761,$AR37)+SUMIFS(Dati!$I$2:$I$761,Dati!$H$2:$H$761,$H37,Dati!$A$2:$A$761,$AR37),"-")</f>
        <v/>
      </c>
      <c r="BP37" s="21">
        <f>$C37</f>
        <v/>
      </c>
      <c r="BQ37" s="22">
        <f>IF(AND($H37&lt;&gt;"",$Y37&lt;&gt;"",$H37&lt;&gt;$Y37,IFERROR(VLOOKUP($H37,areaCercaPuntiClassificaSquadra,3,FALSE),-1)=IFERROR(VLOOKUP($Y37,areaCercaPuntiClassificaSquadra,3,FALSE),-2)),SUMIFS(Dati!$D$2:$D$761,Dati!$A$2:$A$761,$H37,Dati!$H$2:$H$761,$Y37)+SUMIFS(Dati!$K$2:$K$761,Dati!$H$2:$H$761,$H37,Dati!$A$2:$A$761,$Y37)+SUMIFS(Dati!$C$2:$C$761,Dati!$A$2:$A$761,$H37,Dati!$H$2:$H$761,$Y37)+SUMIFS(Dati!$J$2:$J$761,Dati!$H$2:$H$761,$H37,Dati!$A$2:$A$761,$Y37),"-")</f>
        <v/>
      </c>
      <c r="BR37" s="22">
        <f>IF(AND($H37&lt;&gt;"",$Z37&lt;&gt;"",$H37&lt;&gt;$Z37,IFERROR(VLOOKUP($H37,areaCercaPuntiClassificaSquadra,3,FALSE),-1)=IFERROR(VLOOKUP($Z37,areaCercaPuntiClassificaSquadra,3,FALSE),-2)),SUMIFS(Dati!$D$2:$D$761,Dati!$A$2:$A$761,$H37,Dati!$H$2:$H$761,$Z37)+SUMIFS(Dati!$K$2:$K$761,Dati!$H$2:$H$761,$H37,Dati!$A$2:$A$761,$Z37)+SUMIFS(Dati!$C$2:$C$761,Dati!$A$2:$A$761,$H37,Dati!$H$2:$H$761,$Z37)+SUMIFS(Dati!$J$2:$J$761,Dati!$H$2:$H$761,$H37,Dati!$A$2:$A$761,$Z37),"-")</f>
        <v/>
      </c>
      <c r="BS37" s="22">
        <f>IF(AND($H37&lt;&gt;"",$AA37&lt;&gt;"",$H37&lt;&gt;$AA37,IFERROR(VLOOKUP($H37,areaCercaPuntiClassificaSquadra,3,FALSE),-1)=IFERROR(VLOOKUP($AA37,areaCercaPuntiClassificaSquadra,3,FALSE),-2)),SUMIFS(Dati!$D$2:$D$761,Dati!$A$2:$A$761,$H37,Dati!$H$2:$H$761,$AA37)+SUMIFS(Dati!$K$2:$K$761,Dati!$H$2:$H$761,$H37,Dati!$A$2:$A$761,$AA37)+SUMIFS(Dati!$C$2:$C$761,Dati!$A$2:$A$761,$H37,Dati!$H$2:$H$761,$AA37)+SUMIFS(Dati!$J$2:$J$761,Dati!$H$2:$H$761,$H37,Dati!$A$2:$A$761,$AA37),"-")</f>
        <v/>
      </c>
      <c r="BT37" s="22">
        <f>IF(AND($H37&lt;&gt;"",$AB37&lt;&gt;"",$H37&lt;&gt;$AB37,IFERROR(VLOOKUP($H37,areaCercaPuntiClassificaSquadra,3,FALSE),-1)=IFERROR(VLOOKUP($AB37,areaCercaPuntiClassificaSquadra,3,FALSE),-2)),SUMIFS(Dati!$D$2:$D$761,Dati!$A$2:$A$761,$H37,Dati!$H$2:$H$761,$AB37)+SUMIFS(Dati!$K$2:$K$761,Dati!$H$2:$H$761,$H37,Dati!$A$2:$A$761,$AB37)+SUMIFS(Dati!$C$2:$C$761,Dati!$A$2:$A$761,$H37,Dati!$H$2:$H$761,$AB37)+SUMIFS(Dati!$J$2:$J$761,Dati!$H$2:$H$761,$H37,Dati!$A$2:$A$761,$AB37),"-")</f>
        <v/>
      </c>
      <c r="BU37" s="22">
        <f>IF(AND($H37&lt;&gt;"",$AC37&lt;&gt;"",$H37&lt;&gt;$AC37,IFERROR(VLOOKUP($H37,areaCercaPuntiClassificaSquadra,3,FALSE),-1)=IFERROR(VLOOKUP($AC37,areaCercaPuntiClassificaSquadra,3,FALSE),-2)),SUMIFS(Dati!$D$2:$D$761,Dati!$A$2:$A$761,$H37,Dati!$H$2:$H$761,$AC37)+SUMIFS(Dati!$K$2:$K$761,Dati!$H$2:$H$761,$H37,Dati!$A$2:$A$761,$AC37)+SUMIFS(Dati!$C$2:$C$761,Dati!$A$2:$A$761,$H37,Dati!$H$2:$H$761,$AC37)+SUMIFS(Dati!$J$2:$J$761,Dati!$H$2:$H$761,$H37,Dati!$A$2:$A$761,$AC37),"-")</f>
        <v/>
      </c>
      <c r="BV37" s="22">
        <f>IF(AND($H37&lt;&gt;"",$AD37&lt;&gt;"",$H37&lt;&gt;$AD37,IFERROR(VLOOKUP($H37,areaCercaPuntiClassificaSquadra,3,FALSE),-1)=IFERROR(VLOOKUP($AD37,areaCercaPuntiClassificaSquadra,3,FALSE),-2)),SUMIFS(Dati!$D$2:$D$761,Dati!$A$2:$A$761,$H37,Dati!$H$2:$H$761,$AD37)+SUMIFS(Dati!$K$2:$K$761,Dati!$H$2:$H$761,$H37,Dati!$A$2:$A$761,$AD37)+SUMIFS(Dati!$C$2:$C$761,Dati!$A$2:$A$761,$H37,Dati!$H$2:$H$761,$AD37)+SUMIFS(Dati!$J$2:$J$761,Dati!$H$2:$H$761,$H37,Dati!$A$2:$A$761,$AD37),"-")</f>
        <v/>
      </c>
      <c r="BW37" s="22">
        <f>IF(AND($H37&lt;&gt;"",$AE37&lt;&gt;"",$H37&lt;&gt;$AE37,IFERROR(VLOOKUP($H37,areaCercaPuntiClassificaSquadra,3,FALSE),-1)=IFERROR(VLOOKUP($AE37,areaCercaPuntiClassificaSquadra,3,FALSE),-2)),SUMIFS(Dati!$D$2:$D$761,Dati!$A$2:$A$761,$H37,Dati!$H$2:$H$761,$AE37)+SUMIFS(Dati!$K$2:$K$761,Dati!$H$2:$H$761,$H37,Dati!$A$2:$A$761,$AE37)+SUMIFS(Dati!$C$2:$C$761,Dati!$A$2:$A$761,$H37,Dati!$H$2:$H$761,$AE37)+SUMIFS(Dati!$J$2:$J$761,Dati!$H$2:$H$761,$H37,Dati!$A$2:$A$761,$AE37),"-")</f>
        <v/>
      </c>
      <c r="BX37" s="22">
        <f>IF(AND($H37&lt;&gt;"",$AF37&lt;&gt;"",$H37&lt;&gt;$AF37,IFERROR(VLOOKUP($H37,areaCercaPuntiClassificaSquadra,3,FALSE),-1)=IFERROR(VLOOKUP($AF37,areaCercaPuntiClassificaSquadra,3,FALSE),-2)),SUMIFS(Dati!$D$2:$D$761,Dati!$A$2:$A$761,$H37,Dati!$H$2:$H$761,$AF37)+SUMIFS(Dati!$K$2:$K$761,Dati!$H$2:$H$761,$H37,Dati!$A$2:$A$761,$AF37)+SUMIFS(Dati!$C$2:$C$761,Dati!$A$2:$A$761,$H37,Dati!$H$2:$H$761,$AF37)+SUMIFS(Dati!$J$2:$J$761,Dati!$H$2:$H$761,$H37,Dati!$A$2:$A$761,$AF37),"-")</f>
        <v/>
      </c>
      <c r="BY37" s="22">
        <f>IF(AND($H37&lt;&gt;"",$AG37&lt;&gt;"",$H37&lt;&gt;$AG37,IFERROR(VLOOKUP($H37,areaCercaPuntiClassificaSquadra,3,FALSE),-1)=IFERROR(VLOOKUP($AG37,areaCercaPuntiClassificaSquadra,3,FALSE),-2)),SUMIFS(Dati!$D$2:$D$761,Dati!$A$2:$A$761,$H37,Dati!$H$2:$H$761,$AG37)+SUMIFS(Dati!$K$2:$K$761,Dati!$H$2:$H$761,$H37,Dati!$A$2:$A$761,$AG37)+SUMIFS(Dati!$C$2:$C$761,Dati!$A$2:$A$761,$H37,Dati!$H$2:$H$761,$AG37)+SUMIFS(Dati!$J$2:$J$761,Dati!$H$2:$H$761,$H37,Dati!$A$2:$A$761,$AG37),"-")</f>
        <v/>
      </c>
      <c r="BZ37" s="22">
        <f>IF(AND($H37&lt;&gt;"",$AH37&lt;&gt;"",$H37&lt;&gt;$AH37,IFERROR(VLOOKUP($H37,areaCercaPuntiClassificaSquadra,3,FALSE),-1)=IFERROR(VLOOKUP($AH37,areaCercaPuntiClassificaSquadra,3,FALSE),-2)),SUMIFS(Dati!$D$2:$D$761,Dati!$A$2:$A$761,$H37,Dati!$H$2:$H$761,$AH37)+SUMIFS(Dati!$K$2:$K$761,Dati!$H$2:$H$761,$H37,Dati!$A$2:$A$761,$AH37)+SUMIFS(Dati!$C$2:$C$761,Dati!$A$2:$A$761,$H37,Dati!$H$2:$H$761,$AH37)+SUMIFS(Dati!$J$2:$J$761,Dati!$H$2:$H$761,$H37,Dati!$A$2:$A$761,$AH37),"-")</f>
        <v/>
      </c>
      <c r="CA37" s="22">
        <f>IF(AND($H37&lt;&gt;"",$AI37&lt;&gt;"",$H37&lt;&gt;$AI37,IFERROR(VLOOKUP($H37,areaCercaPuntiClassificaSquadra,3,FALSE),-1)=IFERROR(VLOOKUP($AI37,areaCercaPuntiClassificaSquadra,3,FALSE),-2)),SUMIFS(Dati!$D$2:$D$761,Dati!$A$2:$A$761,$H37,Dati!$H$2:$H$761,$AI37)+SUMIFS(Dati!$K$2:$K$761,Dati!$H$2:$H$761,$H37,Dati!$A$2:$A$761,$AI37)+SUMIFS(Dati!$C$2:$C$761,Dati!$A$2:$A$761,$H37,Dati!$H$2:$H$761,$AI37)+SUMIFS(Dati!$J$2:$J$761,Dati!$H$2:$H$761,$H37,Dati!$A$2:$A$761,$AI37),"-")</f>
        <v/>
      </c>
      <c r="CB37" s="22">
        <f>IF(AND($H37&lt;&gt;"",$AJ37&lt;&gt;"",$H37&lt;&gt;$AJ37,IFERROR(VLOOKUP($H37,areaCercaPuntiClassificaSquadra,3,FALSE),-1)=IFERROR(VLOOKUP($AJ37,areaCercaPuntiClassificaSquadra,3,FALSE),-2)),SUMIFS(Dati!$D$2:$D$761,Dati!$A$2:$A$761,$H37,Dati!$H$2:$H$761,$AJ37)+SUMIFS(Dati!$K$2:$K$761,Dati!$H$2:$H$761,$H37,Dati!$A$2:$A$761,$AJ37)+SUMIFS(Dati!$C$2:$C$761,Dati!$A$2:$A$761,$H37,Dati!$H$2:$H$761,$AJ37)+SUMIFS(Dati!$J$2:$J$761,Dati!$H$2:$H$761,$H37,Dati!$A$2:$A$761,$AJ37),"-")</f>
        <v/>
      </c>
      <c r="CC37" s="22">
        <f>IF(AND($H37&lt;&gt;"",$AK37&lt;&gt;"",$H37&lt;&gt;$AK37,IFERROR(VLOOKUP($H37,areaCercaPuntiClassificaSquadra,3,FALSE),-1)=IFERROR(VLOOKUP($AK37,areaCercaPuntiClassificaSquadra,3,FALSE),-2)),SUMIFS(Dati!$D$2:$D$761,Dati!$A$2:$A$761,$H37,Dati!$H$2:$H$761,$AK37)+SUMIFS(Dati!$K$2:$K$761,Dati!$H$2:$H$761,$H37,Dati!$A$2:$A$761,$AK37)+SUMIFS(Dati!$C$2:$C$761,Dati!$A$2:$A$761,$H37,Dati!$H$2:$H$761,$AK37)+SUMIFS(Dati!$J$2:$J$761,Dati!$H$2:$H$761,$H37,Dati!$A$2:$A$761,$AK37),"-")</f>
        <v/>
      </c>
      <c r="CD37" s="22">
        <f>IF(AND($H37&lt;&gt;"",$AL37&lt;&gt;"",$H37&lt;&gt;$AL37,IFERROR(VLOOKUP($H37,areaCercaPuntiClassificaSquadra,3,FALSE),-1)=IFERROR(VLOOKUP($AL37,areaCercaPuntiClassificaSquadra,3,FALSE),-2)),SUMIFS(Dati!$D$2:$D$761,Dati!$A$2:$A$761,$H37,Dati!$H$2:$H$761,$AL37)+SUMIFS(Dati!$K$2:$K$761,Dati!$H$2:$H$761,$H37,Dati!$A$2:$A$761,$AL37)+SUMIFS(Dati!$C$2:$C$761,Dati!$A$2:$A$761,$H37,Dati!$H$2:$H$761,$AL37)+SUMIFS(Dati!$J$2:$J$761,Dati!$H$2:$H$761,$H37,Dati!$A$2:$A$761,$AL37),"-")</f>
        <v/>
      </c>
      <c r="CE37" s="22">
        <f>IF(AND($H37&lt;&gt;"",$AM37&lt;&gt;"",$H37&lt;&gt;$AM37,IFERROR(VLOOKUP($H37,areaCercaPuntiClassificaSquadra,3,FALSE),-1)=IFERROR(VLOOKUP($AM37,areaCercaPuntiClassificaSquadra,3,FALSE),-2)),SUMIFS(Dati!$D$2:$D$761,Dati!$A$2:$A$761,$H37,Dati!$H$2:$H$761,$AM37)+SUMIFS(Dati!$K$2:$K$761,Dati!$H$2:$H$761,$H37,Dati!$A$2:$A$761,$AM37)+SUMIFS(Dati!$C$2:$C$761,Dati!$A$2:$A$761,$H37,Dati!$H$2:$H$761,$AM37)+SUMIFS(Dati!$J$2:$J$761,Dati!$H$2:$H$761,$H37,Dati!$A$2:$A$761,$AM37),"-")</f>
        <v/>
      </c>
      <c r="CF37" s="22">
        <f>IF(AND($H37&lt;&gt;"",$AN37&lt;&gt;"",$H37&lt;&gt;$AN37,IFERROR(VLOOKUP($H37,areaCercaPuntiClassificaSquadra,3,FALSE),-1)=IFERROR(VLOOKUP($AN37,areaCercaPuntiClassificaSquadra,3,FALSE),-2)),SUMIFS(Dati!$D$2:$D$761,Dati!$A$2:$A$761,$H37,Dati!$H$2:$H$761,$AN37)+SUMIFS(Dati!$K$2:$K$761,Dati!$H$2:$H$761,$H37,Dati!$A$2:$A$761,$AN37)+SUMIFS(Dati!$C$2:$C$761,Dati!$A$2:$A$761,$H37,Dati!$H$2:$H$761,$AN37)+SUMIFS(Dati!$J$2:$J$761,Dati!$H$2:$H$761,$H37,Dati!$A$2:$A$761,$AN37),"-")</f>
        <v/>
      </c>
      <c r="CG37" s="22">
        <f>IF(AND($H37&lt;&gt;"",$AO37&lt;&gt;"",$H37&lt;&gt;$AO37,IFERROR(VLOOKUP($H37,areaCercaPuntiClassificaSquadra,3,FALSE),-1)=IFERROR(VLOOKUP($AO37,areaCercaPuntiClassificaSquadra,3,FALSE),-2)),SUMIFS(Dati!$D$2:$D$761,Dati!$A$2:$A$761,$H37,Dati!$H$2:$H$761,$AO37)+SUMIFS(Dati!$K$2:$K$761,Dati!$H$2:$H$761,$H37,Dati!$A$2:$A$761,$AO37)+SUMIFS(Dati!$C$2:$C$761,Dati!$A$2:$A$761,$H37,Dati!$H$2:$H$761,$AO37)+SUMIFS(Dati!$J$2:$J$761,Dati!$H$2:$H$761,$H37,Dati!$A$2:$A$761,$AO37),"-")</f>
        <v/>
      </c>
      <c r="CH37" s="22">
        <f>IF(AND($H37&lt;&gt;"",$AP37&lt;&gt;"",$H37&lt;&gt;$AP37,IFERROR(VLOOKUP($H37,areaCercaPuntiClassificaSquadra,3,FALSE),-1)=IFERROR(VLOOKUP($AP37,areaCercaPuntiClassificaSquadra,3,FALSE),-2)),SUMIFS(Dati!$D$2:$D$761,Dati!$A$2:$A$761,$H37,Dati!$H$2:$H$761,$AP37)+SUMIFS(Dati!$K$2:$K$761,Dati!$H$2:$H$761,$H37,Dati!$A$2:$A$761,$AP37)+SUMIFS(Dati!$C$2:$C$761,Dati!$A$2:$A$761,$H37,Dati!$H$2:$H$761,$AP37)+SUMIFS(Dati!$J$2:$J$761,Dati!$H$2:$H$761,$H37,Dati!$A$2:$A$761,$AP37),"-")</f>
        <v/>
      </c>
      <c r="CI37" s="22">
        <f>IF(AND($H37&lt;&gt;"",$AQ37&lt;&gt;"",$H37&lt;&gt;$AQ37,IFERROR(VLOOKUP($H37,areaCercaPuntiClassificaSquadra,3,FALSE),-1)=IFERROR(VLOOKUP($AQ37,areaCercaPuntiClassificaSquadra,3,FALSE),-2)),SUMIFS(Dati!$D$2:$D$761,Dati!$A$2:$A$761,$H37,Dati!$H$2:$H$761,$AQ37)+SUMIFS(Dati!$K$2:$K$761,Dati!$H$2:$H$761,$H37,Dati!$A$2:$A$761,$AQ37)+SUMIFS(Dati!$C$2:$C$761,Dati!$A$2:$A$761,$H37,Dati!$H$2:$H$761,$AQ37)+SUMIFS(Dati!$J$2:$J$761,Dati!$H$2:$H$761,$H37,Dati!$A$2:$A$761,$AQ37),"-")</f>
        <v/>
      </c>
      <c r="CJ37" s="22">
        <f>IF(AND($H37&lt;&gt;"",$AR37&lt;&gt;"",$H37&lt;&gt;$AR37,IFERROR(VLOOKUP($H37,areaCercaPuntiClassificaSquadra,3,FALSE),-1)=IFERROR(VLOOKUP($AR37,areaCercaPuntiClassificaSquadra,3,FALSE),-2)),SUMIFS(Dati!$D$2:$D$761,Dati!$A$2:$A$761,$H37,Dati!$H$2:$H$761,$AR37)+SUMIFS(Dati!$K$2:$K$761,Dati!$H$2:$H$761,$H37,Dati!$A$2:$A$761,$AR37)+SUMIFS(Dati!$C$2:$C$761,Dati!$A$2:$A$761,$H37,Dati!$H$2:$H$761,$AR37)+SUMIFS(Dati!$J$2:$J$761,Dati!$H$2:$H$761,$H37,Dati!$A$2:$A$761,$AR37),"-")</f>
        <v/>
      </c>
      <c r="CL37" s="21">
        <f>$C37</f>
        <v/>
      </c>
      <c r="CM37" s="22">
        <f>IF(AND($H37&lt;&gt;"",$Y37&lt;&gt;"",$H37&lt;&gt;$Y37,IFERROR(VLOOKUP($H37,areaCercaPuntiClassificaSquadra,3,FALSE),-1)=IFERROR(VLOOKUP($Y37,areaCercaPuntiClassificaSquadra,3,FALSE),-2)),SUMIFS(Dati!$E$2:$E$761,Dati!$A$2:$A$761,$H37,Dati!$H$2:$H$761,$Y37)+SUMIFS(Dati!$L$2:$L$761,Dati!$H$2:$H$761,$H37,Dati!$A$2:$A$761,$Y37),"-")</f>
        <v/>
      </c>
      <c r="CN37" s="22">
        <f>IF(AND($H37&lt;&gt;"",$Z37&lt;&gt;"",$H37&lt;&gt;$Z37,IFERROR(VLOOKUP($H37,areaCercaPuntiClassificaSquadra,3,FALSE),-1)=IFERROR(VLOOKUP($Z37,areaCercaPuntiClassificaSquadra,3,FALSE),-2)),SUMIFS(Dati!$E$2:$E$761,Dati!$A$2:$A$761,$H37,Dati!$H$2:$H$761,$Z37)+SUMIFS(Dati!$L$2:$L$761,Dati!$H$2:$H$761,$H37,Dati!$A$2:$A$761,$Z37),"-")</f>
        <v/>
      </c>
      <c r="CO37" s="22">
        <f>IF(AND($H37&lt;&gt;"",$AA37&lt;&gt;"",$H37&lt;&gt;$AA37,IFERROR(VLOOKUP($H37,areaCercaPuntiClassificaSquadra,3,FALSE),-1)=IFERROR(VLOOKUP($AA37,areaCercaPuntiClassificaSquadra,3,FALSE),-2)),SUMIFS(Dati!$E$2:$E$761,Dati!$A$2:$A$761,$H37,Dati!$H$2:$H$761,$AA37)+SUMIFS(Dati!$L$2:$L$761,Dati!$H$2:$H$761,$H37,Dati!$A$2:$A$761,$AA37),"-")</f>
        <v/>
      </c>
      <c r="CP37" s="22">
        <f>IF(AND($H37&lt;&gt;"",$AB37&lt;&gt;"",$H37&lt;&gt;$AB37,IFERROR(VLOOKUP($H37,areaCercaPuntiClassificaSquadra,3,FALSE),-1)=IFERROR(VLOOKUP($AB37,areaCercaPuntiClassificaSquadra,3,FALSE),-2)),SUMIFS(Dati!$E$2:$E$761,Dati!$A$2:$A$761,$H37,Dati!$H$2:$H$761,$AB37)+SUMIFS(Dati!$L$2:$L$761,Dati!$H$2:$H$761,$H37,Dati!$A$2:$A$761,$AB37),"-")</f>
        <v/>
      </c>
      <c r="CQ37" s="22">
        <f>IF(AND($H37&lt;&gt;"",$AC37&lt;&gt;"",$H37&lt;&gt;$AC37,IFERROR(VLOOKUP($H37,areaCercaPuntiClassificaSquadra,3,FALSE),-1)=IFERROR(VLOOKUP($AC37,areaCercaPuntiClassificaSquadra,3,FALSE),-2)),SUMIFS(Dati!$E$2:$E$761,Dati!$A$2:$A$761,$H37,Dati!$H$2:$H$761,$AC37)+SUMIFS(Dati!$L$2:$L$761,Dati!$H$2:$H$761,$H37,Dati!$A$2:$A$761,$AC37),"-")</f>
        <v/>
      </c>
      <c r="CR37" s="22">
        <f>IF(AND($H37&lt;&gt;"",$AD37&lt;&gt;"",$H37&lt;&gt;$AD37,IFERROR(VLOOKUP($H37,areaCercaPuntiClassificaSquadra,3,FALSE),-1)=IFERROR(VLOOKUP($AD37,areaCercaPuntiClassificaSquadra,3,FALSE),-2)),SUMIFS(Dati!$E$2:$E$761,Dati!$A$2:$A$761,$H37,Dati!$H$2:$H$761,$AD37)+SUMIFS(Dati!$L$2:$L$761,Dati!$H$2:$H$761,$H37,Dati!$A$2:$A$761,$AD37),"-")</f>
        <v/>
      </c>
      <c r="CS37" s="22">
        <f>IF(AND($H37&lt;&gt;"",$AE37&lt;&gt;"",$H37&lt;&gt;$AE37,IFERROR(VLOOKUP($H37,areaCercaPuntiClassificaSquadra,3,FALSE),-1)=IFERROR(VLOOKUP($AE37,areaCercaPuntiClassificaSquadra,3,FALSE),-2)),SUMIFS(Dati!$E$2:$E$761,Dati!$A$2:$A$761,$H37,Dati!$H$2:$H$761,$AE37)+SUMIFS(Dati!$L$2:$L$761,Dati!$H$2:$H$761,$H37,Dati!$A$2:$A$761,$AE37),"-")</f>
        <v/>
      </c>
      <c r="CT37" s="22">
        <f>IF(AND($H37&lt;&gt;"",$AF37&lt;&gt;"",$H37&lt;&gt;$AF37,IFERROR(VLOOKUP($H37,areaCercaPuntiClassificaSquadra,3,FALSE),-1)=IFERROR(VLOOKUP($AF37,areaCercaPuntiClassificaSquadra,3,FALSE),-2)),SUMIFS(Dati!$E$2:$E$761,Dati!$A$2:$A$761,$H37,Dati!$H$2:$H$761,$AF37)+SUMIFS(Dati!$L$2:$L$761,Dati!$H$2:$H$761,$H37,Dati!$A$2:$A$761,$AF37),"-")</f>
        <v/>
      </c>
      <c r="CU37" s="22">
        <f>IF(AND($H37&lt;&gt;"",$AG37&lt;&gt;"",$H37&lt;&gt;$AG37,IFERROR(VLOOKUP($H37,areaCercaPuntiClassificaSquadra,3,FALSE),-1)=IFERROR(VLOOKUP($AG37,areaCercaPuntiClassificaSquadra,3,FALSE),-2)),SUMIFS(Dati!$E$2:$E$761,Dati!$A$2:$A$761,$H37,Dati!$H$2:$H$761,$AG37)+SUMIFS(Dati!$L$2:$L$761,Dati!$H$2:$H$761,$H37,Dati!$A$2:$A$761,$AG37),"-")</f>
        <v/>
      </c>
      <c r="CV37" s="22">
        <f>IF(AND($H37&lt;&gt;"",$AH37&lt;&gt;"",$H37&lt;&gt;$AH37,IFERROR(VLOOKUP($H37,areaCercaPuntiClassificaSquadra,3,FALSE),-1)=IFERROR(VLOOKUP($AH37,areaCercaPuntiClassificaSquadra,3,FALSE),-2)),SUMIFS(Dati!$E$2:$E$761,Dati!$A$2:$A$761,$H37,Dati!$H$2:$H$761,$AH37)+SUMIFS(Dati!$L$2:$L$761,Dati!$H$2:$H$761,$H37,Dati!$A$2:$A$761,$AH37),"-")</f>
        <v/>
      </c>
      <c r="CW37" s="22">
        <f>IF(AND($H37&lt;&gt;"",$AI37&lt;&gt;"",$H37&lt;&gt;$AI37,IFERROR(VLOOKUP($H37,areaCercaPuntiClassificaSquadra,3,FALSE),-1)=IFERROR(VLOOKUP($AI37,areaCercaPuntiClassificaSquadra,3,FALSE),-2)),SUMIFS(Dati!$E$2:$E$761,Dati!$A$2:$A$761,$H37,Dati!$H$2:$H$761,$AI37)+SUMIFS(Dati!$L$2:$L$761,Dati!$H$2:$H$761,$H37,Dati!$A$2:$A$761,$AI37),"-")</f>
        <v/>
      </c>
      <c r="CX37" s="22">
        <f>IF(AND($H37&lt;&gt;"",$AJ37&lt;&gt;"",$H37&lt;&gt;$AJ37,IFERROR(VLOOKUP($H37,areaCercaPuntiClassificaSquadra,3,FALSE),-1)=IFERROR(VLOOKUP($AJ37,areaCercaPuntiClassificaSquadra,3,FALSE),-2)),SUMIFS(Dati!$E$2:$E$761,Dati!$A$2:$A$761,$H37,Dati!$H$2:$H$761,$AJ37)+SUMIFS(Dati!$L$2:$L$761,Dati!$H$2:$H$761,$H37,Dati!$A$2:$A$761,$AJ37),"-")</f>
        <v/>
      </c>
      <c r="CY37" s="22">
        <f>IF(AND($H37&lt;&gt;"",$AK37&lt;&gt;"",$H37&lt;&gt;$AK37,IFERROR(VLOOKUP($H37,areaCercaPuntiClassificaSquadra,3,FALSE),-1)=IFERROR(VLOOKUP($AK37,areaCercaPuntiClassificaSquadra,3,FALSE),-2)),SUMIFS(Dati!$E$2:$E$761,Dati!$A$2:$A$761,$H37,Dati!$H$2:$H$761,$AK37)+SUMIFS(Dati!$L$2:$L$761,Dati!$H$2:$H$761,$H37,Dati!$A$2:$A$761,$AK37),"-")</f>
        <v/>
      </c>
      <c r="CZ37" s="22">
        <f>IF(AND($H37&lt;&gt;"",$AL37&lt;&gt;"",$H37&lt;&gt;$AL37,IFERROR(VLOOKUP($H37,areaCercaPuntiClassificaSquadra,3,FALSE),-1)=IFERROR(VLOOKUP($AL37,areaCercaPuntiClassificaSquadra,3,FALSE),-2)),SUMIFS(Dati!$E$2:$E$761,Dati!$A$2:$A$761,$H37,Dati!$H$2:$H$761,$AL37)+SUMIFS(Dati!$L$2:$L$761,Dati!$H$2:$H$761,$H37,Dati!$A$2:$A$761,$AL37),"-")</f>
        <v/>
      </c>
      <c r="DA37" s="22">
        <f>IF(AND($H37&lt;&gt;"",$AM37&lt;&gt;"",$H37&lt;&gt;$AM37,IFERROR(VLOOKUP($H37,areaCercaPuntiClassificaSquadra,3,FALSE),-1)=IFERROR(VLOOKUP($AM37,areaCercaPuntiClassificaSquadra,3,FALSE),-2)),SUMIFS(Dati!$E$2:$E$761,Dati!$A$2:$A$761,$H37,Dati!$H$2:$H$761,$AM37)+SUMIFS(Dati!$L$2:$L$761,Dati!$H$2:$H$761,$H37,Dati!$A$2:$A$761,$AM37),"-")</f>
        <v/>
      </c>
      <c r="DB37" s="22">
        <f>IF(AND($H37&lt;&gt;"",$AN37&lt;&gt;"",$H37&lt;&gt;$AN37,IFERROR(VLOOKUP($H37,areaCercaPuntiClassificaSquadra,3,FALSE),-1)=IFERROR(VLOOKUP($AN37,areaCercaPuntiClassificaSquadra,3,FALSE),-2)),SUMIFS(Dati!$E$2:$E$761,Dati!$A$2:$A$761,$H37,Dati!$H$2:$H$761,$AN37)+SUMIFS(Dati!$L$2:$L$761,Dati!$H$2:$H$761,$H37,Dati!$A$2:$A$761,$AN37),"-")</f>
        <v/>
      </c>
      <c r="DC37" s="22">
        <f>IF(AND($H37&lt;&gt;"",$AO37&lt;&gt;"",$H37&lt;&gt;$AO37,IFERROR(VLOOKUP($H37,areaCercaPuntiClassificaSquadra,3,FALSE),-1)=IFERROR(VLOOKUP($AO37,areaCercaPuntiClassificaSquadra,3,FALSE),-2)),SUMIFS(Dati!$E$2:$E$761,Dati!$A$2:$A$761,$H37,Dati!$H$2:$H$761,$AO37)+SUMIFS(Dati!$L$2:$L$761,Dati!$H$2:$H$761,$H37,Dati!$A$2:$A$761,$AO37),"-")</f>
        <v/>
      </c>
      <c r="DD37" s="22">
        <f>IF(AND($H37&lt;&gt;"",$AP37&lt;&gt;"",$H37&lt;&gt;$AP37,IFERROR(VLOOKUP($H37,areaCercaPuntiClassificaSquadra,3,FALSE),-1)=IFERROR(VLOOKUP($AP37,areaCercaPuntiClassificaSquadra,3,FALSE),-2)),SUMIFS(Dati!$E$2:$E$761,Dati!$A$2:$A$761,$H37,Dati!$H$2:$H$761,$AP37)+SUMIFS(Dati!$L$2:$L$761,Dati!$H$2:$H$761,$H37,Dati!$A$2:$A$761,$AP37),"-")</f>
        <v/>
      </c>
      <c r="DE37" s="22">
        <f>IF(AND($H37&lt;&gt;"",$AQ37&lt;&gt;"",$H37&lt;&gt;$AQ37,IFERROR(VLOOKUP($H37,areaCercaPuntiClassificaSquadra,3,FALSE),-1)=IFERROR(VLOOKUP($AQ37,areaCercaPuntiClassificaSquadra,3,FALSE),-2)),SUMIFS(Dati!$E$2:$E$761,Dati!$A$2:$A$761,$H37,Dati!$H$2:$H$761,$AQ37)+SUMIFS(Dati!$L$2:$L$761,Dati!$H$2:$H$761,$H37,Dati!$A$2:$A$761,$AQ37),"-")</f>
        <v/>
      </c>
      <c r="DF37" s="22">
        <f>IF(AND($H37&lt;&gt;"",$AR37&lt;&gt;"",$H37&lt;&gt;$AR37,IFERROR(VLOOKUP($H37,areaCercaPuntiClassificaSquadra,3,FALSE),-1)=IFERROR(VLOOKUP($AR37,areaCercaPuntiClassificaSquadra,3,FALSE),-2)),SUMIFS(Dati!$E$2:$E$761,Dati!$A$2:$A$761,$H37,Dati!$H$2:$H$761,$AR37)+SUMIFS(Dati!$L$2:$L$761,Dati!$H$2:$H$761,$H37,Dati!$A$2:$A$761,$AR37),"-")</f>
        <v/>
      </c>
      <c r="DH37" s="21">
        <f>$C37</f>
        <v/>
      </c>
      <c r="DI37" s="22">
        <f>IF(AND($H37&lt;&gt;"",$Y37&lt;&gt;"",$H37&lt;&gt;$Y37,IFERROR(VLOOKUP($H37,areaCercaPuntiClassificaSquadra,3,FALSE),-1)=IFERROR(VLOOKUP($Y37,areaCercaPuntiClassificaSquadra,3,FALSE),-2)),SUMIFS(Dati!$F$2:$F$761,Dati!$A$2:$A$761,$H37,Dati!$H$2:$H$761,$Y37)+SUMIFS(Dati!$M$2:$M$761,Dati!$H$2:$H$761,$H37,Dati!$A$2:$A$761,$Y37),"-")</f>
        <v/>
      </c>
      <c r="DJ37" s="22">
        <f>IF(AND($H37&lt;&gt;"",$Z37&lt;&gt;"",$H37&lt;&gt;$Z37,IFERROR(VLOOKUP($H37,areaCercaPuntiClassificaSquadra,3,FALSE),-1)=IFERROR(VLOOKUP($Z37,areaCercaPuntiClassificaSquadra,3,FALSE),-2)),SUMIFS(Dati!$F$2:$F$761,Dati!$A$2:$A$761,$H37,Dati!$H$2:$H$761,$Z37)+SUMIFS(Dati!$M$2:$M$761,Dati!$H$2:$H$761,$H37,Dati!$A$2:$A$761,$Z37),"-")</f>
        <v/>
      </c>
      <c r="DK37" s="22">
        <f>IF(AND($H37&lt;&gt;"",$AA37&lt;&gt;"",$H37&lt;&gt;$AA37,IFERROR(VLOOKUP($H37,areaCercaPuntiClassificaSquadra,3,FALSE),-1)=IFERROR(VLOOKUP($AA37,areaCercaPuntiClassificaSquadra,3,FALSE),-2)),SUMIFS(Dati!$F$2:$F$761,Dati!$A$2:$A$761,$H37,Dati!$H$2:$H$761,$AA37)+SUMIFS(Dati!$M$2:$M$761,Dati!$H$2:$H$761,$H37,Dati!$A$2:$A$761,$AA37),"-")</f>
        <v/>
      </c>
      <c r="DL37" s="22">
        <f>IF(AND($H37&lt;&gt;"",$AB37&lt;&gt;"",$H37&lt;&gt;$AB37,IFERROR(VLOOKUP($H37,areaCercaPuntiClassificaSquadra,3,FALSE),-1)=IFERROR(VLOOKUP($AB37,areaCercaPuntiClassificaSquadra,3,FALSE),-2)),SUMIFS(Dati!$F$2:$F$761,Dati!$A$2:$A$761,$H37,Dati!$H$2:$H$761,$AB37)+SUMIFS(Dati!$M$2:$M$761,Dati!$H$2:$H$761,$H37,Dati!$A$2:$A$761,$AB37),"-")</f>
        <v/>
      </c>
      <c r="DM37" s="22">
        <f>IF(AND($H37&lt;&gt;"",$AC37&lt;&gt;"",$H37&lt;&gt;$AC37,IFERROR(VLOOKUP($H37,areaCercaPuntiClassificaSquadra,3,FALSE),-1)=IFERROR(VLOOKUP($AC37,areaCercaPuntiClassificaSquadra,3,FALSE),-2)),SUMIFS(Dati!$F$2:$F$761,Dati!$A$2:$A$761,$H37,Dati!$H$2:$H$761,$AC37)+SUMIFS(Dati!$M$2:$M$761,Dati!$H$2:$H$761,$H37,Dati!$A$2:$A$761,$AC37),"-")</f>
        <v/>
      </c>
      <c r="DN37" s="22">
        <f>IF(AND($H37&lt;&gt;"",$AD37&lt;&gt;"",$H37&lt;&gt;$AD37,IFERROR(VLOOKUP($H37,areaCercaPuntiClassificaSquadra,3,FALSE),-1)=IFERROR(VLOOKUP($AD37,areaCercaPuntiClassificaSquadra,3,FALSE),-2)),SUMIFS(Dati!$F$2:$F$761,Dati!$A$2:$A$761,$H37,Dati!$H$2:$H$761,$AD37)+SUMIFS(Dati!$M$2:$M$761,Dati!$H$2:$H$761,$H37,Dati!$A$2:$A$761,$AD37),"-")</f>
        <v/>
      </c>
      <c r="DO37" s="22">
        <f>IF(AND($H37&lt;&gt;"",$AE37&lt;&gt;"",$H37&lt;&gt;$AE37,IFERROR(VLOOKUP($H37,areaCercaPuntiClassificaSquadra,3,FALSE),-1)=IFERROR(VLOOKUP($AE37,areaCercaPuntiClassificaSquadra,3,FALSE),-2)),SUMIFS(Dati!$F$2:$F$761,Dati!$A$2:$A$761,$H37,Dati!$H$2:$H$761,$AE37)+SUMIFS(Dati!$M$2:$M$761,Dati!$H$2:$H$761,$H37,Dati!$A$2:$A$761,$AE37),"-")</f>
        <v/>
      </c>
      <c r="DP37" s="22">
        <f>IF(AND($H37&lt;&gt;"",$AF37&lt;&gt;"",$H37&lt;&gt;$AF37,IFERROR(VLOOKUP($H37,areaCercaPuntiClassificaSquadra,3,FALSE),-1)=IFERROR(VLOOKUP($AF37,areaCercaPuntiClassificaSquadra,3,FALSE),-2)),SUMIFS(Dati!$F$2:$F$761,Dati!$A$2:$A$761,$H37,Dati!$H$2:$H$761,$AF37)+SUMIFS(Dati!$M$2:$M$761,Dati!$H$2:$H$761,$H37,Dati!$A$2:$A$761,$AF37),"-")</f>
        <v/>
      </c>
      <c r="DQ37" s="22">
        <f>IF(AND($H37&lt;&gt;"",$AG37&lt;&gt;"",$H37&lt;&gt;$AG37,IFERROR(VLOOKUP($H37,areaCercaPuntiClassificaSquadra,3,FALSE),-1)=IFERROR(VLOOKUP($AG37,areaCercaPuntiClassificaSquadra,3,FALSE),-2)),SUMIFS(Dati!$F$2:$F$761,Dati!$A$2:$A$761,$H37,Dati!$H$2:$H$761,$AG37)+SUMIFS(Dati!$M$2:$M$761,Dati!$H$2:$H$761,$H37,Dati!$A$2:$A$761,$AG37),"-")</f>
        <v/>
      </c>
      <c r="DR37" s="22">
        <f>IF(AND($H37&lt;&gt;"",$AH37&lt;&gt;"",$H37&lt;&gt;$AH37,IFERROR(VLOOKUP($H37,areaCercaPuntiClassificaSquadra,3,FALSE),-1)=IFERROR(VLOOKUP($AH37,areaCercaPuntiClassificaSquadra,3,FALSE),-2)),SUMIFS(Dati!$F$2:$F$761,Dati!$A$2:$A$761,$H37,Dati!$H$2:$H$761,$AH37)+SUMIFS(Dati!$M$2:$M$761,Dati!$H$2:$H$761,$H37,Dati!$A$2:$A$761,$AH37),"-")</f>
        <v/>
      </c>
      <c r="DS37" s="22">
        <f>IF(AND($H37&lt;&gt;"",$AI37&lt;&gt;"",$H37&lt;&gt;$AI37,IFERROR(VLOOKUP($H37,areaCercaPuntiClassificaSquadra,3,FALSE),-1)=IFERROR(VLOOKUP($AI37,areaCercaPuntiClassificaSquadra,3,FALSE),-2)),SUMIFS(Dati!$F$2:$F$761,Dati!$A$2:$A$761,$H37,Dati!$H$2:$H$761,$AI37)+SUMIFS(Dati!$M$2:$M$761,Dati!$H$2:$H$761,$H37,Dati!$A$2:$A$761,$AI37),"-")</f>
        <v/>
      </c>
      <c r="DT37" s="22">
        <f>IF(AND($H37&lt;&gt;"",$AJ37&lt;&gt;"",$H37&lt;&gt;$AJ37,IFERROR(VLOOKUP($H37,areaCercaPuntiClassificaSquadra,3,FALSE),-1)=IFERROR(VLOOKUP($AJ37,areaCercaPuntiClassificaSquadra,3,FALSE),-2)),SUMIFS(Dati!$F$2:$F$761,Dati!$A$2:$A$761,$H37,Dati!$H$2:$H$761,$AJ37)+SUMIFS(Dati!$M$2:$M$761,Dati!$H$2:$H$761,$H37,Dati!$A$2:$A$761,$AJ37),"-")</f>
        <v/>
      </c>
      <c r="DU37" s="22">
        <f>IF(AND($H37&lt;&gt;"",$AK37&lt;&gt;"",$H37&lt;&gt;$AK37,IFERROR(VLOOKUP($H37,areaCercaPuntiClassificaSquadra,3,FALSE),-1)=IFERROR(VLOOKUP($AK37,areaCercaPuntiClassificaSquadra,3,FALSE),-2)),SUMIFS(Dati!$F$2:$F$761,Dati!$A$2:$A$761,$H37,Dati!$H$2:$H$761,$AK37)+SUMIFS(Dati!$M$2:$M$761,Dati!$H$2:$H$761,$H37,Dati!$A$2:$A$761,$AK37),"-")</f>
        <v/>
      </c>
      <c r="DV37" s="22">
        <f>IF(AND($H37&lt;&gt;"",$AL37&lt;&gt;"",$H37&lt;&gt;$AL37,IFERROR(VLOOKUP($H37,areaCercaPuntiClassificaSquadra,3,FALSE),-1)=IFERROR(VLOOKUP($AL37,areaCercaPuntiClassificaSquadra,3,FALSE),-2)),SUMIFS(Dati!$F$2:$F$761,Dati!$A$2:$A$761,$H37,Dati!$H$2:$H$761,$AL37)+SUMIFS(Dati!$M$2:$M$761,Dati!$H$2:$H$761,$H37,Dati!$A$2:$A$761,$AL37),"-")</f>
        <v/>
      </c>
      <c r="DW37" s="22">
        <f>IF(AND($H37&lt;&gt;"",$AM37&lt;&gt;"",$H37&lt;&gt;$AM37,IFERROR(VLOOKUP($H37,areaCercaPuntiClassificaSquadra,3,FALSE),-1)=IFERROR(VLOOKUP($AM37,areaCercaPuntiClassificaSquadra,3,FALSE),-2)),SUMIFS(Dati!$F$2:$F$761,Dati!$A$2:$A$761,$H37,Dati!$H$2:$H$761,$AM37)+SUMIFS(Dati!$M$2:$M$761,Dati!$H$2:$H$761,$H37,Dati!$A$2:$A$761,$AM37),"-")</f>
        <v/>
      </c>
      <c r="DX37" s="22">
        <f>IF(AND($H37&lt;&gt;"",$AN37&lt;&gt;"",$H37&lt;&gt;$AN37,IFERROR(VLOOKUP($H37,areaCercaPuntiClassificaSquadra,3,FALSE),-1)=IFERROR(VLOOKUP($AN37,areaCercaPuntiClassificaSquadra,3,FALSE),-2)),SUMIFS(Dati!$F$2:$F$761,Dati!$A$2:$A$761,$H37,Dati!$H$2:$H$761,$AN37)+SUMIFS(Dati!$M$2:$M$761,Dati!$H$2:$H$761,$H37,Dati!$A$2:$A$761,$AN37),"-")</f>
        <v/>
      </c>
      <c r="DY37" s="22">
        <f>IF(AND($H37&lt;&gt;"",$AO37&lt;&gt;"",$H37&lt;&gt;$AO37,IFERROR(VLOOKUP($H37,areaCercaPuntiClassificaSquadra,3,FALSE),-1)=IFERROR(VLOOKUP($AO37,areaCercaPuntiClassificaSquadra,3,FALSE),-2)),SUMIFS(Dati!$F$2:$F$761,Dati!$A$2:$A$761,$H37,Dati!$H$2:$H$761,$AO37)+SUMIFS(Dati!$M$2:$M$761,Dati!$H$2:$H$761,$H37,Dati!$A$2:$A$761,$AO37),"-")</f>
        <v/>
      </c>
      <c r="DZ37" s="22">
        <f>IF(AND($H37&lt;&gt;"",$AP37&lt;&gt;"",$H37&lt;&gt;$AP37,IFERROR(VLOOKUP($H37,areaCercaPuntiClassificaSquadra,3,FALSE),-1)=IFERROR(VLOOKUP($AP37,areaCercaPuntiClassificaSquadra,3,FALSE),-2)),SUMIFS(Dati!$F$2:$F$761,Dati!$A$2:$A$761,$H37,Dati!$H$2:$H$761,$AP37)+SUMIFS(Dati!$M$2:$M$761,Dati!$H$2:$H$761,$H37,Dati!$A$2:$A$761,$AP37),"-")</f>
        <v/>
      </c>
      <c r="EA37" s="22">
        <f>IF(AND($H37&lt;&gt;"",$AQ37&lt;&gt;"",$H37&lt;&gt;$AQ37,IFERROR(VLOOKUP($H37,areaCercaPuntiClassificaSquadra,3,FALSE),-1)=IFERROR(VLOOKUP($AQ37,areaCercaPuntiClassificaSquadra,3,FALSE),-2)),SUMIFS(Dati!$F$2:$F$761,Dati!$A$2:$A$761,$H37,Dati!$H$2:$H$761,$AQ37)+SUMIFS(Dati!$M$2:$M$761,Dati!$H$2:$H$761,$H37,Dati!$A$2:$A$761,$AQ37),"-")</f>
        <v/>
      </c>
      <c r="EB37" s="22">
        <f>IF(AND($H37&lt;&gt;"",$AR37&lt;&gt;"",$H37&lt;&gt;$AR37,IFERROR(VLOOKUP($H37,areaCercaPuntiClassificaSquadra,3,FALSE),-1)=IFERROR(VLOOKUP($AR37,areaCercaPuntiClassificaSquadra,3,FALSE),-2)),SUMIFS(Dati!$F$2:$F$761,Dati!$A$2:$A$761,$H37,Dati!$H$2:$H$761,$AR37)+SUMIFS(Dati!$M$2:$M$761,Dati!$H$2:$H$761,$H37,Dati!$A$2:$A$761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inlineStr">
        <is>
          <t>Iene Instancabili-Ieneopoli IU</t>
        </is>
      </c>
      <c r="D38" s="14" t="n"/>
      <c r="E38" s="23" t="inlineStr">
        <is>
          <t>B</t>
        </is>
      </c>
      <c r="G38" s="24">
        <f>IF($C38="","",$E38&amp;(COUNTIFS(I$14:I$93,"&gt;"&amp;I38,E$14:E$93,"="&amp;E38,C$14:C$93,"&lt;&gt;")+COUNTIFS(I$14:I$93,"="&amp;I38,H$14:H$93,"&lt;="&amp;H38,E$14:E$93,"="&amp;E38,C$14:C$93,"&lt;&gt;")))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L38*constPuntiVittoria+M38*constPuntiSconfitta+N38*constPuntiForfait+IF(D38="",0,D38)</f>
        <v/>
      </c>
      <c r="K38" s="12">
        <f>SUM(L38:N38)</f>
        <v/>
      </c>
      <c r="L38" s="12">
        <f>IF($H38="",0,SUMIF(Dati!$A$2:$A$761,$H38,Dati!$B$2:$B$761)+SUMIF(Dati!$H$2:$H$761,$H38,Dati!$I$2:$I$761))</f>
        <v/>
      </c>
      <c r="M38" s="12">
        <f>IF($H38="",0,SUMIF(Dati!$A$2:$A$761,$H38,Dati!$D$2:$D$761)+SUMIF(Dati!$H$2:$H$761,$H38,Dati!$K$2:$K$761))</f>
        <v/>
      </c>
      <c r="N38" s="12">
        <f>IF($H38="",0,SUMIF(Dati!$A$2:$A$761,$H38,Dati!$C$2:$C$761)+SUMIF(Dati!$H$2:$H$761,$H38,Dati!$J$2:$J$761))</f>
        <v/>
      </c>
      <c r="O38" s="12">
        <f>IF($H38="",0,SUMIF(Dati!$A$2:$A$761,$H38,Dati!$E$2:$E$761)+SUMIF(Dati!$H$2:$H$761,$H38,Dati!$L$2:$L$761))</f>
        <v/>
      </c>
      <c r="P38" s="12">
        <f>IF($H38="",0,SUMIF(Dati!$A$2:$A$761,$H38,Dati!$F$2:$F$761)+SUMIF(Dati!$H$2:$H$761,$H38,Dati!$M$2:$M$761))</f>
        <v/>
      </c>
      <c r="Q38" s="12">
        <f>IF($H38="",0,SUMIF(Dati!$A$2:$A$761,$H38,Dati!$G$2:$G$761)+SUMIF(Dati!$H$2:$H$761,$H38,Dati!$N$2:$N$761))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IF(COUNTIFS($E$14:$E$93,$E38,$J$14:$J$93,$J38,$C$14:$C$93,"&lt;&gt;")&lt;=1,"-",SUM(AU38:BN38)&amp;"-"&amp;SUM(BQ38:CJ38))</f>
        <v/>
      </c>
      <c r="V38" s="18">
        <f>IF(COUNTIFS($E$14:$E$93,$E38,$J$14:$J$93,$J38,$C$14:$C$93,"&lt;&gt;",$ED$14:$ED$93,$ED38)&lt;=1,"-",IF(SUM(DI38:EB38)=0,0,ROUND(SUM(CM38:DF38)/SUM(DI38:EB38),3)))</f>
        <v/>
      </c>
      <c r="W38" s="18">
        <f>IF(COUNTIFS($E$14:$E$93,$E38,$J$14:$J$93,$J38,$C$14:$C$93,"&lt;&gt;",$ED$14:$ED$93,$ED38,$V$14:$V$93,$V38)&lt;=1,"-",IF(P38=0,0,ROUND(O38/P38,3)))</f>
        <v/>
      </c>
      <c r="X38" s="19">
        <f>IF($C38="","",$E38&amp;"#"&amp;COUNTIFS($E$14:$E38,$E38,$C$14:$C38,"&lt;&gt;"))</f>
        <v/>
      </c>
      <c r="Y38" s="20">
        <f>IFERROR(INDEX($H$14:$H$93,MATCH($E38&amp;"#1",$X$14:$X$93,0)),"")</f>
        <v/>
      </c>
      <c r="Z38" s="20">
        <f>IFERROR(INDEX($H$14:$H$93,MATCH($E38&amp;"#2",$X$14:$X$93,0)),"")</f>
        <v/>
      </c>
      <c r="AA38" s="20">
        <f>IFERROR(INDEX($H$14:$H$93,MATCH($E38&amp;"#3",$X$14:$X$93,0)),"")</f>
        <v/>
      </c>
      <c r="AB38" s="20">
        <f>IFERROR(INDEX($H$14:$H$93,MATCH($E38&amp;"#4",$X$14:$X$93,0)),"")</f>
        <v/>
      </c>
      <c r="AC38" s="20">
        <f>IFERROR(INDEX($H$14:$H$93,MATCH($E38&amp;"#5",$X$14:$X$93,0)),"")</f>
        <v/>
      </c>
      <c r="AD38" s="20">
        <f>IFERROR(INDEX($H$14:$H$93,MATCH($E38&amp;"#6",$X$14:$X$93,0)),"")</f>
        <v/>
      </c>
      <c r="AE38" s="20">
        <f>IFERROR(INDEX($H$14:$H$93,MATCH($E38&amp;"#7",$X$14:$X$93,0)),"")</f>
        <v/>
      </c>
      <c r="AF38" s="20">
        <f>IFERROR(INDEX($H$14:$H$93,MATCH($E38&amp;"#8",$X$14:$X$93,0)),"")</f>
        <v/>
      </c>
      <c r="AG38" s="20">
        <f>IFERROR(INDEX($H$14:$H$93,MATCH($E38&amp;"#9",$X$14:$X$93,0)),"")</f>
        <v/>
      </c>
      <c r="AH38" s="20">
        <f>IFERROR(INDEX($H$14:$H$93,MATCH($E38&amp;"#10",$X$14:$X$93,0)),"")</f>
        <v/>
      </c>
      <c r="AI38" s="20">
        <f>IFERROR(INDEX($H$14:$H$93,MATCH($E38&amp;"#11",$X$14:$X$93,0)),"")</f>
        <v/>
      </c>
      <c r="AJ38" s="20">
        <f>IFERROR(INDEX($H$14:$H$93,MATCH($E38&amp;"#12",$X$14:$X$93,0)),"")</f>
        <v/>
      </c>
      <c r="AK38" s="20">
        <f>IFERROR(INDEX($H$14:$H$93,MATCH($E38&amp;"#13",$X$14:$X$93,0)),"")</f>
        <v/>
      </c>
      <c r="AL38" s="20">
        <f>IFERROR(INDEX($H$14:$H$93,MATCH($E38&amp;"#14",$X$14:$X$93,0)),"")</f>
        <v/>
      </c>
      <c r="AM38" s="20">
        <f>IFERROR(INDEX($H$14:$H$93,MATCH($E38&amp;"#15",$X$14:$X$93,0)),"")</f>
        <v/>
      </c>
      <c r="AN38" s="20">
        <f>IFERROR(INDEX($H$14:$H$93,MATCH($E38&amp;"#16",$X$14:$X$93,0)),"")</f>
        <v/>
      </c>
      <c r="AO38" s="20">
        <f>IFERROR(INDEX($H$14:$H$93,MATCH($E38&amp;"#17",$X$14:$X$93,0)),"")</f>
        <v/>
      </c>
      <c r="AP38" s="20">
        <f>IFERROR(INDEX($H$14:$H$93,MATCH($E38&amp;"#18",$X$14:$X$93,0)),"")</f>
        <v/>
      </c>
      <c r="AQ38" s="20">
        <f>IFERROR(INDEX($H$14:$H$93,MATCH($E38&amp;"#19",$X$14:$X$93,0)),"")</f>
        <v/>
      </c>
      <c r="AR38" s="20">
        <f>IFERROR(INDEX($H$14:$H$93,MATCH($E38&amp;"#20",$X$14:$X$93,0)),"")</f>
        <v/>
      </c>
      <c r="AT38" s="21">
        <f>$C38</f>
        <v/>
      </c>
      <c r="AU38" s="22">
        <f>IF(AND($H38&lt;&gt;"",$Y38&lt;&gt;"",$H38&lt;&gt;$Y38,IFERROR(VLOOKUP($H38,areaCercaPuntiClassificaSquadra,3,FALSE),-1)=IFERROR(VLOOKUP($Y38,areaCercaPuntiClassificaSquadra,3,FALSE),-2)),SUMIFS(Dati!$B$2:$B$761,Dati!$A$2:$A$761,$H38,Dati!$H$2:$H$761,$Y38)+SUMIFS(Dati!$I$2:$I$761,Dati!$H$2:$H$761,$H38,Dati!$A$2:$A$761,$Y38),"-")</f>
        <v/>
      </c>
      <c r="AV38" s="22">
        <f>IF(AND($H38&lt;&gt;"",$Z38&lt;&gt;"",$H38&lt;&gt;$Z38,IFERROR(VLOOKUP($H38,areaCercaPuntiClassificaSquadra,3,FALSE),-1)=IFERROR(VLOOKUP($Z38,areaCercaPuntiClassificaSquadra,3,FALSE),-2)),SUMIFS(Dati!$B$2:$B$761,Dati!$A$2:$A$761,$H38,Dati!$H$2:$H$761,$Z38)+SUMIFS(Dati!$I$2:$I$761,Dati!$H$2:$H$761,$H38,Dati!$A$2:$A$761,$Z38),"-")</f>
        <v/>
      </c>
      <c r="AW38" s="22">
        <f>IF(AND($H38&lt;&gt;"",$AA38&lt;&gt;"",$H38&lt;&gt;$AA38,IFERROR(VLOOKUP($H38,areaCercaPuntiClassificaSquadra,3,FALSE),-1)=IFERROR(VLOOKUP($AA38,areaCercaPuntiClassificaSquadra,3,FALSE),-2)),SUMIFS(Dati!$B$2:$B$761,Dati!$A$2:$A$761,$H38,Dati!$H$2:$H$761,$AA38)+SUMIFS(Dati!$I$2:$I$761,Dati!$H$2:$H$761,$H38,Dati!$A$2:$A$761,$AA38),"-")</f>
        <v/>
      </c>
      <c r="AX38" s="22">
        <f>IF(AND($H38&lt;&gt;"",$AB38&lt;&gt;"",$H38&lt;&gt;$AB38,IFERROR(VLOOKUP($H38,areaCercaPuntiClassificaSquadra,3,FALSE),-1)=IFERROR(VLOOKUP($AB38,areaCercaPuntiClassificaSquadra,3,FALSE),-2)),SUMIFS(Dati!$B$2:$B$761,Dati!$A$2:$A$761,$H38,Dati!$H$2:$H$761,$AB38)+SUMIFS(Dati!$I$2:$I$761,Dati!$H$2:$H$761,$H38,Dati!$A$2:$A$761,$AB38),"-")</f>
        <v/>
      </c>
      <c r="AY38" s="22">
        <f>IF(AND($H38&lt;&gt;"",$AC38&lt;&gt;"",$H38&lt;&gt;$AC38,IFERROR(VLOOKUP($H38,areaCercaPuntiClassificaSquadra,3,FALSE),-1)=IFERROR(VLOOKUP($AC38,areaCercaPuntiClassificaSquadra,3,FALSE),-2)),SUMIFS(Dati!$B$2:$B$761,Dati!$A$2:$A$761,$H38,Dati!$H$2:$H$761,$AC38)+SUMIFS(Dati!$I$2:$I$761,Dati!$H$2:$H$761,$H38,Dati!$A$2:$A$761,$AC38),"-")</f>
        <v/>
      </c>
      <c r="AZ38" s="22">
        <f>IF(AND($H38&lt;&gt;"",$AD38&lt;&gt;"",$H38&lt;&gt;$AD38,IFERROR(VLOOKUP($H38,areaCercaPuntiClassificaSquadra,3,FALSE),-1)=IFERROR(VLOOKUP($AD38,areaCercaPuntiClassificaSquadra,3,FALSE),-2)),SUMIFS(Dati!$B$2:$B$761,Dati!$A$2:$A$761,$H38,Dati!$H$2:$H$761,$AD38)+SUMIFS(Dati!$I$2:$I$761,Dati!$H$2:$H$761,$H38,Dati!$A$2:$A$761,$AD38),"-")</f>
        <v/>
      </c>
      <c r="BA38" s="22">
        <f>IF(AND($H38&lt;&gt;"",$AE38&lt;&gt;"",$H38&lt;&gt;$AE38,IFERROR(VLOOKUP($H38,areaCercaPuntiClassificaSquadra,3,FALSE),-1)=IFERROR(VLOOKUP($AE38,areaCercaPuntiClassificaSquadra,3,FALSE),-2)),SUMIFS(Dati!$B$2:$B$761,Dati!$A$2:$A$761,$H38,Dati!$H$2:$H$761,$AE38)+SUMIFS(Dati!$I$2:$I$761,Dati!$H$2:$H$761,$H38,Dati!$A$2:$A$761,$AE38),"-")</f>
        <v/>
      </c>
      <c r="BB38" s="22">
        <f>IF(AND($H38&lt;&gt;"",$AF38&lt;&gt;"",$H38&lt;&gt;$AF38,IFERROR(VLOOKUP($H38,areaCercaPuntiClassificaSquadra,3,FALSE),-1)=IFERROR(VLOOKUP($AF38,areaCercaPuntiClassificaSquadra,3,FALSE),-2)),SUMIFS(Dati!$B$2:$B$761,Dati!$A$2:$A$761,$H38,Dati!$H$2:$H$761,$AF38)+SUMIFS(Dati!$I$2:$I$761,Dati!$H$2:$H$761,$H38,Dati!$A$2:$A$761,$AF38),"-")</f>
        <v/>
      </c>
      <c r="BC38" s="22">
        <f>IF(AND($H38&lt;&gt;"",$AG38&lt;&gt;"",$H38&lt;&gt;$AG38,IFERROR(VLOOKUP($H38,areaCercaPuntiClassificaSquadra,3,FALSE),-1)=IFERROR(VLOOKUP($AG38,areaCercaPuntiClassificaSquadra,3,FALSE),-2)),SUMIFS(Dati!$B$2:$B$761,Dati!$A$2:$A$761,$H38,Dati!$H$2:$H$761,$AG38)+SUMIFS(Dati!$I$2:$I$761,Dati!$H$2:$H$761,$H38,Dati!$A$2:$A$761,$AG38),"-")</f>
        <v/>
      </c>
      <c r="BD38" s="22">
        <f>IF(AND($H38&lt;&gt;"",$AH38&lt;&gt;"",$H38&lt;&gt;$AH38,IFERROR(VLOOKUP($H38,areaCercaPuntiClassificaSquadra,3,FALSE),-1)=IFERROR(VLOOKUP($AH38,areaCercaPuntiClassificaSquadra,3,FALSE),-2)),SUMIFS(Dati!$B$2:$B$761,Dati!$A$2:$A$761,$H38,Dati!$H$2:$H$761,$AH38)+SUMIFS(Dati!$I$2:$I$761,Dati!$H$2:$H$761,$H38,Dati!$A$2:$A$761,$AH38),"-")</f>
        <v/>
      </c>
      <c r="BE38" s="22">
        <f>IF(AND($H38&lt;&gt;"",$AI38&lt;&gt;"",$H38&lt;&gt;$AI38,IFERROR(VLOOKUP($H38,areaCercaPuntiClassificaSquadra,3,FALSE),-1)=IFERROR(VLOOKUP($AI38,areaCercaPuntiClassificaSquadra,3,FALSE),-2)),SUMIFS(Dati!$B$2:$B$761,Dati!$A$2:$A$761,$H38,Dati!$H$2:$H$761,$AI38)+SUMIFS(Dati!$I$2:$I$761,Dati!$H$2:$H$761,$H38,Dati!$A$2:$A$761,$AI38),"-")</f>
        <v/>
      </c>
      <c r="BF38" s="22">
        <f>IF(AND($H38&lt;&gt;"",$AJ38&lt;&gt;"",$H38&lt;&gt;$AJ38,IFERROR(VLOOKUP($H38,areaCercaPuntiClassificaSquadra,3,FALSE),-1)=IFERROR(VLOOKUP($AJ38,areaCercaPuntiClassificaSquadra,3,FALSE),-2)),SUMIFS(Dati!$B$2:$B$761,Dati!$A$2:$A$761,$H38,Dati!$H$2:$H$761,$AJ38)+SUMIFS(Dati!$I$2:$I$761,Dati!$H$2:$H$761,$H38,Dati!$A$2:$A$761,$AJ38),"-")</f>
        <v/>
      </c>
      <c r="BG38" s="22">
        <f>IF(AND($H38&lt;&gt;"",$AK38&lt;&gt;"",$H38&lt;&gt;$AK38,IFERROR(VLOOKUP($H38,areaCercaPuntiClassificaSquadra,3,FALSE),-1)=IFERROR(VLOOKUP($AK38,areaCercaPuntiClassificaSquadra,3,FALSE),-2)),SUMIFS(Dati!$B$2:$B$761,Dati!$A$2:$A$761,$H38,Dati!$H$2:$H$761,$AK38)+SUMIFS(Dati!$I$2:$I$761,Dati!$H$2:$H$761,$H38,Dati!$A$2:$A$761,$AK38),"-")</f>
        <v/>
      </c>
      <c r="BH38" s="22">
        <f>IF(AND($H38&lt;&gt;"",$AL38&lt;&gt;"",$H38&lt;&gt;$AL38,IFERROR(VLOOKUP($H38,areaCercaPuntiClassificaSquadra,3,FALSE),-1)=IFERROR(VLOOKUP($AL38,areaCercaPuntiClassificaSquadra,3,FALSE),-2)),SUMIFS(Dati!$B$2:$B$761,Dati!$A$2:$A$761,$H38,Dati!$H$2:$H$761,$AL38)+SUMIFS(Dati!$I$2:$I$761,Dati!$H$2:$H$761,$H38,Dati!$A$2:$A$761,$AL38),"-")</f>
        <v/>
      </c>
      <c r="BI38" s="22">
        <f>IF(AND($H38&lt;&gt;"",$AM38&lt;&gt;"",$H38&lt;&gt;$AM38,IFERROR(VLOOKUP($H38,areaCercaPuntiClassificaSquadra,3,FALSE),-1)=IFERROR(VLOOKUP($AM38,areaCercaPuntiClassificaSquadra,3,FALSE),-2)),SUMIFS(Dati!$B$2:$B$761,Dati!$A$2:$A$761,$H38,Dati!$H$2:$H$761,$AM38)+SUMIFS(Dati!$I$2:$I$761,Dati!$H$2:$H$761,$H38,Dati!$A$2:$A$761,$AM38),"-")</f>
        <v/>
      </c>
      <c r="BJ38" s="22">
        <f>IF(AND($H38&lt;&gt;"",$AN38&lt;&gt;"",$H38&lt;&gt;$AN38,IFERROR(VLOOKUP($H38,areaCercaPuntiClassificaSquadra,3,FALSE),-1)=IFERROR(VLOOKUP($AN38,areaCercaPuntiClassificaSquadra,3,FALSE),-2)),SUMIFS(Dati!$B$2:$B$761,Dati!$A$2:$A$761,$H38,Dati!$H$2:$H$761,$AN38)+SUMIFS(Dati!$I$2:$I$761,Dati!$H$2:$H$761,$H38,Dati!$A$2:$A$761,$AN38),"-")</f>
        <v/>
      </c>
      <c r="BK38" s="22">
        <f>IF(AND($H38&lt;&gt;"",$AO38&lt;&gt;"",$H38&lt;&gt;$AO38,IFERROR(VLOOKUP($H38,areaCercaPuntiClassificaSquadra,3,FALSE),-1)=IFERROR(VLOOKUP($AO38,areaCercaPuntiClassificaSquadra,3,FALSE),-2)),SUMIFS(Dati!$B$2:$B$761,Dati!$A$2:$A$761,$H38,Dati!$H$2:$H$761,$AO38)+SUMIFS(Dati!$I$2:$I$761,Dati!$H$2:$H$761,$H38,Dati!$A$2:$A$761,$AO38),"-")</f>
        <v/>
      </c>
      <c r="BL38" s="22">
        <f>IF(AND($H38&lt;&gt;"",$AP38&lt;&gt;"",$H38&lt;&gt;$AP38,IFERROR(VLOOKUP($H38,areaCercaPuntiClassificaSquadra,3,FALSE),-1)=IFERROR(VLOOKUP($AP38,areaCercaPuntiClassificaSquadra,3,FALSE),-2)),SUMIFS(Dati!$B$2:$B$761,Dati!$A$2:$A$761,$H38,Dati!$H$2:$H$761,$AP38)+SUMIFS(Dati!$I$2:$I$761,Dati!$H$2:$H$761,$H38,Dati!$A$2:$A$761,$AP38),"-")</f>
        <v/>
      </c>
      <c r="BM38" s="22">
        <f>IF(AND($H38&lt;&gt;"",$AQ38&lt;&gt;"",$H38&lt;&gt;$AQ38,IFERROR(VLOOKUP($H38,areaCercaPuntiClassificaSquadra,3,FALSE),-1)=IFERROR(VLOOKUP($AQ38,areaCercaPuntiClassificaSquadra,3,FALSE),-2)),SUMIFS(Dati!$B$2:$B$761,Dati!$A$2:$A$761,$H38,Dati!$H$2:$H$761,$AQ38)+SUMIFS(Dati!$I$2:$I$761,Dati!$H$2:$H$761,$H38,Dati!$A$2:$A$761,$AQ38),"-")</f>
        <v/>
      </c>
      <c r="BN38" s="22">
        <f>IF(AND($H38&lt;&gt;"",$AR38&lt;&gt;"",$H38&lt;&gt;$AR38,IFERROR(VLOOKUP($H38,areaCercaPuntiClassificaSquadra,3,FALSE),-1)=IFERROR(VLOOKUP($AR38,areaCercaPuntiClassificaSquadra,3,FALSE),-2)),SUMIFS(Dati!$B$2:$B$761,Dati!$A$2:$A$761,$H38,Dati!$H$2:$H$761,$AR38)+SUMIFS(Dati!$I$2:$I$761,Dati!$H$2:$H$761,$H38,Dati!$A$2:$A$761,$AR38),"-")</f>
        <v/>
      </c>
      <c r="BP38" s="21">
        <f>$C38</f>
        <v/>
      </c>
      <c r="BQ38" s="22">
        <f>IF(AND($H38&lt;&gt;"",$Y38&lt;&gt;"",$H38&lt;&gt;$Y38,IFERROR(VLOOKUP($H38,areaCercaPuntiClassificaSquadra,3,FALSE),-1)=IFERROR(VLOOKUP($Y38,areaCercaPuntiClassificaSquadra,3,FALSE),-2)),SUMIFS(Dati!$D$2:$D$761,Dati!$A$2:$A$761,$H38,Dati!$H$2:$H$761,$Y38)+SUMIFS(Dati!$K$2:$K$761,Dati!$H$2:$H$761,$H38,Dati!$A$2:$A$761,$Y38)+SUMIFS(Dati!$C$2:$C$761,Dati!$A$2:$A$761,$H38,Dati!$H$2:$H$761,$Y38)+SUMIFS(Dati!$J$2:$J$761,Dati!$H$2:$H$761,$H38,Dati!$A$2:$A$761,$Y38),"-")</f>
        <v/>
      </c>
      <c r="BR38" s="22">
        <f>IF(AND($H38&lt;&gt;"",$Z38&lt;&gt;"",$H38&lt;&gt;$Z38,IFERROR(VLOOKUP($H38,areaCercaPuntiClassificaSquadra,3,FALSE),-1)=IFERROR(VLOOKUP($Z38,areaCercaPuntiClassificaSquadra,3,FALSE),-2)),SUMIFS(Dati!$D$2:$D$761,Dati!$A$2:$A$761,$H38,Dati!$H$2:$H$761,$Z38)+SUMIFS(Dati!$K$2:$K$761,Dati!$H$2:$H$761,$H38,Dati!$A$2:$A$761,$Z38)+SUMIFS(Dati!$C$2:$C$761,Dati!$A$2:$A$761,$H38,Dati!$H$2:$H$761,$Z38)+SUMIFS(Dati!$J$2:$J$761,Dati!$H$2:$H$761,$H38,Dati!$A$2:$A$761,$Z38),"-")</f>
        <v/>
      </c>
      <c r="BS38" s="22">
        <f>IF(AND($H38&lt;&gt;"",$AA38&lt;&gt;"",$H38&lt;&gt;$AA38,IFERROR(VLOOKUP($H38,areaCercaPuntiClassificaSquadra,3,FALSE),-1)=IFERROR(VLOOKUP($AA38,areaCercaPuntiClassificaSquadra,3,FALSE),-2)),SUMIFS(Dati!$D$2:$D$761,Dati!$A$2:$A$761,$H38,Dati!$H$2:$H$761,$AA38)+SUMIFS(Dati!$K$2:$K$761,Dati!$H$2:$H$761,$H38,Dati!$A$2:$A$761,$AA38)+SUMIFS(Dati!$C$2:$C$761,Dati!$A$2:$A$761,$H38,Dati!$H$2:$H$761,$AA38)+SUMIFS(Dati!$J$2:$J$761,Dati!$H$2:$H$761,$H38,Dati!$A$2:$A$761,$AA38),"-")</f>
        <v/>
      </c>
      <c r="BT38" s="22">
        <f>IF(AND($H38&lt;&gt;"",$AB38&lt;&gt;"",$H38&lt;&gt;$AB38,IFERROR(VLOOKUP($H38,areaCercaPuntiClassificaSquadra,3,FALSE),-1)=IFERROR(VLOOKUP($AB38,areaCercaPuntiClassificaSquadra,3,FALSE),-2)),SUMIFS(Dati!$D$2:$D$761,Dati!$A$2:$A$761,$H38,Dati!$H$2:$H$761,$AB38)+SUMIFS(Dati!$K$2:$K$761,Dati!$H$2:$H$761,$H38,Dati!$A$2:$A$761,$AB38)+SUMIFS(Dati!$C$2:$C$761,Dati!$A$2:$A$761,$H38,Dati!$H$2:$H$761,$AB38)+SUMIFS(Dati!$J$2:$J$761,Dati!$H$2:$H$761,$H38,Dati!$A$2:$A$761,$AB38),"-")</f>
        <v/>
      </c>
      <c r="BU38" s="22">
        <f>IF(AND($H38&lt;&gt;"",$AC38&lt;&gt;"",$H38&lt;&gt;$AC38,IFERROR(VLOOKUP($H38,areaCercaPuntiClassificaSquadra,3,FALSE),-1)=IFERROR(VLOOKUP($AC38,areaCercaPuntiClassificaSquadra,3,FALSE),-2)),SUMIFS(Dati!$D$2:$D$761,Dati!$A$2:$A$761,$H38,Dati!$H$2:$H$761,$AC38)+SUMIFS(Dati!$K$2:$K$761,Dati!$H$2:$H$761,$H38,Dati!$A$2:$A$761,$AC38)+SUMIFS(Dati!$C$2:$C$761,Dati!$A$2:$A$761,$H38,Dati!$H$2:$H$761,$AC38)+SUMIFS(Dati!$J$2:$J$761,Dati!$H$2:$H$761,$H38,Dati!$A$2:$A$761,$AC38),"-")</f>
        <v/>
      </c>
      <c r="BV38" s="22">
        <f>IF(AND($H38&lt;&gt;"",$AD38&lt;&gt;"",$H38&lt;&gt;$AD38,IFERROR(VLOOKUP($H38,areaCercaPuntiClassificaSquadra,3,FALSE),-1)=IFERROR(VLOOKUP($AD38,areaCercaPuntiClassificaSquadra,3,FALSE),-2)),SUMIFS(Dati!$D$2:$D$761,Dati!$A$2:$A$761,$H38,Dati!$H$2:$H$761,$AD38)+SUMIFS(Dati!$K$2:$K$761,Dati!$H$2:$H$761,$H38,Dati!$A$2:$A$761,$AD38)+SUMIFS(Dati!$C$2:$C$761,Dati!$A$2:$A$761,$H38,Dati!$H$2:$H$761,$AD38)+SUMIFS(Dati!$J$2:$J$761,Dati!$H$2:$H$761,$H38,Dati!$A$2:$A$761,$AD38),"-")</f>
        <v/>
      </c>
      <c r="BW38" s="22">
        <f>IF(AND($H38&lt;&gt;"",$AE38&lt;&gt;"",$H38&lt;&gt;$AE38,IFERROR(VLOOKUP($H38,areaCercaPuntiClassificaSquadra,3,FALSE),-1)=IFERROR(VLOOKUP($AE38,areaCercaPuntiClassificaSquadra,3,FALSE),-2)),SUMIFS(Dati!$D$2:$D$761,Dati!$A$2:$A$761,$H38,Dati!$H$2:$H$761,$AE38)+SUMIFS(Dati!$K$2:$K$761,Dati!$H$2:$H$761,$H38,Dati!$A$2:$A$761,$AE38)+SUMIFS(Dati!$C$2:$C$761,Dati!$A$2:$A$761,$H38,Dati!$H$2:$H$761,$AE38)+SUMIFS(Dati!$J$2:$J$761,Dati!$H$2:$H$761,$H38,Dati!$A$2:$A$761,$AE38),"-")</f>
        <v/>
      </c>
      <c r="BX38" s="22">
        <f>IF(AND($H38&lt;&gt;"",$AF38&lt;&gt;"",$H38&lt;&gt;$AF38,IFERROR(VLOOKUP($H38,areaCercaPuntiClassificaSquadra,3,FALSE),-1)=IFERROR(VLOOKUP($AF38,areaCercaPuntiClassificaSquadra,3,FALSE),-2)),SUMIFS(Dati!$D$2:$D$761,Dati!$A$2:$A$761,$H38,Dati!$H$2:$H$761,$AF38)+SUMIFS(Dati!$K$2:$K$761,Dati!$H$2:$H$761,$H38,Dati!$A$2:$A$761,$AF38)+SUMIFS(Dati!$C$2:$C$761,Dati!$A$2:$A$761,$H38,Dati!$H$2:$H$761,$AF38)+SUMIFS(Dati!$J$2:$J$761,Dati!$H$2:$H$761,$H38,Dati!$A$2:$A$761,$AF38),"-")</f>
        <v/>
      </c>
      <c r="BY38" s="22">
        <f>IF(AND($H38&lt;&gt;"",$AG38&lt;&gt;"",$H38&lt;&gt;$AG38,IFERROR(VLOOKUP($H38,areaCercaPuntiClassificaSquadra,3,FALSE),-1)=IFERROR(VLOOKUP($AG38,areaCercaPuntiClassificaSquadra,3,FALSE),-2)),SUMIFS(Dati!$D$2:$D$761,Dati!$A$2:$A$761,$H38,Dati!$H$2:$H$761,$AG38)+SUMIFS(Dati!$K$2:$K$761,Dati!$H$2:$H$761,$H38,Dati!$A$2:$A$761,$AG38)+SUMIFS(Dati!$C$2:$C$761,Dati!$A$2:$A$761,$H38,Dati!$H$2:$H$761,$AG38)+SUMIFS(Dati!$J$2:$J$761,Dati!$H$2:$H$761,$H38,Dati!$A$2:$A$761,$AG38),"-")</f>
        <v/>
      </c>
      <c r="BZ38" s="22">
        <f>IF(AND($H38&lt;&gt;"",$AH38&lt;&gt;"",$H38&lt;&gt;$AH38,IFERROR(VLOOKUP($H38,areaCercaPuntiClassificaSquadra,3,FALSE),-1)=IFERROR(VLOOKUP($AH38,areaCercaPuntiClassificaSquadra,3,FALSE),-2)),SUMIFS(Dati!$D$2:$D$761,Dati!$A$2:$A$761,$H38,Dati!$H$2:$H$761,$AH38)+SUMIFS(Dati!$K$2:$K$761,Dati!$H$2:$H$761,$H38,Dati!$A$2:$A$761,$AH38)+SUMIFS(Dati!$C$2:$C$761,Dati!$A$2:$A$761,$H38,Dati!$H$2:$H$761,$AH38)+SUMIFS(Dati!$J$2:$J$761,Dati!$H$2:$H$761,$H38,Dati!$A$2:$A$761,$AH38),"-")</f>
        <v/>
      </c>
      <c r="CA38" s="22">
        <f>IF(AND($H38&lt;&gt;"",$AI38&lt;&gt;"",$H38&lt;&gt;$AI38,IFERROR(VLOOKUP($H38,areaCercaPuntiClassificaSquadra,3,FALSE),-1)=IFERROR(VLOOKUP($AI38,areaCercaPuntiClassificaSquadra,3,FALSE),-2)),SUMIFS(Dati!$D$2:$D$761,Dati!$A$2:$A$761,$H38,Dati!$H$2:$H$761,$AI38)+SUMIFS(Dati!$K$2:$K$761,Dati!$H$2:$H$761,$H38,Dati!$A$2:$A$761,$AI38)+SUMIFS(Dati!$C$2:$C$761,Dati!$A$2:$A$761,$H38,Dati!$H$2:$H$761,$AI38)+SUMIFS(Dati!$J$2:$J$761,Dati!$H$2:$H$761,$H38,Dati!$A$2:$A$761,$AI38),"-")</f>
        <v/>
      </c>
      <c r="CB38" s="22">
        <f>IF(AND($H38&lt;&gt;"",$AJ38&lt;&gt;"",$H38&lt;&gt;$AJ38,IFERROR(VLOOKUP($H38,areaCercaPuntiClassificaSquadra,3,FALSE),-1)=IFERROR(VLOOKUP($AJ38,areaCercaPuntiClassificaSquadra,3,FALSE),-2)),SUMIFS(Dati!$D$2:$D$761,Dati!$A$2:$A$761,$H38,Dati!$H$2:$H$761,$AJ38)+SUMIFS(Dati!$K$2:$K$761,Dati!$H$2:$H$761,$H38,Dati!$A$2:$A$761,$AJ38)+SUMIFS(Dati!$C$2:$C$761,Dati!$A$2:$A$761,$H38,Dati!$H$2:$H$761,$AJ38)+SUMIFS(Dati!$J$2:$J$761,Dati!$H$2:$H$761,$H38,Dati!$A$2:$A$761,$AJ38),"-")</f>
        <v/>
      </c>
      <c r="CC38" s="22">
        <f>IF(AND($H38&lt;&gt;"",$AK38&lt;&gt;"",$H38&lt;&gt;$AK38,IFERROR(VLOOKUP($H38,areaCercaPuntiClassificaSquadra,3,FALSE),-1)=IFERROR(VLOOKUP($AK38,areaCercaPuntiClassificaSquadra,3,FALSE),-2)),SUMIFS(Dati!$D$2:$D$761,Dati!$A$2:$A$761,$H38,Dati!$H$2:$H$761,$AK38)+SUMIFS(Dati!$K$2:$K$761,Dati!$H$2:$H$761,$H38,Dati!$A$2:$A$761,$AK38)+SUMIFS(Dati!$C$2:$C$761,Dati!$A$2:$A$761,$H38,Dati!$H$2:$H$761,$AK38)+SUMIFS(Dati!$J$2:$J$761,Dati!$H$2:$H$761,$H38,Dati!$A$2:$A$761,$AK38),"-")</f>
        <v/>
      </c>
      <c r="CD38" s="22">
        <f>IF(AND($H38&lt;&gt;"",$AL38&lt;&gt;"",$H38&lt;&gt;$AL38,IFERROR(VLOOKUP($H38,areaCercaPuntiClassificaSquadra,3,FALSE),-1)=IFERROR(VLOOKUP($AL38,areaCercaPuntiClassificaSquadra,3,FALSE),-2)),SUMIFS(Dati!$D$2:$D$761,Dati!$A$2:$A$761,$H38,Dati!$H$2:$H$761,$AL38)+SUMIFS(Dati!$K$2:$K$761,Dati!$H$2:$H$761,$H38,Dati!$A$2:$A$761,$AL38)+SUMIFS(Dati!$C$2:$C$761,Dati!$A$2:$A$761,$H38,Dati!$H$2:$H$761,$AL38)+SUMIFS(Dati!$J$2:$J$761,Dati!$H$2:$H$761,$H38,Dati!$A$2:$A$761,$AL38),"-")</f>
        <v/>
      </c>
      <c r="CE38" s="22">
        <f>IF(AND($H38&lt;&gt;"",$AM38&lt;&gt;"",$H38&lt;&gt;$AM38,IFERROR(VLOOKUP($H38,areaCercaPuntiClassificaSquadra,3,FALSE),-1)=IFERROR(VLOOKUP($AM38,areaCercaPuntiClassificaSquadra,3,FALSE),-2)),SUMIFS(Dati!$D$2:$D$761,Dati!$A$2:$A$761,$H38,Dati!$H$2:$H$761,$AM38)+SUMIFS(Dati!$K$2:$K$761,Dati!$H$2:$H$761,$H38,Dati!$A$2:$A$761,$AM38)+SUMIFS(Dati!$C$2:$C$761,Dati!$A$2:$A$761,$H38,Dati!$H$2:$H$761,$AM38)+SUMIFS(Dati!$J$2:$J$761,Dati!$H$2:$H$761,$H38,Dati!$A$2:$A$761,$AM38),"-")</f>
        <v/>
      </c>
      <c r="CF38" s="22">
        <f>IF(AND($H38&lt;&gt;"",$AN38&lt;&gt;"",$H38&lt;&gt;$AN38,IFERROR(VLOOKUP($H38,areaCercaPuntiClassificaSquadra,3,FALSE),-1)=IFERROR(VLOOKUP($AN38,areaCercaPuntiClassificaSquadra,3,FALSE),-2)),SUMIFS(Dati!$D$2:$D$761,Dati!$A$2:$A$761,$H38,Dati!$H$2:$H$761,$AN38)+SUMIFS(Dati!$K$2:$K$761,Dati!$H$2:$H$761,$H38,Dati!$A$2:$A$761,$AN38)+SUMIFS(Dati!$C$2:$C$761,Dati!$A$2:$A$761,$H38,Dati!$H$2:$H$761,$AN38)+SUMIFS(Dati!$J$2:$J$761,Dati!$H$2:$H$761,$H38,Dati!$A$2:$A$761,$AN38),"-")</f>
        <v/>
      </c>
      <c r="CG38" s="22">
        <f>IF(AND($H38&lt;&gt;"",$AO38&lt;&gt;"",$H38&lt;&gt;$AO38,IFERROR(VLOOKUP($H38,areaCercaPuntiClassificaSquadra,3,FALSE),-1)=IFERROR(VLOOKUP($AO38,areaCercaPuntiClassificaSquadra,3,FALSE),-2)),SUMIFS(Dati!$D$2:$D$761,Dati!$A$2:$A$761,$H38,Dati!$H$2:$H$761,$AO38)+SUMIFS(Dati!$K$2:$K$761,Dati!$H$2:$H$761,$H38,Dati!$A$2:$A$761,$AO38)+SUMIFS(Dati!$C$2:$C$761,Dati!$A$2:$A$761,$H38,Dati!$H$2:$H$761,$AO38)+SUMIFS(Dati!$J$2:$J$761,Dati!$H$2:$H$761,$H38,Dati!$A$2:$A$761,$AO38),"-")</f>
        <v/>
      </c>
      <c r="CH38" s="22">
        <f>IF(AND($H38&lt;&gt;"",$AP38&lt;&gt;"",$H38&lt;&gt;$AP38,IFERROR(VLOOKUP($H38,areaCercaPuntiClassificaSquadra,3,FALSE),-1)=IFERROR(VLOOKUP($AP38,areaCercaPuntiClassificaSquadra,3,FALSE),-2)),SUMIFS(Dati!$D$2:$D$761,Dati!$A$2:$A$761,$H38,Dati!$H$2:$H$761,$AP38)+SUMIFS(Dati!$K$2:$K$761,Dati!$H$2:$H$761,$H38,Dati!$A$2:$A$761,$AP38)+SUMIFS(Dati!$C$2:$C$761,Dati!$A$2:$A$761,$H38,Dati!$H$2:$H$761,$AP38)+SUMIFS(Dati!$J$2:$J$761,Dati!$H$2:$H$761,$H38,Dati!$A$2:$A$761,$AP38),"-")</f>
        <v/>
      </c>
      <c r="CI38" s="22">
        <f>IF(AND($H38&lt;&gt;"",$AQ38&lt;&gt;"",$H38&lt;&gt;$AQ38,IFERROR(VLOOKUP($H38,areaCercaPuntiClassificaSquadra,3,FALSE),-1)=IFERROR(VLOOKUP($AQ38,areaCercaPuntiClassificaSquadra,3,FALSE),-2)),SUMIFS(Dati!$D$2:$D$761,Dati!$A$2:$A$761,$H38,Dati!$H$2:$H$761,$AQ38)+SUMIFS(Dati!$K$2:$K$761,Dati!$H$2:$H$761,$H38,Dati!$A$2:$A$761,$AQ38)+SUMIFS(Dati!$C$2:$C$761,Dati!$A$2:$A$761,$H38,Dati!$H$2:$H$761,$AQ38)+SUMIFS(Dati!$J$2:$J$761,Dati!$H$2:$H$761,$H38,Dati!$A$2:$A$761,$AQ38),"-")</f>
        <v/>
      </c>
      <c r="CJ38" s="22">
        <f>IF(AND($H38&lt;&gt;"",$AR38&lt;&gt;"",$H38&lt;&gt;$AR38,IFERROR(VLOOKUP($H38,areaCercaPuntiClassificaSquadra,3,FALSE),-1)=IFERROR(VLOOKUP($AR38,areaCercaPuntiClassificaSquadra,3,FALSE),-2)),SUMIFS(Dati!$D$2:$D$761,Dati!$A$2:$A$761,$H38,Dati!$H$2:$H$761,$AR38)+SUMIFS(Dati!$K$2:$K$761,Dati!$H$2:$H$761,$H38,Dati!$A$2:$A$761,$AR38)+SUMIFS(Dati!$C$2:$C$761,Dati!$A$2:$A$761,$H38,Dati!$H$2:$H$761,$AR38)+SUMIFS(Dati!$J$2:$J$761,Dati!$H$2:$H$761,$H38,Dati!$A$2:$A$761,$AR38),"-")</f>
        <v/>
      </c>
      <c r="CL38" s="21">
        <f>$C38</f>
        <v/>
      </c>
      <c r="CM38" s="22">
        <f>IF(AND($H38&lt;&gt;"",$Y38&lt;&gt;"",$H38&lt;&gt;$Y38,IFERROR(VLOOKUP($H38,areaCercaPuntiClassificaSquadra,3,FALSE),-1)=IFERROR(VLOOKUP($Y38,areaCercaPuntiClassificaSquadra,3,FALSE),-2)),SUMIFS(Dati!$E$2:$E$761,Dati!$A$2:$A$761,$H38,Dati!$H$2:$H$761,$Y38)+SUMIFS(Dati!$L$2:$L$761,Dati!$H$2:$H$761,$H38,Dati!$A$2:$A$761,$Y38),"-")</f>
        <v/>
      </c>
      <c r="CN38" s="22">
        <f>IF(AND($H38&lt;&gt;"",$Z38&lt;&gt;"",$H38&lt;&gt;$Z38,IFERROR(VLOOKUP($H38,areaCercaPuntiClassificaSquadra,3,FALSE),-1)=IFERROR(VLOOKUP($Z38,areaCercaPuntiClassificaSquadra,3,FALSE),-2)),SUMIFS(Dati!$E$2:$E$761,Dati!$A$2:$A$761,$H38,Dati!$H$2:$H$761,$Z38)+SUMIFS(Dati!$L$2:$L$761,Dati!$H$2:$H$761,$H38,Dati!$A$2:$A$761,$Z38),"-")</f>
        <v/>
      </c>
      <c r="CO38" s="22">
        <f>IF(AND($H38&lt;&gt;"",$AA38&lt;&gt;"",$H38&lt;&gt;$AA38,IFERROR(VLOOKUP($H38,areaCercaPuntiClassificaSquadra,3,FALSE),-1)=IFERROR(VLOOKUP($AA38,areaCercaPuntiClassificaSquadra,3,FALSE),-2)),SUMIFS(Dati!$E$2:$E$761,Dati!$A$2:$A$761,$H38,Dati!$H$2:$H$761,$AA38)+SUMIFS(Dati!$L$2:$L$761,Dati!$H$2:$H$761,$H38,Dati!$A$2:$A$761,$AA38),"-")</f>
        <v/>
      </c>
      <c r="CP38" s="22">
        <f>IF(AND($H38&lt;&gt;"",$AB38&lt;&gt;"",$H38&lt;&gt;$AB38,IFERROR(VLOOKUP($H38,areaCercaPuntiClassificaSquadra,3,FALSE),-1)=IFERROR(VLOOKUP($AB38,areaCercaPuntiClassificaSquadra,3,FALSE),-2)),SUMIFS(Dati!$E$2:$E$761,Dati!$A$2:$A$761,$H38,Dati!$H$2:$H$761,$AB38)+SUMIFS(Dati!$L$2:$L$761,Dati!$H$2:$H$761,$H38,Dati!$A$2:$A$761,$AB38),"-")</f>
        <v/>
      </c>
      <c r="CQ38" s="22">
        <f>IF(AND($H38&lt;&gt;"",$AC38&lt;&gt;"",$H38&lt;&gt;$AC38,IFERROR(VLOOKUP($H38,areaCercaPuntiClassificaSquadra,3,FALSE),-1)=IFERROR(VLOOKUP($AC38,areaCercaPuntiClassificaSquadra,3,FALSE),-2)),SUMIFS(Dati!$E$2:$E$761,Dati!$A$2:$A$761,$H38,Dati!$H$2:$H$761,$AC38)+SUMIFS(Dati!$L$2:$L$761,Dati!$H$2:$H$761,$H38,Dati!$A$2:$A$761,$AC38),"-")</f>
        <v/>
      </c>
      <c r="CR38" s="22">
        <f>IF(AND($H38&lt;&gt;"",$AD38&lt;&gt;"",$H38&lt;&gt;$AD38,IFERROR(VLOOKUP($H38,areaCercaPuntiClassificaSquadra,3,FALSE),-1)=IFERROR(VLOOKUP($AD38,areaCercaPuntiClassificaSquadra,3,FALSE),-2)),SUMIFS(Dati!$E$2:$E$761,Dati!$A$2:$A$761,$H38,Dati!$H$2:$H$761,$AD38)+SUMIFS(Dati!$L$2:$L$761,Dati!$H$2:$H$761,$H38,Dati!$A$2:$A$761,$AD38),"-")</f>
        <v/>
      </c>
      <c r="CS38" s="22">
        <f>IF(AND($H38&lt;&gt;"",$AE38&lt;&gt;"",$H38&lt;&gt;$AE38,IFERROR(VLOOKUP($H38,areaCercaPuntiClassificaSquadra,3,FALSE),-1)=IFERROR(VLOOKUP($AE38,areaCercaPuntiClassificaSquadra,3,FALSE),-2)),SUMIFS(Dati!$E$2:$E$761,Dati!$A$2:$A$761,$H38,Dati!$H$2:$H$761,$AE38)+SUMIFS(Dati!$L$2:$L$761,Dati!$H$2:$H$761,$H38,Dati!$A$2:$A$761,$AE38),"-")</f>
        <v/>
      </c>
      <c r="CT38" s="22">
        <f>IF(AND($H38&lt;&gt;"",$AF38&lt;&gt;"",$H38&lt;&gt;$AF38,IFERROR(VLOOKUP($H38,areaCercaPuntiClassificaSquadra,3,FALSE),-1)=IFERROR(VLOOKUP($AF38,areaCercaPuntiClassificaSquadra,3,FALSE),-2)),SUMIFS(Dati!$E$2:$E$761,Dati!$A$2:$A$761,$H38,Dati!$H$2:$H$761,$AF38)+SUMIFS(Dati!$L$2:$L$761,Dati!$H$2:$H$761,$H38,Dati!$A$2:$A$761,$AF38),"-")</f>
        <v/>
      </c>
      <c r="CU38" s="22">
        <f>IF(AND($H38&lt;&gt;"",$AG38&lt;&gt;"",$H38&lt;&gt;$AG38,IFERROR(VLOOKUP($H38,areaCercaPuntiClassificaSquadra,3,FALSE),-1)=IFERROR(VLOOKUP($AG38,areaCercaPuntiClassificaSquadra,3,FALSE),-2)),SUMIFS(Dati!$E$2:$E$761,Dati!$A$2:$A$761,$H38,Dati!$H$2:$H$761,$AG38)+SUMIFS(Dati!$L$2:$L$761,Dati!$H$2:$H$761,$H38,Dati!$A$2:$A$761,$AG38),"-")</f>
        <v/>
      </c>
      <c r="CV38" s="22">
        <f>IF(AND($H38&lt;&gt;"",$AH38&lt;&gt;"",$H38&lt;&gt;$AH38,IFERROR(VLOOKUP($H38,areaCercaPuntiClassificaSquadra,3,FALSE),-1)=IFERROR(VLOOKUP($AH38,areaCercaPuntiClassificaSquadra,3,FALSE),-2)),SUMIFS(Dati!$E$2:$E$761,Dati!$A$2:$A$761,$H38,Dati!$H$2:$H$761,$AH38)+SUMIFS(Dati!$L$2:$L$761,Dati!$H$2:$H$761,$H38,Dati!$A$2:$A$761,$AH38),"-")</f>
        <v/>
      </c>
      <c r="CW38" s="22">
        <f>IF(AND($H38&lt;&gt;"",$AI38&lt;&gt;"",$H38&lt;&gt;$AI38,IFERROR(VLOOKUP($H38,areaCercaPuntiClassificaSquadra,3,FALSE),-1)=IFERROR(VLOOKUP($AI38,areaCercaPuntiClassificaSquadra,3,FALSE),-2)),SUMIFS(Dati!$E$2:$E$761,Dati!$A$2:$A$761,$H38,Dati!$H$2:$H$761,$AI38)+SUMIFS(Dati!$L$2:$L$761,Dati!$H$2:$H$761,$H38,Dati!$A$2:$A$761,$AI38),"-")</f>
        <v/>
      </c>
      <c r="CX38" s="22">
        <f>IF(AND($H38&lt;&gt;"",$AJ38&lt;&gt;"",$H38&lt;&gt;$AJ38,IFERROR(VLOOKUP($H38,areaCercaPuntiClassificaSquadra,3,FALSE),-1)=IFERROR(VLOOKUP($AJ38,areaCercaPuntiClassificaSquadra,3,FALSE),-2)),SUMIFS(Dati!$E$2:$E$761,Dati!$A$2:$A$761,$H38,Dati!$H$2:$H$761,$AJ38)+SUMIFS(Dati!$L$2:$L$761,Dati!$H$2:$H$761,$H38,Dati!$A$2:$A$761,$AJ38),"-")</f>
        <v/>
      </c>
      <c r="CY38" s="22">
        <f>IF(AND($H38&lt;&gt;"",$AK38&lt;&gt;"",$H38&lt;&gt;$AK38,IFERROR(VLOOKUP($H38,areaCercaPuntiClassificaSquadra,3,FALSE),-1)=IFERROR(VLOOKUP($AK38,areaCercaPuntiClassificaSquadra,3,FALSE),-2)),SUMIFS(Dati!$E$2:$E$761,Dati!$A$2:$A$761,$H38,Dati!$H$2:$H$761,$AK38)+SUMIFS(Dati!$L$2:$L$761,Dati!$H$2:$H$761,$H38,Dati!$A$2:$A$761,$AK38),"-")</f>
        <v/>
      </c>
      <c r="CZ38" s="22">
        <f>IF(AND($H38&lt;&gt;"",$AL38&lt;&gt;"",$H38&lt;&gt;$AL38,IFERROR(VLOOKUP($H38,areaCercaPuntiClassificaSquadra,3,FALSE),-1)=IFERROR(VLOOKUP($AL38,areaCercaPuntiClassificaSquadra,3,FALSE),-2)),SUMIFS(Dati!$E$2:$E$761,Dati!$A$2:$A$761,$H38,Dati!$H$2:$H$761,$AL38)+SUMIFS(Dati!$L$2:$L$761,Dati!$H$2:$H$761,$H38,Dati!$A$2:$A$761,$AL38),"-")</f>
        <v/>
      </c>
      <c r="DA38" s="22">
        <f>IF(AND($H38&lt;&gt;"",$AM38&lt;&gt;"",$H38&lt;&gt;$AM38,IFERROR(VLOOKUP($H38,areaCercaPuntiClassificaSquadra,3,FALSE),-1)=IFERROR(VLOOKUP($AM38,areaCercaPuntiClassificaSquadra,3,FALSE),-2)),SUMIFS(Dati!$E$2:$E$761,Dati!$A$2:$A$761,$H38,Dati!$H$2:$H$761,$AM38)+SUMIFS(Dati!$L$2:$L$761,Dati!$H$2:$H$761,$H38,Dati!$A$2:$A$761,$AM38),"-")</f>
        <v/>
      </c>
      <c r="DB38" s="22">
        <f>IF(AND($H38&lt;&gt;"",$AN38&lt;&gt;"",$H38&lt;&gt;$AN38,IFERROR(VLOOKUP($H38,areaCercaPuntiClassificaSquadra,3,FALSE),-1)=IFERROR(VLOOKUP($AN38,areaCercaPuntiClassificaSquadra,3,FALSE),-2)),SUMIFS(Dati!$E$2:$E$761,Dati!$A$2:$A$761,$H38,Dati!$H$2:$H$761,$AN38)+SUMIFS(Dati!$L$2:$L$761,Dati!$H$2:$H$761,$H38,Dati!$A$2:$A$761,$AN38),"-")</f>
        <v/>
      </c>
      <c r="DC38" s="22">
        <f>IF(AND($H38&lt;&gt;"",$AO38&lt;&gt;"",$H38&lt;&gt;$AO38,IFERROR(VLOOKUP($H38,areaCercaPuntiClassificaSquadra,3,FALSE),-1)=IFERROR(VLOOKUP($AO38,areaCercaPuntiClassificaSquadra,3,FALSE),-2)),SUMIFS(Dati!$E$2:$E$761,Dati!$A$2:$A$761,$H38,Dati!$H$2:$H$761,$AO38)+SUMIFS(Dati!$L$2:$L$761,Dati!$H$2:$H$761,$H38,Dati!$A$2:$A$761,$AO38),"-")</f>
        <v/>
      </c>
      <c r="DD38" s="22">
        <f>IF(AND($H38&lt;&gt;"",$AP38&lt;&gt;"",$H38&lt;&gt;$AP38,IFERROR(VLOOKUP($H38,areaCercaPuntiClassificaSquadra,3,FALSE),-1)=IFERROR(VLOOKUP($AP38,areaCercaPuntiClassificaSquadra,3,FALSE),-2)),SUMIFS(Dati!$E$2:$E$761,Dati!$A$2:$A$761,$H38,Dati!$H$2:$H$761,$AP38)+SUMIFS(Dati!$L$2:$L$761,Dati!$H$2:$H$761,$H38,Dati!$A$2:$A$761,$AP38),"-")</f>
        <v/>
      </c>
      <c r="DE38" s="22">
        <f>IF(AND($H38&lt;&gt;"",$AQ38&lt;&gt;"",$H38&lt;&gt;$AQ38,IFERROR(VLOOKUP($H38,areaCercaPuntiClassificaSquadra,3,FALSE),-1)=IFERROR(VLOOKUP($AQ38,areaCercaPuntiClassificaSquadra,3,FALSE),-2)),SUMIFS(Dati!$E$2:$E$761,Dati!$A$2:$A$761,$H38,Dati!$H$2:$H$761,$AQ38)+SUMIFS(Dati!$L$2:$L$761,Dati!$H$2:$H$761,$H38,Dati!$A$2:$A$761,$AQ38),"-")</f>
        <v/>
      </c>
      <c r="DF38" s="22">
        <f>IF(AND($H38&lt;&gt;"",$AR38&lt;&gt;"",$H38&lt;&gt;$AR38,IFERROR(VLOOKUP($H38,areaCercaPuntiClassificaSquadra,3,FALSE),-1)=IFERROR(VLOOKUP($AR38,areaCercaPuntiClassificaSquadra,3,FALSE),-2)),SUMIFS(Dati!$E$2:$E$761,Dati!$A$2:$A$761,$H38,Dati!$H$2:$H$761,$AR38)+SUMIFS(Dati!$L$2:$L$761,Dati!$H$2:$H$761,$H38,Dati!$A$2:$A$761,$AR38),"-")</f>
        <v/>
      </c>
      <c r="DH38" s="21">
        <f>$C38</f>
        <v/>
      </c>
      <c r="DI38" s="22">
        <f>IF(AND($H38&lt;&gt;"",$Y38&lt;&gt;"",$H38&lt;&gt;$Y38,IFERROR(VLOOKUP($H38,areaCercaPuntiClassificaSquadra,3,FALSE),-1)=IFERROR(VLOOKUP($Y38,areaCercaPuntiClassificaSquadra,3,FALSE),-2)),SUMIFS(Dati!$F$2:$F$761,Dati!$A$2:$A$761,$H38,Dati!$H$2:$H$761,$Y38)+SUMIFS(Dati!$M$2:$M$761,Dati!$H$2:$H$761,$H38,Dati!$A$2:$A$761,$Y38),"-")</f>
        <v/>
      </c>
      <c r="DJ38" s="22">
        <f>IF(AND($H38&lt;&gt;"",$Z38&lt;&gt;"",$H38&lt;&gt;$Z38,IFERROR(VLOOKUP($H38,areaCercaPuntiClassificaSquadra,3,FALSE),-1)=IFERROR(VLOOKUP($Z38,areaCercaPuntiClassificaSquadra,3,FALSE),-2)),SUMIFS(Dati!$F$2:$F$761,Dati!$A$2:$A$761,$H38,Dati!$H$2:$H$761,$Z38)+SUMIFS(Dati!$M$2:$M$761,Dati!$H$2:$H$761,$H38,Dati!$A$2:$A$761,$Z38),"-")</f>
        <v/>
      </c>
      <c r="DK38" s="22">
        <f>IF(AND($H38&lt;&gt;"",$AA38&lt;&gt;"",$H38&lt;&gt;$AA38,IFERROR(VLOOKUP($H38,areaCercaPuntiClassificaSquadra,3,FALSE),-1)=IFERROR(VLOOKUP($AA38,areaCercaPuntiClassificaSquadra,3,FALSE),-2)),SUMIFS(Dati!$F$2:$F$761,Dati!$A$2:$A$761,$H38,Dati!$H$2:$H$761,$AA38)+SUMIFS(Dati!$M$2:$M$761,Dati!$H$2:$H$761,$H38,Dati!$A$2:$A$761,$AA38),"-")</f>
        <v/>
      </c>
      <c r="DL38" s="22">
        <f>IF(AND($H38&lt;&gt;"",$AB38&lt;&gt;"",$H38&lt;&gt;$AB38,IFERROR(VLOOKUP($H38,areaCercaPuntiClassificaSquadra,3,FALSE),-1)=IFERROR(VLOOKUP($AB38,areaCercaPuntiClassificaSquadra,3,FALSE),-2)),SUMIFS(Dati!$F$2:$F$761,Dati!$A$2:$A$761,$H38,Dati!$H$2:$H$761,$AB38)+SUMIFS(Dati!$M$2:$M$761,Dati!$H$2:$H$761,$H38,Dati!$A$2:$A$761,$AB38),"-")</f>
        <v/>
      </c>
      <c r="DM38" s="22">
        <f>IF(AND($H38&lt;&gt;"",$AC38&lt;&gt;"",$H38&lt;&gt;$AC38,IFERROR(VLOOKUP($H38,areaCercaPuntiClassificaSquadra,3,FALSE),-1)=IFERROR(VLOOKUP($AC38,areaCercaPuntiClassificaSquadra,3,FALSE),-2)),SUMIFS(Dati!$F$2:$F$761,Dati!$A$2:$A$761,$H38,Dati!$H$2:$H$761,$AC38)+SUMIFS(Dati!$M$2:$M$761,Dati!$H$2:$H$761,$H38,Dati!$A$2:$A$761,$AC38),"-")</f>
        <v/>
      </c>
      <c r="DN38" s="22">
        <f>IF(AND($H38&lt;&gt;"",$AD38&lt;&gt;"",$H38&lt;&gt;$AD38,IFERROR(VLOOKUP($H38,areaCercaPuntiClassificaSquadra,3,FALSE),-1)=IFERROR(VLOOKUP($AD38,areaCercaPuntiClassificaSquadra,3,FALSE),-2)),SUMIFS(Dati!$F$2:$F$761,Dati!$A$2:$A$761,$H38,Dati!$H$2:$H$761,$AD38)+SUMIFS(Dati!$M$2:$M$761,Dati!$H$2:$H$761,$H38,Dati!$A$2:$A$761,$AD38),"-")</f>
        <v/>
      </c>
      <c r="DO38" s="22">
        <f>IF(AND($H38&lt;&gt;"",$AE38&lt;&gt;"",$H38&lt;&gt;$AE38,IFERROR(VLOOKUP($H38,areaCercaPuntiClassificaSquadra,3,FALSE),-1)=IFERROR(VLOOKUP($AE38,areaCercaPuntiClassificaSquadra,3,FALSE),-2)),SUMIFS(Dati!$F$2:$F$761,Dati!$A$2:$A$761,$H38,Dati!$H$2:$H$761,$AE38)+SUMIFS(Dati!$M$2:$M$761,Dati!$H$2:$H$761,$H38,Dati!$A$2:$A$761,$AE38),"-")</f>
        <v/>
      </c>
      <c r="DP38" s="22">
        <f>IF(AND($H38&lt;&gt;"",$AF38&lt;&gt;"",$H38&lt;&gt;$AF38,IFERROR(VLOOKUP($H38,areaCercaPuntiClassificaSquadra,3,FALSE),-1)=IFERROR(VLOOKUP($AF38,areaCercaPuntiClassificaSquadra,3,FALSE),-2)),SUMIFS(Dati!$F$2:$F$761,Dati!$A$2:$A$761,$H38,Dati!$H$2:$H$761,$AF38)+SUMIFS(Dati!$M$2:$M$761,Dati!$H$2:$H$761,$H38,Dati!$A$2:$A$761,$AF38),"-")</f>
        <v/>
      </c>
      <c r="DQ38" s="22">
        <f>IF(AND($H38&lt;&gt;"",$AG38&lt;&gt;"",$H38&lt;&gt;$AG38,IFERROR(VLOOKUP($H38,areaCercaPuntiClassificaSquadra,3,FALSE),-1)=IFERROR(VLOOKUP($AG38,areaCercaPuntiClassificaSquadra,3,FALSE),-2)),SUMIFS(Dati!$F$2:$F$761,Dati!$A$2:$A$761,$H38,Dati!$H$2:$H$761,$AG38)+SUMIFS(Dati!$M$2:$M$761,Dati!$H$2:$H$761,$H38,Dati!$A$2:$A$761,$AG38),"-")</f>
        <v/>
      </c>
      <c r="DR38" s="22">
        <f>IF(AND($H38&lt;&gt;"",$AH38&lt;&gt;"",$H38&lt;&gt;$AH38,IFERROR(VLOOKUP($H38,areaCercaPuntiClassificaSquadra,3,FALSE),-1)=IFERROR(VLOOKUP($AH38,areaCercaPuntiClassificaSquadra,3,FALSE),-2)),SUMIFS(Dati!$F$2:$F$761,Dati!$A$2:$A$761,$H38,Dati!$H$2:$H$761,$AH38)+SUMIFS(Dati!$M$2:$M$761,Dati!$H$2:$H$761,$H38,Dati!$A$2:$A$761,$AH38),"-")</f>
        <v/>
      </c>
      <c r="DS38" s="22">
        <f>IF(AND($H38&lt;&gt;"",$AI38&lt;&gt;"",$H38&lt;&gt;$AI38,IFERROR(VLOOKUP($H38,areaCercaPuntiClassificaSquadra,3,FALSE),-1)=IFERROR(VLOOKUP($AI38,areaCercaPuntiClassificaSquadra,3,FALSE),-2)),SUMIFS(Dati!$F$2:$F$761,Dati!$A$2:$A$761,$H38,Dati!$H$2:$H$761,$AI38)+SUMIFS(Dati!$M$2:$M$761,Dati!$H$2:$H$761,$H38,Dati!$A$2:$A$761,$AI38),"-")</f>
        <v/>
      </c>
      <c r="DT38" s="22">
        <f>IF(AND($H38&lt;&gt;"",$AJ38&lt;&gt;"",$H38&lt;&gt;$AJ38,IFERROR(VLOOKUP($H38,areaCercaPuntiClassificaSquadra,3,FALSE),-1)=IFERROR(VLOOKUP($AJ38,areaCercaPuntiClassificaSquadra,3,FALSE),-2)),SUMIFS(Dati!$F$2:$F$761,Dati!$A$2:$A$761,$H38,Dati!$H$2:$H$761,$AJ38)+SUMIFS(Dati!$M$2:$M$761,Dati!$H$2:$H$761,$H38,Dati!$A$2:$A$761,$AJ38),"-")</f>
        <v/>
      </c>
      <c r="DU38" s="22">
        <f>IF(AND($H38&lt;&gt;"",$AK38&lt;&gt;"",$H38&lt;&gt;$AK38,IFERROR(VLOOKUP($H38,areaCercaPuntiClassificaSquadra,3,FALSE),-1)=IFERROR(VLOOKUP($AK38,areaCercaPuntiClassificaSquadra,3,FALSE),-2)),SUMIFS(Dati!$F$2:$F$761,Dati!$A$2:$A$761,$H38,Dati!$H$2:$H$761,$AK38)+SUMIFS(Dati!$M$2:$M$761,Dati!$H$2:$H$761,$H38,Dati!$A$2:$A$761,$AK38),"-")</f>
        <v/>
      </c>
      <c r="DV38" s="22">
        <f>IF(AND($H38&lt;&gt;"",$AL38&lt;&gt;"",$H38&lt;&gt;$AL38,IFERROR(VLOOKUP($H38,areaCercaPuntiClassificaSquadra,3,FALSE),-1)=IFERROR(VLOOKUP($AL38,areaCercaPuntiClassificaSquadra,3,FALSE),-2)),SUMIFS(Dati!$F$2:$F$761,Dati!$A$2:$A$761,$H38,Dati!$H$2:$H$761,$AL38)+SUMIFS(Dati!$M$2:$M$761,Dati!$H$2:$H$761,$H38,Dati!$A$2:$A$761,$AL38),"-")</f>
        <v/>
      </c>
      <c r="DW38" s="22">
        <f>IF(AND($H38&lt;&gt;"",$AM38&lt;&gt;"",$H38&lt;&gt;$AM38,IFERROR(VLOOKUP($H38,areaCercaPuntiClassificaSquadra,3,FALSE),-1)=IFERROR(VLOOKUP($AM38,areaCercaPuntiClassificaSquadra,3,FALSE),-2)),SUMIFS(Dati!$F$2:$F$761,Dati!$A$2:$A$761,$H38,Dati!$H$2:$H$761,$AM38)+SUMIFS(Dati!$M$2:$M$761,Dati!$H$2:$H$761,$H38,Dati!$A$2:$A$761,$AM38),"-")</f>
        <v/>
      </c>
      <c r="DX38" s="22">
        <f>IF(AND($H38&lt;&gt;"",$AN38&lt;&gt;"",$H38&lt;&gt;$AN38,IFERROR(VLOOKUP($H38,areaCercaPuntiClassificaSquadra,3,FALSE),-1)=IFERROR(VLOOKUP($AN38,areaCercaPuntiClassificaSquadra,3,FALSE),-2)),SUMIFS(Dati!$F$2:$F$761,Dati!$A$2:$A$761,$H38,Dati!$H$2:$H$761,$AN38)+SUMIFS(Dati!$M$2:$M$761,Dati!$H$2:$H$761,$H38,Dati!$A$2:$A$761,$AN38),"-")</f>
        <v/>
      </c>
      <c r="DY38" s="22">
        <f>IF(AND($H38&lt;&gt;"",$AO38&lt;&gt;"",$H38&lt;&gt;$AO38,IFERROR(VLOOKUP($H38,areaCercaPuntiClassificaSquadra,3,FALSE),-1)=IFERROR(VLOOKUP($AO38,areaCercaPuntiClassificaSquadra,3,FALSE),-2)),SUMIFS(Dati!$F$2:$F$761,Dati!$A$2:$A$761,$H38,Dati!$H$2:$H$761,$AO38)+SUMIFS(Dati!$M$2:$M$761,Dati!$H$2:$H$761,$H38,Dati!$A$2:$A$761,$AO38),"-")</f>
        <v/>
      </c>
      <c r="DZ38" s="22">
        <f>IF(AND($H38&lt;&gt;"",$AP38&lt;&gt;"",$H38&lt;&gt;$AP38,IFERROR(VLOOKUP($H38,areaCercaPuntiClassificaSquadra,3,FALSE),-1)=IFERROR(VLOOKUP($AP38,areaCercaPuntiClassificaSquadra,3,FALSE),-2)),SUMIFS(Dati!$F$2:$F$761,Dati!$A$2:$A$761,$H38,Dati!$H$2:$H$761,$AP38)+SUMIFS(Dati!$M$2:$M$761,Dati!$H$2:$H$761,$H38,Dati!$A$2:$A$761,$AP38),"-")</f>
        <v/>
      </c>
      <c r="EA38" s="22">
        <f>IF(AND($H38&lt;&gt;"",$AQ38&lt;&gt;"",$H38&lt;&gt;$AQ38,IFERROR(VLOOKUP($H38,areaCercaPuntiClassificaSquadra,3,FALSE),-1)=IFERROR(VLOOKUP($AQ38,areaCercaPuntiClassificaSquadra,3,FALSE),-2)),SUMIFS(Dati!$F$2:$F$761,Dati!$A$2:$A$761,$H38,Dati!$H$2:$H$761,$AQ38)+SUMIFS(Dati!$M$2:$M$761,Dati!$H$2:$H$761,$H38,Dati!$A$2:$A$761,$AQ38),"-")</f>
        <v/>
      </c>
      <c r="EB38" s="22">
        <f>IF(AND($H38&lt;&gt;"",$AR38&lt;&gt;"",$H38&lt;&gt;$AR38,IFERROR(VLOOKUP($H38,areaCercaPuntiClassificaSquadra,3,FALSE),-1)=IFERROR(VLOOKUP($AR38,areaCercaPuntiClassificaSquadra,3,FALSE),-2)),SUMIFS(Dati!$F$2:$F$761,Dati!$A$2:$A$761,$H38,Dati!$H$2:$H$761,$AR38)+SUMIFS(Dati!$M$2:$M$761,Dati!$H$2:$H$761,$H38,Dati!$A$2:$A$761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inlineStr">
        <is>
          <t>Leoni Leali-Leoniopoli LA</t>
        </is>
      </c>
      <c r="D39" s="14" t="n"/>
      <c r="E39" s="23" t="inlineStr">
        <is>
          <t>B</t>
        </is>
      </c>
      <c r="G39" s="24">
        <f>IF($C39="","",$E39&amp;(COUNTIFS(I$14:I$93,"&gt;"&amp;I39,E$14:E$93,"="&amp;E39,C$14:C$93,"&lt;&gt;")+COUNTIFS(I$14:I$93,"="&amp;I39,H$14:H$93,"&lt;="&amp;H39,E$14:E$93,"="&amp;E39,C$14:C$93,"&lt;&gt;")))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L39*constPuntiVittoria+M39*constPuntiSconfitta+N39*constPuntiForfait+IF(D39="",0,D39)</f>
        <v/>
      </c>
      <c r="K39" s="12">
        <f>SUM(L39:N39)</f>
        <v/>
      </c>
      <c r="L39" s="12">
        <f>IF($H39="",0,SUMIF(Dati!$A$2:$A$761,$H39,Dati!$B$2:$B$761)+SUMIF(Dati!$H$2:$H$761,$H39,Dati!$I$2:$I$761))</f>
        <v/>
      </c>
      <c r="M39" s="12">
        <f>IF($H39="",0,SUMIF(Dati!$A$2:$A$761,$H39,Dati!$D$2:$D$761)+SUMIF(Dati!$H$2:$H$761,$H39,Dati!$K$2:$K$761))</f>
        <v/>
      </c>
      <c r="N39" s="12">
        <f>IF($H39="",0,SUMIF(Dati!$A$2:$A$761,$H39,Dati!$C$2:$C$761)+SUMIF(Dati!$H$2:$H$761,$H39,Dati!$J$2:$J$761))</f>
        <v/>
      </c>
      <c r="O39" s="12">
        <f>IF($H39="",0,SUMIF(Dati!$A$2:$A$761,$H39,Dati!$E$2:$E$761)+SUMIF(Dati!$H$2:$H$761,$H39,Dati!$L$2:$L$761))</f>
        <v/>
      </c>
      <c r="P39" s="12">
        <f>IF($H39="",0,SUMIF(Dati!$A$2:$A$761,$H39,Dati!$F$2:$F$761)+SUMIF(Dati!$H$2:$H$761,$H39,Dati!$M$2:$M$761))</f>
        <v/>
      </c>
      <c r="Q39" s="12">
        <f>IF($H39="",0,SUMIF(Dati!$A$2:$A$761,$H39,Dati!$G$2:$G$761)+SUMIF(Dati!$H$2:$H$761,$H39,Dati!$N$2:$N$761))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IF(COUNTIFS($E$14:$E$93,$E39,$J$14:$J$93,$J39,$C$14:$C$93,"&lt;&gt;")&lt;=1,"-",SUM(AU39:BN39)&amp;"-"&amp;SUM(BQ39:CJ39))</f>
        <v/>
      </c>
      <c r="V39" s="18">
        <f>IF(COUNTIFS($E$14:$E$93,$E39,$J$14:$J$93,$J39,$C$14:$C$93,"&lt;&gt;",$ED$14:$ED$93,$ED39)&lt;=1,"-",IF(SUM(DI39:EB39)=0,0,ROUND(SUM(CM39:DF39)/SUM(DI39:EB39),3)))</f>
        <v/>
      </c>
      <c r="W39" s="18">
        <f>IF(COUNTIFS($E$14:$E$93,$E39,$J$14:$J$93,$J39,$C$14:$C$93,"&lt;&gt;",$ED$14:$ED$93,$ED39,$V$14:$V$93,$V39)&lt;=1,"-",IF(P39=0,0,ROUND(O39/P39,3)))</f>
        <v/>
      </c>
      <c r="X39" s="19">
        <f>IF($C39="","",$E39&amp;"#"&amp;COUNTIFS($E$14:$E39,$E39,$C$14:$C39,"&lt;&gt;"))</f>
        <v/>
      </c>
      <c r="Y39" s="20">
        <f>IFERROR(INDEX($H$14:$H$93,MATCH($E39&amp;"#1",$X$14:$X$93,0)),"")</f>
        <v/>
      </c>
      <c r="Z39" s="20">
        <f>IFERROR(INDEX($H$14:$H$93,MATCH($E39&amp;"#2",$X$14:$X$93,0)),"")</f>
        <v/>
      </c>
      <c r="AA39" s="20">
        <f>IFERROR(INDEX($H$14:$H$93,MATCH($E39&amp;"#3",$X$14:$X$93,0)),"")</f>
        <v/>
      </c>
      <c r="AB39" s="20">
        <f>IFERROR(INDEX($H$14:$H$93,MATCH($E39&amp;"#4",$X$14:$X$93,0)),"")</f>
        <v/>
      </c>
      <c r="AC39" s="20">
        <f>IFERROR(INDEX($H$14:$H$93,MATCH($E39&amp;"#5",$X$14:$X$93,0)),"")</f>
        <v/>
      </c>
      <c r="AD39" s="20">
        <f>IFERROR(INDEX($H$14:$H$93,MATCH($E39&amp;"#6",$X$14:$X$93,0)),"")</f>
        <v/>
      </c>
      <c r="AE39" s="20">
        <f>IFERROR(INDEX($H$14:$H$93,MATCH($E39&amp;"#7",$X$14:$X$93,0)),"")</f>
        <v/>
      </c>
      <c r="AF39" s="20">
        <f>IFERROR(INDEX($H$14:$H$93,MATCH($E39&amp;"#8",$X$14:$X$93,0)),"")</f>
        <v/>
      </c>
      <c r="AG39" s="20">
        <f>IFERROR(INDEX($H$14:$H$93,MATCH($E39&amp;"#9",$X$14:$X$93,0)),"")</f>
        <v/>
      </c>
      <c r="AH39" s="20">
        <f>IFERROR(INDEX($H$14:$H$93,MATCH($E39&amp;"#10",$X$14:$X$93,0)),"")</f>
        <v/>
      </c>
      <c r="AI39" s="20">
        <f>IFERROR(INDEX($H$14:$H$93,MATCH($E39&amp;"#11",$X$14:$X$93,0)),"")</f>
        <v/>
      </c>
      <c r="AJ39" s="20">
        <f>IFERROR(INDEX($H$14:$H$93,MATCH($E39&amp;"#12",$X$14:$X$93,0)),"")</f>
        <v/>
      </c>
      <c r="AK39" s="20">
        <f>IFERROR(INDEX($H$14:$H$93,MATCH($E39&amp;"#13",$X$14:$X$93,0)),"")</f>
        <v/>
      </c>
      <c r="AL39" s="20">
        <f>IFERROR(INDEX($H$14:$H$93,MATCH($E39&amp;"#14",$X$14:$X$93,0)),"")</f>
        <v/>
      </c>
      <c r="AM39" s="20">
        <f>IFERROR(INDEX($H$14:$H$93,MATCH($E39&amp;"#15",$X$14:$X$93,0)),"")</f>
        <v/>
      </c>
      <c r="AN39" s="20">
        <f>IFERROR(INDEX($H$14:$H$93,MATCH($E39&amp;"#16",$X$14:$X$93,0)),"")</f>
        <v/>
      </c>
      <c r="AO39" s="20">
        <f>IFERROR(INDEX($H$14:$H$93,MATCH($E39&amp;"#17",$X$14:$X$93,0)),"")</f>
        <v/>
      </c>
      <c r="AP39" s="20">
        <f>IFERROR(INDEX($H$14:$H$93,MATCH($E39&amp;"#18",$X$14:$X$93,0)),"")</f>
        <v/>
      </c>
      <c r="AQ39" s="20">
        <f>IFERROR(INDEX($H$14:$H$93,MATCH($E39&amp;"#19",$X$14:$X$93,0)),"")</f>
        <v/>
      </c>
      <c r="AR39" s="20">
        <f>IFERROR(INDEX($H$14:$H$93,MATCH($E39&amp;"#20",$X$14:$X$93,0)),"")</f>
        <v/>
      </c>
      <c r="AT39" s="21">
        <f>$C39</f>
        <v/>
      </c>
      <c r="AU39" s="22">
        <f>IF(AND($H39&lt;&gt;"",$Y39&lt;&gt;"",$H39&lt;&gt;$Y39,IFERROR(VLOOKUP($H39,areaCercaPuntiClassificaSquadra,3,FALSE),-1)=IFERROR(VLOOKUP($Y39,areaCercaPuntiClassificaSquadra,3,FALSE),-2)),SUMIFS(Dati!$B$2:$B$761,Dati!$A$2:$A$761,$H39,Dati!$H$2:$H$761,$Y39)+SUMIFS(Dati!$I$2:$I$761,Dati!$H$2:$H$761,$H39,Dati!$A$2:$A$761,$Y39),"-")</f>
        <v/>
      </c>
      <c r="AV39" s="22">
        <f>IF(AND($H39&lt;&gt;"",$Z39&lt;&gt;"",$H39&lt;&gt;$Z39,IFERROR(VLOOKUP($H39,areaCercaPuntiClassificaSquadra,3,FALSE),-1)=IFERROR(VLOOKUP($Z39,areaCercaPuntiClassificaSquadra,3,FALSE),-2)),SUMIFS(Dati!$B$2:$B$761,Dati!$A$2:$A$761,$H39,Dati!$H$2:$H$761,$Z39)+SUMIFS(Dati!$I$2:$I$761,Dati!$H$2:$H$761,$H39,Dati!$A$2:$A$761,$Z39),"-")</f>
        <v/>
      </c>
      <c r="AW39" s="22">
        <f>IF(AND($H39&lt;&gt;"",$AA39&lt;&gt;"",$H39&lt;&gt;$AA39,IFERROR(VLOOKUP($H39,areaCercaPuntiClassificaSquadra,3,FALSE),-1)=IFERROR(VLOOKUP($AA39,areaCercaPuntiClassificaSquadra,3,FALSE),-2)),SUMIFS(Dati!$B$2:$B$761,Dati!$A$2:$A$761,$H39,Dati!$H$2:$H$761,$AA39)+SUMIFS(Dati!$I$2:$I$761,Dati!$H$2:$H$761,$H39,Dati!$A$2:$A$761,$AA39),"-")</f>
        <v/>
      </c>
      <c r="AX39" s="22">
        <f>IF(AND($H39&lt;&gt;"",$AB39&lt;&gt;"",$H39&lt;&gt;$AB39,IFERROR(VLOOKUP($H39,areaCercaPuntiClassificaSquadra,3,FALSE),-1)=IFERROR(VLOOKUP($AB39,areaCercaPuntiClassificaSquadra,3,FALSE),-2)),SUMIFS(Dati!$B$2:$B$761,Dati!$A$2:$A$761,$H39,Dati!$H$2:$H$761,$AB39)+SUMIFS(Dati!$I$2:$I$761,Dati!$H$2:$H$761,$H39,Dati!$A$2:$A$761,$AB39),"-")</f>
        <v/>
      </c>
      <c r="AY39" s="22">
        <f>IF(AND($H39&lt;&gt;"",$AC39&lt;&gt;"",$H39&lt;&gt;$AC39,IFERROR(VLOOKUP($H39,areaCercaPuntiClassificaSquadra,3,FALSE),-1)=IFERROR(VLOOKUP($AC39,areaCercaPuntiClassificaSquadra,3,FALSE),-2)),SUMIFS(Dati!$B$2:$B$761,Dati!$A$2:$A$761,$H39,Dati!$H$2:$H$761,$AC39)+SUMIFS(Dati!$I$2:$I$761,Dati!$H$2:$H$761,$H39,Dati!$A$2:$A$761,$AC39),"-")</f>
        <v/>
      </c>
      <c r="AZ39" s="22">
        <f>IF(AND($H39&lt;&gt;"",$AD39&lt;&gt;"",$H39&lt;&gt;$AD39,IFERROR(VLOOKUP($H39,areaCercaPuntiClassificaSquadra,3,FALSE),-1)=IFERROR(VLOOKUP($AD39,areaCercaPuntiClassificaSquadra,3,FALSE),-2)),SUMIFS(Dati!$B$2:$B$761,Dati!$A$2:$A$761,$H39,Dati!$H$2:$H$761,$AD39)+SUMIFS(Dati!$I$2:$I$761,Dati!$H$2:$H$761,$H39,Dati!$A$2:$A$761,$AD39),"-")</f>
        <v/>
      </c>
      <c r="BA39" s="22">
        <f>IF(AND($H39&lt;&gt;"",$AE39&lt;&gt;"",$H39&lt;&gt;$AE39,IFERROR(VLOOKUP($H39,areaCercaPuntiClassificaSquadra,3,FALSE),-1)=IFERROR(VLOOKUP($AE39,areaCercaPuntiClassificaSquadra,3,FALSE),-2)),SUMIFS(Dati!$B$2:$B$761,Dati!$A$2:$A$761,$H39,Dati!$H$2:$H$761,$AE39)+SUMIFS(Dati!$I$2:$I$761,Dati!$H$2:$H$761,$H39,Dati!$A$2:$A$761,$AE39),"-")</f>
        <v/>
      </c>
      <c r="BB39" s="22">
        <f>IF(AND($H39&lt;&gt;"",$AF39&lt;&gt;"",$H39&lt;&gt;$AF39,IFERROR(VLOOKUP($H39,areaCercaPuntiClassificaSquadra,3,FALSE),-1)=IFERROR(VLOOKUP($AF39,areaCercaPuntiClassificaSquadra,3,FALSE),-2)),SUMIFS(Dati!$B$2:$B$761,Dati!$A$2:$A$761,$H39,Dati!$H$2:$H$761,$AF39)+SUMIFS(Dati!$I$2:$I$761,Dati!$H$2:$H$761,$H39,Dati!$A$2:$A$761,$AF39),"-")</f>
        <v/>
      </c>
      <c r="BC39" s="22">
        <f>IF(AND($H39&lt;&gt;"",$AG39&lt;&gt;"",$H39&lt;&gt;$AG39,IFERROR(VLOOKUP($H39,areaCercaPuntiClassificaSquadra,3,FALSE),-1)=IFERROR(VLOOKUP($AG39,areaCercaPuntiClassificaSquadra,3,FALSE),-2)),SUMIFS(Dati!$B$2:$B$761,Dati!$A$2:$A$761,$H39,Dati!$H$2:$H$761,$AG39)+SUMIFS(Dati!$I$2:$I$761,Dati!$H$2:$H$761,$H39,Dati!$A$2:$A$761,$AG39),"-")</f>
        <v/>
      </c>
      <c r="BD39" s="22">
        <f>IF(AND($H39&lt;&gt;"",$AH39&lt;&gt;"",$H39&lt;&gt;$AH39,IFERROR(VLOOKUP($H39,areaCercaPuntiClassificaSquadra,3,FALSE),-1)=IFERROR(VLOOKUP($AH39,areaCercaPuntiClassificaSquadra,3,FALSE),-2)),SUMIFS(Dati!$B$2:$B$761,Dati!$A$2:$A$761,$H39,Dati!$H$2:$H$761,$AH39)+SUMIFS(Dati!$I$2:$I$761,Dati!$H$2:$H$761,$H39,Dati!$A$2:$A$761,$AH39),"-")</f>
        <v/>
      </c>
      <c r="BE39" s="22">
        <f>IF(AND($H39&lt;&gt;"",$AI39&lt;&gt;"",$H39&lt;&gt;$AI39,IFERROR(VLOOKUP($H39,areaCercaPuntiClassificaSquadra,3,FALSE),-1)=IFERROR(VLOOKUP($AI39,areaCercaPuntiClassificaSquadra,3,FALSE),-2)),SUMIFS(Dati!$B$2:$B$761,Dati!$A$2:$A$761,$H39,Dati!$H$2:$H$761,$AI39)+SUMIFS(Dati!$I$2:$I$761,Dati!$H$2:$H$761,$H39,Dati!$A$2:$A$761,$AI39),"-")</f>
        <v/>
      </c>
      <c r="BF39" s="22">
        <f>IF(AND($H39&lt;&gt;"",$AJ39&lt;&gt;"",$H39&lt;&gt;$AJ39,IFERROR(VLOOKUP($H39,areaCercaPuntiClassificaSquadra,3,FALSE),-1)=IFERROR(VLOOKUP($AJ39,areaCercaPuntiClassificaSquadra,3,FALSE),-2)),SUMIFS(Dati!$B$2:$B$761,Dati!$A$2:$A$761,$H39,Dati!$H$2:$H$761,$AJ39)+SUMIFS(Dati!$I$2:$I$761,Dati!$H$2:$H$761,$H39,Dati!$A$2:$A$761,$AJ39),"-")</f>
        <v/>
      </c>
      <c r="BG39" s="22">
        <f>IF(AND($H39&lt;&gt;"",$AK39&lt;&gt;"",$H39&lt;&gt;$AK39,IFERROR(VLOOKUP($H39,areaCercaPuntiClassificaSquadra,3,FALSE),-1)=IFERROR(VLOOKUP($AK39,areaCercaPuntiClassificaSquadra,3,FALSE),-2)),SUMIFS(Dati!$B$2:$B$761,Dati!$A$2:$A$761,$H39,Dati!$H$2:$H$761,$AK39)+SUMIFS(Dati!$I$2:$I$761,Dati!$H$2:$H$761,$H39,Dati!$A$2:$A$761,$AK39),"-")</f>
        <v/>
      </c>
      <c r="BH39" s="22">
        <f>IF(AND($H39&lt;&gt;"",$AL39&lt;&gt;"",$H39&lt;&gt;$AL39,IFERROR(VLOOKUP($H39,areaCercaPuntiClassificaSquadra,3,FALSE),-1)=IFERROR(VLOOKUP($AL39,areaCercaPuntiClassificaSquadra,3,FALSE),-2)),SUMIFS(Dati!$B$2:$B$761,Dati!$A$2:$A$761,$H39,Dati!$H$2:$H$761,$AL39)+SUMIFS(Dati!$I$2:$I$761,Dati!$H$2:$H$761,$H39,Dati!$A$2:$A$761,$AL39),"-")</f>
        <v/>
      </c>
      <c r="BI39" s="22">
        <f>IF(AND($H39&lt;&gt;"",$AM39&lt;&gt;"",$H39&lt;&gt;$AM39,IFERROR(VLOOKUP($H39,areaCercaPuntiClassificaSquadra,3,FALSE),-1)=IFERROR(VLOOKUP($AM39,areaCercaPuntiClassificaSquadra,3,FALSE),-2)),SUMIFS(Dati!$B$2:$B$761,Dati!$A$2:$A$761,$H39,Dati!$H$2:$H$761,$AM39)+SUMIFS(Dati!$I$2:$I$761,Dati!$H$2:$H$761,$H39,Dati!$A$2:$A$761,$AM39),"-")</f>
        <v/>
      </c>
      <c r="BJ39" s="22">
        <f>IF(AND($H39&lt;&gt;"",$AN39&lt;&gt;"",$H39&lt;&gt;$AN39,IFERROR(VLOOKUP($H39,areaCercaPuntiClassificaSquadra,3,FALSE),-1)=IFERROR(VLOOKUP($AN39,areaCercaPuntiClassificaSquadra,3,FALSE),-2)),SUMIFS(Dati!$B$2:$B$761,Dati!$A$2:$A$761,$H39,Dati!$H$2:$H$761,$AN39)+SUMIFS(Dati!$I$2:$I$761,Dati!$H$2:$H$761,$H39,Dati!$A$2:$A$761,$AN39),"-")</f>
        <v/>
      </c>
      <c r="BK39" s="22">
        <f>IF(AND($H39&lt;&gt;"",$AO39&lt;&gt;"",$H39&lt;&gt;$AO39,IFERROR(VLOOKUP($H39,areaCercaPuntiClassificaSquadra,3,FALSE),-1)=IFERROR(VLOOKUP($AO39,areaCercaPuntiClassificaSquadra,3,FALSE),-2)),SUMIFS(Dati!$B$2:$B$761,Dati!$A$2:$A$761,$H39,Dati!$H$2:$H$761,$AO39)+SUMIFS(Dati!$I$2:$I$761,Dati!$H$2:$H$761,$H39,Dati!$A$2:$A$761,$AO39),"-")</f>
        <v/>
      </c>
      <c r="BL39" s="22">
        <f>IF(AND($H39&lt;&gt;"",$AP39&lt;&gt;"",$H39&lt;&gt;$AP39,IFERROR(VLOOKUP($H39,areaCercaPuntiClassificaSquadra,3,FALSE),-1)=IFERROR(VLOOKUP($AP39,areaCercaPuntiClassificaSquadra,3,FALSE),-2)),SUMIFS(Dati!$B$2:$B$761,Dati!$A$2:$A$761,$H39,Dati!$H$2:$H$761,$AP39)+SUMIFS(Dati!$I$2:$I$761,Dati!$H$2:$H$761,$H39,Dati!$A$2:$A$761,$AP39),"-")</f>
        <v/>
      </c>
      <c r="BM39" s="22">
        <f>IF(AND($H39&lt;&gt;"",$AQ39&lt;&gt;"",$H39&lt;&gt;$AQ39,IFERROR(VLOOKUP($H39,areaCercaPuntiClassificaSquadra,3,FALSE),-1)=IFERROR(VLOOKUP($AQ39,areaCercaPuntiClassificaSquadra,3,FALSE),-2)),SUMIFS(Dati!$B$2:$B$761,Dati!$A$2:$A$761,$H39,Dati!$H$2:$H$761,$AQ39)+SUMIFS(Dati!$I$2:$I$761,Dati!$H$2:$H$761,$H39,Dati!$A$2:$A$761,$AQ39),"-")</f>
        <v/>
      </c>
      <c r="BN39" s="22">
        <f>IF(AND($H39&lt;&gt;"",$AR39&lt;&gt;"",$H39&lt;&gt;$AR39,IFERROR(VLOOKUP($H39,areaCercaPuntiClassificaSquadra,3,FALSE),-1)=IFERROR(VLOOKUP($AR39,areaCercaPuntiClassificaSquadra,3,FALSE),-2)),SUMIFS(Dati!$B$2:$B$761,Dati!$A$2:$A$761,$H39,Dati!$H$2:$H$761,$AR39)+SUMIFS(Dati!$I$2:$I$761,Dati!$H$2:$H$761,$H39,Dati!$A$2:$A$761,$AR39),"-")</f>
        <v/>
      </c>
      <c r="BP39" s="21">
        <f>$C39</f>
        <v/>
      </c>
      <c r="BQ39" s="22">
        <f>IF(AND($H39&lt;&gt;"",$Y39&lt;&gt;"",$H39&lt;&gt;$Y39,IFERROR(VLOOKUP($H39,areaCercaPuntiClassificaSquadra,3,FALSE),-1)=IFERROR(VLOOKUP($Y39,areaCercaPuntiClassificaSquadra,3,FALSE),-2)),SUMIFS(Dati!$D$2:$D$761,Dati!$A$2:$A$761,$H39,Dati!$H$2:$H$761,$Y39)+SUMIFS(Dati!$K$2:$K$761,Dati!$H$2:$H$761,$H39,Dati!$A$2:$A$761,$Y39)+SUMIFS(Dati!$C$2:$C$761,Dati!$A$2:$A$761,$H39,Dati!$H$2:$H$761,$Y39)+SUMIFS(Dati!$J$2:$J$761,Dati!$H$2:$H$761,$H39,Dati!$A$2:$A$761,$Y39),"-")</f>
        <v/>
      </c>
      <c r="BR39" s="22">
        <f>IF(AND($H39&lt;&gt;"",$Z39&lt;&gt;"",$H39&lt;&gt;$Z39,IFERROR(VLOOKUP($H39,areaCercaPuntiClassificaSquadra,3,FALSE),-1)=IFERROR(VLOOKUP($Z39,areaCercaPuntiClassificaSquadra,3,FALSE),-2)),SUMIFS(Dati!$D$2:$D$761,Dati!$A$2:$A$761,$H39,Dati!$H$2:$H$761,$Z39)+SUMIFS(Dati!$K$2:$K$761,Dati!$H$2:$H$761,$H39,Dati!$A$2:$A$761,$Z39)+SUMIFS(Dati!$C$2:$C$761,Dati!$A$2:$A$761,$H39,Dati!$H$2:$H$761,$Z39)+SUMIFS(Dati!$J$2:$J$761,Dati!$H$2:$H$761,$H39,Dati!$A$2:$A$761,$Z39),"-")</f>
        <v/>
      </c>
      <c r="BS39" s="22">
        <f>IF(AND($H39&lt;&gt;"",$AA39&lt;&gt;"",$H39&lt;&gt;$AA39,IFERROR(VLOOKUP($H39,areaCercaPuntiClassificaSquadra,3,FALSE),-1)=IFERROR(VLOOKUP($AA39,areaCercaPuntiClassificaSquadra,3,FALSE),-2)),SUMIFS(Dati!$D$2:$D$761,Dati!$A$2:$A$761,$H39,Dati!$H$2:$H$761,$AA39)+SUMIFS(Dati!$K$2:$K$761,Dati!$H$2:$H$761,$H39,Dati!$A$2:$A$761,$AA39)+SUMIFS(Dati!$C$2:$C$761,Dati!$A$2:$A$761,$H39,Dati!$H$2:$H$761,$AA39)+SUMIFS(Dati!$J$2:$J$761,Dati!$H$2:$H$761,$H39,Dati!$A$2:$A$761,$AA39),"-")</f>
        <v/>
      </c>
      <c r="BT39" s="22">
        <f>IF(AND($H39&lt;&gt;"",$AB39&lt;&gt;"",$H39&lt;&gt;$AB39,IFERROR(VLOOKUP($H39,areaCercaPuntiClassificaSquadra,3,FALSE),-1)=IFERROR(VLOOKUP($AB39,areaCercaPuntiClassificaSquadra,3,FALSE),-2)),SUMIFS(Dati!$D$2:$D$761,Dati!$A$2:$A$761,$H39,Dati!$H$2:$H$761,$AB39)+SUMIFS(Dati!$K$2:$K$761,Dati!$H$2:$H$761,$H39,Dati!$A$2:$A$761,$AB39)+SUMIFS(Dati!$C$2:$C$761,Dati!$A$2:$A$761,$H39,Dati!$H$2:$H$761,$AB39)+SUMIFS(Dati!$J$2:$J$761,Dati!$H$2:$H$761,$H39,Dati!$A$2:$A$761,$AB39),"-")</f>
        <v/>
      </c>
      <c r="BU39" s="22">
        <f>IF(AND($H39&lt;&gt;"",$AC39&lt;&gt;"",$H39&lt;&gt;$AC39,IFERROR(VLOOKUP($H39,areaCercaPuntiClassificaSquadra,3,FALSE),-1)=IFERROR(VLOOKUP($AC39,areaCercaPuntiClassificaSquadra,3,FALSE),-2)),SUMIFS(Dati!$D$2:$D$761,Dati!$A$2:$A$761,$H39,Dati!$H$2:$H$761,$AC39)+SUMIFS(Dati!$K$2:$K$761,Dati!$H$2:$H$761,$H39,Dati!$A$2:$A$761,$AC39)+SUMIFS(Dati!$C$2:$C$761,Dati!$A$2:$A$761,$H39,Dati!$H$2:$H$761,$AC39)+SUMIFS(Dati!$J$2:$J$761,Dati!$H$2:$H$761,$H39,Dati!$A$2:$A$761,$AC39),"-")</f>
        <v/>
      </c>
      <c r="BV39" s="22">
        <f>IF(AND($H39&lt;&gt;"",$AD39&lt;&gt;"",$H39&lt;&gt;$AD39,IFERROR(VLOOKUP($H39,areaCercaPuntiClassificaSquadra,3,FALSE),-1)=IFERROR(VLOOKUP($AD39,areaCercaPuntiClassificaSquadra,3,FALSE),-2)),SUMIFS(Dati!$D$2:$D$761,Dati!$A$2:$A$761,$H39,Dati!$H$2:$H$761,$AD39)+SUMIFS(Dati!$K$2:$K$761,Dati!$H$2:$H$761,$H39,Dati!$A$2:$A$761,$AD39)+SUMIFS(Dati!$C$2:$C$761,Dati!$A$2:$A$761,$H39,Dati!$H$2:$H$761,$AD39)+SUMIFS(Dati!$J$2:$J$761,Dati!$H$2:$H$761,$H39,Dati!$A$2:$A$761,$AD39),"-")</f>
        <v/>
      </c>
      <c r="BW39" s="22">
        <f>IF(AND($H39&lt;&gt;"",$AE39&lt;&gt;"",$H39&lt;&gt;$AE39,IFERROR(VLOOKUP($H39,areaCercaPuntiClassificaSquadra,3,FALSE),-1)=IFERROR(VLOOKUP($AE39,areaCercaPuntiClassificaSquadra,3,FALSE),-2)),SUMIFS(Dati!$D$2:$D$761,Dati!$A$2:$A$761,$H39,Dati!$H$2:$H$761,$AE39)+SUMIFS(Dati!$K$2:$K$761,Dati!$H$2:$H$761,$H39,Dati!$A$2:$A$761,$AE39)+SUMIFS(Dati!$C$2:$C$761,Dati!$A$2:$A$761,$H39,Dati!$H$2:$H$761,$AE39)+SUMIFS(Dati!$J$2:$J$761,Dati!$H$2:$H$761,$H39,Dati!$A$2:$A$761,$AE39),"-")</f>
        <v/>
      </c>
      <c r="BX39" s="22">
        <f>IF(AND($H39&lt;&gt;"",$AF39&lt;&gt;"",$H39&lt;&gt;$AF39,IFERROR(VLOOKUP($H39,areaCercaPuntiClassificaSquadra,3,FALSE),-1)=IFERROR(VLOOKUP($AF39,areaCercaPuntiClassificaSquadra,3,FALSE),-2)),SUMIFS(Dati!$D$2:$D$761,Dati!$A$2:$A$761,$H39,Dati!$H$2:$H$761,$AF39)+SUMIFS(Dati!$K$2:$K$761,Dati!$H$2:$H$761,$H39,Dati!$A$2:$A$761,$AF39)+SUMIFS(Dati!$C$2:$C$761,Dati!$A$2:$A$761,$H39,Dati!$H$2:$H$761,$AF39)+SUMIFS(Dati!$J$2:$J$761,Dati!$H$2:$H$761,$H39,Dati!$A$2:$A$761,$AF39),"-")</f>
        <v/>
      </c>
      <c r="BY39" s="22">
        <f>IF(AND($H39&lt;&gt;"",$AG39&lt;&gt;"",$H39&lt;&gt;$AG39,IFERROR(VLOOKUP($H39,areaCercaPuntiClassificaSquadra,3,FALSE),-1)=IFERROR(VLOOKUP($AG39,areaCercaPuntiClassificaSquadra,3,FALSE),-2)),SUMIFS(Dati!$D$2:$D$761,Dati!$A$2:$A$761,$H39,Dati!$H$2:$H$761,$AG39)+SUMIFS(Dati!$K$2:$K$761,Dati!$H$2:$H$761,$H39,Dati!$A$2:$A$761,$AG39)+SUMIFS(Dati!$C$2:$C$761,Dati!$A$2:$A$761,$H39,Dati!$H$2:$H$761,$AG39)+SUMIFS(Dati!$J$2:$J$761,Dati!$H$2:$H$761,$H39,Dati!$A$2:$A$761,$AG39),"-")</f>
        <v/>
      </c>
      <c r="BZ39" s="22">
        <f>IF(AND($H39&lt;&gt;"",$AH39&lt;&gt;"",$H39&lt;&gt;$AH39,IFERROR(VLOOKUP($H39,areaCercaPuntiClassificaSquadra,3,FALSE),-1)=IFERROR(VLOOKUP($AH39,areaCercaPuntiClassificaSquadra,3,FALSE),-2)),SUMIFS(Dati!$D$2:$D$761,Dati!$A$2:$A$761,$H39,Dati!$H$2:$H$761,$AH39)+SUMIFS(Dati!$K$2:$K$761,Dati!$H$2:$H$761,$H39,Dati!$A$2:$A$761,$AH39)+SUMIFS(Dati!$C$2:$C$761,Dati!$A$2:$A$761,$H39,Dati!$H$2:$H$761,$AH39)+SUMIFS(Dati!$J$2:$J$761,Dati!$H$2:$H$761,$H39,Dati!$A$2:$A$761,$AH39),"-")</f>
        <v/>
      </c>
      <c r="CA39" s="22">
        <f>IF(AND($H39&lt;&gt;"",$AI39&lt;&gt;"",$H39&lt;&gt;$AI39,IFERROR(VLOOKUP($H39,areaCercaPuntiClassificaSquadra,3,FALSE),-1)=IFERROR(VLOOKUP($AI39,areaCercaPuntiClassificaSquadra,3,FALSE),-2)),SUMIFS(Dati!$D$2:$D$761,Dati!$A$2:$A$761,$H39,Dati!$H$2:$H$761,$AI39)+SUMIFS(Dati!$K$2:$K$761,Dati!$H$2:$H$761,$H39,Dati!$A$2:$A$761,$AI39)+SUMIFS(Dati!$C$2:$C$761,Dati!$A$2:$A$761,$H39,Dati!$H$2:$H$761,$AI39)+SUMIFS(Dati!$J$2:$J$761,Dati!$H$2:$H$761,$H39,Dati!$A$2:$A$761,$AI39),"-")</f>
        <v/>
      </c>
      <c r="CB39" s="22">
        <f>IF(AND($H39&lt;&gt;"",$AJ39&lt;&gt;"",$H39&lt;&gt;$AJ39,IFERROR(VLOOKUP($H39,areaCercaPuntiClassificaSquadra,3,FALSE),-1)=IFERROR(VLOOKUP($AJ39,areaCercaPuntiClassificaSquadra,3,FALSE),-2)),SUMIFS(Dati!$D$2:$D$761,Dati!$A$2:$A$761,$H39,Dati!$H$2:$H$761,$AJ39)+SUMIFS(Dati!$K$2:$K$761,Dati!$H$2:$H$761,$H39,Dati!$A$2:$A$761,$AJ39)+SUMIFS(Dati!$C$2:$C$761,Dati!$A$2:$A$761,$H39,Dati!$H$2:$H$761,$AJ39)+SUMIFS(Dati!$J$2:$J$761,Dati!$H$2:$H$761,$H39,Dati!$A$2:$A$761,$AJ39),"-")</f>
        <v/>
      </c>
      <c r="CC39" s="22">
        <f>IF(AND($H39&lt;&gt;"",$AK39&lt;&gt;"",$H39&lt;&gt;$AK39,IFERROR(VLOOKUP($H39,areaCercaPuntiClassificaSquadra,3,FALSE),-1)=IFERROR(VLOOKUP($AK39,areaCercaPuntiClassificaSquadra,3,FALSE),-2)),SUMIFS(Dati!$D$2:$D$761,Dati!$A$2:$A$761,$H39,Dati!$H$2:$H$761,$AK39)+SUMIFS(Dati!$K$2:$K$761,Dati!$H$2:$H$761,$H39,Dati!$A$2:$A$761,$AK39)+SUMIFS(Dati!$C$2:$C$761,Dati!$A$2:$A$761,$H39,Dati!$H$2:$H$761,$AK39)+SUMIFS(Dati!$J$2:$J$761,Dati!$H$2:$H$761,$H39,Dati!$A$2:$A$761,$AK39),"-")</f>
        <v/>
      </c>
      <c r="CD39" s="22">
        <f>IF(AND($H39&lt;&gt;"",$AL39&lt;&gt;"",$H39&lt;&gt;$AL39,IFERROR(VLOOKUP($H39,areaCercaPuntiClassificaSquadra,3,FALSE),-1)=IFERROR(VLOOKUP($AL39,areaCercaPuntiClassificaSquadra,3,FALSE),-2)),SUMIFS(Dati!$D$2:$D$761,Dati!$A$2:$A$761,$H39,Dati!$H$2:$H$761,$AL39)+SUMIFS(Dati!$K$2:$K$761,Dati!$H$2:$H$761,$H39,Dati!$A$2:$A$761,$AL39)+SUMIFS(Dati!$C$2:$C$761,Dati!$A$2:$A$761,$H39,Dati!$H$2:$H$761,$AL39)+SUMIFS(Dati!$J$2:$J$761,Dati!$H$2:$H$761,$H39,Dati!$A$2:$A$761,$AL39),"-")</f>
        <v/>
      </c>
      <c r="CE39" s="22">
        <f>IF(AND($H39&lt;&gt;"",$AM39&lt;&gt;"",$H39&lt;&gt;$AM39,IFERROR(VLOOKUP($H39,areaCercaPuntiClassificaSquadra,3,FALSE),-1)=IFERROR(VLOOKUP($AM39,areaCercaPuntiClassificaSquadra,3,FALSE),-2)),SUMIFS(Dati!$D$2:$D$761,Dati!$A$2:$A$761,$H39,Dati!$H$2:$H$761,$AM39)+SUMIFS(Dati!$K$2:$K$761,Dati!$H$2:$H$761,$H39,Dati!$A$2:$A$761,$AM39)+SUMIFS(Dati!$C$2:$C$761,Dati!$A$2:$A$761,$H39,Dati!$H$2:$H$761,$AM39)+SUMIFS(Dati!$J$2:$J$761,Dati!$H$2:$H$761,$H39,Dati!$A$2:$A$761,$AM39),"-")</f>
        <v/>
      </c>
      <c r="CF39" s="22">
        <f>IF(AND($H39&lt;&gt;"",$AN39&lt;&gt;"",$H39&lt;&gt;$AN39,IFERROR(VLOOKUP($H39,areaCercaPuntiClassificaSquadra,3,FALSE),-1)=IFERROR(VLOOKUP($AN39,areaCercaPuntiClassificaSquadra,3,FALSE),-2)),SUMIFS(Dati!$D$2:$D$761,Dati!$A$2:$A$761,$H39,Dati!$H$2:$H$761,$AN39)+SUMIFS(Dati!$K$2:$K$761,Dati!$H$2:$H$761,$H39,Dati!$A$2:$A$761,$AN39)+SUMIFS(Dati!$C$2:$C$761,Dati!$A$2:$A$761,$H39,Dati!$H$2:$H$761,$AN39)+SUMIFS(Dati!$J$2:$J$761,Dati!$H$2:$H$761,$H39,Dati!$A$2:$A$761,$AN39),"-")</f>
        <v/>
      </c>
      <c r="CG39" s="22">
        <f>IF(AND($H39&lt;&gt;"",$AO39&lt;&gt;"",$H39&lt;&gt;$AO39,IFERROR(VLOOKUP($H39,areaCercaPuntiClassificaSquadra,3,FALSE),-1)=IFERROR(VLOOKUP($AO39,areaCercaPuntiClassificaSquadra,3,FALSE),-2)),SUMIFS(Dati!$D$2:$D$761,Dati!$A$2:$A$761,$H39,Dati!$H$2:$H$761,$AO39)+SUMIFS(Dati!$K$2:$K$761,Dati!$H$2:$H$761,$H39,Dati!$A$2:$A$761,$AO39)+SUMIFS(Dati!$C$2:$C$761,Dati!$A$2:$A$761,$H39,Dati!$H$2:$H$761,$AO39)+SUMIFS(Dati!$J$2:$J$761,Dati!$H$2:$H$761,$H39,Dati!$A$2:$A$761,$AO39),"-")</f>
        <v/>
      </c>
      <c r="CH39" s="22">
        <f>IF(AND($H39&lt;&gt;"",$AP39&lt;&gt;"",$H39&lt;&gt;$AP39,IFERROR(VLOOKUP($H39,areaCercaPuntiClassificaSquadra,3,FALSE),-1)=IFERROR(VLOOKUP($AP39,areaCercaPuntiClassificaSquadra,3,FALSE),-2)),SUMIFS(Dati!$D$2:$D$761,Dati!$A$2:$A$761,$H39,Dati!$H$2:$H$761,$AP39)+SUMIFS(Dati!$K$2:$K$761,Dati!$H$2:$H$761,$H39,Dati!$A$2:$A$761,$AP39)+SUMIFS(Dati!$C$2:$C$761,Dati!$A$2:$A$761,$H39,Dati!$H$2:$H$761,$AP39)+SUMIFS(Dati!$J$2:$J$761,Dati!$H$2:$H$761,$H39,Dati!$A$2:$A$761,$AP39),"-")</f>
        <v/>
      </c>
      <c r="CI39" s="22">
        <f>IF(AND($H39&lt;&gt;"",$AQ39&lt;&gt;"",$H39&lt;&gt;$AQ39,IFERROR(VLOOKUP($H39,areaCercaPuntiClassificaSquadra,3,FALSE),-1)=IFERROR(VLOOKUP($AQ39,areaCercaPuntiClassificaSquadra,3,FALSE),-2)),SUMIFS(Dati!$D$2:$D$761,Dati!$A$2:$A$761,$H39,Dati!$H$2:$H$761,$AQ39)+SUMIFS(Dati!$K$2:$K$761,Dati!$H$2:$H$761,$H39,Dati!$A$2:$A$761,$AQ39)+SUMIFS(Dati!$C$2:$C$761,Dati!$A$2:$A$761,$H39,Dati!$H$2:$H$761,$AQ39)+SUMIFS(Dati!$J$2:$J$761,Dati!$H$2:$H$761,$H39,Dati!$A$2:$A$761,$AQ39),"-")</f>
        <v/>
      </c>
      <c r="CJ39" s="22">
        <f>IF(AND($H39&lt;&gt;"",$AR39&lt;&gt;"",$H39&lt;&gt;$AR39,IFERROR(VLOOKUP($H39,areaCercaPuntiClassificaSquadra,3,FALSE),-1)=IFERROR(VLOOKUP($AR39,areaCercaPuntiClassificaSquadra,3,FALSE),-2)),SUMIFS(Dati!$D$2:$D$761,Dati!$A$2:$A$761,$H39,Dati!$H$2:$H$761,$AR39)+SUMIFS(Dati!$K$2:$K$761,Dati!$H$2:$H$761,$H39,Dati!$A$2:$A$761,$AR39)+SUMIFS(Dati!$C$2:$C$761,Dati!$A$2:$A$761,$H39,Dati!$H$2:$H$761,$AR39)+SUMIFS(Dati!$J$2:$J$761,Dati!$H$2:$H$761,$H39,Dati!$A$2:$A$761,$AR39),"-")</f>
        <v/>
      </c>
      <c r="CL39" s="21">
        <f>$C39</f>
        <v/>
      </c>
      <c r="CM39" s="22">
        <f>IF(AND($H39&lt;&gt;"",$Y39&lt;&gt;"",$H39&lt;&gt;$Y39,IFERROR(VLOOKUP($H39,areaCercaPuntiClassificaSquadra,3,FALSE),-1)=IFERROR(VLOOKUP($Y39,areaCercaPuntiClassificaSquadra,3,FALSE),-2)),SUMIFS(Dati!$E$2:$E$761,Dati!$A$2:$A$761,$H39,Dati!$H$2:$H$761,$Y39)+SUMIFS(Dati!$L$2:$L$761,Dati!$H$2:$H$761,$H39,Dati!$A$2:$A$761,$Y39),"-")</f>
        <v/>
      </c>
      <c r="CN39" s="22">
        <f>IF(AND($H39&lt;&gt;"",$Z39&lt;&gt;"",$H39&lt;&gt;$Z39,IFERROR(VLOOKUP($H39,areaCercaPuntiClassificaSquadra,3,FALSE),-1)=IFERROR(VLOOKUP($Z39,areaCercaPuntiClassificaSquadra,3,FALSE),-2)),SUMIFS(Dati!$E$2:$E$761,Dati!$A$2:$A$761,$H39,Dati!$H$2:$H$761,$Z39)+SUMIFS(Dati!$L$2:$L$761,Dati!$H$2:$H$761,$H39,Dati!$A$2:$A$761,$Z39),"-")</f>
        <v/>
      </c>
      <c r="CO39" s="22">
        <f>IF(AND($H39&lt;&gt;"",$AA39&lt;&gt;"",$H39&lt;&gt;$AA39,IFERROR(VLOOKUP($H39,areaCercaPuntiClassificaSquadra,3,FALSE),-1)=IFERROR(VLOOKUP($AA39,areaCercaPuntiClassificaSquadra,3,FALSE),-2)),SUMIFS(Dati!$E$2:$E$761,Dati!$A$2:$A$761,$H39,Dati!$H$2:$H$761,$AA39)+SUMIFS(Dati!$L$2:$L$761,Dati!$H$2:$H$761,$H39,Dati!$A$2:$A$761,$AA39),"-")</f>
        <v/>
      </c>
      <c r="CP39" s="22">
        <f>IF(AND($H39&lt;&gt;"",$AB39&lt;&gt;"",$H39&lt;&gt;$AB39,IFERROR(VLOOKUP($H39,areaCercaPuntiClassificaSquadra,3,FALSE),-1)=IFERROR(VLOOKUP($AB39,areaCercaPuntiClassificaSquadra,3,FALSE),-2)),SUMIFS(Dati!$E$2:$E$761,Dati!$A$2:$A$761,$H39,Dati!$H$2:$H$761,$AB39)+SUMIFS(Dati!$L$2:$L$761,Dati!$H$2:$H$761,$H39,Dati!$A$2:$A$761,$AB39),"-")</f>
        <v/>
      </c>
      <c r="CQ39" s="22">
        <f>IF(AND($H39&lt;&gt;"",$AC39&lt;&gt;"",$H39&lt;&gt;$AC39,IFERROR(VLOOKUP($H39,areaCercaPuntiClassificaSquadra,3,FALSE),-1)=IFERROR(VLOOKUP($AC39,areaCercaPuntiClassificaSquadra,3,FALSE),-2)),SUMIFS(Dati!$E$2:$E$761,Dati!$A$2:$A$761,$H39,Dati!$H$2:$H$761,$AC39)+SUMIFS(Dati!$L$2:$L$761,Dati!$H$2:$H$761,$H39,Dati!$A$2:$A$761,$AC39),"-")</f>
        <v/>
      </c>
      <c r="CR39" s="22">
        <f>IF(AND($H39&lt;&gt;"",$AD39&lt;&gt;"",$H39&lt;&gt;$AD39,IFERROR(VLOOKUP($H39,areaCercaPuntiClassificaSquadra,3,FALSE),-1)=IFERROR(VLOOKUP($AD39,areaCercaPuntiClassificaSquadra,3,FALSE),-2)),SUMIFS(Dati!$E$2:$E$761,Dati!$A$2:$A$761,$H39,Dati!$H$2:$H$761,$AD39)+SUMIFS(Dati!$L$2:$L$761,Dati!$H$2:$H$761,$H39,Dati!$A$2:$A$761,$AD39),"-")</f>
        <v/>
      </c>
      <c r="CS39" s="22">
        <f>IF(AND($H39&lt;&gt;"",$AE39&lt;&gt;"",$H39&lt;&gt;$AE39,IFERROR(VLOOKUP($H39,areaCercaPuntiClassificaSquadra,3,FALSE),-1)=IFERROR(VLOOKUP($AE39,areaCercaPuntiClassificaSquadra,3,FALSE),-2)),SUMIFS(Dati!$E$2:$E$761,Dati!$A$2:$A$761,$H39,Dati!$H$2:$H$761,$AE39)+SUMIFS(Dati!$L$2:$L$761,Dati!$H$2:$H$761,$H39,Dati!$A$2:$A$761,$AE39),"-")</f>
        <v/>
      </c>
      <c r="CT39" s="22">
        <f>IF(AND($H39&lt;&gt;"",$AF39&lt;&gt;"",$H39&lt;&gt;$AF39,IFERROR(VLOOKUP($H39,areaCercaPuntiClassificaSquadra,3,FALSE),-1)=IFERROR(VLOOKUP($AF39,areaCercaPuntiClassificaSquadra,3,FALSE),-2)),SUMIFS(Dati!$E$2:$E$761,Dati!$A$2:$A$761,$H39,Dati!$H$2:$H$761,$AF39)+SUMIFS(Dati!$L$2:$L$761,Dati!$H$2:$H$761,$H39,Dati!$A$2:$A$761,$AF39),"-")</f>
        <v/>
      </c>
      <c r="CU39" s="22">
        <f>IF(AND($H39&lt;&gt;"",$AG39&lt;&gt;"",$H39&lt;&gt;$AG39,IFERROR(VLOOKUP($H39,areaCercaPuntiClassificaSquadra,3,FALSE),-1)=IFERROR(VLOOKUP($AG39,areaCercaPuntiClassificaSquadra,3,FALSE),-2)),SUMIFS(Dati!$E$2:$E$761,Dati!$A$2:$A$761,$H39,Dati!$H$2:$H$761,$AG39)+SUMIFS(Dati!$L$2:$L$761,Dati!$H$2:$H$761,$H39,Dati!$A$2:$A$761,$AG39),"-")</f>
        <v/>
      </c>
      <c r="CV39" s="22">
        <f>IF(AND($H39&lt;&gt;"",$AH39&lt;&gt;"",$H39&lt;&gt;$AH39,IFERROR(VLOOKUP($H39,areaCercaPuntiClassificaSquadra,3,FALSE),-1)=IFERROR(VLOOKUP($AH39,areaCercaPuntiClassificaSquadra,3,FALSE),-2)),SUMIFS(Dati!$E$2:$E$761,Dati!$A$2:$A$761,$H39,Dati!$H$2:$H$761,$AH39)+SUMIFS(Dati!$L$2:$L$761,Dati!$H$2:$H$761,$H39,Dati!$A$2:$A$761,$AH39),"-")</f>
        <v/>
      </c>
      <c r="CW39" s="22">
        <f>IF(AND($H39&lt;&gt;"",$AI39&lt;&gt;"",$H39&lt;&gt;$AI39,IFERROR(VLOOKUP($H39,areaCercaPuntiClassificaSquadra,3,FALSE),-1)=IFERROR(VLOOKUP($AI39,areaCercaPuntiClassificaSquadra,3,FALSE),-2)),SUMIFS(Dati!$E$2:$E$761,Dati!$A$2:$A$761,$H39,Dati!$H$2:$H$761,$AI39)+SUMIFS(Dati!$L$2:$L$761,Dati!$H$2:$H$761,$H39,Dati!$A$2:$A$761,$AI39),"-")</f>
        <v/>
      </c>
      <c r="CX39" s="22">
        <f>IF(AND($H39&lt;&gt;"",$AJ39&lt;&gt;"",$H39&lt;&gt;$AJ39,IFERROR(VLOOKUP($H39,areaCercaPuntiClassificaSquadra,3,FALSE),-1)=IFERROR(VLOOKUP($AJ39,areaCercaPuntiClassificaSquadra,3,FALSE),-2)),SUMIFS(Dati!$E$2:$E$761,Dati!$A$2:$A$761,$H39,Dati!$H$2:$H$761,$AJ39)+SUMIFS(Dati!$L$2:$L$761,Dati!$H$2:$H$761,$H39,Dati!$A$2:$A$761,$AJ39),"-")</f>
        <v/>
      </c>
      <c r="CY39" s="22">
        <f>IF(AND($H39&lt;&gt;"",$AK39&lt;&gt;"",$H39&lt;&gt;$AK39,IFERROR(VLOOKUP($H39,areaCercaPuntiClassificaSquadra,3,FALSE),-1)=IFERROR(VLOOKUP($AK39,areaCercaPuntiClassificaSquadra,3,FALSE),-2)),SUMIFS(Dati!$E$2:$E$761,Dati!$A$2:$A$761,$H39,Dati!$H$2:$H$761,$AK39)+SUMIFS(Dati!$L$2:$L$761,Dati!$H$2:$H$761,$H39,Dati!$A$2:$A$761,$AK39),"-")</f>
        <v/>
      </c>
      <c r="CZ39" s="22">
        <f>IF(AND($H39&lt;&gt;"",$AL39&lt;&gt;"",$H39&lt;&gt;$AL39,IFERROR(VLOOKUP($H39,areaCercaPuntiClassificaSquadra,3,FALSE),-1)=IFERROR(VLOOKUP($AL39,areaCercaPuntiClassificaSquadra,3,FALSE),-2)),SUMIFS(Dati!$E$2:$E$761,Dati!$A$2:$A$761,$H39,Dati!$H$2:$H$761,$AL39)+SUMIFS(Dati!$L$2:$L$761,Dati!$H$2:$H$761,$H39,Dati!$A$2:$A$761,$AL39),"-")</f>
        <v/>
      </c>
      <c r="DA39" s="22">
        <f>IF(AND($H39&lt;&gt;"",$AM39&lt;&gt;"",$H39&lt;&gt;$AM39,IFERROR(VLOOKUP($H39,areaCercaPuntiClassificaSquadra,3,FALSE),-1)=IFERROR(VLOOKUP($AM39,areaCercaPuntiClassificaSquadra,3,FALSE),-2)),SUMIFS(Dati!$E$2:$E$761,Dati!$A$2:$A$761,$H39,Dati!$H$2:$H$761,$AM39)+SUMIFS(Dati!$L$2:$L$761,Dati!$H$2:$H$761,$H39,Dati!$A$2:$A$761,$AM39),"-")</f>
        <v/>
      </c>
      <c r="DB39" s="22">
        <f>IF(AND($H39&lt;&gt;"",$AN39&lt;&gt;"",$H39&lt;&gt;$AN39,IFERROR(VLOOKUP($H39,areaCercaPuntiClassificaSquadra,3,FALSE),-1)=IFERROR(VLOOKUP($AN39,areaCercaPuntiClassificaSquadra,3,FALSE),-2)),SUMIFS(Dati!$E$2:$E$761,Dati!$A$2:$A$761,$H39,Dati!$H$2:$H$761,$AN39)+SUMIFS(Dati!$L$2:$L$761,Dati!$H$2:$H$761,$H39,Dati!$A$2:$A$761,$AN39),"-")</f>
        <v/>
      </c>
      <c r="DC39" s="22">
        <f>IF(AND($H39&lt;&gt;"",$AO39&lt;&gt;"",$H39&lt;&gt;$AO39,IFERROR(VLOOKUP($H39,areaCercaPuntiClassificaSquadra,3,FALSE),-1)=IFERROR(VLOOKUP($AO39,areaCercaPuntiClassificaSquadra,3,FALSE),-2)),SUMIFS(Dati!$E$2:$E$761,Dati!$A$2:$A$761,$H39,Dati!$H$2:$H$761,$AO39)+SUMIFS(Dati!$L$2:$L$761,Dati!$H$2:$H$761,$H39,Dati!$A$2:$A$761,$AO39),"-")</f>
        <v/>
      </c>
      <c r="DD39" s="22">
        <f>IF(AND($H39&lt;&gt;"",$AP39&lt;&gt;"",$H39&lt;&gt;$AP39,IFERROR(VLOOKUP($H39,areaCercaPuntiClassificaSquadra,3,FALSE),-1)=IFERROR(VLOOKUP($AP39,areaCercaPuntiClassificaSquadra,3,FALSE),-2)),SUMIFS(Dati!$E$2:$E$761,Dati!$A$2:$A$761,$H39,Dati!$H$2:$H$761,$AP39)+SUMIFS(Dati!$L$2:$L$761,Dati!$H$2:$H$761,$H39,Dati!$A$2:$A$761,$AP39),"-")</f>
        <v/>
      </c>
      <c r="DE39" s="22">
        <f>IF(AND($H39&lt;&gt;"",$AQ39&lt;&gt;"",$H39&lt;&gt;$AQ39,IFERROR(VLOOKUP($H39,areaCercaPuntiClassificaSquadra,3,FALSE),-1)=IFERROR(VLOOKUP($AQ39,areaCercaPuntiClassificaSquadra,3,FALSE),-2)),SUMIFS(Dati!$E$2:$E$761,Dati!$A$2:$A$761,$H39,Dati!$H$2:$H$761,$AQ39)+SUMIFS(Dati!$L$2:$L$761,Dati!$H$2:$H$761,$H39,Dati!$A$2:$A$761,$AQ39),"-")</f>
        <v/>
      </c>
      <c r="DF39" s="22">
        <f>IF(AND($H39&lt;&gt;"",$AR39&lt;&gt;"",$H39&lt;&gt;$AR39,IFERROR(VLOOKUP($H39,areaCercaPuntiClassificaSquadra,3,FALSE),-1)=IFERROR(VLOOKUP($AR39,areaCercaPuntiClassificaSquadra,3,FALSE),-2)),SUMIFS(Dati!$E$2:$E$761,Dati!$A$2:$A$761,$H39,Dati!$H$2:$H$761,$AR39)+SUMIFS(Dati!$L$2:$L$761,Dati!$H$2:$H$761,$H39,Dati!$A$2:$A$761,$AR39),"-")</f>
        <v/>
      </c>
      <c r="DH39" s="21">
        <f>$C39</f>
        <v/>
      </c>
      <c r="DI39" s="22">
        <f>IF(AND($H39&lt;&gt;"",$Y39&lt;&gt;"",$H39&lt;&gt;$Y39,IFERROR(VLOOKUP($H39,areaCercaPuntiClassificaSquadra,3,FALSE),-1)=IFERROR(VLOOKUP($Y39,areaCercaPuntiClassificaSquadra,3,FALSE),-2)),SUMIFS(Dati!$F$2:$F$761,Dati!$A$2:$A$761,$H39,Dati!$H$2:$H$761,$Y39)+SUMIFS(Dati!$M$2:$M$761,Dati!$H$2:$H$761,$H39,Dati!$A$2:$A$761,$Y39),"-")</f>
        <v/>
      </c>
      <c r="DJ39" s="22">
        <f>IF(AND($H39&lt;&gt;"",$Z39&lt;&gt;"",$H39&lt;&gt;$Z39,IFERROR(VLOOKUP($H39,areaCercaPuntiClassificaSquadra,3,FALSE),-1)=IFERROR(VLOOKUP($Z39,areaCercaPuntiClassificaSquadra,3,FALSE),-2)),SUMIFS(Dati!$F$2:$F$761,Dati!$A$2:$A$761,$H39,Dati!$H$2:$H$761,$Z39)+SUMIFS(Dati!$M$2:$M$761,Dati!$H$2:$H$761,$H39,Dati!$A$2:$A$761,$Z39),"-")</f>
        <v/>
      </c>
      <c r="DK39" s="22">
        <f>IF(AND($H39&lt;&gt;"",$AA39&lt;&gt;"",$H39&lt;&gt;$AA39,IFERROR(VLOOKUP($H39,areaCercaPuntiClassificaSquadra,3,FALSE),-1)=IFERROR(VLOOKUP($AA39,areaCercaPuntiClassificaSquadra,3,FALSE),-2)),SUMIFS(Dati!$F$2:$F$761,Dati!$A$2:$A$761,$H39,Dati!$H$2:$H$761,$AA39)+SUMIFS(Dati!$M$2:$M$761,Dati!$H$2:$H$761,$H39,Dati!$A$2:$A$761,$AA39),"-")</f>
        <v/>
      </c>
      <c r="DL39" s="22">
        <f>IF(AND($H39&lt;&gt;"",$AB39&lt;&gt;"",$H39&lt;&gt;$AB39,IFERROR(VLOOKUP($H39,areaCercaPuntiClassificaSquadra,3,FALSE),-1)=IFERROR(VLOOKUP($AB39,areaCercaPuntiClassificaSquadra,3,FALSE),-2)),SUMIFS(Dati!$F$2:$F$761,Dati!$A$2:$A$761,$H39,Dati!$H$2:$H$761,$AB39)+SUMIFS(Dati!$M$2:$M$761,Dati!$H$2:$H$761,$H39,Dati!$A$2:$A$761,$AB39),"-")</f>
        <v/>
      </c>
      <c r="DM39" s="22">
        <f>IF(AND($H39&lt;&gt;"",$AC39&lt;&gt;"",$H39&lt;&gt;$AC39,IFERROR(VLOOKUP($H39,areaCercaPuntiClassificaSquadra,3,FALSE),-1)=IFERROR(VLOOKUP($AC39,areaCercaPuntiClassificaSquadra,3,FALSE),-2)),SUMIFS(Dati!$F$2:$F$761,Dati!$A$2:$A$761,$H39,Dati!$H$2:$H$761,$AC39)+SUMIFS(Dati!$M$2:$M$761,Dati!$H$2:$H$761,$H39,Dati!$A$2:$A$761,$AC39),"-")</f>
        <v/>
      </c>
      <c r="DN39" s="22">
        <f>IF(AND($H39&lt;&gt;"",$AD39&lt;&gt;"",$H39&lt;&gt;$AD39,IFERROR(VLOOKUP($H39,areaCercaPuntiClassificaSquadra,3,FALSE),-1)=IFERROR(VLOOKUP($AD39,areaCercaPuntiClassificaSquadra,3,FALSE),-2)),SUMIFS(Dati!$F$2:$F$761,Dati!$A$2:$A$761,$H39,Dati!$H$2:$H$761,$AD39)+SUMIFS(Dati!$M$2:$M$761,Dati!$H$2:$H$761,$H39,Dati!$A$2:$A$761,$AD39),"-")</f>
        <v/>
      </c>
      <c r="DO39" s="22">
        <f>IF(AND($H39&lt;&gt;"",$AE39&lt;&gt;"",$H39&lt;&gt;$AE39,IFERROR(VLOOKUP($H39,areaCercaPuntiClassificaSquadra,3,FALSE),-1)=IFERROR(VLOOKUP($AE39,areaCercaPuntiClassificaSquadra,3,FALSE),-2)),SUMIFS(Dati!$F$2:$F$761,Dati!$A$2:$A$761,$H39,Dati!$H$2:$H$761,$AE39)+SUMIFS(Dati!$M$2:$M$761,Dati!$H$2:$H$761,$H39,Dati!$A$2:$A$761,$AE39),"-")</f>
        <v/>
      </c>
      <c r="DP39" s="22">
        <f>IF(AND($H39&lt;&gt;"",$AF39&lt;&gt;"",$H39&lt;&gt;$AF39,IFERROR(VLOOKUP($H39,areaCercaPuntiClassificaSquadra,3,FALSE),-1)=IFERROR(VLOOKUP($AF39,areaCercaPuntiClassificaSquadra,3,FALSE),-2)),SUMIFS(Dati!$F$2:$F$761,Dati!$A$2:$A$761,$H39,Dati!$H$2:$H$761,$AF39)+SUMIFS(Dati!$M$2:$M$761,Dati!$H$2:$H$761,$H39,Dati!$A$2:$A$761,$AF39),"-")</f>
        <v/>
      </c>
      <c r="DQ39" s="22">
        <f>IF(AND($H39&lt;&gt;"",$AG39&lt;&gt;"",$H39&lt;&gt;$AG39,IFERROR(VLOOKUP($H39,areaCercaPuntiClassificaSquadra,3,FALSE),-1)=IFERROR(VLOOKUP($AG39,areaCercaPuntiClassificaSquadra,3,FALSE),-2)),SUMIFS(Dati!$F$2:$F$761,Dati!$A$2:$A$761,$H39,Dati!$H$2:$H$761,$AG39)+SUMIFS(Dati!$M$2:$M$761,Dati!$H$2:$H$761,$H39,Dati!$A$2:$A$761,$AG39),"-")</f>
        <v/>
      </c>
      <c r="DR39" s="22">
        <f>IF(AND($H39&lt;&gt;"",$AH39&lt;&gt;"",$H39&lt;&gt;$AH39,IFERROR(VLOOKUP($H39,areaCercaPuntiClassificaSquadra,3,FALSE),-1)=IFERROR(VLOOKUP($AH39,areaCercaPuntiClassificaSquadra,3,FALSE),-2)),SUMIFS(Dati!$F$2:$F$761,Dati!$A$2:$A$761,$H39,Dati!$H$2:$H$761,$AH39)+SUMIFS(Dati!$M$2:$M$761,Dati!$H$2:$H$761,$H39,Dati!$A$2:$A$761,$AH39),"-")</f>
        <v/>
      </c>
      <c r="DS39" s="22">
        <f>IF(AND($H39&lt;&gt;"",$AI39&lt;&gt;"",$H39&lt;&gt;$AI39,IFERROR(VLOOKUP($H39,areaCercaPuntiClassificaSquadra,3,FALSE),-1)=IFERROR(VLOOKUP($AI39,areaCercaPuntiClassificaSquadra,3,FALSE),-2)),SUMIFS(Dati!$F$2:$F$761,Dati!$A$2:$A$761,$H39,Dati!$H$2:$H$761,$AI39)+SUMIFS(Dati!$M$2:$M$761,Dati!$H$2:$H$761,$H39,Dati!$A$2:$A$761,$AI39),"-")</f>
        <v/>
      </c>
      <c r="DT39" s="22">
        <f>IF(AND($H39&lt;&gt;"",$AJ39&lt;&gt;"",$H39&lt;&gt;$AJ39,IFERROR(VLOOKUP($H39,areaCercaPuntiClassificaSquadra,3,FALSE),-1)=IFERROR(VLOOKUP($AJ39,areaCercaPuntiClassificaSquadra,3,FALSE),-2)),SUMIFS(Dati!$F$2:$F$761,Dati!$A$2:$A$761,$H39,Dati!$H$2:$H$761,$AJ39)+SUMIFS(Dati!$M$2:$M$761,Dati!$H$2:$H$761,$H39,Dati!$A$2:$A$761,$AJ39),"-")</f>
        <v/>
      </c>
      <c r="DU39" s="22">
        <f>IF(AND($H39&lt;&gt;"",$AK39&lt;&gt;"",$H39&lt;&gt;$AK39,IFERROR(VLOOKUP($H39,areaCercaPuntiClassificaSquadra,3,FALSE),-1)=IFERROR(VLOOKUP($AK39,areaCercaPuntiClassificaSquadra,3,FALSE),-2)),SUMIFS(Dati!$F$2:$F$761,Dati!$A$2:$A$761,$H39,Dati!$H$2:$H$761,$AK39)+SUMIFS(Dati!$M$2:$M$761,Dati!$H$2:$H$761,$H39,Dati!$A$2:$A$761,$AK39),"-")</f>
        <v/>
      </c>
      <c r="DV39" s="22">
        <f>IF(AND($H39&lt;&gt;"",$AL39&lt;&gt;"",$H39&lt;&gt;$AL39,IFERROR(VLOOKUP($H39,areaCercaPuntiClassificaSquadra,3,FALSE),-1)=IFERROR(VLOOKUP($AL39,areaCercaPuntiClassificaSquadra,3,FALSE),-2)),SUMIFS(Dati!$F$2:$F$761,Dati!$A$2:$A$761,$H39,Dati!$H$2:$H$761,$AL39)+SUMIFS(Dati!$M$2:$M$761,Dati!$H$2:$H$761,$H39,Dati!$A$2:$A$761,$AL39),"-")</f>
        <v/>
      </c>
      <c r="DW39" s="22">
        <f>IF(AND($H39&lt;&gt;"",$AM39&lt;&gt;"",$H39&lt;&gt;$AM39,IFERROR(VLOOKUP($H39,areaCercaPuntiClassificaSquadra,3,FALSE),-1)=IFERROR(VLOOKUP($AM39,areaCercaPuntiClassificaSquadra,3,FALSE),-2)),SUMIFS(Dati!$F$2:$F$761,Dati!$A$2:$A$761,$H39,Dati!$H$2:$H$761,$AM39)+SUMIFS(Dati!$M$2:$M$761,Dati!$H$2:$H$761,$H39,Dati!$A$2:$A$761,$AM39),"-")</f>
        <v/>
      </c>
      <c r="DX39" s="22">
        <f>IF(AND($H39&lt;&gt;"",$AN39&lt;&gt;"",$H39&lt;&gt;$AN39,IFERROR(VLOOKUP($H39,areaCercaPuntiClassificaSquadra,3,FALSE),-1)=IFERROR(VLOOKUP($AN39,areaCercaPuntiClassificaSquadra,3,FALSE),-2)),SUMIFS(Dati!$F$2:$F$761,Dati!$A$2:$A$761,$H39,Dati!$H$2:$H$761,$AN39)+SUMIFS(Dati!$M$2:$M$761,Dati!$H$2:$H$761,$H39,Dati!$A$2:$A$761,$AN39),"-")</f>
        <v/>
      </c>
      <c r="DY39" s="22">
        <f>IF(AND($H39&lt;&gt;"",$AO39&lt;&gt;"",$H39&lt;&gt;$AO39,IFERROR(VLOOKUP($H39,areaCercaPuntiClassificaSquadra,3,FALSE),-1)=IFERROR(VLOOKUP($AO39,areaCercaPuntiClassificaSquadra,3,FALSE),-2)),SUMIFS(Dati!$F$2:$F$761,Dati!$A$2:$A$761,$H39,Dati!$H$2:$H$761,$AO39)+SUMIFS(Dati!$M$2:$M$761,Dati!$H$2:$H$761,$H39,Dati!$A$2:$A$761,$AO39),"-")</f>
        <v/>
      </c>
      <c r="DZ39" s="22">
        <f>IF(AND($H39&lt;&gt;"",$AP39&lt;&gt;"",$H39&lt;&gt;$AP39,IFERROR(VLOOKUP($H39,areaCercaPuntiClassificaSquadra,3,FALSE),-1)=IFERROR(VLOOKUP($AP39,areaCercaPuntiClassificaSquadra,3,FALSE),-2)),SUMIFS(Dati!$F$2:$F$761,Dati!$A$2:$A$761,$H39,Dati!$H$2:$H$761,$AP39)+SUMIFS(Dati!$M$2:$M$761,Dati!$H$2:$H$761,$H39,Dati!$A$2:$A$761,$AP39),"-")</f>
        <v/>
      </c>
      <c r="EA39" s="22">
        <f>IF(AND($H39&lt;&gt;"",$AQ39&lt;&gt;"",$H39&lt;&gt;$AQ39,IFERROR(VLOOKUP($H39,areaCercaPuntiClassificaSquadra,3,FALSE),-1)=IFERROR(VLOOKUP($AQ39,areaCercaPuntiClassificaSquadra,3,FALSE),-2)),SUMIFS(Dati!$F$2:$F$761,Dati!$A$2:$A$761,$H39,Dati!$H$2:$H$761,$AQ39)+SUMIFS(Dati!$M$2:$M$761,Dati!$H$2:$H$761,$H39,Dati!$A$2:$A$761,$AQ39),"-")</f>
        <v/>
      </c>
      <c r="EB39" s="22">
        <f>IF(AND($H39&lt;&gt;"",$AR39&lt;&gt;"",$H39&lt;&gt;$AR39,IFERROR(VLOOKUP($H39,areaCercaPuntiClassificaSquadra,3,FALSE),-1)=IFERROR(VLOOKUP($AR39,areaCercaPuntiClassificaSquadra,3,FALSE),-2)),SUMIFS(Dati!$F$2:$F$761,Dati!$A$2:$A$761,$H39,Dati!$H$2:$H$761,$AR39)+SUMIFS(Dati!$M$2:$M$761,Dati!$H$2:$H$761,$H39,Dati!$A$2:$A$761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inlineStr">
        <is>
          <t>Mufloni Mobili-Mufloniopoli ME</t>
        </is>
      </c>
      <c r="D40" s="14" t="n"/>
      <c r="E40" s="23" t="inlineStr">
        <is>
          <t>B</t>
        </is>
      </c>
      <c r="G40" s="24">
        <f>IF($C40="","",$E40&amp;(COUNTIFS(I$14:I$93,"&gt;"&amp;I40,E$14:E$93,"="&amp;E40,C$14:C$93,"&lt;&gt;")+COUNTIFS(I$14:I$93,"="&amp;I40,H$14:H$93,"&lt;="&amp;H40,E$14:E$93,"="&amp;E40,C$14:C$93,"&lt;&gt;")))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L40*constPuntiVittoria+M40*constPuntiSconfitta+N40*constPuntiForfait+IF(D40="",0,D40)</f>
        <v/>
      </c>
      <c r="K40" s="12">
        <f>SUM(L40:N40)</f>
        <v/>
      </c>
      <c r="L40" s="12">
        <f>IF($H40="",0,SUMIF(Dati!$A$2:$A$761,$H40,Dati!$B$2:$B$761)+SUMIF(Dati!$H$2:$H$761,$H40,Dati!$I$2:$I$761))</f>
        <v/>
      </c>
      <c r="M40" s="12">
        <f>IF($H40="",0,SUMIF(Dati!$A$2:$A$761,$H40,Dati!$D$2:$D$761)+SUMIF(Dati!$H$2:$H$761,$H40,Dati!$K$2:$K$761))</f>
        <v/>
      </c>
      <c r="N40" s="12">
        <f>IF($H40="",0,SUMIF(Dati!$A$2:$A$761,$H40,Dati!$C$2:$C$761)+SUMIF(Dati!$H$2:$H$761,$H40,Dati!$J$2:$J$761))</f>
        <v/>
      </c>
      <c r="O40" s="12">
        <f>IF($H40="",0,SUMIF(Dati!$A$2:$A$761,$H40,Dati!$E$2:$E$761)+SUMIF(Dati!$H$2:$H$761,$H40,Dati!$L$2:$L$761))</f>
        <v/>
      </c>
      <c r="P40" s="12">
        <f>IF($H40="",0,SUMIF(Dati!$A$2:$A$761,$H40,Dati!$F$2:$F$761)+SUMIF(Dati!$H$2:$H$761,$H40,Dati!$M$2:$M$761))</f>
        <v/>
      </c>
      <c r="Q40" s="12">
        <f>IF($H40="",0,SUMIF(Dati!$A$2:$A$761,$H40,Dati!$G$2:$G$761)+SUMIF(Dati!$H$2:$H$761,$H40,Dati!$N$2:$N$761))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IF(COUNTIFS($E$14:$E$93,$E40,$J$14:$J$93,$J40,$C$14:$C$93,"&lt;&gt;")&lt;=1,"-",SUM(AU40:BN40)&amp;"-"&amp;SUM(BQ40:CJ40))</f>
        <v/>
      </c>
      <c r="V40" s="18">
        <f>IF(COUNTIFS($E$14:$E$93,$E40,$J$14:$J$93,$J40,$C$14:$C$93,"&lt;&gt;",$ED$14:$ED$93,$ED40)&lt;=1,"-",IF(SUM(DI40:EB40)=0,0,ROUND(SUM(CM40:DF40)/SUM(DI40:EB40),3)))</f>
        <v/>
      </c>
      <c r="W40" s="18">
        <f>IF(COUNTIFS($E$14:$E$93,$E40,$J$14:$J$93,$J40,$C$14:$C$93,"&lt;&gt;",$ED$14:$ED$93,$ED40,$V$14:$V$93,$V40)&lt;=1,"-",IF(P40=0,0,ROUND(O40/P40,3)))</f>
        <v/>
      </c>
      <c r="X40" s="19">
        <f>IF($C40="","",$E40&amp;"#"&amp;COUNTIFS($E$14:$E40,$E40,$C$14:$C40,"&lt;&gt;"))</f>
        <v/>
      </c>
      <c r="Y40" s="20">
        <f>IFERROR(INDEX($H$14:$H$93,MATCH($E40&amp;"#1",$X$14:$X$93,0)),"")</f>
        <v/>
      </c>
      <c r="Z40" s="20">
        <f>IFERROR(INDEX($H$14:$H$93,MATCH($E40&amp;"#2",$X$14:$X$93,0)),"")</f>
        <v/>
      </c>
      <c r="AA40" s="20">
        <f>IFERROR(INDEX($H$14:$H$93,MATCH($E40&amp;"#3",$X$14:$X$93,0)),"")</f>
        <v/>
      </c>
      <c r="AB40" s="20">
        <f>IFERROR(INDEX($H$14:$H$93,MATCH($E40&amp;"#4",$X$14:$X$93,0)),"")</f>
        <v/>
      </c>
      <c r="AC40" s="20">
        <f>IFERROR(INDEX($H$14:$H$93,MATCH($E40&amp;"#5",$X$14:$X$93,0)),"")</f>
        <v/>
      </c>
      <c r="AD40" s="20">
        <f>IFERROR(INDEX($H$14:$H$93,MATCH($E40&amp;"#6",$X$14:$X$93,0)),"")</f>
        <v/>
      </c>
      <c r="AE40" s="20">
        <f>IFERROR(INDEX($H$14:$H$93,MATCH($E40&amp;"#7",$X$14:$X$93,0)),"")</f>
        <v/>
      </c>
      <c r="AF40" s="20">
        <f>IFERROR(INDEX($H$14:$H$93,MATCH($E40&amp;"#8",$X$14:$X$93,0)),"")</f>
        <v/>
      </c>
      <c r="AG40" s="20">
        <f>IFERROR(INDEX($H$14:$H$93,MATCH($E40&amp;"#9",$X$14:$X$93,0)),"")</f>
        <v/>
      </c>
      <c r="AH40" s="20">
        <f>IFERROR(INDEX($H$14:$H$93,MATCH($E40&amp;"#10",$X$14:$X$93,0)),"")</f>
        <v/>
      </c>
      <c r="AI40" s="20">
        <f>IFERROR(INDEX($H$14:$H$93,MATCH($E40&amp;"#11",$X$14:$X$93,0)),"")</f>
        <v/>
      </c>
      <c r="AJ40" s="20">
        <f>IFERROR(INDEX($H$14:$H$93,MATCH($E40&amp;"#12",$X$14:$X$93,0)),"")</f>
        <v/>
      </c>
      <c r="AK40" s="20">
        <f>IFERROR(INDEX($H$14:$H$93,MATCH($E40&amp;"#13",$X$14:$X$93,0)),"")</f>
        <v/>
      </c>
      <c r="AL40" s="20">
        <f>IFERROR(INDEX($H$14:$H$93,MATCH($E40&amp;"#14",$X$14:$X$93,0)),"")</f>
        <v/>
      </c>
      <c r="AM40" s="20">
        <f>IFERROR(INDEX($H$14:$H$93,MATCH($E40&amp;"#15",$X$14:$X$93,0)),"")</f>
        <v/>
      </c>
      <c r="AN40" s="20">
        <f>IFERROR(INDEX($H$14:$H$93,MATCH($E40&amp;"#16",$X$14:$X$93,0)),"")</f>
        <v/>
      </c>
      <c r="AO40" s="20">
        <f>IFERROR(INDEX($H$14:$H$93,MATCH($E40&amp;"#17",$X$14:$X$93,0)),"")</f>
        <v/>
      </c>
      <c r="AP40" s="20">
        <f>IFERROR(INDEX($H$14:$H$93,MATCH($E40&amp;"#18",$X$14:$X$93,0)),"")</f>
        <v/>
      </c>
      <c r="AQ40" s="20">
        <f>IFERROR(INDEX($H$14:$H$93,MATCH($E40&amp;"#19",$X$14:$X$93,0)),"")</f>
        <v/>
      </c>
      <c r="AR40" s="20">
        <f>IFERROR(INDEX($H$14:$H$93,MATCH($E40&amp;"#20",$X$14:$X$93,0)),"")</f>
        <v/>
      </c>
      <c r="AT40" s="21">
        <f>$C40</f>
        <v/>
      </c>
      <c r="AU40" s="22">
        <f>IF(AND($H40&lt;&gt;"",$Y40&lt;&gt;"",$H40&lt;&gt;$Y40,IFERROR(VLOOKUP($H40,areaCercaPuntiClassificaSquadra,3,FALSE),-1)=IFERROR(VLOOKUP($Y40,areaCercaPuntiClassificaSquadra,3,FALSE),-2)),SUMIFS(Dati!$B$2:$B$761,Dati!$A$2:$A$761,$H40,Dati!$H$2:$H$761,$Y40)+SUMIFS(Dati!$I$2:$I$761,Dati!$H$2:$H$761,$H40,Dati!$A$2:$A$761,$Y40),"-")</f>
        <v/>
      </c>
      <c r="AV40" s="22">
        <f>IF(AND($H40&lt;&gt;"",$Z40&lt;&gt;"",$H40&lt;&gt;$Z40,IFERROR(VLOOKUP($H40,areaCercaPuntiClassificaSquadra,3,FALSE),-1)=IFERROR(VLOOKUP($Z40,areaCercaPuntiClassificaSquadra,3,FALSE),-2)),SUMIFS(Dati!$B$2:$B$761,Dati!$A$2:$A$761,$H40,Dati!$H$2:$H$761,$Z40)+SUMIFS(Dati!$I$2:$I$761,Dati!$H$2:$H$761,$H40,Dati!$A$2:$A$761,$Z40),"-")</f>
        <v/>
      </c>
      <c r="AW40" s="22">
        <f>IF(AND($H40&lt;&gt;"",$AA40&lt;&gt;"",$H40&lt;&gt;$AA40,IFERROR(VLOOKUP($H40,areaCercaPuntiClassificaSquadra,3,FALSE),-1)=IFERROR(VLOOKUP($AA40,areaCercaPuntiClassificaSquadra,3,FALSE),-2)),SUMIFS(Dati!$B$2:$B$761,Dati!$A$2:$A$761,$H40,Dati!$H$2:$H$761,$AA40)+SUMIFS(Dati!$I$2:$I$761,Dati!$H$2:$H$761,$H40,Dati!$A$2:$A$761,$AA40),"-")</f>
        <v/>
      </c>
      <c r="AX40" s="22">
        <f>IF(AND($H40&lt;&gt;"",$AB40&lt;&gt;"",$H40&lt;&gt;$AB40,IFERROR(VLOOKUP($H40,areaCercaPuntiClassificaSquadra,3,FALSE),-1)=IFERROR(VLOOKUP($AB40,areaCercaPuntiClassificaSquadra,3,FALSE),-2)),SUMIFS(Dati!$B$2:$B$761,Dati!$A$2:$A$761,$H40,Dati!$H$2:$H$761,$AB40)+SUMIFS(Dati!$I$2:$I$761,Dati!$H$2:$H$761,$H40,Dati!$A$2:$A$761,$AB40),"-")</f>
        <v/>
      </c>
      <c r="AY40" s="22">
        <f>IF(AND($H40&lt;&gt;"",$AC40&lt;&gt;"",$H40&lt;&gt;$AC40,IFERROR(VLOOKUP($H40,areaCercaPuntiClassificaSquadra,3,FALSE),-1)=IFERROR(VLOOKUP($AC40,areaCercaPuntiClassificaSquadra,3,FALSE),-2)),SUMIFS(Dati!$B$2:$B$761,Dati!$A$2:$A$761,$H40,Dati!$H$2:$H$761,$AC40)+SUMIFS(Dati!$I$2:$I$761,Dati!$H$2:$H$761,$H40,Dati!$A$2:$A$761,$AC40),"-")</f>
        <v/>
      </c>
      <c r="AZ40" s="22">
        <f>IF(AND($H40&lt;&gt;"",$AD40&lt;&gt;"",$H40&lt;&gt;$AD40,IFERROR(VLOOKUP($H40,areaCercaPuntiClassificaSquadra,3,FALSE),-1)=IFERROR(VLOOKUP($AD40,areaCercaPuntiClassificaSquadra,3,FALSE),-2)),SUMIFS(Dati!$B$2:$B$761,Dati!$A$2:$A$761,$H40,Dati!$H$2:$H$761,$AD40)+SUMIFS(Dati!$I$2:$I$761,Dati!$H$2:$H$761,$H40,Dati!$A$2:$A$761,$AD40),"-")</f>
        <v/>
      </c>
      <c r="BA40" s="22">
        <f>IF(AND($H40&lt;&gt;"",$AE40&lt;&gt;"",$H40&lt;&gt;$AE40,IFERROR(VLOOKUP($H40,areaCercaPuntiClassificaSquadra,3,FALSE),-1)=IFERROR(VLOOKUP($AE40,areaCercaPuntiClassificaSquadra,3,FALSE),-2)),SUMIFS(Dati!$B$2:$B$761,Dati!$A$2:$A$761,$H40,Dati!$H$2:$H$761,$AE40)+SUMIFS(Dati!$I$2:$I$761,Dati!$H$2:$H$761,$H40,Dati!$A$2:$A$761,$AE40),"-")</f>
        <v/>
      </c>
      <c r="BB40" s="22">
        <f>IF(AND($H40&lt;&gt;"",$AF40&lt;&gt;"",$H40&lt;&gt;$AF40,IFERROR(VLOOKUP($H40,areaCercaPuntiClassificaSquadra,3,FALSE),-1)=IFERROR(VLOOKUP($AF40,areaCercaPuntiClassificaSquadra,3,FALSE),-2)),SUMIFS(Dati!$B$2:$B$761,Dati!$A$2:$A$761,$H40,Dati!$H$2:$H$761,$AF40)+SUMIFS(Dati!$I$2:$I$761,Dati!$H$2:$H$761,$H40,Dati!$A$2:$A$761,$AF40),"-")</f>
        <v/>
      </c>
      <c r="BC40" s="22">
        <f>IF(AND($H40&lt;&gt;"",$AG40&lt;&gt;"",$H40&lt;&gt;$AG40,IFERROR(VLOOKUP($H40,areaCercaPuntiClassificaSquadra,3,FALSE),-1)=IFERROR(VLOOKUP($AG40,areaCercaPuntiClassificaSquadra,3,FALSE),-2)),SUMIFS(Dati!$B$2:$B$761,Dati!$A$2:$A$761,$H40,Dati!$H$2:$H$761,$AG40)+SUMIFS(Dati!$I$2:$I$761,Dati!$H$2:$H$761,$H40,Dati!$A$2:$A$761,$AG40),"-")</f>
        <v/>
      </c>
      <c r="BD40" s="22">
        <f>IF(AND($H40&lt;&gt;"",$AH40&lt;&gt;"",$H40&lt;&gt;$AH40,IFERROR(VLOOKUP($H40,areaCercaPuntiClassificaSquadra,3,FALSE),-1)=IFERROR(VLOOKUP($AH40,areaCercaPuntiClassificaSquadra,3,FALSE),-2)),SUMIFS(Dati!$B$2:$B$761,Dati!$A$2:$A$761,$H40,Dati!$H$2:$H$761,$AH40)+SUMIFS(Dati!$I$2:$I$761,Dati!$H$2:$H$761,$H40,Dati!$A$2:$A$761,$AH40),"-")</f>
        <v/>
      </c>
      <c r="BE40" s="22">
        <f>IF(AND($H40&lt;&gt;"",$AI40&lt;&gt;"",$H40&lt;&gt;$AI40,IFERROR(VLOOKUP($H40,areaCercaPuntiClassificaSquadra,3,FALSE),-1)=IFERROR(VLOOKUP($AI40,areaCercaPuntiClassificaSquadra,3,FALSE),-2)),SUMIFS(Dati!$B$2:$B$761,Dati!$A$2:$A$761,$H40,Dati!$H$2:$H$761,$AI40)+SUMIFS(Dati!$I$2:$I$761,Dati!$H$2:$H$761,$H40,Dati!$A$2:$A$761,$AI40),"-")</f>
        <v/>
      </c>
      <c r="BF40" s="22">
        <f>IF(AND($H40&lt;&gt;"",$AJ40&lt;&gt;"",$H40&lt;&gt;$AJ40,IFERROR(VLOOKUP($H40,areaCercaPuntiClassificaSquadra,3,FALSE),-1)=IFERROR(VLOOKUP($AJ40,areaCercaPuntiClassificaSquadra,3,FALSE),-2)),SUMIFS(Dati!$B$2:$B$761,Dati!$A$2:$A$761,$H40,Dati!$H$2:$H$761,$AJ40)+SUMIFS(Dati!$I$2:$I$761,Dati!$H$2:$H$761,$H40,Dati!$A$2:$A$761,$AJ40),"-")</f>
        <v/>
      </c>
      <c r="BG40" s="22">
        <f>IF(AND($H40&lt;&gt;"",$AK40&lt;&gt;"",$H40&lt;&gt;$AK40,IFERROR(VLOOKUP($H40,areaCercaPuntiClassificaSquadra,3,FALSE),-1)=IFERROR(VLOOKUP($AK40,areaCercaPuntiClassificaSquadra,3,FALSE),-2)),SUMIFS(Dati!$B$2:$B$761,Dati!$A$2:$A$761,$H40,Dati!$H$2:$H$761,$AK40)+SUMIFS(Dati!$I$2:$I$761,Dati!$H$2:$H$761,$H40,Dati!$A$2:$A$761,$AK40),"-")</f>
        <v/>
      </c>
      <c r="BH40" s="22">
        <f>IF(AND($H40&lt;&gt;"",$AL40&lt;&gt;"",$H40&lt;&gt;$AL40,IFERROR(VLOOKUP($H40,areaCercaPuntiClassificaSquadra,3,FALSE),-1)=IFERROR(VLOOKUP($AL40,areaCercaPuntiClassificaSquadra,3,FALSE),-2)),SUMIFS(Dati!$B$2:$B$761,Dati!$A$2:$A$761,$H40,Dati!$H$2:$H$761,$AL40)+SUMIFS(Dati!$I$2:$I$761,Dati!$H$2:$H$761,$H40,Dati!$A$2:$A$761,$AL40),"-")</f>
        <v/>
      </c>
      <c r="BI40" s="22">
        <f>IF(AND($H40&lt;&gt;"",$AM40&lt;&gt;"",$H40&lt;&gt;$AM40,IFERROR(VLOOKUP($H40,areaCercaPuntiClassificaSquadra,3,FALSE),-1)=IFERROR(VLOOKUP($AM40,areaCercaPuntiClassificaSquadra,3,FALSE),-2)),SUMIFS(Dati!$B$2:$B$761,Dati!$A$2:$A$761,$H40,Dati!$H$2:$H$761,$AM40)+SUMIFS(Dati!$I$2:$I$761,Dati!$H$2:$H$761,$H40,Dati!$A$2:$A$761,$AM40),"-")</f>
        <v/>
      </c>
      <c r="BJ40" s="22">
        <f>IF(AND($H40&lt;&gt;"",$AN40&lt;&gt;"",$H40&lt;&gt;$AN40,IFERROR(VLOOKUP($H40,areaCercaPuntiClassificaSquadra,3,FALSE),-1)=IFERROR(VLOOKUP($AN40,areaCercaPuntiClassificaSquadra,3,FALSE),-2)),SUMIFS(Dati!$B$2:$B$761,Dati!$A$2:$A$761,$H40,Dati!$H$2:$H$761,$AN40)+SUMIFS(Dati!$I$2:$I$761,Dati!$H$2:$H$761,$H40,Dati!$A$2:$A$761,$AN40),"-")</f>
        <v/>
      </c>
      <c r="BK40" s="22">
        <f>IF(AND($H40&lt;&gt;"",$AO40&lt;&gt;"",$H40&lt;&gt;$AO40,IFERROR(VLOOKUP($H40,areaCercaPuntiClassificaSquadra,3,FALSE),-1)=IFERROR(VLOOKUP($AO40,areaCercaPuntiClassificaSquadra,3,FALSE),-2)),SUMIFS(Dati!$B$2:$B$761,Dati!$A$2:$A$761,$H40,Dati!$H$2:$H$761,$AO40)+SUMIFS(Dati!$I$2:$I$761,Dati!$H$2:$H$761,$H40,Dati!$A$2:$A$761,$AO40),"-")</f>
        <v/>
      </c>
      <c r="BL40" s="22">
        <f>IF(AND($H40&lt;&gt;"",$AP40&lt;&gt;"",$H40&lt;&gt;$AP40,IFERROR(VLOOKUP($H40,areaCercaPuntiClassificaSquadra,3,FALSE),-1)=IFERROR(VLOOKUP($AP40,areaCercaPuntiClassificaSquadra,3,FALSE),-2)),SUMIFS(Dati!$B$2:$B$761,Dati!$A$2:$A$761,$H40,Dati!$H$2:$H$761,$AP40)+SUMIFS(Dati!$I$2:$I$761,Dati!$H$2:$H$761,$H40,Dati!$A$2:$A$761,$AP40),"-")</f>
        <v/>
      </c>
      <c r="BM40" s="22">
        <f>IF(AND($H40&lt;&gt;"",$AQ40&lt;&gt;"",$H40&lt;&gt;$AQ40,IFERROR(VLOOKUP($H40,areaCercaPuntiClassificaSquadra,3,FALSE),-1)=IFERROR(VLOOKUP($AQ40,areaCercaPuntiClassificaSquadra,3,FALSE),-2)),SUMIFS(Dati!$B$2:$B$761,Dati!$A$2:$A$761,$H40,Dati!$H$2:$H$761,$AQ40)+SUMIFS(Dati!$I$2:$I$761,Dati!$H$2:$H$761,$H40,Dati!$A$2:$A$761,$AQ40),"-")</f>
        <v/>
      </c>
      <c r="BN40" s="22">
        <f>IF(AND($H40&lt;&gt;"",$AR40&lt;&gt;"",$H40&lt;&gt;$AR40,IFERROR(VLOOKUP($H40,areaCercaPuntiClassificaSquadra,3,FALSE),-1)=IFERROR(VLOOKUP($AR40,areaCercaPuntiClassificaSquadra,3,FALSE),-2)),SUMIFS(Dati!$B$2:$B$761,Dati!$A$2:$A$761,$H40,Dati!$H$2:$H$761,$AR40)+SUMIFS(Dati!$I$2:$I$761,Dati!$H$2:$H$761,$H40,Dati!$A$2:$A$761,$AR40),"-")</f>
        <v/>
      </c>
      <c r="BP40" s="21">
        <f>$C40</f>
        <v/>
      </c>
      <c r="BQ40" s="22">
        <f>IF(AND($H40&lt;&gt;"",$Y40&lt;&gt;"",$H40&lt;&gt;$Y40,IFERROR(VLOOKUP($H40,areaCercaPuntiClassificaSquadra,3,FALSE),-1)=IFERROR(VLOOKUP($Y40,areaCercaPuntiClassificaSquadra,3,FALSE),-2)),SUMIFS(Dati!$D$2:$D$761,Dati!$A$2:$A$761,$H40,Dati!$H$2:$H$761,$Y40)+SUMIFS(Dati!$K$2:$K$761,Dati!$H$2:$H$761,$H40,Dati!$A$2:$A$761,$Y40)+SUMIFS(Dati!$C$2:$C$761,Dati!$A$2:$A$761,$H40,Dati!$H$2:$H$761,$Y40)+SUMIFS(Dati!$J$2:$J$761,Dati!$H$2:$H$761,$H40,Dati!$A$2:$A$761,$Y40),"-")</f>
        <v/>
      </c>
      <c r="BR40" s="22">
        <f>IF(AND($H40&lt;&gt;"",$Z40&lt;&gt;"",$H40&lt;&gt;$Z40,IFERROR(VLOOKUP($H40,areaCercaPuntiClassificaSquadra,3,FALSE),-1)=IFERROR(VLOOKUP($Z40,areaCercaPuntiClassificaSquadra,3,FALSE),-2)),SUMIFS(Dati!$D$2:$D$761,Dati!$A$2:$A$761,$H40,Dati!$H$2:$H$761,$Z40)+SUMIFS(Dati!$K$2:$K$761,Dati!$H$2:$H$761,$H40,Dati!$A$2:$A$761,$Z40)+SUMIFS(Dati!$C$2:$C$761,Dati!$A$2:$A$761,$H40,Dati!$H$2:$H$761,$Z40)+SUMIFS(Dati!$J$2:$J$761,Dati!$H$2:$H$761,$H40,Dati!$A$2:$A$761,$Z40),"-")</f>
        <v/>
      </c>
      <c r="BS40" s="22">
        <f>IF(AND($H40&lt;&gt;"",$AA40&lt;&gt;"",$H40&lt;&gt;$AA40,IFERROR(VLOOKUP($H40,areaCercaPuntiClassificaSquadra,3,FALSE),-1)=IFERROR(VLOOKUP($AA40,areaCercaPuntiClassificaSquadra,3,FALSE),-2)),SUMIFS(Dati!$D$2:$D$761,Dati!$A$2:$A$761,$H40,Dati!$H$2:$H$761,$AA40)+SUMIFS(Dati!$K$2:$K$761,Dati!$H$2:$H$761,$H40,Dati!$A$2:$A$761,$AA40)+SUMIFS(Dati!$C$2:$C$761,Dati!$A$2:$A$761,$H40,Dati!$H$2:$H$761,$AA40)+SUMIFS(Dati!$J$2:$J$761,Dati!$H$2:$H$761,$H40,Dati!$A$2:$A$761,$AA40),"-")</f>
        <v/>
      </c>
      <c r="BT40" s="22">
        <f>IF(AND($H40&lt;&gt;"",$AB40&lt;&gt;"",$H40&lt;&gt;$AB40,IFERROR(VLOOKUP($H40,areaCercaPuntiClassificaSquadra,3,FALSE),-1)=IFERROR(VLOOKUP($AB40,areaCercaPuntiClassificaSquadra,3,FALSE),-2)),SUMIFS(Dati!$D$2:$D$761,Dati!$A$2:$A$761,$H40,Dati!$H$2:$H$761,$AB40)+SUMIFS(Dati!$K$2:$K$761,Dati!$H$2:$H$761,$H40,Dati!$A$2:$A$761,$AB40)+SUMIFS(Dati!$C$2:$C$761,Dati!$A$2:$A$761,$H40,Dati!$H$2:$H$761,$AB40)+SUMIFS(Dati!$J$2:$J$761,Dati!$H$2:$H$761,$H40,Dati!$A$2:$A$761,$AB40),"-")</f>
        <v/>
      </c>
      <c r="BU40" s="22">
        <f>IF(AND($H40&lt;&gt;"",$AC40&lt;&gt;"",$H40&lt;&gt;$AC40,IFERROR(VLOOKUP($H40,areaCercaPuntiClassificaSquadra,3,FALSE),-1)=IFERROR(VLOOKUP($AC40,areaCercaPuntiClassificaSquadra,3,FALSE),-2)),SUMIFS(Dati!$D$2:$D$761,Dati!$A$2:$A$761,$H40,Dati!$H$2:$H$761,$AC40)+SUMIFS(Dati!$K$2:$K$761,Dati!$H$2:$H$761,$H40,Dati!$A$2:$A$761,$AC40)+SUMIFS(Dati!$C$2:$C$761,Dati!$A$2:$A$761,$H40,Dati!$H$2:$H$761,$AC40)+SUMIFS(Dati!$J$2:$J$761,Dati!$H$2:$H$761,$H40,Dati!$A$2:$A$761,$AC40),"-")</f>
        <v/>
      </c>
      <c r="BV40" s="22">
        <f>IF(AND($H40&lt;&gt;"",$AD40&lt;&gt;"",$H40&lt;&gt;$AD40,IFERROR(VLOOKUP($H40,areaCercaPuntiClassificaSquadra,3,FALSE),-1)=IFERROR(VLOOKUP($AD40,areaCercaPuntiClassificaSquadra,3,FALSE),-2)),SUMIFS(Dati!$D$2:$D$761,Dati!$A$2:$A$761,$H40,Dati!$H$2:$H$761,$AD40)+SUMIFS(Dati!$K$2:$K$761,Dati!$H$2:$H$761,$H40,Dati!$A$2:$A$761,$AD40)+SUMIFS(Dati!$C$2:$C$761,Dati!$A$2:$A$761,$H40,Dati!$H$2:$H$761,$AD40)+SUMIFS(Dati!$J$2:$J$761,Dati!$H$2:$H$761,$H40,Dati!$A$2:$A$761,$AD40),"-")</f>
        <v/>
      </c>
      <c r="BW40" s="22">
        <f>IF(AND($H40&lt;&gt;"",$AE40&lt;&gt;"",$H40&lt;&gt;$AE40,IFERROR(VLOOKUP($H40,areaCercaPuntiClassificaSquadra,3,FALSE),-1)=IFERROR(VLOOKUP($AE40,areaCercaPuntiClassificaSquadra,3,FALSE),-2)),SUMIFS(Dati!$D$2:$D$761,Dati!$A$2:$A$761,$H40,Dati!$H$2:$H$761,$AE40)+SUMIFS(Dati!$K$2:$K$761,Dati!$H$2:$H$761,$H40,Dati!$A$2:$A$761,$AE40)+SUMIFS(Dati!$C$2:$C$761,Dati!$A$2:$A$761,$H40,Dati!$H$2:$H$761,$AE40)+SUMIFS(Dati!$J$2:$J$761,Dati!$H$2:$H$761,$H40,Dati!$A$2:$A$761,$AE40),"-")</f>
        <v/>
      </c>
      <c r="BX40" s="22">
        <f>IF(AND($H40&lt;&gt;"",$AF40&lt;&gt;"",$H40&lt;&gt;$AF40,IFERROR(VLOOKUP($H40,areaCercaPuntiClassificaSquadra,3,FALSE),-1)=IFERROR(VLOOKUP($AF40,areaCercaPuntiClassificaSquadra,3,FALSE),-2)),SUMIFS(Dati!$D$2:$D$761,Dati!$A$2:$A$761,$H40,Dati!$H$2:$H$761,$AF40)+SUMIFS(Dati!$K$2:$K$761,Dati!$H$2:$H$761,$H40,Dati!$A$2:$A$761,$AF40)+SUMIFS(Dati!$C$2:$C$761,Dati!$A$2:$A$761,$H40,Dati!$H$2:$H$761,$AF40)+SUMIFS(Dati!$J$2:$J$761,Dati!$H$2:$H$761,$H40,Dati!$A$2:$A$761,$AF40),"-")</f>
        <v/>
      </c>
      <c r="BY40" s="22">
        <f>IF(AND($H40&lt;&gt;"",$AG40&lt;&gt;"",$H40&lt;&gt;$AG40,IFERROR(VLOOKUP($H40,areaCercaPuntiClassificaSquadra,3,FALSE),-1)=IFERROR(VLOOKUP($AG40,areaCercaPuntiClassificaSquadra,3,FALSE),-2)),SUMIFS(Dati!$D$2:$D$761,Dati!$A$2:$A$761,$H40,Dati!$H$2:$H$761,$AG40)+SUMIFS(Dati!$K$2:$K$761,Dati!$H$2:$H$761,$H40,Dati!$A$2:$A$761,$AG40)+SUMIFS(Dati!$C$2:$C$761,Dati!$A$2:$A$761,$H40,Dati!$H$2:$H$761,$AG40)+SUMIFS(Dati!$J$2:$J$761,Dati!$H$2:$H$761,$H40,Dati!$A$2:$A$761,$AG40),"-")</f>
        <v/>
      </c>
      <c r="BZ40" s="22">
        <f>IF(AND($H40&lt;&gt;"",$AH40&lt;&gt;"",$H40&lt;&gt;$AH40,IFERROR(VLOOKUP($H40,areaCercaPuntiClassificaSquadra,3,FALSE),-1)=IFERROR(VLOOKUP($AH40,areaCercaPuntiClassificaSquadra,3,FALSE),-2)),SUMIFS(Dati!$D$2:$D$761,Dati!$A$2:$A$761,$H40,Dati!$H$2:$H$761,$AH40)+SUMIFS(Dati!$K$2:$K$761,Dati!$H$2:$H$761,$H40,Dati!$A$2:$A$761,$AH40)+SUMIFS(Dati!$C$2:$C$761,Dati!$A$2:$A$761,$H40,Dati!$H$2:$H$761,$AH40)+SUMIFS(Dati!$J$2:$J$761,Dati!$H$2:$H$761,$H40,Dati!$A$2:$A$761,$AH40),"-")</f>
        <v/>
      </c>
      <c r="CA40" s="22">
        <f>IF(AND($H40&lt;&gt;"",$AI40&lt;&gt;"",$H40&lt;&gt;$AI40,IFERROR(VLOOKUP($H40,areaCercaPuntiClassificaSquadra,3,FALSE),-1)=IFERROR(VLOOKUP($AI40,areaCercaPuntiClassificaSquadra,3,FALSE),-2)),SUMIFS(Dati!$D$2:$D$761,Dati!$A$2:$A$761,$H40,Dati!$H$2:$H$761,$AI40)+SUMIFS(Dati!$K$2:$K$761,Dati!$H$2:$H$761,$H40,Dati!$A$2:$A$761,$AI40)+SUMIFS(Dati!$C$2:$C$761,Dati!$A$2:$A$761,$H40,Dati!$H$2:$H$761,$AI40)+SUMIFS(Dati!$J$2:$J$761,Dati!$H$2:$H$761,$H40,Dati!$A$2:$A$761,$AI40),"-")</f>
        <v/>
      </c>
      <c r="CB40" s="22">
        <f>IF(AND($H40&lt;&gt;"",$AJ40&lt;&gt;"",$H40&lt;&gt;$AJ40,IFERROR(VLOOKUP($H40,areaCercaPuntiClassificaSquadra,3,FALSE),-1)=IFERROR(VLOOKUP($AJ40,areaCercaPuntiClassificaSquadra,3,FALSE),-2)),SUMIFS(Dati!$D$2:$D$761,Dati!$A$2:$A$761,$H40,Dati!$H$2:$H$761,$AJ40)+SUMIFS(Dati!$K$2:$K$761,Dati!$H$2:$H$761,$H40,Dati!$A$2:$A$761,$AJ40)+SUMIFS(Dati!$C$2:$C$761,Dati!$A$2:$A$761,$H40,Dati!$H$2:$H$761,$AJ40)+SUMIFS(Dati!$J$2:$J$761,Dati!$H$2:$H$761,$H40,Dati!$A$2:$A$761,$AJ40),"-")</f>
        <v/>
      </c>
      <c r="CC40" s="22">
        <f>IF(AND($H40&lt;&gt;"",$AK40&lt;&gt;"",$H40&lt;&gt;$AK40,IFERROR(VLOOKUP($H40,areaCercaPuntiClassificaSquadra,3,FALSE),-1)=IFERROR(VLOOKUP($AK40,areaCercaPuntiClassificaSquadra,3,FALSE),-2)),SUMIFS(Dati!$D$2:$D$761,Dati!$A$2:$A$761,$H40,Dati!$H$2:$H$761,$AK40)+SUMIFS(Dati!$K$2:$K$761,Dati!$H$2:$H$761,$H40,Dati!$A$2:$A$761,$AK40)+SUMIFS(Dati!$C$2:$C$761,Dati!$A$2:$A$761,$H40,Dati!$H$2:$H$761,$AK40)+SUMIFS(Dati!$J$2:$J$761,Dati!$H$2:$H$761,$H40,Dati!$A$2:$A$761,$AK40),"-")</f>
        <v/>
      </c>
      <c r="CD40" s="22">
        <f>IF(AND($H40&lt;&gt;"",$AL40&lt;&gt;"",$H40&lt;&gt;$AL40,IFERROR(VLOOKUP($H40,areaCercaPuntiClassificaSquadra,3,FALSE),-1)=IFERROR(VLOOKUP($AL40,areaCercaPuntiClassificaSquadra,3,FALSE),-2)),SUMIFS(Dati!$D$2:$D$761,Dati!$A$2:$A$761,$H40,Dati!$H$2:$H$761,$AL40)+SUMIFS(Dati!$K$2:$K$761,Dati!$H$2:$H$761,$H40,Dati!$A$2:$A$761,$AL40)+SUMIFS(Dati!$C$2:$C$761,Dati!$A$2:$A$761,$H40,Dati!$H$2:$H$761,$AL40)+SUMIFS(Dati!$J$2:$J$761,Dati!$H$2:$H$761,$H40,Dati!$A$2:$A$761,$AL40),"-")</f>
        <v/>
      </c>
      <c r="CE40" s="22">
        <f>IF(AND($H40&lt;&gt;"",$AM40&lt;&gt;"",$H40&lt;&gt;$AM40,IFERROR(VLOOKUP($H40,areaCercaPuntiClassificaSquadra,3,FALSE),-1)=IFERROR(VLOOKUP($AM40,areaCercaPuntiClassificaSquadra,3,FALSE),-2)),SUMIFS(Dati!$D$2:$D$761,Dati!$A$2:$A$761,$H40,Dati!$H$2:$H$761,$AM40)+SUMIFS(Dati!$K$2:$K$761,Dati!$H$2:$H$761,$H40,Dati!$A$2:$A$761,$AM40)+SUMIFS(Dati!$C$2:$C$761,Dati!$A$2:$A$761,$H40,Dati!$H$2:$H$761,$AM40)+SUMIFS(Dati!$J$2:$J$761,Dati!$H$2:$H$761,$H40,Dati!$A$2:$A$761,$AM40),"-")</f>
        <v/>
      </c>
      <c r="CF40" s="22">
        <f>IF(AND($H40&lt;&gt;"",$AN40&lt;&gt;"",$H40&lt;&gt;$AN40,IFERROR(VLOOKUP($H40,areaCercaPuntiClassificaSquadra,3,FALSE),-1)=IFERROR(VLOOKUP($AN40,areaCercaPuntiClassificaSquadra,3,FALSE),-2)),SUMIFS(Dati!$D$2:$D$761,Dati!$A$2:$A$761,$H40,Dati!$H$2:$H$761,$AN40)+SUMIFS(Dati!$K$2:$K$761,Dati!$H$2:$H$761,$H40,Dati!$A$2:$A$761,$AN40)+SUMIFS(Dati!$C$2:$C$761,Dati!$A$2:$A$761,$H40,Dati!$H$2:$H$761,$AN40)+SUMIFS(Dati!$J$2:$J$761,Dati!$H$2:$H$761,$H40,Dati!$A$2:$A$761,$AN40),"-")</f>
        <v/>
      </c>
      <c r="CG40" s="22">
        <f>IF(AND($H40&lt;&gt;"",$AO40&lt;&gt;"",$H40&lt;&gt;$AO40,IFERROR(VLOOKUP($H40,areaCercaPuntiClassificaSquadra,3,FALSE),-1)=IFERROR(VLOOKUP($AO40,areaCercaPuntiClassificaSquadra,3,FALSE),-2)),SUMIFS(Dati!$D$2:$D$761,Dati!$A$2:$A$761,$H40,Dati!$H$2:$H$761,$AO40)+SUMIFS(Dati!$K$2:$K$761,Dati!$H$2:$H$761,$H40,Dati!$A$2:$A$761,$AO40)+SUMIFS(Dati!$C$2:$C$761,Dati!$A$2:$A$761,$H40,Dati!$H$2:$H$761,$AO40)+SUMIFS(Dati!$J$2:$J$761,Dati!$H$2:$H$761,$H40,Dati!$A$2:$A$761,$AO40),"-")</f>
        <v/>
      </c>
      <c r="CH40" s="22">
        <f>IF(AND($H40&lt;&gt;"",$AP40&lt;&gt;"",$H40&lt;&gt;$AP40,IFERROR(VLOOKUP($H40,areaCercaPuntiClassificaSquadra,3,FALSE),-1)=IFERROR(VLOOKUP($AP40,areaCercaPuntiClassificaSquadra,3,FALSE),-2)),SUMIFS(Dati!$D$2:$D$761,Dati!$A$2:$A$761,$H40,Dati!$H$2:$H$761,$AP40)+SUMIFS(Dati!$K$2:$K$761,Dati!$H$2:$H$761,$H40,Dati!$A$2:$A$761,$AP40)+SUMIFS(Dati!$C$2:$C$761,Dati!$A$2:$A$761,$H40,Dati!$H$2:$H$761,$AP40)+SUMIFS(Dati!$J$2:$J$761,Dati!$H$2:$H$761,$H40,Dati!$A$2:$A$761,$AP40),"-")</f>
        <v/>
      </c>
      <c r="CI40" s="22">
        <f>IF(AND($H40&lt;&gt;"",$AQ40&lt;&gt;"",$H40&lt;&gt;$AQ40,IFERROR(VLOOKUP($H40,areaCercaPuntiClassificaSquadra,3,FALSE),-1)=IFERROR(VLOOKUP($AQ40,areaCercaPuntiClassificaSquadra,3,FALSE),-2)),SUMIFS(Dati!$D$2:$D$761,Dati!$A$2:$A$761,$H40,Dati!$H$2:$H$761,$AQ40)+SUMIFS(Dati!$K$2:$K$761,Dati!$H$2:$H$761,$H40,Dati!$A$2:$A$761,$AQ40)+SUMIFS(Dati!$C$2:$C$761,Dati!$A$2:$A$761,$H40,Dati!$H$2:$H$761,$AQ40)+SUMIFS(Dati!$J$2:$J$761,Dati!$H$2:$H$761,$H40,Dati!$A$2:$A$761,$AQ40),"-")</f>
        <v/>
      </c>
      <c r="CJ40" s="22">
        <f>IF(AND($H40&lt;&gt;"",$AR40&lt;&gt;"",$H40&lt;&gt;$AR40,IFERROR(VLOOKUP($H40,areaCercaPuntiClassificaSquadra,3,FALSE),-1)=IFERROR(VLOOKUP($AR40,areaCercaPuntiClassificaSquadra,3,FALSE),-2)),SUMIFS(Dati!$D$2:$D$761,Dati!$A$2:$A$761,$H40,Dati!$H$2:$H$761,$AR40)+SUMIFS(Dati!$K$2:$K$761,Dati!$H$2:$H$761,$H40,Dati!$A$2:$A$761,$AR40)+SUMIFS(Dati!$C$2:$C$761,Dati!$A$2:$A$761,$H40,Dati!$H$2:$H$761,$AR40)+SUMIFS(Dati!$J$2:$J$761,Dati!$H$2:$H$761,$H40,Dati!$A$2:$A$761,$AR40),"-")</f>
        <v/>
      </c>
      <c r="CL40" s="21">
        <f>$C40</f>
        <v/>
      </c>
      <c r="CM40" s="22">
        <f>IF(AND($H40&lt;&gt;"",$Y40&lt;&gt;"",$H40&lt;&gt;$Y40,IFERROR(VLOOKUP($H40,areaCercaPuntiClassificaSquadra,3,FALSE),-1)=IFERROR(VLOOKUP($Y40,areaCercaPuntiClassificaSquadra,3,FALSE),-2)),SUMIFS(Dati!$E$2:$E$761,Dati!$A$2:$A$761,$H40,Dati!$H$2:$H$761,$Y40)+SUMIFS(Dati!$L$2:$L$761,Dati!$H$2:$H$761,$H40,Dati!$A$2:$A$761,$Y40),"-")</f>
        <v/>
      </c>
      <c r="CN40" s="22">
        <f>IF(AND($H40&lt;&gt;"",$Z40&lt;&gt;"",$H40&lt;&gt;$Z40,IFERROR(VLOOKUP($H40,areaCercaPuntiClassificaSquadra,3,FALSE),-1)=IFERROR(VLOOKUP($Z40,areaCercaPuntiClassificaSquadra,3,FALSE),-2)),SUMIFS(Dati!$E$2:$E$761,Dati!$A$2:$A$761,$H40,Dati!$H$2:$H$761,$Z40)+SUMIFS(Dati!$L$2:$L$761,Dati!$H$2:$H$761,$H40,Dati!$A$2:$A$761,$Z40),"-")</f>
        <v/>
      </c>
      <c r="CO40" s="22">
        <f>IF(AND($H40&lt;&gt;"",$AA40&lt;&gt;"",$H40&lt;&gt;$AA40,IFERROR(VLOOKUP($H40,areaCercaPuntiClassificaSquadra,3,FALSE),-1)=IFERROR(VLOOKUP($AA40,areaCercaPuntiClassificaSquadra,3,FALSE),-2)),SUMIFS(Dati!$E$2:$E$761,Dati!$A$2:$A$761,$H40,Dati!$H$2:$H$761,$AA40)+SUMIFS(Dati!$L$2:$L$761,Dati!$H$2:$H$761,$H40,Dati!$A$2:$A$761,$AA40),"-")</f>
        <v/>
      </c>
      <c r="CP40" s="22">
        <f>IF(AND($H40&lt;&gt;"",$AB40&lt;&gt;"",$H40&lt;&gt;$AB40,IFERROR(VLOOKUP($H40,areaCercaPuntiClassificaSquadra,3,FALSE),-1)=IFERROR(VLOOKUP($AB40,areaCercaPuntiClassificaSquadra,3,FALSE),-2)),SUMIFS(Dati!$E$2:$E$761,Dati!$A$2:$A$761,$H40,Dati!$H$2:$H$761,$AB40)+SUMIFS(Dati!$L$2:$L$761,Dati!$H$2:$H$761,$H40,Dati!$A$2:$A$761,$AB40),"-")</f>
        <v/>
      </c>
      <c r="CQ40" s="22">
        <f>IF(AND($H40&lt;&gt;"",$AC40&lt;&gt;"",$H40&lt;&gt;$AC40,IFERROR(VLOOKUP($H40,areaCercaPuntiClassificaSquadra,3,FALSE),-1)=IFERROR(VLOOKUP($AC40,areaCercaPuntiClassificaSquadra,3,FALSE),-2)),SUMIFS(Dati!$E$2:$E$761,Dati!$A$2:$A$761,$H40,Dati!$H$2:$H$761,$AC40)+SUMIFS(Dati!$L$2:$L$761,Dati!$H$2:$H$761,$H40,Dati!$A$2:$A$761,$AC40),"-")</f>
        <v/>
      </c>
      <c r="CR40" s="22">
        <f>IF(AND($H40&lt;&gt;"",$AD40&lt;&gt;"",$H40&lt;&gt;$AD40,IFERROR(VLOOKUP($H40,areaCercaPuntiClassificaSquadra,3,FALSE),-1)=IFERROR(VLOOKUP($AD40,areaCercaPuntiClassificaSquadra,3,FALSE),-2)),SUMIFS(Dati!$E$2:$E$761,Dati!$A$2:$A$761,$H40,Dati!$H$2:$H$761,$AD40)+SUMIFS(Dati!$L$2:$L$761,Dati!$H$2:$H$761,$H40,Dati!$A$2:$A$761,$AD40),"-")</f>
        <v/>
      </c>
      <c r="CS40" s="22">
        <f>IF(AND($H40&lt;&gt;"",$AE40&lt;&gt;"",$H40&lt;&gt;$AE40,IFERROR(VLOOKUP($H40,areaCercaPuntiClassificaSquadra,3,FALSE),-1)=IFERROR(VLOOKUP($AE40,areaCercaPuntiClassificaSquadra,3,FALSE),-2)),SUMIFS(Dati!$E$2:$E$761,Dati!$A$2:$A$761,$H40,Dati!$H$2:$H$761,$AE40)+SUMIFS(Dati!$L$2:$L$761,Dati!$H$2:$H$761,$H40,Dati!$A$2:$A$761,$AE40),"-")</f>
        <v/>
      </c>
      <c r="CT40" s="22">
        <f>IF(AND($H40&lt;&gt;"",$AF40&lt;&gt;"",$H40&lt;&gt;$AF40,IFERROR(VLOOKUP($H40,areaCercaPuntiClassificaSquadra,3,FALSE),-1)=IFERROR(VLOOKUP($AF40,areaCercaPuntiClassificaSquadra,3,FALSE),-2)),SUMIFS(Dati!$E$2:$E$761,Dati!$A$2:$A$761,$H40,Dati!$H$2:$H$761,$AF40)+SUMIFS(Dati!$L$2:$L$761,Dati!$H$2:$H$761,$H40,Dati!$A$2:$A$761,$AF40),"-")</f>
        <v/>
      </c>
      <c r="CU40" s="22">
        <f>IF(AND($H40&lt;&gt;"",$AG40&lt;&gt;"",$H40&lt;&gt;$AG40,IFERROR(VLOOKUP($H40,areaCercaPuntiClassificaSquadra,3,FALSE),-1)=IFERROR(VLOOKUP($AG40,areaCercaPuntiClassificaSquadra,3,FALSE),-2)),SUMIFS(Dati!$E$2:$E$761,Dati!$A$2:$A$761,$H40,Dati!$H$2:$H$761,$AG40)+SUMIFS(Dati!$L$2:$L$761,Dati!$H$2:$H$761,$H40,Dati!$A$2:$A$761,$AG40),"-")</f>
        <v/>
      </c>
      <c r="CV40" s="22">
        <f>IF(AND($H40&lt;&gt;"",$AH40&lt;&gt;"",$H40&lt;&gt;$AH40,IFERROR(VLOOKUP($H40,areaCercaPuntiClassificaSquadra,3,FALSE),-1)=IFERROR(VLOOKUP($AH40,areaCercaPuntiClassificaSquadra,3,FALSE),-2)),SUMIFS(Dati!$E$2:$E$761,Dati!$A$2:$A$761,$H40,Dati!$H$2:$H$761,$AH40)+SUMIFS(Dati!$L$2:$L$761,Dati!$H$2:$H$761,$H40,Dati!$A$2:$A$761,$AH40),"-")</f>
        <v/>
      </c>
      <c r="CW40" s="22">
        <f>IF(AND($H40&lt;&gt;"",$AI40&lt;&gt;"",$H40&lt;&gt;$AI40,IFERROR(VLOOKUP($H40,areaCercaPuntiClassificaSquadra,3,FALSE),-1)=IFERROR(VLOOKUP($AI40,areaCercaPuntiClassificaSquadra,3,FALSE),-2)),SUMIFS(Dati!$E$2:$E$761,Dati!$A$2:$A$761,$H40,Dati!$H$2:$H$761,$AI40)+SUMIFS(Dati!$L$2:$L$761,Dati!$H$2:$H$761,$H40,Dati!$A$2:$A$761,$AI40),"-")</f>
        <v/>
      </c>
      <c r="CX40" s="22">
        <f>IF(AND($H40&lt;&gt;"",$AJ40&lt;&gt;"",$H40&lt;&gt;$AJ40,IFERROR(VLOOKUP($H40,areaCercaPuntiClassificaSquadra,3,FALSE),-1)=IFERROR(VLOOKUP($AJ40,areaCercaPuntiClassificaSquadra,3,FALSE),-2)),SUMIFS(Dati!$E$2:$E$761,Dati!$A$2:$A$761,$H40,Dati!$H$2:$H$761,$AJ40)+SUMIFS(Dati!$L$2:$L$761,Dati!$H$2:$H$761,$H40,Dati!$A$2:$A$761,$AJ40),"-")</f>
        <v/>
      </c>
      <c r="CY40" s="22">
        <f>IF(AND($H40&lt;&gt;"",$AK40&lt;&gt;"",$H40&lt;&gt;$AK40,IFERROR(VLOOKUP($H40,areaCercaPuntiClassificaSquadra,3,FALSE),-1)=IFERROR(VLOOKUP($AK40,areaCercaPuntiClassificaSquadra,3,FALSE),-2)),SUMIFS(Dati!$E$2:$E$761,Dati!$A$2:$A$761,$H40,Dati!$H$2:$H$761,$AK40)+SUMIFS(Dati!$L$2:$L$761,Dati!$H$2:$H$761,$H40,Dati!$A$2:$A$761,$AK40),"-")</f>
        <v/>
      </c>
      <c r="CZ40" s="22">
        <f>IF(AND($H40&lt;&gt;"",$AL40&lt;&gt;"",$H40&lt;&gt;$AL40,IFERROR(VLOOKUP($H40,areaCercaPuntiClassificaSquadra,3,FALSE),-1)=IFERROR(VLOOKUP($AL40,areaCercaPuntiClassificaSquadra,3,FALSE),-2)),SUMIFS(Dati!$E$2:$E$761,Dati!$A$2:$A$761,$H40,Dati!$H$2:$H$761,$AL40)+SUMIFS(Dati!$L$2:$L$761,Dati!$H$2:$H$761,$H40,Dati!$A$2:$A$761,$AL40),"-")</f>
        <v/>
      </c>
      <c r="DA40" s="22">
        <f>IF(AND($H40&lt;&gt;"",$AM40&lt;&gt;"",$H40&lt;&gt;$AM40,IFERROR(VLOOKUP($H40,areaCercaPuntiClassificaSquadra,3,FALSE),-1)=IFERROR(VLOOKUP($AM40,areaCercaPuntiClassificaSquadra,3,FALSE),-2)),SUMIFS(Dati!$E$2:$E$761,Dati!$A$2:$A$761,$H40,Dati!$H$2:$H$761,$AM40)+SUMIFS(Dati!$L$2:$L$761,Dati!$H$2:$H$761,$H40,Dati!$A$2:$A$761,$AM40),"-")</f>
        <v/>
      </c>
      <c r="DB40" s="22">
        <f>IF(AND($H40&lt;&gt;"",$AN40&lt;&gt;"",$H40&lt;&gt;$AN40,IFERROR(VLOOKUP($H40,areaCercaPuntiClassificaSquadra,3,FALSE),-1)=IFERROR(VLOOKUP($AN40,areaCercaPuntiClassificaSquadra,3,FALSE),-2)),SUMIFS(Dati!$E$2:$E$761,Dati!$A$2:$A$761,$H40,Dati!$H$2:$H$761,$AN40)+SUMIFS(Dati!$L$2:$L$761,Dati!$H$2:$H$761,$H40,Dati!$A$2:$A$761,$AN40),"-")</f>
        <v/>
      </c>
      <c r="DC40" s="22">
        <f>IF(AND($H40&lt;&gt;"",$AO40&lt;&gt;"",$H40&lt;&gt;$AO40,IFERROR(VLOOKUP($H40,areaCercaPuntiClassificaSquadra,3,FALSE),-1)=IFERROR(VLOOKUP($AO40,areaCercaPuntiClassificaSquadra,3,FALSE),-2)),SUMIFS(Dati!$E$2:$E$761,Dati!$A$2:$A$761,$H40,Dati!$H$2:$H$761,$AO40)+SUMIFS(Dati!$L$2:$L$761,Dati!$H$2:$H$761,$H40,Dati!$A$2:$A$761,$AO40),"-")</f>
        <v/>
      </c>
      <c r="DD40" s="22">
        <f>IF(AND($H40&lt;&gt;"",$AP40&lt;&gt;"",$H40&lt;&gt;$AP40,IFERROR(VLOOKUP($H40,areaCercaPuntiClassificaSquadra,3,FALSE),-1)=IFERROR(VLOOKUP($AP40,areaCercaPuntiClassificaSquadra,3,FALSE),-2)),SUMIFS(Dati!$E$2:$E$761,Dati!$A$2:$A$761,$H40,Dati!$H$2:$H$761,$AP40)+SUMIFS(Dati!$L$2:$L$761,Dati!$H$2:$H$761,$H40,Dati!$A$2:$A$761,$AP40),"-")</f>
        <v/>
      </c>
      <c r="DE40" s="22">
        <f>IF(AND($H40&lt;&gt;"",$AQ40&lt;&gt;"",$H40&lt;&gt;$AQ40,IFERROR(VLOOKUP($H40,areaCercaPuntiClassificaSquadra,3,FALSE),-1)=IFERROR(VLOOKUP($AQ40,areaCercaPuntiClassificaSquadra,3,FALSE),-2)),SUMIFS(Dati!$E$2:$E$761,Dati!$A$2:$A$761,$H40,Dati!$H$2:$H$761,$AQ40)+SUMIFS(Dati!$L$2:$L$761,Dati!$H$2:$H$761,$H40,Dati!$A$2:$A$761,$AQ40),"-")</f>
        <v/>
      </c>
      <c r="DF40" s="22">
        <f>IF(AND($H40&lt;&gt;"",$AR40&lt;&gt;"",$H40&lt;&gt;$AR40,IFERROR(VLOOKUP($H40,areaCercaPuntiClassificaSquadra,3,FALSE),-1)=IFERROR(VLOOKUP($AR40,areaCercaPuntiClassificaSquadra,3,FALSE),-2)),SUMIFS(Dati!$E$2:$E$761,Dati!$A$2:$A$761,$H40,Dati!$H$2:$H$761,$AR40)+SUMIFS(Dati!$L$2:$L$761,Dati!$H$2:$H$761,$H40,Dati!$A$2:$A$761,$AR40),"-")</f>
        <v/>
      </c>
      <c r="DH40" s="21">
        <f>$C40</f>
        <v/>
      </c>
      <c r="DI40" s="22">
        <f>IF(AND($H40&lt;&gt;"",$Y40&lt;&gt;"",$H40&lt;&gt;$Y40,IFERROR(VLOOKUP($H40,areaCercaPuntiClassificaSquadra,3,FALSE),-1)=IFERROR(VLOOKUP($Y40,areaCercaPuntiClassificaSquadra,3,FALSE),-2)),SUMIFS(Dati!$F$2:$F$761,Dati!$A$2:$A$761,$H40,Dati!$H$2:$H$761,$Y40)+SUMIFS(Dati!$M$2:$M$761,Dati!$H$2:$H$761,$H40,Dati!$A$2:$A$761,$Y40),"-")</f>
        <v/>
      </c>
      <c r="DJ40" s="22">
        <f>IF(AND($H40&lt;&gt;"",$Z40&lt;&gt;"",$H40&lt;&gt;$Z40,IFERROR(VLOOKUP($H40,areaCercaPuntiClassificaSquadra,3,FALSE),-1)=IFERROR(VLOOKUP($Z40,areaCercaPuntiClassificaSquadra,3,FALSE),-2)),SUMIFS(Dati!$F$2:$F$761,Dati!$A$2:$A$761,$H40,Dati!$H$2:$H$761,$Z40)+SUMIFS(Dati!$M$2:$M$761,Dati!$H$2:$H$761,$H40,Dati!$A$2:$A$761,$Z40),"-")</f>
        <v/>
      </c>
      <c r="DK40" s="22">
        <f>IF(AND($H40&lt;&gt;"",$AA40&lt;&gt;"",$H40&lt;&gt;$AA40,IFERROR(VLOOKUP($H40,areaCercaPuntiClassificaSquadra,3,FALSE),-1)=IFERROR(VLOOKUP($AA40,areaCercaPuntiClassificaSquadra,3,FALSE),-2)),SUMIFS(Dati!$F$2:$F$761,Dati!$A$2:$A$761,$H40,Dati!$H$2:$H$761,$AA40)+SUMIFS(Dati!$M$2:$M$761,Dati!$H$2:$H$761,$H40,Dati!$A$2:$A$761,$AA40),"-")</f>
        <v/>
      </c>
      <c r="DL40" s="22">
        <f>IF(AND($H40&lt;&gt;"",$AB40&lt;&gt;"",$H40&lt;&gt;$AB40,IFERROR(VLOOKUP($H40,areaCercaPuntiClassificaSquadra,3,FALSE),-1)=IFERROR(VLOOKUP($AB40,areaCercaPuntiClassificaSquadra,3,FALSE),-2)),SUMIFS(Dati!$F$2:$F$761,Dati!$A$2:$A$761,$H40,Dati!$H$2:$H$761,$AB40)+SUMIFS(Dati!$M$2:$M$761,Dati!$H$2:$H$761,$H40,Dati!$A$2:$A$761,$AB40),"-")</f>
        <v/>
      </c>
      <c r="DM40" s="22">
        <f>IF(AND($H40&lt;&gt;"",$AC40&lt;&gt;"",$H40&lt;&gt;$AC40,IFERROR(VLOOKUP($H40,areaCercaPuntiClassificaSquadra,3,FALSE),-1)=IFERROR(VLOOKUP($AC40,areaCercaPuntiClassificaSquadra,3,FALSE),-2)),SUMIFS(Dati!$F$2:$F$761,Dati!$A$2:$A$761,$H40,Dati!$H$2:$H$761,$AC40)+SUMIFS(Dati!$M$2:$M$761,Dati!$H$2:$H$761,$H40,Dati!$A$2:$A$761,$AC40),"-")</f>
        <v/>
      </c>
      <c r="DN40" s="22">
        <f>IF(AND($H40&lt;&gt;"",$AD40&lt;&gt;"",$H40&lt;&gt;$AD40,IFERROR(VLOOKUP($H40,areaCercaPuntiClassificaSquadra,3,FALSE),-1)=IFERROR(VLOOKUP($AD40,areaCercaPuntiClassificaSquadra,3,FALSE),-2)),SUMIFS(Dati!$F$2:$F$761,Dati!$A$2:$A$761,$H40,Dati!$H$2:$H$761,$AD40)+SUMIFS(Dati!$M$2:$M$761,Dati!$H$2:$H$761,$H40,Dati!$A$2:$A$761,$AD40),"-")</f>
        <v/>
      </c>
      <c r="DO40" s="22">
        <f>IF(AND($H40&lt;&gt;"",$AE40&lt;&gt;"",$H40&lt;&gt;$AE40,IFERROR(VLOOKUP($H40,areaCercaPuntiClassificaSquadra,3,FALSE),-1)=IFERROR(VLOOKUP($AE40,areaCercaPuntiClassificaSquadra,3,FALSE),-2)),SUMIFS(Dati!$F$2:$F$761,Dati!$A$2:$A$761,$H40,Dati!$H$2:$H$761,$AE40)+SUMIFS(Dati!$M$2:$M$761,Dati!$H$2:$H$761,$H40,Dati!$A$2:$A$761,$AE40),"-")</f>
        <v/>
      </c>
      <c r="DP40" s="22">
        <f>IF(AND($H40&lt;&gt;"",$AF40&lt;&gt;"",$H40&lt;&gt;$AF40,IFERROR(VLOOKUP($H40,areaCercaPuntiClassificaSquadra,3,FALSE),-1)=IFERROR(VLOOKUP($AF40,areaCercaPuntiClassificaSquadra,3,FALSE),-2)),SUMIFS(Dati!$F$2:$F$761,Dati!$A$2:$A$761,$H40,Dati!$H$2:$H$761,$AF40)+SUMIFS(Dati!$M$2:$M$761,Dati!$H$2:$H$761,$H40,Dati!$A$2:$A$761,$AF40),"-")</f>
        <v/>
      </c>
      <c r="DQ40" s="22">
        <f>IF(AND($H40&lt;&gt;"",$AG40&lt;&gt;"",$H40&lt;&gt;$AG40,IFERROR(VLOOKUP($H40,areaCercaPuntiClassificaSquadra,3,FALSE),-1)=IFERROR(VLOOKUP($AG40,areaCercaPuntiClassificaSquadra,3,FALSE),-2)),SUMIFS(Dati!$F$2:$F$761,Dati!$A$2:$A$761,$H40,Dati!$H$2:$H$761,$AG40)+SUMIFS(Dati!$M$2:$M$761,Dati!$H$2:$H$761,$H40,Dati!$A$2:$A$761,$AG40),"-")</f>
        <v/>
      </c>
      <c r="DR40" s="22">
        <f>IF(AND($H40&lt;&gt;"",$AH40&lt;&gt;"",$H40&lt;&gt;$AH40,IFERROR(VLOOKUP($H40,areaCercaPuntiClassificaSquadra,3,FALSE),-1)=IFERROR(VLOOKUP($AH40,areaCercaPuntiClassificaSquadra,3,FALSE),-2)),SUMIFS(Dati!$F$2:$F$761,Dati!$A$2:$A$761,$H40,Dati!$H$2:$H$761,$AH40)+SUMIFS(Dati!$M$2:$M$761,Dati!$H$2:$H$761,$H40,Dati!$A$2:$A$761,$AH40),"-")</f>
        <v/>
      </c>
      <c r="DS40" s="22">
        <f>IF(AND($H40&lt;&gt;"",$AI40&lt;&gt;"",$H40&lt;&gt;$AI40,IFERROR(VLOOKUP($H40,areaCercaPuntiClassificaSquadra,3,FALSE),-1)=IFERROR(VLOOKUP($AI40,areaCercaPuntiClassificaSquadra,3,FALSE),-2)),SUMIFS(Dati!$F$2:$F$761,Dati!$A$2:$A$761,$H40,Dati!$H$2:$H$761,$AI40)+SUMIFS(Dati!$M$2:$M$761,Dati!$H$2:$H$761,$H40,Dati!$A$2:$A$761,$AI40),"-")</f>
        <v/>
      </c>
      <c r="DT40" s="22">
        <f>IF(AND($H40&lt;&gt;"",$AJ40&lt;&gt;"",$H40&lt;&gt;$AJ40,IFERROR(VLOOKUP($H40,areaCercaPuntiClassificaSquadra,3,FALSE),-1)=IFERROR(VLOOKUP($AJ40,areaCercaPuntiClassificaSquadra,3,FALSE),-2)),SUMIFS(Dati!$F$2:$F$761,Dati!$A$2:$A$761,$H40,Dati!$H$2:$H$761,$AJ40)+SUMIFS(Dati!$M$2:$M$761,Dati!$H$2:$H$761,$H40,Dati!$A$2:$A$761,$AJ40),"-")</f>
        <v/>
      </c>
      <c r="DU40" s="22">
        <f>IF(AND($H40&lt;&gt;"",$AK40&lt;&gt;"",$H40&lt;&gt;$AK40,IFERROR(VLOOKUP($H40,areaCercaPuntiClassificaSquadra,3,FALSE),-1)=IFERROR(VLOOKUP($AK40,areaCercaPuntiClassificaSquadra,3,FALSE),-2)),SUMIFS(Dati!$F$2:$F$761,Dati!$A$2:$A$761,$H40,Dati!$H$2:$H$761,$AK40)+SUMIFS(Dati!$M$2:$M$761,Dati!$H$2:$H$761,$H40,Dati!$A$2:$A$761,$AK40),"-")</f>
        <v/>
      </c>
      <c r="DV40" s="22">
        <f>IF(AND($H40&lt;&gt;"",$AL40&lt;&gt;"",$H40&lt;&gt;$AL40,IFERROR(VLOOKUP($H40,areaCercaPuntiClassificaSquadra,3,FALSE),-1)=IFERROR(VLOOKUP($AL40,areaCercaPuntiClassificaSquadra,3,FALSE),-2)),SUMIFS(Dati!$F$2:$F$761,Dati!$A$2:$A$761,$H40,Dati!$H$2:$H$761,$AL40)+SUMIFS(Dati!$M$2:$M$761,Dati!$H$2:$H$761,$H40,Dati!$A$2:$A$761,$AL40),"-")</f>
        <v/>
      </c>
      <c r="DW40" s="22">
        <f>IF(AND($H40&lt;&gt;"",$AM40&lt;&gt;"",$H40&lt;&gt;$AM40,IFERROR(VLOOKUP($H40,areaCercaPuntiClassificaSquadra,3,FALSE),-1)=IFERROR(VLOOKUP($AM40,areaCercaPuntiClassificaSquadra,3,FALSE),-2)),SUMIFS(Dati!$F$2:$F$761,Dati!$A$2:$A$761,$H40,Dati!$H$2:$H$761,$AM40)+SUMIFS(Dati!$M$2:$M$761,Dati!$H$2:$H$761,$H40,Dati!$A$2:$A$761,$AM40),"-")</f>
        <v/>
      </c>
      <c r="DX40" s="22">
        <f>IF(AND($H40&lt;&gt;"",$AN40&lt;&gt;"",$H40&lt;&gt;$AN40,IFERROR(VLOOKUP($H40,areaCercaPuntiClassificaSquadra,3,FALSE),-1)=IFERROR(VLOOKUP($AN40,areaCercaPuntiClassificaSquadra,3,FALSE),-2)),SUMIFS(Dati!$F$2:$F$761,Dati!$A$2:$A$761,$H40,Dati!$H$2:$H$761,$AN40)+SUMIFS(Dati!$M$2:$M$761,Dati!$H$2:$H$761,$H40,Dati!$A$2:$A$761,$AN40),"-")</f>
        <v/>
      </c>
      <c r="DY40" s="22">
        <f>IF(AND($H40&lt;&gt;"",$AO40&lt;&gt;"",$H40&lt;&gt;$AO40,IFERROR(VLOOKUP($H40,areaCercaPuntiClassificaSquadra,3,FALSE),-1)=IFERROR(VLOOKUP($AO40,areaCercaPuntiClassificaSquadra,3,FALSE),-2)),SUMIFS(Dati!$F$2:$F$761,Dati!$A$2:$A$761,$H40,Dati!$H$2:$H$761,$AO40)+SUMIFS(Dati!$M$2:$M$761,Dati!$H$2:$H$761,$H40,Dati!$A$2:$A$761,$AO40),"-")</f>
        <v/>
      </c>
      <c r="DZ40" s="22">
        <f>IF(AND($H40&lt;&gt;"",$AP40&lt;&gt;"",$H40&lt;&gt;$AP40,IFERROR(VLOOKUP($H40,areaCercaPuntiClassificaSquadra,3,FALSE),-1)=IFERROR(VLOOKUP($AP40,areaCercaPuntiClassificaSquadra,3,FALSE),-2)),SUMIFS(Dati!$F$2:$F$761,Dati!$A$2:$A$761,$H40,Dati!$H$2:$H$761,$AP40)+SUMIFS(Dati!$M$2:$M$761,Dati!$H$2:$H$761,$H40,Dati!$A$2:$A$761,$AP40),"-")</f>
        <v/>
      </c>
      <c r="EA40" s="22">
        <f>IF(AND($H40&lt;&gt;"",$AQ40&lt;&gt;"",$H40&lt;&gt;$AQ40,IFERROR(VLOOKUP($H40,areaCercaPuntiClassificaSquadra,3,FALSE),-1)=IFERROR(VLOOKUP($AQ40,areaCercaPuntiClassificaSquadra,3,FALSE),-2)),SUMIFS(Dati!$F$2:$F$761,Dati!$A$2:$A$761,$H40,Dati!$H$2:$H$761,$AQ40)+SUMIFS(Dati!$M$2:$M$761,Dati!$H$2:$H$761,$H40,Dati!$A$2:$A$761,$AQ40),"-")</f>
        <v/>
      </c>
      <c r="EB40" s="22">
        <f>IF(AND($H40&lt;&gt;"",$AR40&lt;&gt;"",$H40&lt;&gt;$AR40,IFERROR(VLOOKUP($H40,areaCercaPuntiClassificaSquadra,3,FALSE),-1)=IFERROR(VLOOKUP($AR40,areaCercaPuntiClassificaSquadra,3,FALSE),-2)),SUMIFS(Dati!$F$2:$F$761,Dati!$A$2:$A$761,$H40,Dati!$H$2:$H$761,$AR40)+SUMIFS(Dati!$M$2:$M$761,Dati!$H$2:$H$761,$H40,Dati!$A$2:$A$761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inlineStr">
        <is>
          <t>Nutrie Nobili-Nutrieopoli NI</t>
        </is>
      </c>
      <c r="D41" s="14" t="n"/>
      <c r="E41" s="23" t="inlineStr">
        <is>
          <t>B</t>
        </is>
      </c>
      <c r="G41" s="24">
        <f>IF($C41="","",$E41&amp;(COUNTIFS(I$14:I$93,"&gt;"&amp;I41,E$14:E$93,"="&amp;E41,C$14:C$93,"&lt;&gt;")+COUNTIFS(I$14:I$93,"="&amp;I41,H$14:H$93,"&lt;="&amp;H41,E$14:E$93,"="&amp;E41,C$14:C$93,"&lt;&gt;")))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L41*constPuntiVittoria+M41*constPuntiSconfitta+N41*constPuntiForfait+IF(D41="",0,D41)</f>
        <v/>
      </c>
      <c r="K41" s="12">
        <f>SUM(L41:N41)</f>
        <v/>
      </c>
      <c r="L41" s="12">
        <f>IF($H41="",0,SUMIF(Dati!$A$2:$A$761,$H41,Dati!$B$2:$B$761)+SUMIF(Dati!$H$2:$H$761,$H41,Dati!$I$2:$I$761))</f>
        <v/>
      </c>
      <c r="M41" s="12">
        <f>IF($H41="",0,SUMIF(Dati!$A$2:$A$761,$H41,Dati!$D$2:$D$761)+SUMIF(Dati!$H$2:$H$761,$H41,Dati!$K$2:$K$761))</f>
        <v/>
      </c>
      <c r="N41" s="12">
        <f>IF($H41="",0,SUMIF(Dati!$A$2:$A$761,$H41,Dati!$C$2:$C$761)+SUMIF(Dati!$H$2:$H$761,$H41,Dati!$J$2:$J$761))</f>
        <v/>
      </c>
      <c r="O41" s="12">
        <f>IF($H41="",0,SUMIF(Dati!$A$2:$A$761,$H41,Dati!$E$2:$E$761)+SUMIF(Dati!$H$2:$H$761,$H41,Dati!$L$2:$L$761))</f>
        <v/>
      </c>
      <c r="P41" s="12">
        <f>IF($H41="",0,SUMIF(Dati!$A$2:$A$761,$H41,Dati!$F$2:$F$761)+SUMIF(Dati!$H$2:$H$761,$H41,Dati!$M$2:$M$761))</f>
        <v/>
      </c>
      <c r="Q41" s="12">
        <f>IF($H41="",0,SUMIF(Dati!$A$2:$A$761,$H41,Dati!$G$2:$G$761)+SUMIF(Dati!$H$2:$H$761,$H41,Dati!$N$2:$N$761))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IF(COUNTIFS($E$14:$E$93,$E41,$J$14:$J$93,$J41,$C$14:$C$93,"&lt;&gt;")&lt;=1,"-",SUM(AU41:BN41)&amp;"-"&amp;SUM(BQ41:CJ41))</f>
        <v/>
      </c>
      <c r="V41" s="18">
        <f>IF(COUNTIFS($E$14:$E$93,$E41,$J$14:$J$93,$J41,$C$14:$C$93,"&lt;&gt;",$ED$14:$ED$93,$ED41)&lt;=1,"-",IF(SUM(DI41:EB41)=0,0,ROUND(SUM(CM41:DF41)/SUM(DI41:EB41),3)))</f>
        <v/>
      </c>
      <c r="W41" s="18">
        <f>IF(COUNTIFS($E$14:$E$93,$E41,$J$14:$J$93,$J41,$C$14:$C$93,"&lt;&gt;",$ED$14:$ED$93,$ED41,$V$14:$V$93,$V41)&lt;=1,"-",IF(P41=0,0,ROUND(O41/P41,3)))</f>
        <v/>
      </c>
      <c r="X41" s="19">
        <f>IF($C41="","",$E41&amp;"#"&amp;COUNTIFS($E$14:$E41,$E41,$C$14:$C41,"&lt;&gt;"))</f>
        <v/>
      </c>
      <c r="Y41" s="20">
        <f>IFERROR(INDEX($H$14:$H$93,MATCH($E41&amp;"#1",$X$14:$X$93,0)),"")</f>
        <v/>
      </c>
      <c r="Z41" s="20">
        <f>IFERROR(INDEX($H$14:$H$93,MATCH($E41&amp;"#2",$X$14:$X$93,0)),"")</f>
        <v/>
      </c>
      <c r="AA41" s="20">
        <f>IFERROR(INDEX($H$14:$H$93,MATCH($E41&amp;"#3",$X$14:$X$93,0)),"")</f>
        <v/>
      </c>
      <c r="AB41" s="20">
        <f>IFERROR(INDEX($H$14:$H$93,MATCH($E41&amp;"#4",$X$14:$X$93,0)),"")</f>
        <v/>
      </c>
      <c r="AC41" s="20">
        <f>IFERROR(INDEX($H$14:$H$93,MATCH($E41&amp;"#5",$X$14:$X$93,0)),"")</f>
        <v/>
      </c>
      <c r="AD41" s="20">
        <f>IFERROR(INDEX($H$14:$H$93,MATCH($E41&amp;"#6",$X$14:$X$93,0)),"")</f>
        <v/>
      </c>
      <c r="AE41" s="20">
        <f>IFERROR(INDEX($H$14:$H$93,MATCH($E41&amp;"#7",$X$14:$X$93,0)),"")</f>
        <v/>
      </c>
      <c r="AF41" s="20">
        <f>IFERROR(INDEX($H$14:$H$93,MATCH($E41&amp;"#8",$X$14:$X$93,0)),"")</f>
        <v/>
      </c>
      <c r="AG41" s="20">
        <f>IFERROR(INDEX($H$14:$H$93,MATCH($E41&amp;"#9",$X$14:$X$93,0)),"")</f>
        <v/>
      </c>
      <c r="AH41" s="20">
        <f>IFERROR(INDEX($H$14:$H$93,MATCH($E41&amp;"#10",$X$14:$X$93,0)),"")</f>
        <v/>
      </c>
      <c r="AI41" s="20">
        <f>IFERROR(INDEX($H$14:$H$93,MATCH($E41&amp;"#11",$X$14:$X$93,0)),"")</f>
        <v/>
      </c>
      <c r="AJ41" s="20">
        <f>IFERROR(INDEX($H$14:$H$93,MATCH($E41&amp;"#12",$X$14:$X$93,0)),"")</f>
        <v/>
      </c>
      <c r="AK41" s="20">
        <f>IFERROR(INDEX($H$14:$H$93,MATCH($E41&amp;"#13",$X$14:$X$93,0)),"")</f>
        <v/>
      </c>
      <c r="AL41" s="20">
        <f>IFERROR(INDEX($H$14:$H$93,MATCH($E41&amp;"#14",$X$14:$X$93,0)),"")</f>
        <v/>
      </c>
      <c r="AM41" s="20">
        <f>IFERROR(INDEX($H$14:$H$93,MATCH($E41&amp;"#15",$X$14:$X$93,0)),"")</f>
        <v/>
      </c>
      <c r="AN41" s="20">
        <f>IFERROR(INDEX($H$14:$H$93,MATCH($E41&amp;"#16",$X$14:$X$93,0)),"")</f>
        <v/>
      </c>
      <c r="AO41" s="20">
        <f>IFERROR(INDEX($H$14:$H$93,MATCH($E41&amp;"#17",$X$14:$X$93,0)),"")</f>
        <v/>
      </c>
      <c r="AP41" s="20">
        <f>IFERROR(INDEX($H$14:$H$93,MATCH($E41&amp;"#18",$X$14:$X$93,0)),"")</f>
        <v/>
      </c>
      <c r="AQ41" s="20">
        <f>IFERROR(INDEX($H$14:$H$93,MATCH($E41&amp;"#19",$X$14:$X$93,0)),"")</f>
        <v/>
      </c>
      <c r="AR41" s="20">
        <f>IFERROR(INDEX($H$14:$H$93,MATCH($E41&amp;"#20",$X$14:$X$93,0)),"")</f>
        <v/>
      </c>
      <c r="AT41" s="21">
        <f>$C41</f>
        <v/>
      </c>
      <c r="AU41" s="22">
        <f>IF(AND($H41&lt;&gt;"",$Y41&lt;&gt;"",$H41&lt;&gt;$Y41,IFERROR(VLOOKUP($H41,areaCercaPuntiClassificaSquadra,3,FALSE),-1)=IFERROR(VLOOKUP($Y41,areaCercaPuntiClassificaSquadra,3,FALSE),-2)),SUMIFS(Dati!$B$2:$B$761,Dati!$A$2:$A$761,$H41,Dati!$H$2:$H$761,$Y41)+SUMIFS(Dati!$I$2:$I$761,Dati!$H$2:$H$761,$H41,Dati!$A$2:$A$761,$Y41),"-")</f>
        <v/>
      </c>
      <c r="AV41" s="22">
        <f>IF(AND($H41&lt;&gt;"",$Z41&lt;&gt;"",$H41&lt;&gt;$Z41,IFERROR(VLOOKUP($H41,areaCercaPuntiClassificaSquadra,3,FALSE),-1)=IFERROR(VLOOKUP($Z41,areaCercaPuntiClassificaSquadra,3,FALSE),-2)),SUMIFS(Dati!$B$2:$B$761,Dati!$A$2:$A$761,$H41,Dati!$H$2:$H$761,$Z41)+SUMIFS(Dati!$I$2:$I$761,Dati!$H$2:$H$761,$H41,Dati!$A$2:$A$761,$Z41),"-")</f>
        <v/>
      </c>
      <c r="AW41" s="22">
        <f>IF(AND($H41&lt;&gt;"",$AA41&lt;&gt;"",$H41&lt;&gt;$AA41,IFERROR(VLOOKUP($H41,areaCercaPuntiClassificaSquadra,3,FALSE),-1)=IFERROR(VLOOKUP($AA41,areaCercaPuntiClassificaSquadra,3,FALSE),-2)),SUMIFS(Dati!$B$2:$B$761,Dati!$A$2:$A$761,$H41,Dati!$H$2:$H$761,$AA41)+SUMIFS(Dati!$I$2:$I$761,Dati!$H$2:$H$761,$H41,Dati!$A$2:$A$761,$AA41),"-")</f>
        <v/>
      </c>
      <c r="AX41" s="22">
        <f>IF(AND($H41&lt;&gt;"",$AB41&lt;&gt;"",$H41&lt;&gt;$AB41,IFERROR(VLOOKUP($H41,areaCercaPuntiClassificaSquadra,3,FALSE),-1)=IFERROR(VLOOKUP($AB41,areaCercaPuntiClassificaSquadra,3,FALSE),-2)),SUMIFS(Dati!$B$2:$B$761,Dati!$A$2:$A$761,$H41,Dati!$H$2:$H$761,$AB41)+SUMIFS(Dati!$I$2:$I$761,Dati!$H$2:$H$761,$H41,Dati!$A$2:$A$761,$AB41),"-")</f>
        <v/>
      </c>
      <c r="AY41" s="22">
        <f>IF(AND($H41&lt;&gt;"",$AC41&lt;&gt;"",$H41&lt;&gt;$AC41,IFERROR(VLOOKUP($H41,areaCercaPuntiClassificaSquadra,3,FALSE),-1)=IFERROR(VLOOKUP($AC41,areaCercaPuntiClassificaSquadra,3,FALSE),-2)),SUMIFS(Dati!$B$2:$B$761,Dati!$A$2:$A$761,$H41,Dati!$H$2:$H$761,$AC41)+SUMIFS(Dati!$I$2:$I$761,Dati!$H$2:$H$761,$H41,Dati!$A$2:$A$761,$AC41),"-")</f>
        <v/>
      </c>
      <c r="AZ41" s="22">
        <f>IF(AND($H41&lt;&gt;"",$AD41&lt;&gt;"",$H41&lt;&gt;$AD41,IFERROR(VLOOKUP($H41,areaCercaPuntiClassificaSquadra,3,FALSE),-1)=IFERROR(VLOOKUP($AD41,areaCercaPuntiClassificaSquadra,3,FALSE),-2)),SUMIFS(Dati!$B$2:$B$761,Dati!$A$2:$A$761,$H41,Dati!$H$2:$H$761,$AD41)+SUMIFS(Dati!$I$2:$I$761,Dati!$H$2:$H$761,$H41,Dati!$A$2:$A$761,$AD41),"-")</f>
        <v/>
      </c>
      <c r="BA41" s="22">
        <f>IF(AND($H41&lt;&gt;"",$AE41&lt;&gt;"",$H41&lt;&gt;$AE41,IFERROR(VLOOKUP($H41,areaCercaPuntiClassificaSquadra,3,FALSE),-1)=IFERROR(VLOOKUP($AE41,areaCercaPuntiClassificaSquadra,3,FALSE),-2)),SUMIFS(Dati!$B$2:$B$761,Dati!$A$2:$A$761,$H41,Dati!$H$2:$H$761,$AE41)+SUMIFS(Dati!$I$2:$I$761,Dati!$H$2:$H$761,$H41,Dati!$A$2:$A$761,$AE41),"-")</f>
        <v/>
      </c>
      <c r="BB41" s="22">
        <f>IF(AND($H41&lt;&gt;"",$AF41&lt;&gt;"",$H41&lt;&gt;$AF41,IFERROR(VLOOKUP($H41,areaCercaPuntiClassificaSquadra,3,FALSE),-1)=IFERROR(VLOOKUP($AF41,areaCercaPuntiClassificaSquadra,3,FALSE),-2)),SUMIFS(Dati!$B$2:$B$761,Dati!$A$2:$A$761,$H41,Dati!$H$2:$H$761,$AF41)+SUMIFS(Dati!$I$2:$I$761,Dati!$H$2:$H$761,$H41,Dati!$A$2:$A$761,$AF41),"-")</f>
        <v/>
      </c>
      <c r="BC41" s="22">
        <f>IF(AND($H41&lt;&gt;"",$AG41&lt;&gt;"",$H41&lt;&gt;$AG41,IFERROR(VLOOKUP($H41,areaCercaPuntiClassificaSquadra,3,FALSE),-1)=IFERROR(VLOOKUP($AG41,areaCercaPuntiClassificaSquadra,3,FALSE),-2)),SUMIFS(Dati!$B$2:$B$761,Dati!$A$2:$A$761,$H41,Dati!$H$2:$H$761,$AG41)+SUMIFS(Dati!$I$2:$I$761,Dati!$H$2:$H$761,$H41,Dati!$A$2:$A$761,$AG41),"-")</f>
        <v/>
      </c>
      <c r="BD41" s="22">
        <f>IF(AND($H41&lt;&gt;"",$AH41&lt;&gt;"",$H41&lt;&gt;$AH41,IFERROR(VLOOKUP($H41,areaCercaPuntiClassificaSquadra,3,FALSE),-1)=IFERROR(VLOOKUP($AH41,areaCercaPuntiClassificaSquadra,3,FALSE),-2)),SUMIFS(Dati!$B$2:$B$761,Dati!$A$2:$A$761,$H41,Dati!$H$2:$H$761,$AH41)+SUMIFS(Dati!$I$2:$I$761,Dati!$H$2:$H$761,$H41,Dati!$A$2:$A$761,$AH41),"-")</f>
        <v/>
      </c>
      <c r="BE41" s="22">
        <f>IF(AND($H41&lt;&gt;"",$AI41&lt;&gt;"",$H41&lt;&gt;$AI41,IFERROR(VLOOKUP($H41,areaCercaPuntiClassificaSquadra,3,FALSE),-1)=IFERROR(VLOOKUP($AI41,areaCercaPuntiClassificaSquadra,3,FALSE),-2)),SUMIFS(Dati!$B$2:$B$761,Dati!$A$2:$A$761,$H41,Dati!$H$2:$H$761,$AI41)+SUMIFS(Dati!$I$2:$I$761,Dati!$H$2:$H$761,$H41,Dati!$A$2:$A$761,$AI41),"-")</f>
        <v/>
      </c>
      <c r="BF41" s="22">
        <f>IF(AND($H41&lt;&gt;"",$AJ41&lt;&gt;"",$H41&lt;&gt;$AJ41,IFERROR(VLOOKUP($H41,areaCercaPuntiClassificaSquadra,3,FALSE),-1)=IFERROR(VLOOKUP($AJ41,areaCercaPuntiClassificaSquadra,3,FALSE),-2)),SUMIFS(Dati!$B$2:$B$761,Dati!$A$2:$A$761,$H41,Dati!$H$2:$H$761,$AJ41)+SUMIFS(Dati!$I$2:$I$761,Dati!$H$2:$H$761,$H41,Dati!$A$2:$A$761,$AJ41),"-")</f>
        <v/>
      </c>
      <c r="BG41" s="22">
        <f>IF(AND($H41&lt;&gt;"",$AK41&lt;&gt;"",$H41&lt;&gt;$AK41,IFERROR(VLOOKUP($H41,areaCercaPuntiClassificaSquadra,3,FALSE),-1)=IFERROR(VLOOKUP($AK41,areaCercaPuntiClassificaSquadra,3,FALSE),-2)),SUMIFS(Dati!$B$2:$B$761,Dati!$A$2:$A$761,$H41,Dati!$H$2:$H$761,$AK41)+SUMIFS(Dati!$I$2:$I$761,Dati!$H$2:$H$761,$H41,Dati!$A$2:$A$761,$AK41),"-")</f>
        <v/>
      </c>
      <c r="BH41" s="22">
        <f>IF(AND($H41&lt;&gt;"",$AL41&lt;&gt;"",$H41&lt;&gt;$AL41,IFERROR(VLOOKUP($H41,areaCercaPuntiClassificaSquadra,3,FALSE),-1)=IFERROR(VLOOKUP($AL41,areaCercaPuntiClassificaSquadra,3,FALSE),-2)),SUMIFS(Dati!$B$2:$B$761,Dati!$A$2:$A$761,$H41,Dati!$H$2:$H$761,$AL41)+SUMIFS(Dati!$I$2:$I$761,Dati!$H$2:$H$761,$H41,Dati!$A$2:$A$761,$AL41),"-")</f>
        <v/>
      </c>
      <c r="BI41" s="22">
        <f>IF(AND($H41&lt;&gt;"",$AM41&lt;&gt;"",$H41&lt;&gt;$AM41,IFERROR(VLOOKUP($H41,areaCercaPuntiClassificaSquadra,3,FALSE),-1)=IFERROR(VLOOKUP($AM41,areaCercaPuntiClassificaSquadra,3,FALSE),-2)),SUMIFS(Dati!$B$2:$B$761,Dati!$A$2:$A$761,$H41,Dati!$H$2:$H$761,$AM41)+SUMIFS(Dati!$I$2:$I$761,Dati!$H$2:$H$761,$H41,Dati!$A$2:$A$761,$AM41),"-")</f>
        <v/>
      </c>
      <c r="BJ41" s="22">
        <f>IF(AND($H41&lt;&gt;"",$AN41&lt;&gt;"",$H41&lt;&gt;$AN41,IFERROR(VLOOKUP($H41,areaCercaPuntiClassificaSquadra,3,FALSE),-1)=IFERROR(VLOOKUP($AN41,areaCercaPuntiClassificaSquadra,3,FALSE),-2)),SUMIFS(Dati!$B$2:$B$761,Dati!$A$2:$A$761,$H41,Dati!$H$2:$H$761,$AN41)+SUMIFS(Dati!$I$2:$I$761,Dati!$H$2:$H$761,$H41,Dati!$A$2:$A$761,$AN41),"-")</f>
        <v/>
      </c>
      <c r="BK41" s="22">
        <f>IF(AND($H41&lt;&gt;"",$AO41&lt;&gt;"",$H41&lt;&gt;$AO41,IFERROR(VLOOKUP($H41,areaCercaPuntiClassificaSquadra,3,FALSE),-1)=IFERROR(VLOOKUP($AO41,areaCercaPuntiClassificaSquadra,3,FALSE),-2)),SUMIFS(Dati!$B$2:$B$761,Dati!$A$2:$A$761,$H41,Dati!$H$2:$H$761,$AO41)+SUMIFS(Dati!$I$2:$I$761,Dati!$H$2:$H$761,$H41,Dati!$A$2:$A$761,$AO41),"-")</f>
        <v/>
      </c>
      <c r="BL41" s="22">
        <f>IF(AND($H41&lt;&gt;"",$AP41&lt;&gt;"",$H41&lt;&gt;$AP41,IFERROR(VLOOKUP($H41,areaCercaPuntiClassificaSquadra,3,FALSE),-1)=IFERROR(VLOOKUP($AP41,areaCercaPuntiClassificaSquadra,3,FALSE),-2)),SUMIFS(Dati!$B$2:$B$761,Dati!$A$2:$A$761,$H41,Dati!$H$2:$H$761,$AP41)+SUMIFS(Dati!$I$2:$I$761,Dati!$H$2:$H$761,$H41,Dati!$A$2:$A$761,$AP41),"-")</f>
        <v/>
      </c>
      <c r="BM41" s="22">
        <f>IF(AND($H41&lt;&gt;"",$AQ41&lt;&gt;"",$H41&lt;&gt;$AQ41,IFERROR(VLOOKUP($H41,areaCercaPuntiClassificaSquadra,3,FALSE),-1)=IFERROR(VLOOKUP($AQ41,areaCercaPuntiClassificaSquadra,3,FALSE),-2)),SUMIFS(Dati!$B$2:$B$761,Dati!$A$2:$A$761,$H41,Dati!$H$2:$H$761,$AQ41)+SUMIFS(Dati!$I$2:$I$761,Dati!$H$2:$H$761,$H41,Dati!$A$2:$A$761,$AQ41),"-")</f>
        <v/>
      </c>
      <c r="BN41" s="22">
        <f>IF(AND($H41&lt;&gt;"",$AR41&lt;&gt;"",$H41&lt;&gt;$AR41,IFERROR(VLOOKUP($H41,areaCercaPuntiClassificaSquadra,3,FALSE),-1)=IFERROR(VLOOKUP($AR41,areaCercaPuntiClassificaSquadra,3,FALSE),-2)),SUMIFS(Dati!$B$2:$B$761,Dati!$A$2:$A$761,$H41,Dati!$H$2:$H$761,$AR41)+SUMIFS(Dati!$I$2:$I$761,Dati!$H$2:$H$761,$H41,Dati!$A$2:$A$761,$AR41),"-")</f>
        <v/>
      </c>
      <c r="BP41" s="21">
        <f>$C41</f>
        <v/>
      </c>
      <c r="BQ41" s="22">
        <f>IF(AND($H41&lt;&gt;"",$Y41&lt;&gt;"",$H41&lt;&gt;$Y41,IFERROR(VLOOKUP($H41,areaCercaPuntiClassificaSquadra,3,FALSE),-1)=IFERROR(VLOOKUP($Y41,areaCercaPuntiClassificaSquadra,3,FALSE),-2)),SUMIFS(Dati!$D$2:$D$761,Dati!$A$2:$A$761,$H41,Dati!$H$2:$H$761,$Y41)+SUMIFS(Dati!$K$2:$K$761,Dati!$H$2:$H$761,$H41,Dati!$A$2:$A$761,$Y41)+SUMIFS(Dati!$C$2:$C$761,Dati!$A$2:$A$761,$H41,Dati!$H$2:$H$761,$Y41)+SUMIFS(Dati!$J$2:$J$761,Dati!$H$2:$H$761,$H41,Dati!$A$2:$A$761,$Y41),"-")</f>
        <v/>
      </c>
      <c r="BR41" s="22">
        <f>IF(AND($H41&lt;&gt;"",$Z41&lt;&gt;"",$H41&lt;&gt;$Z41,IFERROR(VLOOKUP($H41,areaCercaPuntiClassificaSquadra,3,FALSE),-1)=IFERROR(VLOOKUP($Z41,areaCercaPuntiClassificaSquadra,3,FALSE),-2)),SUMIFS(Dati!$D$2:$D$761,Dati!$A$2:$A$761,$H41,Dati!$H$2:$H$761,$Z41)+SUMIFS(Dati!$K$2:$K$761,Dati!$H$2:$H$761,$H41,Dati!$A$2:$A$761,$Z41)+SUMIFS(Dati!$C$2:$C$761,Dati!$A$2:$A$761,$H41,Dati!$H$2:$H$761,$Z41)+SUMIFS(Dati!$J$2:$J$761,Dati!$H$2:$H$761,$H41,Dati!$A$2:$A$761,$Z41),"-")</f>
        <v/>
      </c>
      <c r="BS41" s="22">
        <f>IF(AND($H41&lt;&gt;"",$AA41&lt;&gt;"",$H41&lt;&gt;$AA41,IFERROR(VLOOKUP($H41,areaCercaPuntiClassificaSquadra,3,FALSE),-1)=IFERROR(VLOOKUP($AA41,areaCercaPuntiClassificaSquadra,3,FALSE),-2)),SUMIFS(Dati!$D$2:$D$761,Dati!$A$2:$A$761,$H41,Dati!$H$2:$H$761,$AA41)+SUMIFS(Dati!$K$2:$K$761,Dati!$H$2:$H$761,$H41,Dati!$A$2:$A$761,$AA41)+SUMIFS(Dati!$C$2:$C$761,Dati!$A$2:$A$761,$H41,Dati!$H$2:$H$761,$AA41)+SUMIFS(Dati!$J$2:$J$761,Dati!$H$2:$H$761,$H41,Dati!$A$2:$A$761,$AA41),"-")</f>
        <v/>
      </c>
      <c r="BT41" s="22">
        <f>IF(AND($H41&lt;&gt;"",$AB41&lt;&gt;"",$H41&lt;&gt;$AB41,IFERROR(VLOOKUP($H41,areaCercaPuntiClassificaSquadra,3,FALSE),-1)=IFERROR(VLOOKUP($AB41,areaCercaPuntiClassificaSquadra,3,FALSE),-2)),SUMIFS(Dati!$D$2:$D$761,Dati!$A$2:$A$761,$H41,Dati!$H$2:$H$761,$AB41)+SUMIFS(Dati!$K$2:$K$761,Dati!$H$2:$H$761,$H41,Dati!$A$2:$A$761,$AB41)+SUMIFS(Dati!$C$2:$C$761,Dati!$A$2:$A$761,$H41,Dati!$H$2:$H$761,$AB41)+SUMIFS(Dati!$J$2:$J$761,Dati!$H$2:$H$761,$H41,Dati!$A$2:$A$761,$AB41),"-")</f>
        <v/>
      </c>
      <c r="BU41" s="22">
        <f>IF(AND($H41&lt;&gt;"",$AC41&lt;&gt;"",$H41&lt;&gt;$AC41,IFERROR(VLOOKUP($H41,areaCercaPuntiClassificaSquadra,3,FALSE),-1)=IFERROR(VLOOKUP($AC41,areaCercaPuntiClassificaSquadra,3,FALSE),-2)),SUMIFS(Dati!$D$2:$D$761,Dati!$A$2:$A$761,$H41,Dati!$H$2:$H$761,$AC41)+SUMIFS(Dati!$K$2:$K$761,Dati!$H$2:$H$761,$H41,Dati!$A$2:$A$761,$AC41)+SUMIFS(Dati!$C$2:$C$761,Dati!$A$2:$A$761,$H41,Dati!$H$2:$H$761,$AC41)+SUMIFS(Dati!$J$2:$J$761,Dati!$H$2:$H$761,$H41,Dati!$A$2:$A$761,$AC41),"-")</f>
        <v/>
      </c>
      <c r="BV41" s="22">
        <f>IF(AND($H41&lt;&gt;"",$AD41&lt;&gt;"",$H41&lt;&gt;$AD41,IFERROR(VLOOKUP($H41,areaCercaPuntiClassificaSquadra,3,FALSE),-1)=IFERROR(VLOOKUP($AD41,areaCercaPuntiClassificaSquadra,3,FALSE),-2)),SUMIFS(Dati!$D$2:$D$761,Dati!$A$2:$A$761,$H41,Dati!$H$2:$H$761,$AD41)+SUMIFS(Dati!$K$2:$K$761,Dati!$H$2:$H$761,$H41,Dati!$A$2:$A$761,$AD41)+SUMIFS(Dati!$C$2:$C$761,Dati!$A$2:$A$761,$H41,Dati!$H$2:$H$761,$AD41)+SUMIFS(Dati!$J$2:$J$761,Dati!$H$2:$H$761,$H41,Dati!$A$2:$A$761,$AD41),"-")</f>
        <v/>
      </c>
      <c r="BW41" s="22">
        <f>IF(AND($H41&lt;&gt;"",$AE41&lt;&gt;"",$H41&lt;&gt;$AE41,IFERROR(VLOOKUP($H41,areaCercaPuntiClassificaSquadra,3,FALSE),-1)=IFERROR(VLOOKUP($AE41,areaCercaPuntiClassificaSquadra,3,FALSE),-2)),SUMIFS(Dati!$D$2:$D$761,Dati!$A$2:$A$761,$H41,Dati!$H$2:$H$761,$AE41)+SUMIFS(Dati!$K$2:$K$761,Dati!$H$2:$H$761,$H41,Dati!$A$2:$A$761,$AE41)+SUMIFS(Dati!$C$2:$C$761,Dati!$A$2:$A$761,$H41,Dati!$H$2:$H$761,$AE41)+SUMIFS(Dati!$J$2:$J$761,Dati!$H$2:$H$761,$H41,Dati!$A$2:$A$761,$AE41),"-")</f>
        <v/>
      </c>
      <c r="BX41" s="22">
        <f>IF(AND($H41&lt;&gt;"",$AF41&lt;&gt;"",$H41&lt;&gt;$AF41,IFERROR(VLOOKUP($H41,areaCercaPuntiClassificaSquadra,3,FALSE),-1)=IFERROR(VLOOKUP($AF41,areaCercaPuntiClassificaSquadra,3,FALSE),-2)),SUMIFS(Dati!$D$2:$D$761,Dati!$A$2:$A$761,$H41,Dati!$H$2:$H$761,$AF41)+SUMIFS(Dati!$K$2:$K$761,Dati!$H$2:$H$761,$H41,Dati!$A$2:$A$761,$AF41)+SUMIFS(Dati!$C$2:$C$761,Dati!$A$2:$A$761,$H41,Dati!$H$2:$H$761,$AF41)+SUMIFS(Dati!$J$2:$J$761,Dati!$H$2:$H$761,$H41,Dati!$A$2:$A$761,$AF41),"-")</f>
        <v/>
      </c>
      <c r="BY41" s="22">
        <f>IF(AND($H41&lt;&gt;"",$AG41&lt;&gt;"",$H41&lt;&gt;$AG41,IFERROR(VLOOKUP($H41,areaCercaPuntiClassificaSquadra,3,FALSE),-1)=IFERROR(VLOOKUP($AG41,areaCercaPuntiClassificaSquadra,3,FALSE),-2)),SUMIFS(Dati!$D$2:$D$761,Dati!$A$2:$A$761,$H41,Dati!$H$2:$H$761,$AG41)+SUMIFS(Dati!$K$2:$K$761,Dati!$H$2:$H$761,$H41,Dati!$A$2:$A$761,$AG41)+SUMIFS(Dati!$C$2:$C$761,Dati!$A$2:$A$761,$H41,Dati!$H$2:$H$761,$AG41)+SUMIFS(Dati!$J$2:$J$761,Dati!$H$2:$H$761,$H41,Dati!$A$2:$A$761,$AG41),"-")</f>
        <v/>
      </c>
      <c r="BZ41" s="22">
        <f>IF(AND($H41&lt;&gt;"",$AH41&lt;&gt;"",$H41&lt;&gt;$AH41,IFERROR(VLOOKUP($H41,areaCercaPuntiClassificaSquadra,3,FALSE),-1)=IFERROR(VLOOKUP($AH41,areaCercaPuntiClassificaSquadra,3,FALSE),-2)),SUMIFS(Dati!$D$2:$D$761,Dati!$A$2:$A$761,$H41,Dati!$H$2:$H$761,$AH41)+SUMIFS(Dati!$K$2:$K$761,Dati!$H$2:$H$761,$H41,Dati!$A$2:$A$761,$AH41)+SUMIFS(Dati!$C$2:$C$761,Dati!$A$2:$A$761,$H41,Dati!$H$2:$H$761,$AH41)+SUMIFS(Dati!$J$2:$J$761,Dati!$H$2:$H$761,$H41,Dati!$A$2:$A$761,$AH41),"-")</f>
        <v/>
      </c>
      <c r="CA41" s="22">
        <f>IF(AND($H41&lt;&gt;"",$AI41&lt;&gt;"",$H41&lt;&gt;$AI41,IFERROR(VLOOKUP($H41,areaCercaPuntiClassificaSquadra,3,FALSE),-1)=IFERROR(VLOOKUP($AI41,areaCercaPuntiClassificaSquadra,3,FALSE),-2)),SUMIFS(Dati!$D$2:$D$761,Dati!$A$2:$A$761,$H41,Dati!$H$2:$H$761,$AI41)+SUMIFS(Dati!$K$2:$K$761,Dati!$H$2:$H$761,$H41,Dati!$A$2:$A$761,$AI41)+SUMIFS(Dati!$C$2:$C$761,Dati!$A$2:$A$761,$H41,Dati!$H$2:$H$761,$AI41)+SUMIFS(Dati!$J$2:$J$761,Dati!$H$2:$H$761,$H41,Dati!$A$2:$A$761,$AI41),"-")</f>
        <v/>
      </c>
      <c r="CB41" s="22">
        <f>IF(AND($H41&lt;&gt;"",$AJ41&lt;&gt;"",$H41&lt;&gt;$AJ41,IFERROR(VLOOKUP($H41,areaCercaPuntiClassificaSquadra,3,FALSE),-1)=IFERROR(VLOOKUP($AJ41,areaCercaPuntiClassificaSquadra,3,FALSE),-2)),SUMIFS(Dati!$D$2:$D$761,Dati!$A$2:$A$761,$H41,Dati!$H$2:$H$761,$AJ41)+SUMIFS(Dati!$K$2:$K$761,Dati!$H$2:$H$761,$H41,Dati!$A$2:$A$761,$AJ41)+SUMIFS(Dati!$C$2:$C$761,Dati!$A$2:$A$761,$H41,Dati!$H$2:$H$761,$AJ41)+SUMIFS(Dati!$J$2:$J$761,Dati!$H$2:$H$761,$H41,Dati!$A$2:$A$761,$AJ41),"-")</f>
        <v/>
      </c>
      <c r="CC41" s="22">
        <f>IF(AND($H41&lt;&gt;"",$AK41&lt;&gt;"",$H41&lt;&gt;$AK41,IFERROR(VLOOKUP($H41,areaCercaPuntiClassificaSquadra,3,FALSE),-1)=IFERROR(VLOOKUP($AK41,areaCercaPuntiClassificaSquadra,3,FALSE),-2)),SUMIFS(Dati!$D$2:$D$761,Dati!$A$2:$A$761,$H41,Dati!$H$2:$H$761,$AK41)+SUMIFS(Dati!$K$2:$K$761,Dati!$H$2:$H$761,$H41,Dati!$A$2:$A$761,$AK41)+SUMIFS(Dati!$C$2:$C$761,Dati!$A$2:$A$761,$H41,Dati!$H$2:$H$761,$AK41)+SUMIFS(Dati!$J$2:$J$761,Dati!$H$2:$H$761,$H41,Dati!$A$2:$A$761,$AK41),"-")</f>
        <v/>
      </c>
      <c r="CD41" s="22">
        <f>IF(AND($H41&lt;&gt;"",$AL41&lt;&gt;"",$H41&lt;&gt;$AL41,IFERROR(VLOOKUP($H41,areaCercaPuntiClassificaSquadra,3,FALSE),-1)=IFERROR(VLOOKUP($AL41,areaCercaPuntiClassificaSquadra,3,FALSE),-2)),SUMIFS(Dati!$D$2:$D$761,Dati!$A$2:$A$761,$H41,Dati!$H$2:$H$761,$AL41)+SUMIFS(Dati!$K$2:$K$761,Dati!$H$2:$H$761,$H41,Dati!$A$2:$A$761,$AL41)+SUMIFS(Dati!$C$2:$C$761,Dati!$A$2:$A$761,$H41,Dati!$H$2:$H$761,$AL41)+SUMIFS(Dati!$J$2:$J$761,Dati!$H$2:$H$761,$H41,Dati!$A$2:$A$761,$AL41),"-")</f>
        <v/>
      </c>
      <c r="CE41" s="22">
        <f>IF(AND($H41&lt;&gt;"",$AM41&lt;&gt;"",$H41&lt;&gt;$AM41,IFERROR(VLOOKUP($H41,areaCercaPuntiClassificaSquadra,3,FALSE),-1)=IFERROR(VLOOKUP($AM41,areaCercaPuntiClassificaSquadra,3,FALSE),-2)),SUMIFS(Dati!$D$2:$D$761,Dati!$A$2:$A$761,$H41,Dati!$H$2:$H$761,$AM41)+SUMIFS(Dati!$K$2:$K$761,Dati!$H$2:$H$761,$H41,Dati!$A$2:$A$761,$AM41)+SUMIFS(Dati!$C$2:$C$761,Dati!$A$2:$A$761,$H41,Dati!$H$2:$H$761,$AM41)+SUMIFS(Dati!$J$2:$J$761,Dati!$H$2:$H$761,$H41,Dati!$A$2:$A$761,$AM41),"-")</f>
        <v/>
      </c>
      <c r="CF41" s="22">
        <f>IF(AND($H41&lt;&gt;"",$AN41&lt;&gt;"",$H41&lt;&gt;$AN41,IFERROR(VLOOKUP($H41,areaCercaPuntiClassificaSquadra,3,FALSE),-1)=IFERROR(VLOOKUP($AN41,areaCercaPuntiClassificaSquadra,3,FALSE),-2)),SUMIFS(Dati!$D$2:$D$761,Dati!$A$2:$A$761,$H41,Dati!$H$2:$H$761,$AN41)+SUMIFS(Dati!$K$2:$K$761,Dati!$H$2:$H$761,$H41,Dati!$A$2:$A$761,$AN41)+SUMIFS(Dati!$C$2:$C$761,Dati!$A$2:$A$761,$H41,Dati!$H$2:$H$761,$AN41)+SUMIFS(Dati!$J$2:$J$761,Dati!$H$2:$H$761,$H41,Dati!$A$2:$A$761,$AN41),"-")</f>
        <v/>
      </c>
      <c r="CG41" s="22">
        <f>IF(AND($H41&lt;&gt;"",$AO41&lt;&gt;"",$H41&lt;&gt;$AO41,IFERROR(VLOOKUP($H41,areaCercaPuntiClassificaSquadra,3,FALSE),-1)=IFERROR(VLOOKUP($AO41,areaCercaPuntiClassificaSquadra,3,FALSE),-2)),SUMIFS(Dati!$D$2:$D$761,Dati!$A$2:$A$761,$H41,Dati!$H$2:$H$761,$AO41)+SUMIFS(Dati!$K$2:$K$761,Dati!$H$2:$H$761,$H41,Dati!$A$2:$A$761,$AO41)+SUMIFS(Dati!$C$2:$C$761,Dati!$A$2:$A$761,$H41,Dati!$H$2:$H$761,$AO41)+SUMIFS(Dati!$J$2:$J$761,Dati!$H$2:$H$761,$H41,Dati!$A$2:$A$761,$AO41),"-")</f>
        <v/>
      </c>
      <c r="CH41" s="22">
        <f>IF(AND($H41&lt;&gt;"",$AP41&lt;&gt;"",$H41&lt;&gt;$AP41,IFERROR(VLOOKUP($H41,areaCercaPuntiClassificaSquadra,3,FALSE),-1)=IFERROR(VLOOKUP($AP41,areaCercaPuntiClassificaSquadra,3,FALSE),-2)),SUMIFS(Dati!$D$2:$D$761,Dati!$A$2:$A$761,$H41,Dati!$H$2:$H$761,$AP41)+SUMIFS(Dati!$K$2:$K$761,Dati!$H$2:$H$761,$H41,Dati!$A$2:$A$761,$AP41)+SUMIFS(Dati!$C$2:$C$761,Dati!$A$2:$A$761,$H41,Dati!$H$2:$H$761,$AP41)+SUMIFS(Dati!$J$2:$J$761,Dati!$H$2:$H$761,$H41,Dati!$A$2:$A$761,$AP41),"-")</f>
        <v/>
      </c>
      <c r="CI41" s="22">
        <f>IF(AND($H41&lt;&gt;"",$AQ41&lt;&gt;"",$H41&lt;&gt;$AQ41,IFERROR(VLOOKUP($H41,areaCercaPuntiClassificaSquadra,3,FALSE),-1)=IFERROR(VLOOKUP($AQ41,areaCercaPuntiClassificaSquadra,3,FALSE),-2)),SUMIFS(Dati!$D$2:$D$761,Dati!$A$2:$A$761,$H41,Dati!$H$2:$H$761,$AQ41)+SUMIFS(Dati!$K$2:$K$761,Dati!$H$2:$H$761,$H41,Dati!$A$2:$A$761,$AQ41)+SUMIFS(Dati!$C$2:$C$761,Dati!$A$2:$A$761,$H41,Dati!$H$2:$H$761,$AQ41)+SUMIFS(Dati!$J$2:$J$761,Dati!$H$2:$H$761,$H41,Dati!$A$2:$A$761,$AQ41),"-")</f>
        <v/>
      </c>
      <c r="CJ41" s="22">
        <f>IF(AND($H41&lt;&gt;"",$AR41&lt;&gt;"",$H41&lt;&gt;$AR41,IFERROR(VLOOKUP($H41,areaCercaPuntiClassificaSquadra,3,FALSE),-1)=IFERROR(VLOOKUP($AR41,areaCercaPuntiClassificaSquadra,3,FALSE),-2)),SUMIFS(Dati!$D$2:$D$761,Dati!$A$2:$A$761,$H41,Dati!$H$2:$H$761,$AR41)+SUMIFS(Dati!$K$2:$K$761,Dati!$H$2:$H$761,$H41,Dati!$A$2:$A$761,$AR41)+SUMIFS(Dati!$C$2:$C$761,Dati!$A$2:$A$761,$H41,Dati!$H$2:$H$761,$AR41)+SUMIFS(Dati!$J$2:$J$761,Dati!$H$2:$H$761,$H41,Dati!$A$2:$A$761,$AR41),"-")</f>
        <v/>
      </c>
      <c r="CL41" s="21">
        <f>$C41</f>
        <v/>
      </c>
      <c r="CM41" s="22">
        <f>IF(AND($H41&lt;&gt;"",$Y41&lt;&gt;"",$H41&lt;&gt;$Y41,IFERROR(VLOOKUP($H41,areaCercaPuntiClassificaSquadra,3,FALSE),-1)=IFERROR(VLOOKUP($Y41,areaCercaPuntiClassificaSquadra,3,FALSE),-2)),SUMIFS(Dati!$E$2:$E$761,Dati!$A$2:$A$761,$H41,Dati!$H$2:$H$761,$Y41)+SUMIFS(Dati!$L$2:$L$761,Dati!$H$2:$H$761,$H41,Dati!$A$2:$A$761,$Y41),"-")</f>
        <v/>
      </c>
      <c r="CN41" s="22">
        <f>IF(AND($H41&lt;&gt;"",$Z41&lt;&gt;"",$H41&lt;&gt;$Z41,IFERROR(VLOOKUP($H41,areaCercaPuntiClassificaSquadra,3,FALSE),-1)=IFERROR(VLOOKUP($Z41,areaCercaPuntiClassificaSquadra,3,FALSE),-2)),SUMIFS(Dati!$E$2:$E$761,Dati!$A$2:$A$761,$H41,Dati!$H$2:$H$761,$Z41)+SUMIFS(Dati!$L$2:$L$761,Dati!$H$2:$H$761,$H41,Dati!$A$2:$A$761,$Z41),"-")</f>
        <v/>
      </c>
      <c r="CO41" s="22">
        <f>IF(AND($H41&lt;&gt;"",$AA41&lt;&gt;"",$H41&lt;&gt;$AA41,IFERROR(VLOOKUP($H41,areaCercaPuntiClassificaSquadra,3,FALSE),-1)=IFERROR(VLOOKUP($AA41,areaCercaPuntiClassificaSquadra,3,FALSE),-2)),SUMIFS(Dati!$E$2:$E$761,Dati!$A$2:$A$761,$H41,Dati!$H$2:$H$761,$AA41)+SUMIFS(Dati!$L$2:$L$761,Dati!$H$2:$H$761,$H41,Dati!$A$2:$A$761,$AA41),"-")</f>
        <v/>
      </c>
      <c r="CP41" s="22">
        <f>IF(AND($H41&lt;&gt;"",$AB41&lt;&gt;"",$H41&lt;&gt;$AB41,IFERROR(VLOOKUP($H41,areaCercaPuntiClassificaSquadra,3,FALSE),-1)=IFERROR(VLOOKUP($AB41,areaCercaPuntiClassificaSquadra,3,FALSE),-2)),SUMIFS(Dati!$E$2:$E$761,Dati!$A$2:$A$761,$H41,Dati!$H$2:$H$761,$AB41)+SUMIFS(Dati!$L$2:$L$761,Dati!$H$2:$H$761,$H41,Dati!$A$2:$A$761,$AB41),"-")</f>
        <v/>
      </c>
      <c r="CQ41" s="22">
        <f>IF(AND($H41&lt;&gt;"",$AC41&lt;&gt;"",$H41&lt;&gt;$AC41,IFERROR(VLOOKUP($H41,areaCercaPuntiClassificaSquadra,3,FALSE),-1)=IFERROR(VLOOKUP($AC41,areaCercaPuntiClassificaSquadra,3,FALSE),-2)),SUMIFS(Dati!$E$2:$E$761,Dati!$A$2:$A$761,$H41,Dati!$H$2:$H$761,$AC41)+SUMIFS(Dati!$L$2:$L$761,Dati!$H$2:$H$761,$H41,Dati!$A$2:$A$761,$AC41),"-")</f>
        <v/>
      </c>
      <c r="CR41" s="22">
        <f>IF(AND($H41&lt;&gt;"",$AD41&lt;&gt;"",$H41&lt;&gt;$AD41,IFERROR(VLOOKUP($H41,areaCercaPuntiClassificaSquadra,3,FALSE),-1)=IFERROR(VLOOKUP($AD41,areaCercaPuntiClassificaSquadra,3,FALSE),-2)),SUMIFS(Dati!$E$2:$E$761,Dati!$A$2:$A$761,$H41,Dati!$H$2:$H$761,$AD41)+SUMIFS(Dati!$L$2:$L$761,Dati!$H$2:$H$761,$H41,Dati!$A$2:$A$761,$AD41),"-")</f>
        <v/>
      </c>
      <c r="CS41" s="22">
        <f>IF(AND($H41&lt;&gt;"",$AE41&lt;&gt;"",$H41&lt;&gt;$AE41,IFERROR(VLOOKUP($H41,areaCercaPuntiClassificaSquadra,3,FALSE),-1)=IFERROR(VLOOKUP($AE41,areaCercaPuntiClassificaSquadra,3,FALSE),-2)),SUMIFS(Dati!$E$2:$E$761,Dati!$A$2:$A$761,$H41,Dati!$H$2:$H$761,$AE41)+SUMIFS(Dati!$L$2:$L$761,Dati!$H$2:$H$761,$H41,Dati!$A$2:$A$761,$AE41),"-")</f>
        <v/>
      </c>
      <c r="CT41" s="22">
        <f>IF(AND($H41&lt;&gt;"",$AF41&lt;&gt;"",$H41&lt;&gt;$AF41,IFERROR(VLOOKUP($H41,areaCercaPuntiClassificaSquadra,3,FALSE),-1)=IFERROR(VLOOKUP($AF41,areaCercaPuntiClassificaSquadra,3,FALSE),-2)),SUMIFS(Dati!$E$2:$E$761,Dati!$A$2:$A$761,$H41,Dati!$H$2:$H$761,$AF41)+SUMIFS(Dati!$L$2:$L$761,Dati!$H$2:$H$761,$H41,Dati!$A$2:$A$761,$AF41),"-")</f>
        <v/>
      </c>
      <c r="CU41" s="22">
        <f>IF(AND($H41&lt;&gt;"",$AG41&lt;&gt;"",$H41&lt;&gt;$AG41,IFERROR(VLOOKUP($H41,areaCercaPuntiClassificaSquadra,3,FALSE),-1)=IFERROR(VLOOKUP($AG41,areaCercaPuntiClassificaSquadra,3,FALSE),-2)),SUMIFS(Dati!$E$2:$E$761,Dati!$A$2:$A$761,$H41,Dati!$H$2:$H$761,$AG41)+SUMIFS(Dati!$L$2:$L$761,Dati!$H$2:$H$761,$H41,Dati!$A$2:$A$761,$AG41),"-")</f>
        <v/>
      </c>
      <c r="CV41" s="22">
        <f>IF(AND($H41&lt;&gt;"",$AH41&lt;&gt;"",$H41&lt;&gt;$AH41,IFERROR(VLOOKUP($H41,areaCercaPuntiClassificaSquadra,3,FALSE),-1)=IFERROR(VLOOKUP($AH41,areaCercaPuntiClassificaSquadra,3,FALSE),-2)),SUMIFS(Dati!$E$2:$E$761,Dati!$A$2:$A$761,$H41,Dati!$H$2:$H$761,$AH41)+SUMIFS(Dati!$L$2:$L$761,Dati!$H$2:$H$761,$H41,Dati!$A$2:$A$761,$AH41),"-")</f>
        <v/>
      </c>
      <c r="CW41" s="22">
        <f>IF(AND($H41&lt;&gt;"",$AI41&lt;&gt;"",$H41&lt;&gt;$AI41,IFERROR(VLOOKUP($H41,areaCercaPuntiClassificaSquadra,3,FALSE),-1)=IFERROR(VLOOKUP($AI41,areaCercaPuntiClassificaSquadra,3,FALSE),-2)),SUMIFS(Dati!$E$2:$E$761,Dati!$A$2:$A$761,$H41,Dati!$H$2:$H$761,$AI41)+SUMIFS(Dati!$L$2:$L$761,Dati!$H$2:$H$761,$H41,Dati!$A$2:$A$761,$AI41),"-")</f>
        <v/>
      </c>
      <c r="CX41" s="22">
        <f>IF(AND($H41&lt;&gt;"",$AJ41&lt;&gt;"",$H41&lt;&gt;$AJ41,IFERROR(VLOOKUP($H41,areaCercaPuntiClassificaSquadra,3,FALSE),-1)=IFERROR(VLOOKUP($AJ41,areaCercaPuntiClassificaSquadra,3,FALSE),-2)),SUMIFS(Dati!$E$2:$E$761,Dati!$A$2:$A$761,$H41,Dati!$H$2:$H$761,$AJ41)+SUMIFS(Dati!$L$2:$L$761,Dati!$H$2:$H$761,$H41,Dati!$A$2:$A$761,$AJ41),"-")</f>
        <v/>
      </c>
      <c r="CY41" s="22">
        <f>IF(AND($H41&lt;&gt;"",$AK41&lt;&gt;"",$H41&lt;&gt;$AK41,IFERROR(VLOOKUP($H41,areaCercaPuntiClassificaSquadra,3,FALSE),-1)=IFERROR(VLOOKUP($AK41,areaCercaPuntiClassificaSquadra,3,FALSE),-2)),SUMIFS(Dati!$E$2:$E$761,Dati!$A$2:$A$761,$H41,Dati!$H$2:$H$761,$AK41)+SUMIFS(Dati!$L$2:$L$761,Dati!$H$2:$H$761,$H41,Dati!$A$2:$A$761,$AK41),"-")</f>
        <v/>
      </c>
      <c r="CZ41" s="22">
        <f>IF(AND($H41&lt;&gt;"",$AL41&lt;&gt;"",$H41&lt;&gt;$AL41,IFERROR(VLOOKUP($H41,areaCercaPuntiClassificaSquadra,3,FALSE),-1)=IFERROR(VLOOKUP($AL41,areaCercaPuntiClassificaSquadra,3,FALSE),-2)),SUMIFS(Dati!$E$2:$E$761,Dati!$A$2:$A$761,$H41,Dati!$H$2:$H$761,$AL41)+SUMIFS(Dati!$L$2:$L$761,Dati!$H$2:$H$761,$H41,Dati!$A$2:$A$761,$AL41),"-")</f>
        <v/>
      </c>
      <c r="DA41" s="22">
        <f>IF(AND($H41&lt;&gt;"",$AM41&lt;&gt;"",$H41&lt;&gt;$AM41,IFERROR(VLOOKUP($H41,areaCercaPuntiClassificaSquadra,3,FALSE),-1)=IFERROR(VLOOKUP($AM41,areaCercaPuntiClassificaSquadra,3,FALSE),-2)),SUMIFS(Dati!$E$2:$E$761,Dati!$A$2:$A$761,$H41,Dati!$H$2:$H$761,$AM41)+SUMIFS(Dati!$L$2:$L$761,Dati!$H$2:$H$761,$H41,Dati!$A$2:$A$761,$AM41),"-")</f>
        <v/>
      </c>
      <c r="DB41" s="22">
        <f>IF(AND($H41&lt;&gt;"",$AN41&lt;&gt;"",$H41&lt;&gt;$AN41,IFERROR(VLOOKUP($H41,areaCercaPuntiClassificaSquadra,3,FALSE),-1)=IFERROR(VLOOKUP($AN41,areaCercaPuntiClassificaSquadra,3,FALSE),-2)),SUMIFS(Dati!$E$2:$E$761,Dati!$A$2:$A$761,$H41,Dati!$H$2:$H$761,$AN41)+SUMIFS(Dati!$L$2:$L$761,Dati!$H$2:$H$761,$H41,Dati!$A$2:$A$761,$AN41),"-")</f>
        <v/>
      </c>
      <c r="DC41" s="22">
        <f>IF(AND($H41&lt;&gt;"",$AO41&lt;&gt;"",$H41&lt;&gt;$AO41,IFERROR(VLOOKUP($H41,areaCercaPuntiClassificaSquadra,3,FALSE),-1)=IFERROR(VLOOKUP($AO41,areaCercaPuntiClassificaSquadra,3,FALSE),-2)),SUMIFS(Dati!$E$2:$E$761,Dati!$A$2:$A$761,$H41,Dati!$H$2:$H$761,$AO41)+SUMIFS(Dati!$L$2:$L$761,Dati!$H$2:$H$761,$H41,Dati!$A$2:$A$761,$AO41),"-")</f>
        <v/>
      </c>
      <c r="DD41" s="22">
        <f>IF(AND($H41&lt;&gt;"",$AP41&lt;&gt;"",$H41&lt;&gt;$AP41,IFERROR(VLOOKUP($H41,areaCercaPuntiClassificaSquadra,3,FALSE),-1)=IFERROR(VLOOKUP($AP41,areaCercaPuntiClassificaSquadra,3,FALSE),-2)),SUMIFS(Dati!$E$2:$E$761,Dati!$A$2:$A$761,$H41,Dati!$H$2:$H$761,$AP41)+SUMIFS(Dati!$L$2:$L$761,Dati!$H$2:$H$761,$H41,Dati!$A$2:$A$761,$AP41),"-")</f>
        <v/>
      </c>
      <c r="DE41" s="22">
        <f>IF(AND($H41&lt;&gt;"",$AQ41&lt;&gt;"",$H41&lt;&gt;$AQ41,IFERROR(VLOOKUP($H41,areaCercaPuntiClassificaSquadra,3,FALSE),-1)=IFERROR(VLOOKUP($AQ41,areaCercaPuntiClassificaSquadra,3,FALSE),-2)),SUMIFS(Dati!$E$2:$E$761,Dati!$A$2:$A$761,$H41,Dati!$H$2:$H$761,$AQ41)+SUMIFS(Dati!$L$2:$L$761,Dati!$H$2:$H$761,$H41,Dati!$A$2:$A$761,$AQ41),"-")</f>
        <v/>
      </c>
      <c r="DF41" s="22">
        <f>IF(AND($H41&lt;&gt;"",$AR41&lt;&gt;"",$H41&lt;&gt;$AR41,IFERROR(VLOOKUP($H41,areaCercaPuntiClassificaSquadra,3,FALSE),-1)=IFERROR(VLOOKUP($AR41,areaCercaPuntiClassificaSquadra,3,FALSE),-2)),SUMIFS(Dati!$E$2:$E$761,Dati!$A$2:$A$761,$H41,Dati!$H$2:$H$761,$AR41)+SUMIFS(Dati!$L$2:$L$761,Dati!$H$2:$H$761,$H41,Dati!$A$2:$A$761,$AR41),"-")</f>
        <v/>
      </c>
      <c r="DH41" s="21">
        <f>$C41</f>
        <v/>
      </c>
      <c r="DI41" s="22">
        <f>IF(AND($H41&lt;&gt;"",$Y41&lt;&gt;"",$H41&lt;&gt;$Y41,IFERROR(VLOOKUP($H41,areaCercaPuntiClassificaSquadra,3,FALSE),-1)=IFERROR(VLOOKUP($Y41,areaCercaPuntiClassificaSquadra,3,FALSE),-2)),SUMIFS(Dati!$F$2:$F$761,Dati!$A$2:$A$761,$H41,Dati!$H$2:$H$761,$Y41)+SUMIFS(Dati!$M$2:$M$761,Dati!$H$2:$H$761,$H41,Dati!$A$2:$A$761,$Y41),"-")</f>
        <v/>
      </c>
      <c r="DJ41" s="22">
        <f>IF(AND($H41&lt;&gt;"",$Z41&lt;&gt;"",$H41&lt;&gt;$Z41,IFERROR(VLOOKUP($H41,areaCercaPuntiClassificaSquadra,3,FALSE),-1)=IFERROR(VLOOKUP($Z41,areaCercaPuntiClassificaSquadra,3,FALSE),-2)),SUMIFS(Dati!$F$2:$F$761,Dati!$A$2:$A$761,$H41,Dati!$H$2:$H$761,$Z41)+SUMIFS(Dati!$M$2:$M$761,Dati!$H$2:$H$761,$H41,Dati!$A$2:$A$761,$Z41),"-")</f>
        <v/>
      </c>
      <c r="DK41" s="22">
        <f>IF(AND($H41&lt;&gt;"",$AA41&lt;&gt;"",$H41&lt;&gt;$AA41,IFERROR(VLOOKUP($H41,areaCercaPuntiClassificaSquadra,3,FALSE),-1)=IFERROR(VLOOKUP($AA41,areaCercaPuntiClassificaSquadra,3,FALSE),-2)),SUMIFS(Dati!$F$2:$F$761,Dati!$A$2:$A$761,$H41,Dati!$H$2:$H$761,$AA41)+SUMIFS(Dati!$M$2:$M$761,Dati!$H$2:$H$761,$H41,Dati!$A$2:$A$761,$AA41),"-")</f>
        <v/>
      </c>
      <c r="DL41" s="22">
        <f>IF(AND($H41&lt;&gt;"",$AB41&lt;&gt;"",$H41&lt;&gt;$AB41,IFERROR(VLOOKUP($H41,areaCercaPuntiClassificaSquadra,3,FALSE),-1)=IFERROR(VLOOKUP($AB41,areaCercaPuntiClassificaSquadra,3,FALSE),-2)),SUMIFS(Dati!$F$2:$F$761,Dati!$A$2:$A$761,$H41,Dati!$H$2:$H$761,$AB41)+SUMIFS(Dati!$M$2:$M$761,Dati!$H$2:$H$761,$H41,Dati!$A$2:$A$761,$AB41),"-")</f>
        <v/>
      </c>
      <c r="DM41" s="22">
        <f>IF(AND($H41&lt;&gt;"",$AC41&lt;&gt;"",$H41&lt;&gt;$AC41,IFERROR(VLOOKUP($H41,areaCercaPuntiClassificaSquadra,3,FALSE),-1)=IFERROR(VLOOKUP($AC41,areaCercaPuntiClassificaSquadra,3,FALSE),-2)),SUMIFS(Dati!$F$2:$F$761,Dati!$A$2:$A$761,$H41,Dati!$H$2:$H$761,$AC41)+SUMIFS(Dati!$M$2:$M$761,Dati!$H$2:$H$761,$H41,Dati!$A$2:$A$761,$AC41),"-")</f>
        <v/>
      </c>
      <c r="DN41" s="22">
        <f>IF(AND($H41&lt;&gt;"",$AD41&lt;&gt;"",$H41&lt;&gt;$AD41,IFERROR(VLOOKUP($H41,areaCercaPuntiClassificaSquadra,3,FALSE),-1)=IFERROR(VLOOKUP($AD41,areaCercaPuntiClassificaSquadra,3,FALSE),-2)),SUMIFS(Dati!$F$2:$F$761,Dati!$A$2:$A$761,$H41,Dati!$H$2:$H$761,$AD41)+SUMIFS(Dati!$M$2:$M$761,Dati!$H$2:$H$761,$H41,Dati!$A$2:$A$761,$AD41),"-")</f>
        <v/>
      </c>
      <c r="DO41" s="22">
        <f>IF(AND($H41&lt;&gt;"",$AE41&lt;&gt;"",$H41&lt;&gt;$AE41,IFERROR(VLOOKUP($H41,areaCercaPuntiClassificaSquadra,3,FALSE),-1)=IFERROR(VLOOKUP($AE41,areaCercaPuntiClassificaSquadra,3,FALSE),-2)),SUMIFS(Dati!$F$2:$F$761,Dati!$A$2:$A$761,$H41,Dati!$H$2:$H$761,$AE41)+SUMIFS(Dati!$M$2:$M$761,Dati!$H$2:$H$761,$H41,Dati!$A$2:$A$761,$AE41),"-")</f>
        <v/>
      </c>
      <c r="DP41" s="22">
        <f>IF(AND($H41&lt;&gt;"",$AF41&lt;&gt;"",$H41&lt;&gt;$AF41,IFERROR(VLOOKUP($H41,areaCercaPuntiClassificaSquadra,3,FALSE),-1)=IFERROR(VLOOKUP($AF41,areaCercaPuntiClassificaSquadra,3,FALSE),-2)),SUMIFS(Dati!$F$2:$F$761,Dati!$A$2:$A$761,$H41,Dati!$H$2:$H$761,$AF41)+SUMIFS(Dati!$M$2:$M$761,Dati!$H$2:$H$761,$H41,Dati!$A$2:$A$761,$AF41),"-")</f>
        <v/>
      </c>
      <c r="DQ41" s="22">
        <f>IF(AND($H41&lt;&gt;"",$AG41&lt;&gt;"",$H41&lt;&gt;$AG41,IFERROR(VLOOKUP($H41,areaCercaPuntiClassificaSquadra,3,FALSE),-1)=IFERROR(VLOOKUP($AG41,areaCercaPuntiClassificaSquadra,3,FALSE),-2)),SUMIFS(Dati!$F$2:$F$761,Dati!$A$2:$A$761,$H41,Dati!$H$2:$H$761,$AG41)+SUMIFS(Dati!$M$2:$M$761,Dati!$H$2:$H$761,$H41,Dati!$A$2:$A$761,$AG41),"-")</f>
        <v/>
      </c>
      <c r="DR41" s="22">
        <f>IF(AND($H41&lt;&gt;"",$AH41&lt;&gt;"",$H41&lt;&gt;$AH41,IFERROR(VLOOKUP($H41,areaCercaPuntiClassificaSquadra,3,FALSE),-1)=IFERROR(VLOOKUP($AH41,areaCercaPuntiClassificaSquadra,3,FALSE),-2)),SUMIFS(Dati!$F$2:$F$761,Dati!$A$2:$A$761,$H41,Dati!$H$2:$H$761,$AH41)+SUMIFS(Dati!$M$2:$M$761,Dati!$H$2:$H$761,$H41,Dati!$A$2:$A$761,$AH41),"-")</f>
        <v/>
      </c>
      <c r="DS41" s="22">
        <f>IF(AND($H41&lt;&gt;"",$AI41&lt;&gt;"",$H41&lt;&gt;$AI41,IFERROR(VLOOKUP($H41,areaCercaPuntiClassificaSquadra,3,FALSE),-1)=IFERROR(VLOOKUP($AI41,areaCercaPuntiClassificaSquadra,3,FALSE),-2)),SUMIFS(Dati!$F$2:$F$761,Dati!$A$2:$A$761,$H41,Dati!$H$2:$H$761,$AI41)+SUMIFS(Dati!$M$2:$M$761,Dati!$H$2:$H$761,$H41,Dati!$A$2:$A$761,$AI41),"-")</f>
        <v/>
      </c>
      <c r="DT41" s="22">
        <f>IF(AND($H41&lt;&gt;"",$AJ41&lt;&gt;"",$H41&lt;&gt;$AJ41,IFERROR(VLOOKUP($H41,areaCercaPuntiClassificaSquadra,3,FALSE),-1)=IFERROR(VLOOKUP($AJ41,areaCercaPuntiClassificaSquadra,3,FALSE),-2)),SUMIFS(Dati!$F$2:$F$761,Dati!$A$2:$A$761,$H41,Dati!$H$2:$H$761,$AJ41)+SUMIFS(Dati!$M$2:$M$761,Dati!$H$2:$H$761,$H41,Dati!$A$2:$A$761,$AJ41),"-")</f>
        <v/>
      </c>
      <c r="DU41" s="22">
        <f>IF(AND($H41&lt;&gt;"",$AK41&lt;&gt;"",$H41&lt;&gt;$AK41,IFERROR(VLOOKUP($H41,areaCercaPuntiClassificaSquadra,3,FALSE),-1)=IFERROR(VLOOKUP($AK41,areaCercaPuntiClassificaSquadra,3,FALSE),-2)),SUMIFS(Dati!$F$2:$F$761,Dati!$A$2:$A$761,$H41,Dati!$H$2:$H$761,$AK41)+SUMIFS(Dati!$M$2:$M$761,Dati!$H$2:$H$761,$H41,Dati!$A$2:$A$761,$AK41),"-")</f>
        <v/>
      </c>
      <c r="DV41" s="22">
        <f>IF(AND($H41&lt;&gt;"",$AL41&lt;&gt;"",$H41&lt;&gt;$AL41,IFERROR(VLOOKUP($H41,areaCercaPuntiClassificaSquadra,3,FALSE),-1)=IFERROR(VLOOKUP($AL41,areaCercaPuntiClassificaSquadra,3,FALSE),-2)),SUMIFS(Dati!$F$2:$F$761,Dati!$A$2:$A$761,$H41,Dati!$H$2:$H$761,$AL41)+SUMIFS(Dati!$M$2:$M$761,Dati!$H$2:$H$761,$H41,Dati!$A$2:$A$761,$AL41),"-")</f>
        <v/>
      </c>
      <c r="DW41" s="22">
        <f>IF(AND($H41&lt;&gt;"",$AM41&lt;&gt;"",$H41&lt;&gt;$AM41,IFERROR(VLOOKUP($H41,areaCercaPuntiClassificaSquadra,3,FALSE),-1)=IFERROR(VLOOKUP($AM41,areaCercaPuntiClassificaSquadra,3,FALSE),-2)),SUMIFS(Dati!$F$2:$F$761,Dati!$A$2:$A$761,$H41,Dati!$H$2:$H$761,$AM41)+SUMIFS(Dati!$M$2:$M$761,Dati!$H$2:$H$761,$H41,Dati!$A$2:$A$761,$AM41),"-")</f>
        <v/>
      </c>
      <c r="DX41" s="22">
        <f>IF(AND($H41&lt;&gt;"",$AN41&lt;&gt;"",$H41&lt;&gt;$AN41,IFERROR(VLOOKUP($H41,areaCercaPuntiClassificaSquadra,3,FALSE),-1)=IFERROR(VLOOKUP($AN41,areaCercaPuntiClassificaSquadra,3,FALSE),-2)),SUMIFS(Dati!$F$2:$F$761,Dati!$A$2:$A$761,$H41,Dati!$H$2:$H$761,$AN41)+SUMIFS(Dati!$M$2:$M$761,Dati!$H$2:$H$761,$H41,Dati!$A$2:$A$761,$AN41),"-")</f>
        <v/>
      </c>
      <c r="DY41" s="22">
        <f>IF(AND($H41&lt;&gt;"",$AO41&lt;&gt;"",$H41&lt;&gt;$AO41,IFERROR(VLOOKUP($H41,areaCercaPuntiClassificaSquadra,3,FALSE),-1)=IFERROR(VLOOKUP($AO41,areaCercaPuntiClassificaSquadra,3,FALSE),-2)),SUMIFS(Dati!$F$2:$F$761,Dati!$A$2:$A$761,$H41,Dati!$H$2:$H$761,$AO41)+SUMIFS(Dati!$M$2:$M$761,Dati!$H$2:$H$761,$H41,Dati!$A$2:$A$761,$AO41),"-")</f>
        <v/>
      </c>
      <c r="DZ41" s="22">
        <f>IF(AND($H41&lt;&gt;"",$AP41&lt;&gt;"",$H41&lt;&gt;$AP41,IFERROR(VLOOKUP($H41,areaCercaPuntiClassificaSquadra,3,FALSE),-1)=IFERROR(VLOOKUP($AP41,areaCercaPuntiClassificaSquadra,3,FALSE),-2)),SUMIFS(Dati!$F$2:$F$761,Dati!$A$2:$A$761,$H41,Dati!$H$2:$H$761,$AP41)+SUMIFS(Dati!$M$2:$M$761,Dati!$H$2:$H$761,$H41,Dati!$A$2:$A$761,$AP41),"-")</f>
        <v/>
      </c>
      <c r="EA41" s="22">
        <f>IF(AND($H41&lt;&gt;"",$AQ41&lt;&gt;"",$H41&lt;&gt;$AQ41,IFERROR(VLOOKUP($H41,areaCercaPuntiClassificaSquadra,3,FALSE),-1)=IFERROR(VLOOKUP($AQ41,areaCercaPuntiClassificaSquadra,3,FALSE),-2)),SUMIFS(Dati!$F$2:$F$761,Dati!$A$2:$A$761,$H41,Dati!$H$2:$H$761,$AQ41)+SUMIFS(Dati!$M$2:$M$761,Dati!$H$2:$H$761,$H41,Dati!$A$2:$A$761,$AQ41),"-")</f>
        <v/>
      </c>
      <c r="EB41" s="22">
        <f>IF(AND($H41&lt;&gt;"",$AR41&lt;&gt;"",$H41&lt;&gt;$AR41,IFERROR(VLOOKUP($H41,areaCercaPuntiClassificaSquadra,3,FALSE),-1)=IFERROR(VLOOKUP($AR41,areaCercaPuntiClassificaSquadra,3,FALSE),-2)),SUMIFS(Dati!$F$2:$F$761,Dati!$A$2:$A$761,$H41,Dati!$H$2:$H$761,$AR41)+SUMIFS(Dati!$M$2:$M$761,Dati!$H$2:$H$761,$H41,Dati!$A$2:$A$761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inlineStr">
        <is>
          <t>Ocelot Onorevoli-Ocelotopoli OO</t>
        </is>
      </c>
      <c r="D42" s="14" t="n"/>
      <c r="E42" s="23" t="inlineStr">
        <is>
          <t>B</t>
        </is>
      </c>
      <c r="G42" s="24">
        <f>IF($C42="","",$E42&amp;(COUNTIFS(I$14:I$93,"&gt;"&amp;I42,E$14:E$93,"="&amp;E42,C$14:C$93,"&lt;&gt;")+COUNTIFS(I$14:I$93,"="&amp;I42,H$14:H$93,"&lt;="&amp;H42,E$14:E$93,"="&amp;E42,C$14:C$93,"&lt;&gt;")))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L42*constPuntiVittoria+M42*constPuntiSconfitta+N42*constPuntiForfait+IF(D42="",0,D42)</f>
        <v/>
      </c>
      <c r="K42" s="12">
        <f>SUM(L42:N42)</f>
        <v/>
      </c>
      <c r="L42" s="12">
        <f>IF($H42="",0,SUMIF(Dati!$A$2:$A$761,$H42,Dati!$B$2:$B$761)+SUMIF(Dati!$H$2:$H$761,$H42,Dati!$I$2:$I$761))</f>
        <v/>
      </c>
      <c r="M42" s="12">
        <f>IF($H42="",0,SUMIF(Dati!$A$2:$A$761,$H42,Dati!$D$2:$D$761)+SUMIF(Dati!$H$2:$H$761,$H42,Dati!$K$2:$K$761))</f>
        <v/>
      </c>
      <c r="N42" s="12">
        <f>IF($H42="",0,SUMIF(Dati!$A$2:$A$761,$H42,Dati!$C$2:$C$761)+SUMIF(Dati!$H$2:$H$761,$H42,Dati!$J$2:$J$761))</f>
        <v/>
      </c>
      <c r="O42" s="12">
        <f>IF($H42="",0,SUMIF(Dati!$A$2:$A$761,$H42,Dati!$E$2:$E$761)+SUMIF(Dati!$H$2:$H$761,$H42,Dati!$L$2:$L$761))</f>
        <v/>
      </c>
      <c r="P42" s="12">
        <f>IF($H42="",0,SUMIF(Dati!$A$2:$A$761,$H42,Dati!$F$2:$F$761)+SUMIF(Dati!$H$2:$H$761,$H42,Dati!$M$2:$M$761))</f>
        <v/>
      </c>
      <c r="Q42" s="12">
        <f>IF($H42="",0,SUMIF(Dati!$A$2:$A$761,$H42,Dati!$G$2:$G$761)+SUMIF(Dati!$H$2:$H$761,$H42,Dati!$N$2:$N$761))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IF(COUNTIFS($E$14:$E$93,$E42,$J$14:$J$93,$J42,$C$14:$C$93,"&lt;&gt;")&lt;=1,"-",SUM(AU42:BN42)&amp;"-"&amp;SUM(BQ42:CJ42))</f>
        <v/>
      </c>
      <c r="V42" s="18">
        <f>IF(COUNTIFS($E$14:$E$93,$E42,$J$14:$J$93,$J42,$C$14:$C$93,"&lt;&gt;",$ED$14:$ED$93,$ED42)&lt;=1,"-",IF(SUM(DI42:EB42)=0,0,ROUND(SUM(CM42:DF42)/SUM(DI42:EB42),3)))</f>
        <v/>
      </c>
      <c r="W42" s="18">
        <f>IF(COUNTIFS($E$14:$E$93,$E42,$J$14:$J$93,$J42,$C$14:$C$93,"&lt;&gt;",$ED$14:$ED$93,$ED42,$V$14:$V$93,$V42)&lt;=1,"-",IF(P42=0,0,ROUND(O42/P42,3)))</f>
        <v/>
      </c>
      <c r="X42" s="19">
        <f>IF($C42="","",$E42&amp;"#"&amp;COUNTIFS($E$14:$E42,$E42,$C$14:$C42,"&lt;&gt;"))</f>
        <v/>
      </c>
      <c r="Y42" s="20">
        <f>IFERROR(INDEX($H$14:$H$93,MATCH($E42&amp;"#1",$X$14:$X$93,0)),"")</f>
        <v/>
      </c>
      <c r="Z42" s="20">
        <f>IFERROR(INDEX($H$14:$H$93,MATCH($E42&amp;"#2",$X$14:$X$93,0)),"")</f>
        <v/>
      </c>
      <c r="AA42" s="20">
        <f>IFERROR(INDEX($H$14:$H$93,MATCH($E42&amp;"#3",$X$14:$X$93,0)),"")</f>
        <v/>
      </c>
      <c r="AB42" s="20">
        <f>IFERROR(INDEX($H$14:$H$93,MATCH($E42&amp;"#4",$X$14:$X$93,0)),"")</f>
        <v/>
      </c>
      <c r="AC42" s="20">
        <f>IFERROR(INDEX($H$14:$H$93,MATCH($E42&amp;"#5",$X$14:$X$93,0)),"")</f>
        <v/>
      </c>
      <c r="AD42" s="20">
        <f>IFERROR(INDEX($H$14:$H$93,MATCH($E42&amp;"#6",$X$14:$X$93,0)),"")</f>
        <v/>
      </c>
      <c r="AE42" s="20">
        <f>IFERROR(INDEX($H$14:$H$93,MATCH($E42&amp;"#7",$X$14:$X$93,0)),"")</f>
        <v/>
      </c>
      <c r="AF42" s="20">
        <f>IFERROR(INDEX($H$14:$H$93,MATCH($E42&amp;"#8",$X$14:$X$93,0)),"")</f>
        <v/>
      </c>
      <c r="AG42" s="20">
        <f>IFERROR(INDEX($H$14:$H$93,MATCH($E42&amp;"#9",$X$14:$X$93,0)),"")</f>
        <v/>
      </c>
      <c r="AH42" s="20">
        <f>IFERROR(INDEX($H$14:$H$93,MATCH($E42&amp;"#10",$X$14:$X$93,0)),"")</f>
        <v/>
      </c>
      <c r="AI42" s="20">
        <f>IFERROR(INDEX($H$14:$H$93,MATCH($E42&amp;"#11",$X$14:$X$93,0)),"")</f>
        <v/>
      </c>
      <c r="AJ42" s="20">
        <f>IFERROR(INDEX($H$14:$H$93,MATCH($E42&amp;"#12",$X$14:$X$93,0)),"")</f>
        <v/>
      </c>
      <c r="AK42" s="20">
        <f>IFERROR(INDEX($H$14:$H$93,MATCH($E42&amp;"#13",$X$14:$X$93,0)),"")</f>
        <v/>
      </c>
      <c r="AL42" s="20">
        <f>IFERROR(INDEX($H$14:$H$93,MATCH($E42&amp;"#14",$X$14:$X$93,0)),"")</f>
        <v/>
      </c>
      <c r="AM42" s="20">
        <f>IFERROR(INDEX($H$14:$H$93,MATCH($E42&amp;"#15",$X$14:$X$93,0)),"")</f>
        <v/>
      </c>
      <c r="AN42" s="20">
        <f>IFERROR(INDEX($H$14:$H$93,MATCH($E42&amp;"#16",$X$14:$X$93,0)),"")</f>
        <v/>
      </c>
      <c r="AO42" s="20">
        <f>IFERROR(INDEX($H$14:$H$93,MATCH($E42&amp;"#17",$X$14:$X$93,0)),"")</f>
        <v/>
      </c>
      <c r="AP42" s="20">
        <f>IFERROR(INDEX($H$14:$H$93,MATCH($E42&amp;"#18",$X$14:$X$93,0)),"")</f>
        <v/>
      </c>
      <c r="AQ42" s="20">
        <f>IFERROR(INDEX($H$14:$H$93,MATCH($E42&amp;"#19",$X$14:$X$93,0)),"")</f>
        <v/>
      </c>
      <c r="AR42" s="20">
        <f>IFERROR(INDEX($H$14:$H$93,MATCH($E42&amp;"#20",$X$14:$X$93,0)),"")</f>
        <v/>
      </c>
      <c r="AT42" s="21">
        <f>$C42</f>
        <v/>
      </c>
      <c r="AU42" s="22">
        <f>IF(AND($H42&lt;&gt;"",$Y42&lt;&gt;"",$H42&lt;&gt;$Y42,IFERROR(VLOOKUP($H42,areaCercaPuntiClassificaSquadra,3,FALSE),-1)=IFERROR(VLOOKUP($Y42,areaCercaPuntiClassificaSquadra,3,FALSE),-2)),SUMIFS(Dati!$B$2:$B$761,Dati!$A$2:$A$761,$H42,Dati!$H$2:$H$761,$Y42)+SUMIFS(Dati!$I$2:$I$761,Dati!$H$2:$H$761,$H42,Dati!$A$2:$A$761,$Y42),"-")</f>
        <v/>
      </c>
      <c r="AV42" s="22">
        <f>IF(AND($H42&lt;&gt;"",$Z42&lt;&gt;"",$H42&lt;&gt;$Z42,IFERROR(VLOOKUP($H42,areaCercaPuntiClassificaSquadra,3,FALSE),-1)=IFERROR(VLOOKUP($Z42,areaCercaPuntiClassificaSquadra,3,FALSE),-2)),SUMIFS(Dati!$B$2:$B$761,Dati!$A$2:$A$761,$H42,Dati!$H$2:$H$761,$Z42)+SUMIFS(Dati!$I$2:$I$761,Dati!$H$2:$H$761,$H42,Dati!$A$2:$A$761,$Z42),"-")</f>
        <v/>
      </c>
      <c r="AW42" s="22">
        <f>IF(AND($H42&lt;&gt;"",$AA42&lt;&gt;"",$H42&lt;&gt;$AA42,IFERROR(VLOOKUP($H42,areaCercaPuntiClassificaSquadra,3,FALSE),-1)=IFERROR(VLOOKUP($AA42,areaCercaPuntiClassificaSquadra,3,FALSE),-2)),SUMIFS(Dati!$B$2:$B$761,Dati!$A$2:$A$761,$H42,Dati!$H$2:$H$761,$AA42)+SUMIFS(Dati!$I$2:$I$761,Dati!$H$2:$H$761,$H42,Dati!$A$2:$A$761,$AA42),"-")</f>
        <v/>
      </c>
      <c r="AX42" s="22">
        <f>IF(AND($H42&lt;&gt;"",$AB42&lt;&gt;"",$H42&lt;&gt;$AB42,IFERROR(VLOOKUP($H42,areaCercaPuntiClassificaSquadra,3,FALSE),-1)=IFERROR(VLOOKUP($AB42,areaCercaPuntiClassificaSquadra,3,FALSE),-2)),SUMIFS(Dati!$B$2:$B$761,Dati!$A$2:$A$761,$H42,Dati!$H$2:$H$761,$AB42)+SUMIFS(Dati!$I$2:$I$761,Dati!$H$2:$H$761,$H42,Dati!$A$2:$A$761,$AB42),"-")</f>
        <v/>
      </c>
      <c r="AY42" s="22">
        <f>IF(AND($H42&lt;&gt;"",$AC42&lt;&gt;"",$H42&lt;&gt;$AC42,IFERROR(VLOOKUP($H42,areaCercaPuntiClassificaSquadra,3,FALSE),-1)=IFERROR(VLOOKUP($AC42,areaCercaPuntiClassificaSquadra,3,FALSE),-2)),SUMIFS(Dati!$B$2:$B$761,Dati!$A$2:$A$761,$H42,Dati!$H$2:$H$761,$AC42)+SUMIFS(Dati!$I$2:$I$761,Dati!$H$2:$H$761,$H42,Dati!$A$2:$A$761,$AC42),"-")</f>
        <v/>
      </c>
      <c r="AZ42" s="22">
        <f>IF(AND($H42&lt;&gt;"",$AD42&lt;&gt;"",$H42&lt;&gt;$AD42,IFERROR(VLOOKUP($H42,areaCercaPuntiClassificaSquadra,3,FALSE),-1)=IFERROR(VLOOKUP($AD42,areaCercaPuntiClassificaSquadra,3,FALSE),-2)),SUMIFS(Dati!$B$2:$B$761,Dati!$A$2:$A$761,$H42,Dati!$H$2:$H$761,$AD42)+SUMIFS(Dati!$I$2:$I$761,Dati!$H$2:$H$761,$H42,Dati!$A$2:$A$761,$AD42),"-")</f>
        <v/>
      </c>
      <c r="BA42" s="22">
        <f>IF(AND($H42&lt;&gt;"",$AE42&lt;&gt;"",$H42&lt;&gt;$AE42,IFERROR(VLOOKUP($H42,areaCercaPuntiClassificaSquadra,3,FALSE),-1)=IFERROR(VLOOKUP($AE42,areaCercaPuntiClassificaSquadra,3,FALSE),-2)),SUMIFS(Dati!$B$2:$B$761,Dati!$A$2:$A$761,$H42,Dati!$H$2:$H$761,$AE42)+SUMIFS(Dati!$I$2:$I$761,Dati!$H$2:$H$761,$H42,Dati!$A$2:$A$761,$AE42),"-")</f>
        <v/>
      </c>
      <c r="BB42" s="22">
        <f>IF(AND($H42&lt;&gt;"",$AF42&lt;&gt;"",$H42&lt;&gt;$AF42,IFERROR(VLOOKUP($H42,areaCercaPuntiClassificaSquadra,3,FALSE),-1)=IFERROR(VLOOKUP($AF42,areaCercaPuntiClassificaSquadra,3,FALSE),-2)),SUMIFS(Dati!$B$2:$B$761,Dati!$A$2:$A$761,$H42,Dati!$H$2:$H$761,$AF42)+SUMIFS(Dati!$I$2:$I$761,Dati!$H$2:$H$761,$H42,Dati!$A$2:$A$761,$AF42),"-")</f>
        <v/>
      </c>
      <c r="BC42" s="22">
        <f>IF(AND($H42&lt;&gt;"",$AG42&lt;&gt;"",$H42&lt;&gt;$AG42,IFERROR(VLOOKUP($H42,areaCercaPuntiClassificaSquadra,3,FALSE),-1)=IFERROR(VLOOKUP($AG42,areaCercaPuntiClassificaSquadra,3,FALSE),-2)),SUMIFS(Dati!$B$2:$B$761,Dati!$A$2:$A$761,$H42,Dati!$H$2:$H$761,$AG42)+SUMIFS(Dati!$I$2:$I$761,Dati!$H$2:$H$761,$H42,Dati!$A$2:$A$761,$AG42),"-")</f>
        <v/>
      </c>
      <c r="BD42" s="22">
        <f>IF(AND($H42&lt;&gt;"",$AH42&lt;&gt;"",$H42&lt;&gt;$AH42,IFERROR(VLOOKUP($H42,areaCercaPuntiClassificaSquadra,3,FALSE),-1)=IFERROR(VLOOKUP($AH42,areaCercaPuntiClassificaSquadra,3,FALSE),-2)),SUMIFS(Dati!$B$2:$B$761,Dati!$A$2:$A$761,$H42,Dati!$H$2:$H$761,$AH42)+SUMIFS(Dati!$I$2:$I$761,Dati!$H$2:$H$761,$H42,Dati!$A$2:$A$761,$AH42),"-")</f>
        <v/>
      </c>
      <c r="BE42" s="22">
        <f>IF(AND($H42&lt;&gt;"",$AI42&lt;&gt;"",$H42&lt;&gt;$AI42,IFERROR(VLOOKUP($H42,areaCercaPuntiClassificaSquadra,3,FALSE),-1)=IFERROR(VLOOKUP($AI42,areaCercaPuntiClassificaSquadra,3,FALSE),-2)),SUMIFS(Dati!$B$2:$B$761,Dati!$A$2:$A$761,$H42,Dati!$H$2:$H$761,$AI42)+SUMIFS(Dati!$I$2:$I$761,Dati!$H$2:$H$761,$H42,Dati!$A$2:$A$761,$AI42),"-")</f>
        <v/>
      </c>
      <c r="BF42" s="22">
        <f>IF(AND($H42&lt;&gt;"",$AJ42&lt;&gt;"",$H42&lt;&gt;$AJ42,IFERROR(VLOOKUP($H42,areaCercaPuntiClassificaSquadra,3,FALSE),-1)=IFERROR(VLOOKUP($AJ42,areaCercaPuntiClassificaSquadra,3,FALSE),-2)),SUMIFS(Dati!$B$2:$B$761,Dati!$A$2:$A$761,$H42,Dati!$H$2:$H$761,$AJ42)+SUMIFS(Dati!$I$2:$I$761,Dati!$H$2:$H$761,$H42,Dati!$A$2:$A$761,$AJ42),"-")</f>
        <v/>
      </c>
      <c r="BG42" s="22">
        <f>IF(AND($H42&lt;&gt;"",$AK42&lt;&gt;"",$H42&lt;&gt;$AK42,IFERROR(VLOOKUP($H42,areaCercaPuntiClassificaSquadra,3,FALSE),-1)=IFERROR(VLOOKUP($AK42,areaCercaPuntiClassificaSquadra,3,FALSE),-2)),SUMIFS(Dati!$B$2:$B$761,Dati!$A$2:$A$761,$H42,Dati!$H$2:$H$761,$AK42)+SUMIFS(Dati!$I$2:$I$761,Dati!$H$2:$H$761,$H42,Dati!$A$2:$A$761,$AK42),"-")</f>
        <v/>
      </c>
      <c r="BH42" s="22">
        <f>IF(AND($H42&lt;&gt;"",$AL42&lt;&gt;"",$H42&lt;&gt;$AL42,IFERROR(VLOOKUP($H42,areaCercaPuntiClassificaSquadra,3,FALSE),-1)=IFERROR(VLOOKUP($AL42,areaCercaPuntiClassificaSquadra,3,FALSE),-2)),SUMIFS(Dati!$B$2:$B$761,Dati!$A$2:$A$761,$H42,Dati!$H$2:$H$761,$AL42)+SUMIFS(Dati!$I$2:$I$761,Dati!$H$2:$H$761,$H42,Dati!$A$2:$A$761,$AL42),"-")</f>
        <v/>
      </c>
      <c r="BI42" s="22">
        <f>IF(AND($H42&lt;&gt;"",$AM42&lt;&gt;"",$H42&lt;&gt;$AM42,IFERROR(VLOOKUP($H42,areaCercaPuntiClassificaSquadra,3,FALSE),-1)=IFERROR(VLOOKUP($AM42,areaCercaPuntiClassificaSquadra,3,FALSE),-2)),SUMIFS(Dati!$B$2:$B$761,Dati!$A$2:$A$761,$H42,Dati!$H$2:$H$761,$AM42)+SUMIFS(Dati!$I$2:$I$761,Dati!$H$2:$H$761,$H42,Dati!$A$2:$A$761,$AM42),"-")</f>
        <v/>
      </c>
      <c r="BJ42" s="22">
        <f>IF(AND($H42&lt;&gt;"",$AN42&lt;&gt;"",$H42&lt;&gt;$AN42,IFERROR(VLOOKUP($H42,areaCercaPuntiClassificaSquadra,3,FALSE),-1)=IFERROR(VLOOKUP($AN42,areaCercaPuntiClassificaSquadra,3,FALSE),-2)),SUMIFS(Dati!$B$2:$B$761,Dati!$A$2:$A$761,$H42,Dati!$H$2:$H$761,$AN42)+SUMIFS(Dati!$I$2:$I$761,Dati!$H$2:$H$761,$H42,Dati!$A$2:$A$761,$AN42),"-")</f>
        <v/>
      </c>
      <c r="BK42" s="22">
        <f>IF(AND($H42&lt;&gt;"",$AO42&lt;&gt;"",$H42&lt;&gt;$AO42,IFERROR(VLOOKUP($H42,areaCercaPuntiClassificaSquadra,3,FALSE),-1)=IFERROR(VLOOKUP($AO42,areaCercaPuntiClassificaSquadra,3,FALSE),-2)),SUMIFS(Dati!$B$2:$B$761,Dati!$A$2:$A$761,$H42,Dati!$H$2:$H$761,$AO42)+SUMIFS(Dati!$I$2:$I$761,Dati!$H$2:$H$761,$H42,Dati!$A$2:$A$761,$AO42),"-")</f>
        <v/>
      </c>
      <c r="BL42" s="22">
        <f>IF(AND($H42&lt;&gt;"",$AP42&lt;&gt;"",$H42&lt;&gt;$AP42,IFERROR(VLOOKUP($H42,areaCercaPuntiClassificaSquadra,3,FALSE),-1)=IFERROR(VLOOKUP($AP42,areaCercaPuntiClassificaSquadra,3,FALSE),-2)),SUMIFS(Dati!$B$2:$B$761,Dati!$A$2:$A$761,$H42,Dati!$H$2:$H$761,$AP42)+SUMIFS(Dati!$I$2:$I$761,Dati!$H$2:$H$761,$H42,Dati!$A$2:$A$761,$AP42),"-")</f>
        <v/>
      </c>
      <c r="BM42" s="22">
        <f>IF(AND($H42&lt;&gt;"",$AQ42&lt;&gt;"",$H42&lt;&gt;$AQ42,IFERROR(VLOOKUP($H42,areaCercaPuntiClassificaSquadra,3,FALSE),-1)=IFERROR(VLOOKUP($AQ42,areaCercaPuntiClassificaSquadra,3,FALSE),-2)),SUMIFS(Dati!$B$2:$B$761,Dati!$A$2:$A$761,$H42,Dati!$H$2:$H$761,$AQ42)+SUMIFS(Dati!$I$2:$I$761,Dati!$H$2:$H$761,$H42,Dati!$A$2:$A$761,$AQ42),"-")</f>
        <v/>
      </c>
      <c r="BN42" s="22">
        <f>IF(AND($H42&lt;&gt;"",$AR42&lt;&gt;"",$H42&lt;&gt;$AR42,IFERROR(VLOOKUP($H42,areaCercaPuntiClassificaSquadra,3,FALSE),-1)=IFERROR(VLOOKUP($AR42,areaCercaPuntiClassificaSquadra,3,FALSE),-2)),SUMIFS(Dati!$B$2:$B$761,Dati!$A$2:$A$761,$H42,Dati!$H$2:$H$761,$AR42)+SUMIFS(Dati!$I$2:$I$761,Dati!$H$2:$H$761,$H42,Dati!$A$2:$A$761,$AR42),"-")</f>
        <v/>
      </c>
      <c r="BP42" s="21">
        <f>$C42</f>
        <v/>
      </c>
      <c r="BQ42" s="22">
        <f>IF(AND($H42&lt;&gt;"",$Y42&lt;&gt;"",$H42&lt;&gt;$Y42,IFERROR(VLOOKUP($H42,areaCercaPuntiClassificaSquadra,3,FALSE),-1)=IFERROR(VLOOKUP($Y42,areaCercaPuntiClassificaSquadra,3,FALSE),-2)),SUMIFS(Dati!$D$2:$D$761,Dati!$A$2:$A$761,$H42,Dati!$H$2:$H$761,$Y42)+SUMIFS(Dati!$K$2:$K$761,Dati!$H$2:$H$761,$H42,Dati!$A$2:$A$761,$Y42)+SUMIFS(Dati!$C$2:$C$761,Dati!$A$2:$A$761,$H42,Dati!$H$2:$H$761,$Y42)+SUMIFS(Dati!$J$2:$J$761,Dati!$H$2:$H$761,$H42,Dati!$A$2:$A$761,$Y42),"-")</f>
        <v/>
      </c>
      <c r="BR42" s="22">
        <f>IF(AND($H42&lt;&gt;"",$Z42&lt;&gt;"",$H42&lt;&gt;$Z42,IFERROR(VLOOKUP($H42,areaCercaPuntiClassificaSquadra,3,FALSE),-1)=IFERROR(VLOOKUP($Z42,areaCercaPuntiClassificaSquadra,3,FALSE),-2)),SUMIFS(Dati!$D$2:$D$761,Dati!$A$2:$A$761,$H42,Dati!$H$2:$H$761,$Z42)+SUMIFS(Dati!$K$2:$K$761,Dati!$H$2:$H$761,$H42,Dati!$A$2:$A$761,$Z42)+SUMIFS(Dati!$C$2:$C$761,Dati!$A$2:$A$761,$H42,Dati!$H$2:$H$761,$Z42)+SUMIFS(Dati!$J$2:$J$761,Dati!$H$2:$H$761,$H42,Dati!$A$2:$A$761,$Z42),"-")</f>
        <v/>
      </c>
      <c r="BS42" s="22">
        <f>IF(AND($H42&lt;&gt;"",$AA42&lt;&gt;"",$H42&lt;&gt;$AA42,IFERROR(VLOOKUP($H42,areaCercaPuntiClassificaSquadra,3,FALSE),-1)=IFERROR(VLOOKUP($AA42,areaCercaPuntiClassificaSquadra,3,FALSE),-2)),SUMIFS(Dati!$D$2:$D$761,Dati!$A$2:$A$761,$H42,Dati!$H$2:$H$761,$AA42)+SUMIFS(Dati!$K$2:$K$761,Dati!$H$2:$H$761,$H42,Dati!$A$2:$A$761,$AA42)+SUMIFS(Dati!$C$2:$C$761,Dati!$A$2:$A$761,$H42,Dati!$H$2:$H$761,$AA42)+SUMIFS(Dati!$J$2:$J$761,Dati!$H$2:$H$761,$H42,Dati!$A$2:$A$761,$AA42),"-")</f>
        <v/>
      </c>
      <c r="BT42" s="22">
        <f>IF(AND($H42&lt;&gt;"",$AB42&lt;&gt;"",$H42&lt;&gt;$AB42,IFERROR(VLOOKUP($H42,areaCercaPuntiClassificaSquadra,3,FALSE),-1)=IFERROR(VLOOKUP($AB42,areaCercaPuntiClassificaSquadra,3,FALSE),-2)),SUMIFS(Dati!$D$2:$D$761,Dati!$A$2:$A$761,$H42,Dati!$H$2:$H$761,$AB42)+SUMIFS(Dati!$K$2:$K$761,Dati!$H$2:$H$761,$H42,Dati!$A$2:$A$761,$AB42)+SUMIFS(Dati!$C$2:$C$761,Dati!$A$2:$A$761,$H42,Dati!$H$2:$H$761,$AB42)+SUMIFS(Dati!$J$2:$J$761,Dati!$H$2:$H$761,$H42,Dati!$A$2:$A$761,$AB42),"-")</f>
        <v/>
      </c>
      <c r="BU42" s="22">
        <f>IF(AND($H42&lt;&gt;"",$AC42&lt;&gt;"",$H42&lt;&gt;$AC42,IFERROR(VLOOKUP($H42,areaCercaPuntiClassificaSquadra,3,FALSE),-1)=IFERROR(VLOOKUP($AC42,areaCercaPuntiClassificaSquadra,3,FALSE),-2)),SUMIFS(Dati!$D$2:$D$761,Dati!$A$2:$A$761,$H42,Dati!$H$2:$H$761,$AC42)+SUMIFS(Dati!$K$2:$K$761,Dati!$H$2:$H$761,$H42,Dati!$A$2:$A$761,$AC42)+SUMIFS(Dati!$C$2:$C$761,Dati!$A$2:$A$761,$H42,Dati!$H$2:$H$761,$AC42)+SUMIFS(Dati!$J$2:$J$761,Dati!$H$2:$H$761,$H42,Dati!$A$2:$A$761,$AC42),"-")</f>
        <v/>
      </c>
      <c r="BV42" s="22">
        <f>IF(AND($H42&lt;&gt;"",$AD42&lt;&gt;"",$H42&lt;&gt;$AD42,IFERROR(VLOOKUP($H42,areaCercaPuntiClassificaSquadra,3,FALSE),-1)=IFERROR(VLOOKUP($AD42,areaCercaPuntiClassificaSquadra,3,FALSE),-2)),SUMIFS(Dati!$D$2:$D$761,Dati!$A$2:$A$761,$H42,Dati!$H$2:$H$761,$AD42)+SUMIFS(Dati!$K$2:$K$761,Dati!$H$2:$H$761,$H42,Dati!$A$2:$A$761,$AD42)+SUMIFS(Dati!$C$2:$C$761,Dati!$A$2:$A$761,$H42,Dati!$H$2:$H$761,$AD42)+SUMIFS(Dati!$J$2:$J$761,Dati!$H$2:$H$761,$H42,Dati!$A$2:$A$761,$AD42),"-")</f>
        <v/>
      </c>
      <c r="BW42" s="22">
        <f>IF(AND($H42&lt;&gt;"",$AE42&lt;&gt;"",$H42&lt;&gt;$AE42,IFERROR(VLOOKUP($H42,areaCercaPuntiClassificaSquadra,3,FALSE),-1)=IFERROR(VLOOKUP($AE42,areaCercaPuntiClassificaSquadra,3,FALSE),-2)),SUMIFS(Dati!$D$2:$D$761,Dati!$A$2:$A$761,$H42,Dati!$H$2:$H$761,$AE42)+SUMIFS(Dati!$K$2:$K$761,Dati!$H$2:$H$761,$H42,Dati!$A$2:$A$761,$AE42)+SUMIFS(Dati!$C$2:$C$761,Dati!$A$2:$A$761,$H42,Dati!$H$2:$H$761,$AE42)+SUMIFS(Dati!$J$2:$J$761,Dati!$H$2:$H$761,$H42,Dati!$A$2:$A$761,$AE42),"-")</f>
        <v/>
      </c>
      <c r="BX42" s="22">
        <f>IF(AND($H42&lt;&gt;"",$AF42&lt;&gt;"",$H42&lt;&gt;$AF42,IFERROR(VLOOKUP($H42,areaCercaPuntiClassificaSquadra,3,FALSE),-1)=IFERROR(VLOOKUP($AF42,areaCercaPuntiClassificaSquadra,3,FALSE),-2)),SUMIFS(Dati!$D$2:$D$761,Dati!$A$2:$A$761,$H42,Dati!$H$2:$H$761,$AF42)+SUMIFS(Dati!$K$2:$K$761,Dati!$H$2:$H$761,$H42,Dati!$A$2:$A$761,$AF42)+SUMIFS(Dati!$C$2:$C$761,Dati!$A$2:$A$761,$H42,Dati!$H$2:$H$761,$AF42)+SUMIFS(Dati!$J$2:$J$761,Dati!$H$2:$H$761,$H42,Dati!$A$2:$A$761,$AF42),"-")</f>
        <v/>
      </c>
      <c r="BY42" s="22">
        <f>IF(AND($H42&lt;&gt;"",$AG42&lt;&gt;"",$H42&lt;&gt;$AG42,IFERROR(VLOOKUP($H42,areaCercaPuntiClassificaSquadra,3,FALSE),-1)=IFERROR(VLOOKUP($AG42,areaCercaPuntiClassificaSquadra,3,FALSE),-2)),SUMIFS(Dati!$D$2:$D$761,Dati!$A$2:$A$761,$H42,Dati!$H$2:$H$761,$AG42)+SUMIFS(Dati!$K$2:$K$761,Dati!$H$2:$H$761,$H42,Dati!$A$2:$A$761,$AG42)+SUMIFS(Dati!$C$2:$C$761,Dati!$A$2:$A$761,$H42,Dati!$H$2:$H$761,$AG42)+SUMIFS(Dati!$J$2:$J$761,Dati!$H$2:$H$761,$H42,Dati!$A$2:$A$761,$AG42),"-")</f>
        <v/>
      </c>
      <c r="BZ42" s="22">
        <f>IF(AND($H42&lt;&gt;"",$AH42&lt;&gt;"",$H42&lt;&gt;$AH42,IFERROR(VLOOKUP($H42,areaCercaPuntiClassificaSquadra,3,FALSE),-1)=IFERROR(VLOOKUP($AH42,areaCercaPuntiClassificaSquadra,3,FALSE),-2)),SUMIFS(Dati!$D$2:$D$761,Dati!$A$2:$A$761,$H42,Dati!$H$2:$H$761,$AH42)+SUMIFS(Dati!$K$2:$K$761,Dati!$H$2:$H$761,$H42,Dati!$A$2:$A$761,$AH42)+SUMIFS(Dati!$C$2:$C$761,Dati!$A$2:$A$761,$H42,Dati!$H$2:$H$761,$AH42)+SUMIFS(Dati!$J$2:$J$761,Dati!$H$2:$H$761,$H42,Dati!$A$2:$A$761,$AH42),"-")</f>
        <v/>
      </c>
      <c r="CA42" s="22">
        <f>IF(AND($H42&lt;&gt;"",$AI42&lt;&gt;"",$H42&lt;&gt;$AI42,IFERROR(VLOOKUP($H42,areaCercaPuntiClassificaSquadra,3,FALSE),-1)=IFERROR(VLOOKUP($AI42,areaCercaPuntiClassificaSquadra,3,FALSE),-2)),SUMIFS(Dati!$D$2:$D$761,Dati!$A$2:$A$761,$H42,Dati!$H$2:$H$761,$AI42)+SUMIFS(Dati!$K$2:$K$761,Dati!$H$2:$H$761,$H42,Dati!$A$2:$A$761,$AI42)+SUMIFS(Dati!$C$2:$C$761,Dati!$A$2:$A$761,$H42,Dati!$H$2:$H$761,$AI42)+SUMIFS(Dati!$J$2:$J$761,Dati!$H$2:$H$761,$H42,Dati!$A$2:$A$761,$AI42),"-")</f>
        <v/>
      </c>
      <c r="CB42" s="22">
        <f>IF(AND($H42&lt;&gt;"",$AJ42&lt;&gt;"",$H42&lt;&gt;$AJ42,IFERROR(VLOOKUP($H42,areaCercaPuntiClassificaSquadra,3,FALSE),-1)=IFERROR(VLOOKUP($AJ42,areaCercaPuntiClassificaSquadra,3,FALSE),-2)),SUMIFS(Dati!$D$2:$D$761,Dati!$A$2:$A$761,$H42,Dati!$H$2:$H$761,$AJ42)+SUMIFS(Dati!$K$2:$K$761,Dati!$H$2:$H$761,$H42,Dati!$A$2:$A$761,$AJ42)+SUMIFS(Dati!$C$2:$C$761,Dati!$A$2:$A$761,$H42,Dati!$H$2:$H$761,$AJ42)+SUMIFS(Dati!$J$2:$J$761,Dati!$H$2:$H$761,$H42,Dati!$A$2:$A$761,$AJ42),"-")</f>
        <v/>
      </c>
      <c r="CC42" s="22">
        <f>IF(AND($H42&lt;&gt;"",$AK42&lt;&gt;"",$H42&lt;&gt;$AK42,IFERROR(VLOOKUP($H42,areaCercaPuntiClassificaSquadra,3,FALSE),-1)=IFERROR(VLOOKUP($AK42,areaCercaPuntiClassificaSquadra,3,FALSE),-2)),SUMIFS(Dati!$D$2:$D$761,Dati!$A$2:$A$761,$H42,Dati!$H$2:$H$761,$AK42)+SUMIFS(Dati!$K$2:$K$761,Dati!$H$2:$H$761,$H42,Dati!$A$2:$A$761,$AK42)+SUMIFS(Dati!$C$2:$C$761,Dati!$A$2:$A$761,$H42,Dati!$H$2:$H$761,$AK42)+SUMIFS(Dati!$J$2:$J$761,Dati!$H$2:$H$761,$H42,Dati!$A$2:$A$761,$AK42),"-")</f>
        <v/>
      </c>
      <c r="CD42" s="22">
        <f>IF(AND($H42&lt;&gt;"",$AL42&lt;&gt;"",$H42&lt;&gt;$AL42,IFERROR(VLOOKUP($H42,areaCercaPuntiClassificaSquadra,3,FALSE),-1)=IFERROR(VLOOKUP($AL42,areaCercaPuntiClassificaSquadra,3,FALSE),-2)),SUMIFS(Dati!$D$2:$D$761,Dati!$A$2:$A$761,$H42,Dati!$H$2:$H$761,$AL42)+SUMIFS(Dati!$K$2:$K$761,Dati!$H$2:$H$761,$H42,Dati!$A$2:$A$761,$AL42)+SUMIFS(Dati!$C$2:$C$761,Dati!$A$2:$A$761,$H42,Dati!$H$2:$H$761,$AL42)+SUMIFS(Dati!$J$2:$J$761,Dati!$H$2:$H$761,$H42,Dati!$A$2:$A$761,$AL42),"-")</f>
        <v/>
      </c>
      <c r="CE42" s="22">
        <f>IF(AND($H42&lt;&gt;"",$AM42&lt;&gt;"",$H42&lt;&gt;$AM42,IFERROR(VLOOKUP($H42,areaCercaPuntiClassificaSquadra,3,FALSE),-1)=IFERROR(VLOOKUP($AM42,areaCercaPuntiClassificaSquadra,3,FALSE),-2)),SUMIFS(Dati!$D$2:$D$761,Dati!$A$2:$A$761,$H42,Dati!$H$2:$H$761,$AM42)+SUMIFS(Dati!$K$2:$K$761,Dati!$H$2:$H$761,$H42,Dati!$A$2:$A$761,$AM42)+SUMIFS(Dati!$C$2:$C$761,Dati!$A$2:$A$761,$H42,Dati!$H$2:$H$761,$AM42)+SUMIFS(Dati!$J$2:$J$761,Dati!$H$2:$H$761,$H42,Dati!$A$2:$A$761,$AM42),"-")</f>
        <v/>
      </c>
      <c r="CF42" s="22">
        <f>IF(AND($H42&lt;&gt;"",$AN42&lt;&gt;"",$H42&lt;&gt;$AN42,IFERROR(VLOOKUP($H42,areaCercaPuntiClassificaSquadra,3,FALSE),-1)=IFERROR(VLOOKUP($AN42,areaCercaPuntiClassificaSquadra,3,FALSE),-2)),SUMIFS(Dati!$D$2:$D$761,Dati!$A$2:$A$761,$H42,Dati!$H$2:$H$761,$AN42)+SUMIFS(Dati!$K$2:$K$761,Dati!$H$2:$H$761,$H42,Dati!$A$2:$A$761,$AN42)+SUMIFS(Dati!$C$2:$C$761,Dati!$A$2:$A$761,$H42,Dati!$H$2:$H$761,$AN42)+SUMIFS(Dati!$J$2:$J$761,Dati!$H$2:$H$761,$H42,Dati!$A$2:$A$761,$AN42),"-")</f>
        <v/>
      </c>
      <c r="CG42" s="22">
        <f>IF(AND($H42&lt;&gt;"",$AO42&lt;&gt;"",$H42&lt;&gt;$AO42,IFERROR(VLOOKUP($H42,areaCercaPuntiClassificaSquadra,3,FALSE),-1)=IFERROR(VLOOKUP($AO42,areaCercaPuntiClassificaSquadra,3,FALSE),-2)),SUMIFS(Dati!$D$2:$D$761,Dati!$A$2:$A$761,$H42,Dati!$H$2:$H$761,$AO42)+SUMIFS(Dati!$K$2:$K$761,Dati!$H$2:$H$761,$H42,Dati!$A$2:$A$761,$AO42)+SUMIFS(Dati!$C$2:$C$761,Dati!$A$2:$A$761,$H42,Dati!$H$2:$H$761,$AO42)+SUMIFS(Dati!$J$2:$J$761,Dati!$H$2:$H$761,$H42,Dati!$A$2:$A$761,$AO42),"-")</f>
        <v/>
      </c>
      <c r="CH42" s="22">
        <f>IF(AND($H42&lt;&gt;"",$AP42&lt;&gt;"",$H42&lt;&gt;$AP42,IFERROR(VLOOKUP($H42,areaCercaPuntiClassificaSquadra,3,FALSE),-1)=IFERROR(VLOOKUP($AP42,areaCercaPuntiClassificaSquadra,3,FALSE),-2)),SUMIFS(Dati!$D$2:$D$761,Dati!$A$2:$A$761,$H42,Dati!$H$2:$H$761,$AP42)+SUMIFS(Dati!$K$2:$K$761,Dati!$H$2:$H$761,$H42,Dati!$A$2:$A$761,$AP42)+SUMIFS(Dati!$C$2:$C$761,Dati!$A$2:$A$761,$H42,Dati!$H$2:$H$761,$AP42)+SUMIFS(Dati!$J$2:$J$761,Dati!$H$2:$H$761,$H42,Dati!$A$2:$A$761,$AP42),"-")</f>
        <v/>
      </c>
      <c r="CI42" s="22">
        <f>IF(AND($H42&lt;&gt;"",$AQ42&lt;&gt;"",$H42&lt;&gt;$AQ42,IFERROR(VLOOKUP($H42,areaCercaPuntiClassificaSquadra,3,FALSE),-1)=IFERROR(VLOOKUP($AQ42,areaCercaPuntiClassificaSquadra,3,FALSE),-2)),SUMIFS(Dati!$D$2:$D$761,Dati!$A$2:$A$761,$H42,Dati!$H$2:$H$761,$AQ42)+SUMIFS(Dati!$K$2:$K$761,Dati!$H$2:$H$761,$H42,Dati!$A$2:$A$761,$AQ42)+SUMIFS(Dati!$C$2:$C$761,Dati!$A$2:$A$761,$H42,Dati!$H$2:$H$761,$AQ42)+SUMIFS(Dati!$J$2:$J$761,Dati!$H$2:$H$761,$H42,Dati!$A$2:$A$761,$AQ42),"-")</f>
        <v/>
      </c>
      <c r="CJ42" s="22">
        <f>IF(AND($H42&lt;&gt;"",$AR42&lt;&gt;"",$H42&lt;&gt;$AR42,IFERROR(VLOOKUP($H42,areaCercaPuntiClassificaSquadra,3,FALSE),-1)=IFERROR(VLOOKUP($AR42,areaCercaPuntiClassificaSquadra,3,FALSE),-2)),SUMIFS(Dati!$D$2:$D$761,Dati!$A$2:$A$761,$H42,Dati!$H$2:$H$761,$AR42)+SUMIFS(Dati!$K$2:$K$761,Dati!$H$2:$H$761,$H42,Dati!$A$2:$A$761,$AR42)+SUMIFS(Dati!$C$2:$C$761,Dati!$A$2:$A$761,$H42,Dati!$H$2:$H$761,$AR42)+SUMIFS(Dati!$J$2:$J$761,Dati!$H$2:$H$761,$H42,Dati!$A$2:$A$761,$AR42),"-")</f>
        <v/>
      </c>
      <c r="CL42" s="21">
        <f>$C42</f>
        <v/>
      </c>
      <c r="CM42" s="22">
        <f>IF(AND($H42&lt;&gt;"",$Y42&lt;&gt;"",$H42&lt;&gt;$Y42,IFERROR(VLOOKUP($H42,areaCercaPuntiClassificaSquadra,3,FALSE),-1)=IFERROR(VLOOKUP($Y42,areaCercaPuntiClassificaSquadra,3,FALSE),-2)),SUMIFS(Dati!$E$2:$E$761,Dati!$A$2:$A$761,$H42,Dati!$H$2:$H$761,$Y42)+SUMIFS(Dati!$L$2:$L$761,Dati!$H$2:$H$761,$H42,Dati!$A$2:$A$761,$Y42),"-")</f>
        <v/>
      </c>
      <c r="CN42" s="22">
        <f>IF(AND($H42&lt;&gt;"",$Z42&lt;&gt;"",$H42&lt;&gt;$Z42,IFERROR(VLOOKUP($H42,areaCercaPuntiClassificaSquadra,3,FALSE),-1)=IFERROR(VLOOKUP($Z42,areaCercaPuntiClassificaSquadra,3,FALSE),-2)),SUMIFS(Dati!$E$2:$E$761,Dati!$A$2:$A$761,$H42,Dati!$H$2:$H$761,$Z42)+SUMIFS(Dati!$L$2:$L$761,Dati!$H$2:$H$761,$H42,Dati!$A$2:$A$761,$Z42),"-")</f>
        <v/>
      </c>
      <c r="CO42" s="22">
        <f>IF(AND($H42&lt;&gt;"",$AA42&lt;&gt;"",$H42&lt;&gt;$AA42,IFERROR(VLOOKUP($H42,areaCercaPuntiClassificaSquadra,3,FALSE),-1)=IFERROR(VLOOKUP($AA42,areaCercaPuntiClassificaSquadra,3,FALSE),-2)),SUMIFS(Dati!$E$2:$E$761,Dati!$A$2:$A$761,$H42,Dati!$H$2:$H$761,$AA42)+SUMIFS(Dati!$L$2:$L$761,Dati!$H$2:$H$761,$H42,Dati!$A$2:$A$761,$AA42),"-")</f>
        <v/>
      </c>
      <c r="CP42" s="22">
        <f>IF(AND($H42&lt;&gt;"",$AB42&lt;&gt;"",$H42&lt;&gt;$AB42,IFERROR(VLOOKUP($H42,areaCercaPuntiClassificaSquadra,3,FALSE),-1)=IFERROR(VLOOKUP($AB42,areaCercaPuntiClassificaSquadra,3,FALSE),-2)),SUMIFS(Dati!$E$2:$E$761,Dati!$A$2:$A$761,$H42,Dati!$H$2:$H$761,$AB42)+SUMIFS(Dati!$L$2:$L$761,Dati!$H$2:$H$761,$H42,Dati!$A$2:$A$761,$AB42),"-")</f>
        <v/>
      </c>
      <c r="CQ42" s="22">
        <f>IF(AND($H42&lt;&gt;"",$AC42&lt;&gt;"",$H42&lt;&gt;$AC42,IFERROR(VLOOKUP($H42,areaCercaPuntiClassificaSquadra,3,FALSE),-1)=IFERROR(VLOOKUP($AC42,areaCercaPuntiClassificaSquadra,3,FALSE),-2)),SUMIFS(Dati!$E$2:$E$761,Dati!$A$2:$A$761,$H42,Dati!$H$2:$H$761,$AC42)+SUMIFS(Dati!$L$2:$L$761,Dati!$H$2:$H$761,$H42,Dati!$A$2:$A$761,$AC42),"-")</f>
        <v/>
      </c>
      <c r="CR42" s="22">
        <f>IF(AND($H42&lt;&gt;"",$AD42&lt;&gt;"",$H42&lt;&gt;$AD42,IFERROR(VLOOKUP($H42,areaCercaPuntiClassificaSquadra,3,FALSE),-1)=IFERROR(VLOOKUP($AD42,areaCercaPuntiClassificaSquadra,3,FALSE),-2)),SUMIFS(Dati!$E$2:$E$761,Dati!$A$2:$A$761,$H42,Dati!$H$2:$H$761,$AD42)+SUMIFS(Dati!$L$2:$L$761,Dati!$H$2:$H$761,$H42,Dati!$A$2:$A$761,$AD42),"-")</f>
        <v/>
      </c>
      <c r="CS42" s="22">
        <f>IF(AND($H42&lt;&gt;"",$AE42&lt;&gt;"",$H42&lt;&gt;$AE42,IFERROR(VLOOKUP($H42,areaCercaPuntiClassificaSquadra,3,FALSE),-1)=IFERROR(VLOOKUP($AE42,areaCercaPuntiClassificaSquadra,3,FALSE),-2)),SUMIFS(Dati!$E$2:$E$761,Dati!$A$2:$A$761,$H42,Dati!$H$2:$H$761,$AE42)+SUMIFS(Dati!$L$2:$L$761,Dati!$H$2:$H$761,$H42,Dati!$A$2:$A$761,$AE42),"-")</f>
        <v/>
      </c>
      <c r="CT42" s="22">
        <f>IF(AND($H42&lt;&gt;"",$AF42&lt;&gt;"",$H42&lt;&gt;$AF42,IFERROR(VLOOKUP($H42,areaCercaPuntiClassificaSquadra,3,FALSE),-1)=IFERROR(VLOOKUP($AF42,areaCercaPuntiClassificaSquadra,3,FALSE),-2)),SUMIFS(Dati!$E$2:$E$761,Dati!$A$2:$A$761,$H42,Dati!$H$2:$H$761,$AF42)+SUMIFS(Dati!$L$2:$L$761,Dati!$H$2:$H$761,$H42,Dati!$A$2:$A$761,$AF42),"-")</f>
        <v/>
      </c>
      <c r="CU42" s="22">
        <f>IF(AND($H42&lt;&gt;"",$AG42&lt;&gt;"",$H42&lt;&gt;$AG42,IFERROR(VLOOKUP($H42,areaCercaPuntiClassificaSquadra,3,FALSE),-1)=IFERROR(VLOOKUP($AG42,areaCercaPuntiClassificaSquadra,3,FALSE),-2)),SUMIFS(Dati!$E$2:$E$761,Dati!$A$2:$A$761,$H42,Dati!$H$2:$H$761,$AG42)+SUMIFS(Dati!$L$2:$L$761,Dati!$H$2:$H$761,$H42,Dati!$A$2:$A$761,$AG42),"-")</f>
        <v/>
      </c>
      <c r="CV42" s="22">
        <f>IF(AND($H42&lt;&gt;"",$AH42&lt;&gt;"",$H42&lt;&gt;$AH42,IFERROR(VLOOKUP($H42,areaCercaPuntiClassificaSquadra,3,FALSE),-1)=IFERROR(VLOOKUP($AH42,areaCercaPuntiClassificaSquadra,3,FALSE),-2)),SUMIFS(Dati!$E$2:$E$761,Dati!$A$2:$A$761,$H42,Dati!$H$2:$H$761,$AH42)+SUMIFS(Dati!$L$2:$L$761,Dati!$H$2:$H$761,$H42,Dati!$A$2:$A$761,$AH42),"-")</f>
        <v/>
      </c>
      <c r="CW42" s="22">
        <f>IF(AND($H42&lt;&gt;"",$AI42&lt;&gt;"",$H42&lt;&gt;$AI42,IFERROR(VLOOKUP($H42,areaCercaPuntiClassificaSquadra,3,FALSE),-1)=IFERROR(VLOOKUP($AI42,areaCercaPuntiClassificaSquadra,3,FALSE),-2)),SUMIFS(Dati!$E$2:$E$761,Dati!$A$2:$A$761,$H42,Dati!$H$2:$H$761,$AI42)+SUMIFS(Dati!$L$2:$L$761,Dati!$H$2:$H$761,$H42,Dati!$A$2:$A$761,$AI42),"-")</f>
        <v/>
      </c>
      <c r="CX42" s="22">
        <f>IF(AND($H42&lt;&gt;"",$AJ42&lt;&gt;"",$H42&lt;&gt;$AJ42,IFERROR(VLOOKUP($H42,areaCercaPuntiClassificaSquadra,3,FALSE),-1)=IFERROR(VLOOKUP($AJ42,areaCercaPuntiClassificaSquadra,3,FALSE),-2)),SUMIFS(Dati!$E$2:$E$761,Dati!$A$2:$A$761,$H42,Dati!$H$2:$H$761,$AJ42)+SUMIFS(Dati!$L$2:$L$761,Dati!$H$2:$H$761,$H42,Dati!$A$2:$A$761,$AJ42),"-")</f>
        <v/>
      </c>
      <c r="CY42" s="22">
        <f>IF(AND($H42&lt;&gt;"",$AK42&lt;&gt;"",$H42&lt;&gt;$AK42,IFERROR(VLOOKUP($H42,areaCercaPuntiClassificaSquadra,3,FALSE),-1)=IFERROR(VLOOKUP($AK42,areaCercaPuntiClassificaSquadra,3,FALSE),-2)),SUMIFS(Dati!$E$2:$E$761,Dati!$A$2:$A$761,$H42,Dati!$H$2:$H$761,$AK42)+SUMIFS(Dati!$L$2:$L$761,Dati!$H$2:$H$761,$H42,Dati!$A$2:$A$761,$AK42),"-")</f>
        <v/>
      </c>
      <c r="CZ42" s="22">
        <f>IF(AND($H42&lt;&gt;"",$AL42&lt;&gt;"",$H42&lt;&gt;$AL42,IFERROR(VLOOKUP($H42,areaCercaPuntiClassificaSquadra,3,FALSE),-1)=IFERROR(VLOOKUP($AL42,areaCercaPuntiClassificaSquadra,3,FALSE),-2)),SUMIFS(Dati!$E$2:$E$761,Dati!$A$2:$A$761,$H42,Dati!$H$2:$H$761,$AL42)+SUMIFS(Dati!$L$2:$L$761,Dati!$H$2:$H$761,$H42,Dati!$A$2:$A$761,$AL42),"-")</f>
        <v/>
      </c>
      <c r="DA42" s="22">
        <f>IF(AND($H42&lt;&gt;"",$AM42&lt;&gt;"",$H42&lt;&gt;$AM42,IFERROR(VLOOKUP($H42,areaCercaPuntiClassificaSquadra,3,FALSE),-1)=IFERROR(VLOOKUP($AM42,areaCercaPuntiClassificaSquadra,3,FALSE),-2)),SUMIFS(Dati!$E$2:$E$761,Dati!$A$2:$A$761,$H42,Dati!$H$2:$H$761,$AM42)+SUMIFS(Dati!$L$2:$L$761,Dati!$H$2:$H$761,$H42,Dati!$A$2:$A$761,$AM42),"-")</f>
        <v/>
      </c>
      <c r="DB42" s="22">
        <f>IF(AND($H42&lt;&gt;"",$AN42&lt;&gt;"",$H42&lt;&gt;$AN42,IFERROR(VLOOKUP($H42,areaCercaPuntiClassificaSquadra,3,FALSE),-1)=IFERROR(VLOOKUP($AN42,areaCercaPuntiClassificaSquadra,3,FALSE),-2)),SUMIFS(Dati!$E$2:$E$761,Dati!$A$2:$A$761,$H42,Dati!$H$2:$H$761,$AN42)+SUMIFS(Dati!$L$2:$L$761,Dati!$H$2:$H$761,$H42,Dati!$A$2:$A$761,$AN42),"-")</f>
        <v/>
      </c>
      <c r="DC42" s="22">
        <f>IF(AND($H42&lt;&gt;"",$AO42&lt;&gt;"",$H42&lt;&gt;$AO42,IFERROR(VLOOKUP($H42,areaCercaPuntiClassificaSquadra,3,FALSE),-1)=IFERROR(VLOOKUP($AO42,areaCercaPuntiClassificaSquadra,3,FALSE),-2)),SUMIFS(Dati!$E$2:$E$761,Dati!$A$2:$A$761,$H42,Dati!$H$2:$H$761,$AO42)+SUMIFS(Dati!$L$2:$L$761,Dati!$H$2:$H$761,$H42,Dati!$A$2:$A$761,$AO42),"-")</f>
        <v/>
      </c>
      <c r="DD42" s="22">
        <f>IF(AND($H42&lt;&gt;"",$AP42&lt;&gt;"",$H42&lt;&gt;$AP42,IFERROR(VLOOKUP($H42,areaCercaPuntiClassificaSquadra,3,FALSE),-1)=IFERROR(VLOOKUP($AP42,areaCercaPuntiClassificaSquadra,3,FALSE),-2)),SUMIFS(Dati!$E$2:$E$761,Dati!$A$2:$A$761,$H42,Dati!$H$2:$H$761,$AP42)+SUMIFS(Dati!$L$2:$L$761,Dati!$H$2:$H$761,$H42,Dati!$A$2:$A$761,$AP42),"-")</f>
        <v/>
      </c>
      <c r="DE42" s="22">
        <f>IF(AND($H42&lt;&gt;"",$AQ42&lt;&gt;"",$H42&lt;&gt;$AQ42,IFERROR(VLOOKUP($H42,areaCercaPuntiClassificaSquadra,3,FALSE),-1)=IFERROR(VLOOKUP($AQ42,areaCercaPuntiClassificaSquadra,3,FALSE),-2)),SUMIFS(Dati!$E$2:$E$761,Dati!$A$2:$A$761,$H42,Dati!$H$2:$H$761,$AQ42)+SUMIFS(Dati!$L$2:$L$761,Dati!$H$2:$H$761,$H42,Dati!$A$2:$A$761,$AQ42),"-")</f>
        <v/>
      </c>
      <c r="DF42" s="22">
        <f>IF(AND($H42&lt;&gt;"",$AR42&lt;&gt;"",$H42&lt;&gt;$AR42,IFERROR(VLOOKUP($H42,areaCercaPuntiClassificaSquadra,3,FALSE),-1)=IFERROR(VLOOKUP($AR42,areaCercaPuntiClassificaSquadra,3,FALSE),-2)),SUMIFS(Dati!$E$2:$E$761,Dati!$A$2:$A$761,$H42,Dati!$H$2:$H$761,$AR42)+SUMIFS(Dati!$L$2:$L$761,Dati!$H$2:$H$761,$H42,Dati!$A$2:$A$761,$AR42),"-")</f>
        <v/>
      </c>
      <c r="DH42" s="21">
        <f>$C42</f>
        <v/>
      </c>
      <c r="DI42" s="22">
        <f>IF(AND($H42&lt;&gt;"",$Y42&lt;&gt;"",$H42&lt;&gt;$Y42,IFERROR(VLOOKUP($H42,areaCercaPuntiClassificaSquadra,3,FALSE),-1)=IFERROR(VLOOKUP($Y42,areaCercaPuntiClassificaSquadra,3,FALSE),-2)),SUMIFS(Dati!$F$2:$F$761,Dati!$A$2:$A$761,$H42,Dati!$H$2:$H$761,$Y42)+SUMIFS(Dati!$M$2:$M$761,Dati!$H$2:$H$761,$H42,Dati!$A$2:$A$761,$Y42),"-")</f>
        <v/>
      </c>
      <c r="DJ42" s="22">
        <f>IF(AND($H42&lt;&gt;"",$Z42&lt;&gt;"",$H42&lt;&gt;$Z42,IFERROR(VLOOKUP($H42,areaCercaPuntiClassificaSquadra,3,FALSE),-1)=IFERROR(VLOOKUP($Z42,areaCercaPuntiClassificaSquadra,3,FALSE),-2)),SUMIFS(Dati!$F$2:$F$761,Dati!$A$2:$A$761,$H42,Dati!$H$2:$H$761,$Z42)+SUMIFS(Dati!$M$2:$M$761,Dati!$H$2:$H$761,$H42,Dati!$A$2:$A$761,$Z42),"-")</f>
        <v/>
      </c>
      <c r="DK42" s="22">
        <f>IF(AND($H42&lt;&gt;"",$AA42&lt;&gt;"",$H42&lt;&gt;$AA42,IFERROR(VLOOKUP($H42,areaCercaPuntiClassificaSquadra,3,FALSE),-1)=IFERROR(VLOOKUP($AA42,areaCercaPuntiClassificaSquadra,3,FALSE),-2)),SUMIFS(Dati!$F$2:$F$761,Dati!$A$2:$A$761,$H42,Dati!$H$2:$H$761,$AA42)+SUMIFS(Dati!$M$2:$M$761,Dati!$H$2:$H$761,$H42,Dati!$A$2:$A$761,$AA42),"-")</f>
        <v/>
      </c>
      <c r="DL42" s="22">
        <f>IF(AND($H42&lt;&gt;"",$AB42&lt;&gt;"",$H42&lt;&gt;$AB42,IFERROR(VLOOKUP($H42,areaCercaPuntiClassificaSquadra,3,FALSE),-1)=IFERROR(VLOOKUP($AB42,areaCercaPuntiClassificaSquadra,3,FALSE),-2)),SUMIFS(Dati!$F$2:$F$761,Dati!$A$2:$A$761,$H42,Dati!$H$2:$H$761,$AB42)+SUMIFS(Dati!$M$2:$M$761,Dati!$H$2:$H$761,$H42,Dati!$A$2:$A$761,$AB42),"-")</f>
        <v/>
      </c>
      <c r="DM42" s="22">
        <f>IF(AND($H42&lt;&gt;"",$AC42&lt;&gt;"",$H42&lt;&gt;$AC42,IFERROR(VLOOKUP($H42,areaCercaPuntiClassificaSquadra,3,FALSE),-1)=IFERROR(VLOOKUP($AC42,areaCercaPuntiClassificaSquadra,3,FALSE),-2)),SUMIFS(Dati!$F$2:$F$761,Dati!$A$2:$A$761,$H42,Dati!$H$2:$H$761,$AC42)+SUMIFS(Dati!$M$2:$M$761,Dati!$H$2:$H$761,$H42,Dati!$A$2:$A$761,$AC42),"-")</f>
        <v/>
      </c>
      <c r="DN42" s="22">
        <f>IF(AND($H42&lt;&gt;"",$AD42&lt;&gt;"",$H42&lt;&gt;$AD42,IFERROR(VLOOKUP($H42,areaCercaPuntiClassificaSquadra,3,FALSE),-1)=IFERROR(VLOOKUP($AD42,areaCercaPuntiClassificaSquadra,3,FALSE),-2)),SUMIFS(Dati!$F$2:$F$761,Dati!$A$2:$A$761,$H42,Dati!$H$2:$H$761,$AD42)+SUMIFS(Dati!$M$2:$M$761,Dati!$H$2:$H$761,$H42,Dati!$A$2:$A$761,$AD42),"-")</f>
        <v/>
      </c>
      <c r="DO42" s="22">
        <f>IF(AND($H42&lt;&gt;"",$AE42&lt;&gt;"",$H42&lt;&gt;$AE42,IFERROR(VLOOKUP($H42,areaCercaPuntiClassificaSquadra,3,FALSE),-1)=IFERROR(VLOOKUP($AE42,areaCercaPuntiClassificaSquadra,3,FALSE),-2)),SUMIFS(Dati!$F$2:$F$761,Dati!$A$2:$A$761,$H42,Dati!$H$2:$H$761,$AE42)+SUMIFS(Dati!$M$2:$M$761,Dati!$H$2:$H$761,$H42,Dati!$A$2:$A$761,$AE42),"-")</f>
        <v/>
      </c>
      <c r="DP42" s="22">
        <f>IF(AND($H42&lt;&gt;"",$AF42&lt;&gt;"",$H42&lt;&gt;$AF42,IFERROR(VLOOKUP($H42,areaCercaPuntiClassificaSquadra,3,FALSE),-1)=IFERROR(VLOOKUP($AF42,areaCercaPuntiClassificaSquadra,3,FALSE),-2)),SUMIFS(Dati!$F$2:$F$761,Dati!$A$2:$A$761,$H42,Dati!$H$2:$H$761,$AF42)+SUMIFS(Dati!$M$2:$M$761,Dati!$H$2:$H$761,$H42,Dati!$A$2:$A$761,$AF42),"-")</f>
        <v/>
      </c>
      <c r="DQ42" s="22">
        <f>IF(AND($H42&lt;&gt;"",$AG42&lt;&gt;"",$H42&lt;&gt;$AG42,IFERROR(VLOOKUP($H42,areaCercaPuntiClassificaSquadra,3,FALSE),-1)=IFERROR(VLOOKUP($AG42,areaCercaPuntiClassificaSquadra,3,FALSE),-2)),SUMIFS(Dati!$F$2:$F$761,Dati!$A$2:$A$761,$H42,Dati!$H$2:$H$761,$AG42)+SUMIFS(Dati!$M$2:$M$761,Dati!$H$2:$H$761,$H42,Dati!$A$2:$A$761,$AG42),"-")</f>
        <v/>
      </c>
      <c r="DR42" s="22">
        <f>IF(AND($H42&lt;&gt;"",$AH42&lt;&gt;"",$H42&lt;&gt;$AH42,IFERROR(VLOOKUP($H42,areaCercaPuntiClassificaSquadra,3,FALSE),-1)=IFERROR(VLOOKUP($AH42,areaCercaPuntiClassificaSquadra,3,FALSE),-2)),SUMIFS(Dati!$F$2:$F$761,Dati!$A$2:$A$761,$H42,Dati!$H$2:$H$761,$AH42)+SUMIFS(Dati!$M$2:$M$761,Dati!$H$2:$H$761,$H42,Dati!$A$2:$A$761,$AH42),"-")</f>
        <v/>
      </c>
      <c r="DS42" s="22">
        <f>IF(AND($H42&lt;&gt;"",$AI42&lt;&gt;"",$H42&lt;&gt;$AI42,IFERROR(VLOOKUP($H42,areaCercaPuntiClassificaSquadra,3,FALSE),-1)=IFERROR(VLOOKUP($AI42,areaCercaPuntiClassificaSquadra,3,FALSE),-2)),SUMIFS(Dati!$F$2:$F$761,Dati!$A$2:$A$761,$H42,Dati!$H$2:$H$761,$AI42)+SUMIFS(Dati!$M$2:$M$761,Dati!$H$2:$H$761,$H42,Dati!$A$2:$A$761,$AI42),"-")</f>
        <v/>
      </c>
      <c r="DT42" s="22">
        <f>IF(AND($H42&lt;&gt;"",$AJ42&lt;&gt;"",$H42&lt;&gt;$AJ42,IFERROR(VLOOKUP($H42,areaCercaPuntiClassificaSquadra,3,FALSE),-1)=IFERROR(VLOOKUP($AJ42,areaCercaPuntiClassificaSquadra,3,FALSE),-2)),SUMIFS(Dati!$F$2:$F$761,Dati!$A$2:$A$761,$H42,Dati!$H$2:$H$761,$AJ42)+SUMIFS(Dati!$M$2:$M$761,Dati!$H$2:$H$761,$H42,Dati!$A$2:$A$761,$AJ42),"-")</f>
        <v/>
      </c>
      <c r="DU42" s="22">
        <f>IF(AND($H42&lt;&gt;"",$AK42&lt;&gt;"",$H42&lt;&gt;$AK42,IFERROR(VLOOKUP($H42,areaCercaPuntiClassificaSquadra,3,FALSE),-1)=IFERROR(VLOOKUP($AK42,areaCercaPuntiClassificaSquadra,3,FALSE),-2)),SUMIFS(Dati!$F$2:$F$761,Dati!$A$2:$A$761,$H42,Dati!$H$2:$H$761,$AK42)+SUMIFS(Dati!$M$2:$M$761,Dati!$H$2:$H$761,$H42,Dati!$A$2:$A$761,$AK42),"-")</f>
        <v/>
      </c>
      <c r="DV42" s="22">
        <f>IF(AND($H42&lt;&gt;"",$AL42&lt;&gt;"",$H42&lt;&gt;$AL42,IFERROR(VLOOKUP($H42,areaCercaPuntiClassificaSquadra,3,FALSE),-1)=IFERROR(VLOOKUP($AL42,areaCercaPuntiClassificaSquadra,3,FALSE),-2)),SUMIFS(Dati!$F$2:$F$761,Dati!$A$2:$A$761,$H42,Dati!$H$2:$H$761,$AL42)+SUMIFS(Dati!$M$2:$M$761,Dati!$H$2:$H$761,$H42,Dati!$A$2:$A$761,$AL42),"-")</f>
        <v/>
      </c>
      <c r="DW42" s="22">
        <f>IF(AND($H42&lt;&gt;"",$AM42&lt;&gt;"",$H42&lt;&gt;$AM42,IFERROR(VLOOKUP($H42,areaCercaPuntiClassificaSquadra,3,FALSE),-1)=IFERROR(VLOOKUP($AM42,areaCercaPuntiClassificaSquadra,3,FALSE),-2)),SUMIFS(Dati!$F$2:$F$761,Dati!$A$2:$A$761,$H42,Dati!$H$2:$H$761,$AM42)+SUMIFS(Dati!$M$2:$M$761,Dati!$H$2:$H$761,$H42,Dati!$A$2:$A$761,$AM42),"-")</f>
        <v/>
      </c>
      <c r="DX42" s="22">
        <f>IF(AND($H42&lt;&gt;"",$AN42&lt;&gt;"",$H42&lt;&gt;$AN42,IFERROR(VLOOKUP($H42,areaCercaPuntiClassificaSquadra,3,FALSE),-1)=IFERROR(VLOOKUP($AN42,areaCercaPuntiClassificaSquadra,3,FALSE),-2)),SUMIFS(Dati!$F$2:$F$761,Dati!$A$2:$A$761,$H42,Dati!$H$2:$H$761,$AN42)+SUMIFS(Dati!$M$2:$M$761,Dati!$H$2:$H$761,$H42,Dati!$A$2:$A$761,$AN42),"-")</f>
        <v/>
      </c>
      <c r="DY42" s="22">
        <f>IF(AND($H42&lt;&gt;"",$AO42&lt;&gt;"",$H42&lt;&gt;$AO42,IFERROR(VLOOKUP($H42,areaCercaPuntiClassificaSquadra,3,FALSE),-1)=IFERROR(VLOOKUP($AO42,areaCercaPuntiClassificaSquadra,3,FALSE),-2)),SUMIFS(Dati!$F$2:$F$761,Dati!$A$2:$A$761,$H42,Dati!$H$2:$H$761,$AO42)+SUMIFS(Dati!$M$2:$M$761,Dati!$H$2:$H$761,$H42,Dati!$A$2:$A$761,$AO42),"-")</f>
        <v/>
      </c>
      <c r="DZ42" s="22">
        <f>IF(AND($H42&lt;&gt;"",$AP42&lt;&gt;"",$H42&lt;&gt;$AP42,IFERROR(VLOOKUP($H42,areaCercaPuntiClassificaSquadra,3,FALSE),-1)=IFERROR(VLOOKUP($AP42,areaCercaPuntiClassificaSquadra,3,FALSE),-2)),SUMIFS(Dati!$F$2:$F$761,Dati!$A$2:$A$761,$H42,Dati!$H$2:$H$761,$AP42)+SUMIFS(Dati!$M$2:$M$761,Dati!$H$2:$H$761,$H42,Dati!$A$2:$A$761,$AP42),"-")</f>
        <v/>
      </c>
      <c r="EA42" s="22">
        <f>IF(AND($H42&lt;&gt;"",$AQ42&lt;&gt;"",$H42&lt;&gt;$AQ42,IFERROR(VLOOKUP($H42,areaCercaPuntiClassificaSquadra,3,FALSE),-1)=IFERROR(VLOOKUP($AQ42,areaCercaPuntiClassificaSquadra,3,FALSE),-2)),SUMIFS(Dati!$F$2:$F$761,Dati!$A$2:$A$761,$H42,Dati!$H$2:$H$761,$AQ42)+SUMIFS(Dati!$M$2:$M$761,Dati!$H$2:$H$761,$H42,Dati!$A$2:$A$761,$AQ42),"-")</f>
        <v/>
      </c>
      <c r="EB42" s="22">
        <f>IF(AND($H42&lt;&gt;"",$AR42&lt;&gt;"",$H42&lt;&gt;$AR42,IFERROR(VLOOKUP($H42,areaCercaPuntiClassificaSquadra,3,FALSE),-1)=IFERROR(VLOOKUP($AR42,areaCercaPuntiClassificaSquadra,3,FALSE),-2)),SUMIFS(Dati!$F$2:$F$761,Dati!$A$2:$A$761,$H42,Dati!$H$2:$H$761,$AR42)+SUMIFS(Dati!$M$2:$M$761,Dati!$H$2:$H$761,$H42,Dati!$A$2:$A$761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inlineStr">
        <is>
          <t>Pinguini Prudenti-Pinguiniopoli PU</t>
        </is>
      </c>
      <c r="D43" s="14" t="n"/>
      <c r="E43" s="23" t="inlineStr">
        <is>
          <t>B</t>
        </is>
      </c>
      <c r="G43" s="24">
        <f>IF($C43="","",$E43&amp;(COUNTIFS(I$14:I$93,"&gt;"&amp;I43,E$14:E$93,"="&amp;E43,C$14:C$93,"&lt;&gt;")+COUNTIFS(I$14:I$93,"="&amp;I43,H$14:H$93,"&lt;="&amp;H43,E$14:E$93,"="&amp;E43,C$14:C$93,"&lt;&gt;")))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L43*constPuntiVittoria+M43*constPuntiSconfitta+N43*constPuntiForfait+IF(D43="",0,D43)</f>
        <v/>
      </c>
      <c r="K43" s="12">
        <f>SUM(L43:N43)</f>
        <v/>
      </c>
      <c r="L43" s="12">
        <f>IF($H43="",0,SUMIF(Dati!$A$2:$A$761,$H43,Dati!$B$2:$B$761)+SUMIF(Dati!$H$2:$H$761,$H43,Dati!$I$2:$I$761))</f>
        <v/>
      </c>
      <c r="M43" s="12">
        <f>IF($H43="",0,SUMIF(Dati!$A$2:$A$761,$H43,Dati!$D$2:$D$761)+SUMIF(Dati!$H$2:$H$761,$H43,Dati!$K$2:$K$761))</f>
        <v/>
      </c>
      <c r="N43" s="12">
        <f>IF($H43="",0,SUMIF(Dati!$A$2:$A$761,$H43,Dati!$C$2:$C$761)+SUMIF(Dati!$H$2:$H$761,$H43,Dati!$J$2:$J$761))</f>
        <v/>
      </c>
      <c r="O43" s="12">
        <f>IF($H43="",0,SUMIF(Dati!$A$2:$A$761,$H43,Dati!$E$2:$E$761)+SUMIF(Dati!$H$2:$H$761,$H43,Dati!$L$2:$L$761))</f>
        <v/>
      </c>
      <c r="P43" s="12">
        <f>IF($H43="",0,SUMIF(Dati!$A$2:$A$761,$H43,Dati!$F$2:$F$761)+SUMIF(Dati!$H$2:$H$761,$H43,Dati!$M$2:$M$761))</f>
        <v/>
      </c>
      <c r="Q43" s="12">
        <f>IF($H43="",0,SUMIF(Dati!$A$2:$A$761,$H43,Dati!$G$2:$G$761)+SUMIF(Dati!$H$2:$H$761,$H43,Dati!$N$2:$N$761))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IF(COUNTIFS($E$14:$E$93,$E43,$J$14:$J$93,$J43,$C$14:$C$93,"&lt;&gt;")&lt;=1,"-",SUM(AU43:BN43)&amp;"-"&amp;SUM(BQ43:CJ43))</f>
        <v/>
      </c>
      <c r="V43" s="18">
        <f>IF(COUNTIFS($E$14:$E$93,$E43,$J$14:$J$93,$J43,$C$14:$C$93,"&lt;&gt;",$ED$14:$ED$93,$ED43)&lt;=1,"-",IF(SUM(DI43:EB43)=0,0,ROUND(SUM(CM43:DF43)/SUM(DI43:EB43),3)))</f>
        <v/>
      </c>
      <c r="W43" s="18">
        <f>IF(COUNTIFS($E$14:$E$93,$E43,$J$14:$J$93,$J43,$C$14:$C$93,"&lt;&gt;",$ED$14:$ED$93,$ED43,$V$14:$V$93,$V43)&lt;=1,"-",IF(P43=0,0,ROUND(O43/P43,3)))</f>
        <v/>
      </c>
      <c r="X43" s="19">
        <f>IF($C43="","",$E43&amp;"#"&amp;COUNTIFS($E$14:$E43,$E43,$C$14:$C43,"&lt;&gt;"))</f>
        <v/>
      </c>
      <c r="Y43" s="20">
        <f>IFERROR(INDEX($H$14:$H$93,MATCH($E43&amp;"#1",$X$14:$X$93,0)),"")</f>
        <v/>
      </c>
      <c r="Z43" s="20">
        <f>IFERROR(INDEX($H$14:$H$93,MATCH($E43&amp;"#2",$X$14:$X$93,0)),"")</f>
        <v/>
      </c>
      <c r="AA43" s="20">
        <f>IFERROR(INDEX($H$14:$H$93,MATCH($E43&amp;"#3",$X$14:$X$93,0)),"")</f>
        <v/>
      </c>
      <c r="AB43" s="20">
        <f>IFERROR(INDEX($H$14:$H$93,MATCH($E43&amp;"#4",$X$14:$X$93,0)),"")</f>
        <v/>
      </c>
      <c r="AC43" s="20">
        <f>IFERROR(INDEX($H$14:$H$93,MATCH($E43&amp;"#5",$X$14:$X$93,0)),"")</f>
        <v/>
      </c>
      <c r="AD43" s="20">
        <f>IFERROR(INDEX($H$14:$H$93,MATCH($E43&amp;"#6",$X$14:$X$93,0)),"")</f>
        <v/>
      </c>
      <c r="AE43" s="20">
        <f>IFERROR(INDEX($H$14:$H$93,MATCH($E43&amp;"#7",$X$14:$X$93,0)),"")</f>
        <v/>
      </c>
      <c r="AF43" s="20">
        <f>IFERROR(INDEX($H$14:$H$93,MATCH($E43&amp;"#8",$X$14:$X$93,0)),"")</f>
        <v/>
      </c>
      <c r="AG43" s="20">
        <f>IFERROR(INDEX($H$14:$H$93,MATCH($E43&amp;"#9",$X$14:$X$93,0)),"")</f>
        <v/>
      </c>
      <c r="AH43" s="20">
        <f>IFERROR(INDEX($H$14:$H$93,MATCH($E43&amp;"#10",$X$14:$X$93,0)),"")</f>
        <v/>
      </c>
      <c r="AI43" s="20">
        <f>IFERROR(INDEX($H$14:$H$93,MATCH($E43&amp;"#11",$X$14:$X$93,0)),"")</f>
        <v/>
      </c>
      <c r="AJ43" s="20">
        <f>IFERROR(INDEX($H$14:$H$93,MATCH($E43&amp;"#12",$X$14:$X$93,0)),"")</f>
        <v/>
      </c>
      <c r="AK43" s="20">
        <f>IFERROR(INDEX($H$14:$H$93,MATCH($E43&amp;"#13",$X$14:$X$93,0)),"")</f>
        <v/>
      </c>
      <c r="AL43" s="20">
        <f>IFERROR(INDEX($H$14:$H$93,MATCH($E43&amp;"#14",$X$14:$X$93,0)),"")</f>
        <v/>
      </c>
      <c r="AM43" s="20">
        <f>IFERROR(INDEX($H$14:$H$93,MATCH($E43&amp;"#15",$X$14:$X$93,0)),"")</f>
        <v/>
      </c>
      <c r="AN43" s="20">
        <f>IFERROR(INDEX($H$14:$H$93,MATCH($E43&amp;"#16",$X$14:$X$93,0)),"")</f>
        <v/>
      </c>
      <c r="AO43" s="20">
        <f>IFERROR(INDEX($H$14:$H$93,MATCH($E43&amp;"#17",$X$14:$X$93,0)),"")</f>
        <v/>
      </c>
      <c r="AP43" s="20">
        <f>IFERROR(INDEX($H$14:$H$93,MATCH($E43&amp;"#18",$X$14:$X$93,0)),"")</f>
        <v/>
      </c>
      <c r="AQ43" s="20">
        <f>IFERROR(INDEX($H$14:$H$93,MATCH($E43&amp;"#19",$X$14:$X$93,0)),"")</f>
        <v/>
      </c>
      <c r="AR43" s="20">
        <f>IFERROR(INDEX($H$14:$H$93,MATCH($E43&amp;"#20",$X$14:$X$93,0)),"")</f>
        <v/>
      </c>
      <c r="AT43" s="21">
        <f>$C43</f>
        <v/>
      </c>
      <c r="AU43" s="22">
        <f>IF(AND($H43&lt;&gt;"",$Y43&lt;&gt;"",$H43&lt;&gt;$Y43,IFERROR(VLOOKUP($H43,areaCercaPuntiClassificaSquadra,3,FALSE),-1)=IFERROR(VLOOKUP($Y43,areaCercaPuntiClassificaSquadra,3,FALSE),-2)),SUMIFS(Dati!$B$2:$B$761,Dati!$A$2:$A$761,$H43,Dati!$H$2:$H$761,$Y43)+SUMIFS(Dati!$I$2:$I$761,Dati!$H$2:$H$761,$H43,Dati!$A$2:$A$761,$Y43),"-")</f>
        <v/>
      </c>
      <c r="AV43" s="22">
        <f>IF(AND($H43&lt;&gt;"",$Z43&lt;&gt;"",$H43&lt;&gt;$Z43,IFERROR(VLOOKUP($H43,areaCercaPuntiClassificaSquadra,3,FALSE),-1)=IFERROR(VLOOKUP($Z43,areaCercaPuntiClassificaSquadra,3,FALSE),-2)),SUMIFS(Dati!$B$2:$B$761,Dati!$A$2:$A$761,$H43,Dati!$H$2:$H$761,$Z43)+SUMIFS(Dati!$I$2:$I$761,Dati!$H$2:$H$761,$H43,Dati!$A$2:$A$761,$Z43),"-")</f>
        <v/>
      </c>
      <c r="AW43" s="22">
        <f>IF(AND($H43&lt;&gt;"",$AA43&lt;&gt;"",$H43&lt;&gt;$AA43,IFERROR(VLOOKUP($H43,areaCercaPuntiClassificaSquadra,3,FALSE),-1)=IFERROR(VLOOKUP($AA43,areaCercaPuntiClassificaSquadra,3,FALSE),-2)),SUMIFS(Dati!$B$2:$B$761,Dati!$A$2:$A$761,$H43,Dati!$H$2:$H$761,$AA43)+SUMIFS(Dati!$I$2:$I$761,Dati!$H$2:$H$761,$H43,Dati!$A$2:$A$761,$AA43),"-")</f>
        <v/>
      </c>
      <c r="AX43" s="22">
        <f>IF(AND($H43&lt;&gt;"",$AB43&lt;&gt;"",$H43&lt;&gt;$AB43,IFERROR(VLOOKUP($H43,areaCercaPuntiClassificaSquadra,3,FALSE),-1)=IFERROR(VLOOKUP($AB43,areaCercaPuntiClassificaSquadra,3,FALSE),-2)),SUMIFS(Dati!$B$2:$B$761,Dati!$A$2:$A$761,$H43,Dati!$H$2:$H$761,$AB43)+SUMIFS(Dati!$I$2:$I$761,Dati!$H$2:$H$761,$H43,Dati!$A$2:$A$761,$AB43),"-")</f>
        <v/>
      </c>
      <c r="AY43" s="22">
        <f>IF(AND($H43&lt;&gt;"",$AC43&lt;&gt;"",$H43&lt;&gt;$AC43,IFERROR(VLOOKUP($H43,areaCercaPuntiClassificaSquadra,3,FALSE),-1)=IFERROR(VLOOKUP($AC43,areaCercaPuntiClassificaSquadra,3,FALSE),-2)),SUMIFS(Dati!$B$2:$B$761,Dati!$A$2:$A$761,$H43,Dati!$H$2:$H$761,$AC43)+SUMIFS(Dati!$I$2:$I$761,Dati!$H$2:$H$761,$H43,Dati!$A$2:$A$761,$AC43),"-")</f>
        <v/>
      </c>
      <c r="AZ43" s="22">
        <f>IF(AND($H43&lt;&gt;"",$AD43&lt;&gt;"",$H43&lt;&gt;$AD43,IFERROR(VLOOKUP($H43,areaCercaPuntiClassificaSquadra,3,FALSE),-1)=IFERROR(VLOOKUP($AD43,areaCercaPuntiClassificaSquadra,3,FALSE),-2)),SUMIFS(Dati!$B$2:$B$761,Dati!$A$2:$A$761,$H43,Dati!$H$2:$H$761,$AD43)+SUMIFS(Dati!$I$2:$I$761,Dati!$H$2:$H$761,$H43,Dati!$A$2:$A$761,$AD43),"-")</f>
        <v/>
      </c>
      <c r="BA43" s="22">
        <f>IF(AND($H43&lt;&gt;"",$AE43&lt;&gt;"",$H43&lt;&gt;$AE43,IFERROR(VLOOKUP($H43,areaCercaPuntiClassificaSquadra,3,FALSE),-1)=IFERROR(VLOOKUP($AE43,areaCercaPuntiClassificaSquadra,3,FALSE),-2)),SUMIFS(Dati!$B$2:$B$761,Dati!$A$2:$A$761,$H43,Dati!$H$2:$H$761,$AE43)+SUMIFS(Dati!$I$2:$I$761,Dati!$H$2:$H$761,$H43,Dati!$A$2:$A$761,$AE43),"-")</f>
        <v/>
      </c>
      <c r="BB43" s="22">
        <f>IF(AND($H43&lt;&gt;"",$AF43&lt;&gt;"",$H43&lt;&gt;$AF43,IFERROR(VLOOKUP($H43,areaCercaPuntiClassificaSquadra,3,FALSE),-1)=IFERROR(VLOOKUP($AF43,areaCercaPuntiClassificaSquadra,3,FALSE),-2)),SUMIFS(Dati!$B$2:$B$761,Dati!$A$2:$A$761,$H43,Dati!$H$2:$H$761,$AF43)+SUMIFS(Dati!$I$2:$I$761,Dati!$H$2:$H$761,$H43,Dati!$A$2:$A$761,$AF43),"-")</f>
        <v/>
      </c>
      <c r="BC43" s="22">
        <f>IF(AND($H43&lt;&gt;"",$AG43&lt;&gt;"",$H43&lt;&gt;$AG43,IFERROR(VLOOKUP($H43,areaCercaPuntiClassificaSquadra,3,FALSE),-1)=IFERROR(VLOOKUP($AG43,areaCercaPuntiClassificaSquadra,3,FALSE),-2)),SUMIFS(Dati!$B$2:$B$761,Dati!$A$2:$A$761,$H43,Dati!$H$2:$H$761,$AG43)+SUMIFS(Dati!$I$2:$I$761,Dati!$H$2:$H$761,$H43,Dati!$A$2:$A$761,$AG43),"-")</f>
        <v/>
      </c>
      <c r="BD43" s="22">
        <f>IF(AND($H43&lt;&gt;"",$AH43&lt;&gt;"",$H43&lt;&gt;$AH43,IFERROR(VLOOKUP($H43,areaCercaPuntiClassificaSquadra,3,FALSE),-1)=IFERROR(VLOOKUP($AH43,areaCercaPuntiClassificaSquadra,3,FALSE),-2)),SUMIFS(Dati!$B$2:$B$761,Dati!$A$2:$A$761,$H43,Dati!$H$2:$H$761,$AH43)+SUMIFS(Dati!$I$2:$I$761,Dati!$H$2:$H$761,$H43,Dati!$A$2:$A$761,$AH43),"-")</f>
        <v/>
      </c>
      <c r="BE43" s="22">
        <f>IF(AND($H43&lt;&gt;"",$AI43&lt;&gt;"",$H43&lt;&gt;$AI43,IFERROR(VLOOKUP($H43,areaCercaPuntiClassificaSquadra,3,FALSE),-1)=IFERROR(VLOOKUP($AI43,areaCercaPuntiClassificaSquadra,3,FALSE),-2)),SUMIFS(Dati!$B$2:$B$761,Dati!$A$2:$A$761,$H43,Dati!$H$2:$H$761,$AI43)+SUMIFS(Dati!$I$2:$I$761,Dati!$H$2:$H$761,$H43,Dati!$A$2:$A$761,$AI43),"-")</f>
        <v/>
      </c>
      <c r="BF43" s="22">
        <f>IF(AND($H43&lt;&gt;"",$AJ43&lt;&gt;"",$H43&lt;&gt;$AJ43,IFERROR(VLOOKUP($H43,areaCercaPuntiClassificaSquadra,3,FALSE),-1)=IFERROR(VLOOKUP($AJ43,areaCercaPuntiClassificaSquadra,3,FALSE),-2)),SUMIFS(Dati!$B$2:$B$761,Dati!$A$2:$A$761,$H43,Dati!$H$2:$H$761,$AJ43)+SUMIFS(Dati!$I$2:$I$761,Dati!$H$2:$H$761,$H43,Dati!$A$2:$A$761,$AJ43),"-")</f>
        <v/>
      </c>
      <c r="BG43" s="22">
        <f>IF(AND($H43&lt;&gt;"",$AK43&lt;&gt;"",$H43&lt;&gt;$AK43,IFERROR(VLOOKUP($H43,areaCercaPuntiClassificaSquadra,3,FALSE),-1)=IFERROR(VLOOKUP($AK43,areaCercaPuntiClassificaSquadra,3,FALSE),-2)),SUMIFS(Dati!$B$2:$B$761,Dati!$A$2:$A$761,$H43,Dati!$H$2:$H$761,$AK43)+SUMIFS(Dati!$I$2:$I$761,Dati!$H$2:$H$761,$H43,Dati!$A$2:$A$761,$AK43),"-")</f>
        <v/>
      </c>
      <c r="BH43" s="22">
        <f>IF(AND($H43&lt;&gt;"",$AL43&lt;&gt;"",$H43&lt;&gt;$AL43,IFERROR(VLOOKUP($H43,areaCercaPuntiClassificaSquadra,3,FALSE),-1)=IFERROR(VLOOKUP($AL43,areaCercaPuntiClassificaSquadra,3,FALSE),-2)),SUMIFS(Dati!$B$2:$B$761,Dati!$A$2:$A$761,$H43,Dati!$H$2:$H$761,$AL43)+SUMIFS(Dati!$I$2:$I$761,Dati!$H$2:$H$761,$H43,Dati!$A$2:$A$761,$AL43),"-")</f>
        <v/>
      </c>
      <c r="BI43" s="22">
        <f>IF(AND($H43&lt;&gt;"",$AM43&lt;&gt;"",$H43&lt;&gt;$AM43,IFERROR(VLOOKUP($H43,areaCercaPuntiClassificaSquadra,3,FALSE),-1)=IFERROR(VLOOKUP($AM43,areaCercaPuntiClassificaSquadra,3,FALSE),-2)),SUMIFS(Dati!$B$2:$B$761,Dati!$A$2:$A$761,$H43,Dati!$H$2:$H$761,$AM43)+SUMIFS(Dati!$I$2:$I$761,Dati!$H$2:$H$761,$H43,Dati!$A$2:$A$761,$AM43),"-")</f>
        <v/>
      </c>
      <c r="BJ43" s="22">
        <f>IF(AND($H43&lt;&gt;"",$AN43&lt;&gt;"",$H43&lt;&gt;$AN43,IFERROR(VLOOKUP($H43,areaCercaPuntiClassificaSquadra,3,FALSE),-1)=IFERROR(VLOOKUP($AN43,areaCercaPuntiClassificaSquadra,3,FALSE),-2)),SUMIFS(Dati!$B$2:$B$761,Dati!$A$2:$A$761,$H43,Dati!$H$2:$H$761,$AN43)+SUMIFS(Dati!$I$2:$I$761,Dati!$H$2:$H$761,$H43,Dati!$A$2:$A$761,$AN43),"-")</f>
        <v/>
      </c>
      <c r="BK43" s="22">
        <f>IF(AND($H43&lt;&gt;"",$AO43&lt;&gt;"",$H43&lt;&gt;$AO43,IFERROR(VLOOKUP($H43,areaCercaPuntiClassificaSquadra,3,FALSE),-1)=IFERROR(VLOOKUP($AO43,areaCercaPuntiClassificaSquadra,3,FALSE),-2)),SUMIFS(Dati!$B$2:$B$761,Dati!$A$2:$A$761,$H43,Dati!$H$2:$H$761,$AO43)+SUMIFS(Dati!$I$2:$I$761,Dati!$H$2:$H$761,$H43,Dati!$A$2:$A$761,$AO43),"-")</f>
        <v/>
      </c>
      <c r="BL43" s="22">
        <f>IF(AND($H43&lt;&gt;"",$AP43&lt;&gt;"",$H43&lt;&gt;$AP43,IFERROR(VLOOKUP($H43,areaCercaPuntiClassificaSquadra,3,FALSE),-1)=IFERROR(VLOOKUP($AP43,areaCercaPuntiClassificaSquadra,3,FALSE),-2)),SUMIFS(Dati!$B$2:$B$761,Dati!$A$2:$A$761,$H43,Dati!$H$2:$H$761,$AP43)+SUMIFS(Dati!$I$2:$I$761,Dati!$H$2:$H$761,$H43,Dati!$A$2:$A$761,$AP43),"-")</f>
        <v/>
      </c>
      <c r="BM43" s="22">
        <f>IF(AND($H43&lt;&gt;"",$AQ43&lt;&gt;"",$H43&lt;&gt;$AQ43,IFERROR(VLOOKUP($H43,areaCercaPuntiClassificaSquadra,3,FALSE),-1)=IFERROR(VLOOKUP($AQ43,areaCercaPuntiClassificaSquadra,3,FALSE),-2)),SUMIFS(Dati!$B$2:$B$761,Dati!$A$2:$A$761,$H43,Dati!$H$2:$H$761,$AQ43)+SUMIFS(Dati!$I$2:$I$761,Dati!$H$2:$H$761,$H43,Dati!$A$2:$A$761,$AQ43),"-")</f>
        <v/>
      </c>
      <c r="BN43" s="22">
        <f>IF(AND($H43&lt;&gt;"",$AR43&lt;&gt;"",$H43&lt;&gt;$AR43,IFERROR(VLOOKUP($H43,areaCercaPuntiClassificaSquadra,3,FALSE),-1)=IFERROR(VLOOKUP($AR43,areaCercaPuntiClassificaSquadra,3,FALSE),-2)),SUMIFS(Dati!$B$2:$B$761,Dati!$A$2:$A$761,$H43,Dati!$H$2:$H$761,$AR43)+SUMIFS(Dati!$I$2:$I$761,Dati!$H$2:$H$761,$H43,Dati!$A$2:$A$761,$AR43),"-")</f>
        <v/>
      </c>
      <c r="BP43" s="21">
        <f>$C43</f>
        <v/>
      </c>
      <c r="BQ43" s="22">
        <f>IF(AND($H43&lt;&gt;"",$Y43&lt;&gt;"",$H43&lt;&gt;$Y43,IFERROR(VLOOKUP($H43,areaCercaPuntiClassificaSquadra,3,FALSE),-1)=IFERROR(VLOOKUP($Y43,areaCercaPuntiClassificaSquadra,3,FALSE),-2)),SUMIFS(Dati!$D$2:$D$761,Dati!$A$2:$A$761,$H43,Dati!$H$2:$H$761,$Y43)+SUMIFS(Dati!$K$2:$K$761,Dati!$H$2:$H$761,$H43,Dati!$A$2:$A$761,$Y43)+SUMIFS(Dati!$C$2:$C$761,Dati!$A$2:$A$761,$H43,Dati!$H$2:$H$761,$Y43)+SUMIFS(Dati!$J$2:$J$761,Dati!$H$2:$H$761,$H43,Dati!$A$2:$A$761,$Y43),"-")</f>
        <v/>
      </c>
      <c r="BR43" s="22">
        <f>IF(AND($H43&lt;&gt;"",$Z43&lt;&gt;"",$H43&lt;&gt;$Z43,IFERROR(VLOOKUP($H43,areaCercaPuntiClassificaSquadra,3,FALSE),-1)=IFERROR(VLOOKUP($Z43,areaCercaPuntiClassificaSquadra,3,FALSE),-2)),SUMIFS(Dati!$D$2:$D$761,Dati!$A$2:$A$761,$H43,Dati!$H$2:$H$761,$Z43)+SUMIFS(Dati!$K$2:$K$761,Dati!$H$2:$H$761,$H43,Dati!$A$2:$A$761,$Z43)+SUMIFS(Dati!$C$2:$C$761,Dati!$A$2:$A$761,$H43,Dati!$H$2:$H$761,$Z43)+SUMIFS(Dati!$J$2:$J$761,Dati!$H$2:$H$761,$H43,Dati!$A$2:$A$761,$Z43),"-")</f>
        <v/>
      </c>
      <c r="BS43" s="22">
        <f>IF(AND($H43&lt;&gt;"",$AA43&lt;&gt;"",$H43&lt;&gt;$AA43,IFERROR(VLOOKUP($H43,areaCercaPuntiClassificaSquadra,3,FALSE),-1)=IFERROR(VLOOKUP($AA43,areaCercaPuntiClassificaSquadra,3,FALSE),-2)),SUMIFS(Dati!$D$2:$D$761,Dati!$A$2:$A$761,$H43,Dati!$H$2:$H$761,$AA43)+SUMIFS(Dati!$K$2:$K$761,Dati!$H$2:$H$761,$H43,Dati!$A$2:$A$761,$AA43)+SUMIFS(Dati!$C$2:$C$761,Dati!$A$2:$A$761,$H43,Dati!$H$2:$H$761,$AA43)+SUMIFS(Dati!$J$2:$J$761,Dati!$H$2:$H$761,$H43,Dati!$A$2:$A$761,$AA43),"-")</f>
        <v/>
      </c>
      <c r="BT43" s="22">
        <f>IF(AND($H43&lt;&gt;"",$AB43&lt;&gt;"",$H43&lt;&gt;$AB43,IFERROR(VLOOKUP($H43,areaCercaPuntiClassificaSquadra,3,FALSE),-1)=IFERROR(VLOOKUP($AB43,areaCercaPuntiClassificaSquadra,3,FALSE),-2)),SUMIFS(Dati!$D$2:$D$761,Dati!$A$2:$A$761,$H43,Dati!$H$2:$H$761,$AB43)+SUMIFS(Dati!$K$2:$K$761,Dati!$H$2:$H$761,$H43,Dati!$A$2:$A$761,$AB43)+SUMIFS(Dati!$C$2:$C$761,Dati!$A$2:$A$761,$H43,Dati!$H$2:$H$761,$AB43)+SUMIFS(Dati!$J$2:$J$761,Dati!$H$2:$H$761,$H43,Dati!$A$2:$A$761,$AB43),"-")</f>
        <v/>
      </c>
      <c r="BU43" s="22">
        <f>IF(AND($H43&lt;&gt;"",$AC43&lt;&gt;"",$H43&lt;&gt;$AC43,IFERROR(VLOOKUP($H43,areaCercaPuntiClassificaSquadra,3,FALSE),-1)=IFERROR(VLOOKUP($AC43,areaCercaPuntiClassificaSquadra,3,FALSE),-2)),SUMIFS(Dati!$D$2:$D$761,Dati!$A$2:$A$761,$H43,Dati!$H$2:$H$761,$AC43)+SUMIFS(Dati!$K$2:$K$761,Dati!$H$2:$H$761,$H43,Dati!$A$2:$A$761,$AC43)+SUMIFS(Dati!$C$2:$C$761,Dati!$A$2:$A$761,$H43,Dati!$H$2:$H$761,$AC43)+SUMIFS(Dati!$J$2:$J$761,Dati!$H$2:$H$761,$H43,Dati!$A$2:$A$761,$AC43),"-")</f>
        <v/>
      </c>
      <c r="BV43" s="22">
        <f>IF(AND($H43&lt;&gt;"",$AD43&lt;&gt;"",$H43&lt;&gt;$AD43,IFERROR(VLOOKUP($H43,areaCercaPuntiClassificaSquadra,3,FALSE),-1)=IFERROR(VLOOKUP($AD43,areaCercaPuntiClassificaSquadra,3,FALSE),-2)),SUMIFS(Dati!$D$2:$D$761,Dati!$A$2:$A$761,$H43,Dati!$H$2:$H$761,$AD43)+SUMIFS(Dati!$K$2:$K$761,Dati!$H$2:$H$761,$H43,Dati!$A$2:$A$761,$AD43)+SUMIFS(Dati!$C$2:$C$761,Dati!$A$2:$A$761,$H43,Dati!$H$2:$H$761,$AD43)+SUMIFS(Dati!$J$2:$J$761,Dati!$H$2:$H$761,$H43,Dati!$A$2:$A$761,$AD43),"-")</f>
        <v/>
      </c>
      <c r="BW43" s="22">
        <f>IF(AND($H43&lt;&gt;"",$AE43&lt;&gt;"",$H43&lt;&gt;$AE43,IFERROR(VLOOKUP($H43,areaCercaPuntiClassificaSquadra,3,FALSE),-1)=IFERROR(VLOOKUP($AE43,areaCercaPuntiClassificaSquadra,3,FALSE),-2)),SUMIFS(Dati!$D$2:$D$761,Dati!$A$2:$A$761,$H43,Dati!$H$2:$H$761,$AE43)+SUMIFS(Dati!$K$2:$K$761,Dati!$H$2:$H$761,$H43,Dati!$A$2:$A$761,$AE43)+SUMIFS(Dati!$C$2:$C$761,Dati!$A$2:$A$761,$H43,Dati!$H$2:$H$761,$AE43)+SUMIFS(Dati!$J$2:$J$761,Dati!$H$2:$H$761,$H43,Dati!$A$2:$A$761,$AE43),"-")</f>
        <v/>
      </c>
      <c r="BX43" s="22">
        <f>IF(AND($H43&lt;&gt;"",$AF43&lt;&gt;"",$H43&lt;&gt;$AF43,IFERROR(VLOOKUP($H43,areaCercaPuntiClassificaSquadra,3,FALSE),-1)=IFERROR(VLOOKUP($AF43,areaCercaPuntiClassificaSquadra,3,FALSE),-2)),SUMIFS(Dati!$D$2:$D$761,Dati!$A$2:$A$761,$H43,Dati!$H$2:$H$761,$AF43)+SUMIFS(Dati!$K$2:$K$761,Dati!$H$2:$H$761,$H43,Dati!$A$2:$A$761,$AF43)+SUMIFS(Dati!$C$2:$C$761,Dati!$A$2:$A$761,$H43,Dati!$H$2:$H$761,$AF43)+SUMIFS(Dati!$J$2:$J$761,Dati!$H$2:$H$761,$H43,Dati!$A$2:$A$761,$AF43),"-")</f>
        <v/>
      </c>
      <c r="BY43" s="22">
        <f>IF(AND($H43&lt;&gt;"",$AG43&lt;&gt;"",$H43&lt;&gt;$AG43,IFERROR(VLOOKUP($H43,areaCercaPuntiClassificaSquadra,3,FALSE),-1)=IFERROR(VLOOKUP($AG43,areaCercaPuntiClassificaSquadra,3,FALSE),-2)),SUMIFS(Dati!$D$2:$D$761,Dati!$A$2:$A$761,$H43,Dati!$H$2:$H$761,$AG43)+SUMIFS(Dati!$K$2:$K$761,Dati!$H$2:$H$761,$H43,Dati!$A$2:$A$761,$AG43)+SUMIFS(Dati!$C$2:$C$761,Dati!$A$2:$A$761,$H43,Dati!$H$2:$H$761,$AG43)+SUMIFS(Dati!$J$2:$J$761,Dati!$H$2:$H$761,$H43,Dati!$A$2:$A$761,$AG43),"-")</f>
        <v/>
      </c>
      <c r="BZ43" s="22">
        <f>IF(AND($H43&lt;&gt;"",$AH43&lt;&gt;"",$H43&lt;&gt;$AH43,IFERROR(VLOOKUP($H43,areaCercaPuntiClassificaSquadra,3,FALSE),-1)=IFERROR(VLOOKUP($AH43,areaCercaPuntiClassificaSquadra,3,FALSE),-2)),SUMIFS(Dati!$D$2:$D$761,Dati!$A$2:$A$761,$H43,Dati!$H$2:$H$761,$AH43)+SUMIFS(Dati!$K$2:$K$761,Dati!$H$2:$H$761,$H43,Dati!$A$2:$A$761,$AH43)+SUMIFS(Dati!$C$2:$C$761,Dati!$A$2:$A$761,$H43,Dati!$H$2:$H$761,$AH43)+SUMIFS(Dati!$J$2:$J$761,Dati!$H$2:$H$761,$H43,Dati!$A$2:$A$761,$AH43),"-")</f>
        <v/>
      </c>
      <c r="CA43" s="22">
        <f>IF(AND($H43&lt;&gt;"",$AI43&lt;&gt;"",$H43&lt;&gt;$AI43,IFERROR(VLOOKUP($H43,areaCercaPuntiClassificaSquadra,3,FALSE),-1)=IFERROR(VLOOKUP($AI43,areaCercaPuntiClassificaSquadra,3,FALSE),-2)),SUMIFS(Dati!$D$2:$D$761,Dati!$A$2:$A$761,$H43,Dati!$H$2:$H$761,$AI43)+SUMIFS(Dati!$K$2:$K$761,Dati!$H$2:$H$761,$H43,Dati!$A$2:$A$761,$AI43)+SUMIFS(Dati!$C$2:$C$761,Dati!$A$2:$A$761,$H43,Dati!$H$2:$H$761,$AI43)+SUMIFS(Dati!$J$2:$J$761,Dati!$H$2:$H$761,$H43,Dati!$A$2:$A$761,$AI43),"-")</f>
        <v/>
      </c>
      <c r="CB43" s="22">
        <f>IF(AND($H43&lt;&gt;"",$AJ43&lt;&gt;"",$H43&lt;&gt;$AJ43,IFERROR(VLOOKUP($H43,areaCercaPuntiClassificaSquadra,3,FALSE),-1)=IFERROR(VLOOKUP($AJ43,areaCercaPuntiClassificaSquadra,3,FALSE),-2)),SUMIFS(Dati!$D$2:$D$761,Dati!$A$2:$A$761,$H43,Dati!$H$2:$H$761,$AJ43)+SUMIFS(Dati!$K$2:$K$761,Dati!$H$2:$H$761,$H43,Dati!$A$2:$A$761,$AJ43)+SUMIFS(Dati!$C$2:$C$761,Dati!$A$2:$A$761,$H43,Dati!$H$2:$H$761,$AJ43)+SUMIFS(Dati!$J$2:$J$761,Dati!$H$2:$H$761,$H43,Dati!$A$2:$A$761,$AJ43),"-")</f>
        <v/>
      </c>
      <c r="CC43" s="22">
        <f>IF(AND($H43&lt;&gt;"",$AK43&lt;&gt;"",$H43&lt;&gt;$AK43,IFERROR(VLOOKUP($H43,areaCercaPuntiClassificaSquadra,3,FALSE),-1)=IFERROR(VLOOKUP($AK43,areaCercaPuntiClassificaSquadra,3,FALSE),-2)),SUMIFS(Dati!$D$2:$D$761,Dati!$A$2:$A$761,$H43,Dati!$H$2:$H$761,$AK43)+SUMIFS(Dati!$K$2:$K$761,Dati!$H$2:$H$761,$H43,Dati!$A$2:$A$761,$AK43)+SUMIFS(Dati!$C$2:$C$761,Dati!$A$2:$A$761,$H43,Dati!$H$2:$H$761,$AK43)+SUMIFS(Dati!$J$2:$J$761,Dati!$H$2:$H$761,$H43,Dati!$A$2:$A$761,$AK43),"-")</f>
        <v/>
      </c>
      <c r="CD43" s="22">
        <f>IF(AND($H43&lt;&gt;"",$AL43&lt;&gt;"",$H43&lt;&gt;$AL43,IFERROR(VLOOKUP($H43,areaCercaPuntiClassificaSquadra,3,FALSE),-1)=IFERROR(VLOOKUP($AL43,areaCercaPuntiClassificaSquadra,3,FALSE),-2)),SUMIFS(Dati!$D$2:$D$761,Dati!$A$2:$A$761,$H43,Dati!$H$2:$H$761,$AL43)+SUMIFS(Dati!$K$2:$K$761,Dati!$H$2:$H$761,$H43,Dati!$A$2:$A$761,$AL43)+SUMIFS(Dati!$C$2:$C$761,Dati!$A$2:$A$761,$H43,Dati!$H$2:$H$761,$AL43)+SUMIFS(Dati!$J$2:$J$761,Dati!$H$2:$H$761,$H43,Dati!$A$2:$A$761,$AL43),"-")</f>
        <v/>
      </c>
      <c r="CE43" s="22">
        <f>IF(AND($H43&lt;&gt;"",$AM43&lt;&gt;"",$H43&lt;&gt;$AM43,IFERROR(VLOOKUP($H43,areaCercaPuntiClassificaSquadra,3,FALSE),-1)=IFERROR(VLOOKUP($AM43,areaCercaPuntiClassificaSquadra,3,FALSE),-2)),SUMIFS(Dati!$D$2:$D$761,Dati!$A$2:$A$761,$H43,Dati!$H$2:$H$761,$AM43)+SUMIFS(Dati!$K$2:$K$761,Dati!$H$2:$H$761,$H43,Dati!$A$2:$A$761,$AM43)+SUMIFS(Dati!$C$2:$C$761,Dati!$A$2:$A$761,$H43,Dati!$H$2:$H$761,$AM43)+SUMIFS(Dati!$J$2:$J$761,Dati!$H$2:$H$761,$H43,Dati!$A$2:$A$761,$AM43),"-")</f>
        <v/>
      </c>
      <c r="CF43" s="22">
        <f>IF(AND($H43&lt;&gt;"",$AN43&lt;&gt;"",$H43&lt;&gt;$AN43,IFERROR(VLOOKUP($H43,areaCercaPuntiClassificaSquadra,3,FALSE),-1)=IFERROR(VLOOKUP($AN43,areaCercaPuntiClassificaSquadra,3,FALSE),-2)),SUMIFS(Dati!$D$2:$D$761,Dati!$A$2:$A$761,$H43,Dati!$H$2:$H$761,$AN43)+SUMIFS(Dati!$K$2:$K$761,Dati!$H$2:$H$761,$H43,Dati!$A$2:$A$761,$AN43)+SUMIFS(Dati!$C$2:$C$761,Dati!$A$2:$A$761,$H43,Dati!$H$2:$H$761,$AN43)+SUMIFS(Dati!$J$2:$J$761,Dati!$H$2:$H$761,$H43,Dati!$A$2:$A$761,$AN43),"-")</f>
        <v/>
      </c>
      <c r="CG43" s="22">
        <f>IF(AND($H43&lt;&gt;"",$AO43&lt;&gt;"",$H43&lt;&gt;$AO43,IFERROR(VLOOKUP($H43,areaCercaPuntiClassificaSquadra,3,FALSE),-1)=IFERROR(VLOOKUP($AO43,areaCercaPuntiClassificaSquadra,3,FALSE),-2)),SUMIFS(Dati!$D$2:$D$761,Dati!$A$2:$A$761,$H43,Dati!$H$2:$H$761,$AO43)+SUMIFS(Dati!$K$2:$K$761,Dati!$H$2:$H$761,$H43,Dati!$A$2:$A$761,$AO43)+SUMIFS(Dati!$C$2:$C$761,Dati!$A$2:$A$761,$H43,Dati!$H$2:$H$761,$AO43)+SUMIFS(Dati!$J$2:$J$761,Dati!$H$2:$H$761,$H43,Dati!$A$2:$A$761,$AO43),"-")</f>
        <v/>
      </c>
      <c r="CH43" s="22">
        <f>IF(AND($H43&lt;&gt;"",$AP43&lt;&gt;"",$H43&lt;&gt;$AP43,IFERROR(VLOOKUP($H43,areaCercaPuntiClassificaSquadra,3,FALSE),-1)=IFERROR(VLOOKUP($AP43,areaCercaPuntiClassificaSquadra,3,FALSE),-2)),SUMIFS(Dati!$D$2:$D$761,Dati!$A$2:$A$761,$H43,Dati!$H$2:$H$761,$AP43)+SUMIFS(Dati!$K$2:$K$761,Dati!$H$2:$H$761,$H43,Dati!$A$2:$A$761,$AP43)+SUMIFS(Dati!$C$2:$C$761,Dati!$A$2:$A$761,$H43,Dati!$H$2:$H$761,$AP43)+SUMIFS(Dati!$J$2:$J$761,Dati!$H$2:$H$761,$H43,Dati!$A$2:$A$761,$AP43),"-")</f>
        <v/>
      </c>
      <c r="CI43" s="22">
        <f>IF(AND($H43&lt;&gt;"",$AQ43&lt;&gt;"",$H43&lt;&gt;$AQ43,IFERROR(VLOOKUP($H43,areaCercaPuntiClassificaSquadra,3,FALSE),-1)=IFERROR(VLOOKUP($AQ43,areaCercaPuntiClassificaSquadra,3,FALSE),-2)),SUMIFS(Dati!$D$2:$D$761,Dati!$A$2:$A$761,$H43,Dati!$H$2:$H$761,$AQ43)+SUMIFS(Dati!$K$2:$K$761,Dati!$H$2:$H$761,$H43,Dati!$A$2:$A$761,$AQ43)+SUMIFS(Dati!$C$2:$C$761,Dati!$A$2:$A$761,$H43,Dati!$H$2:$H$761,$AQ43)+SUMIFS(Dati!$J$2:$J$761,Dati!$H$2:$H$761,$H43,Dati!$A$2:$A$761,$AQ43),"-")</f>
        <v/>
      </c>
      <c r="CJ43" s="22">
        <f>IF(AND($H43&lt;&gt;"",$AR43&lt;&gt;"",$H43&lt;&gt;$AR43,IFERROR(VLOOKUP($H43,areaCercaPuntiClassificaSquadra,3,FALSE),-1)=IFERROR(VLOOKUP($AR43,areaCercaPuntiClassificaSquadra,3,FALSE),-2)),SUMIFS(Dati!$D$2:$D$761,Dati!$A$2:$A$761,$H43,Dati!$H$2:$H$761,$AR43)+SUMIFS(Dati!$K$2:$K$761,Dati!$H$2:$H$761,$H43,Dati!$A$2:$A$761,$AR43)+SUMIFS(Dati!$C$2:$C$761,Dati!$A$2:$A$761,$H43,Dati!$H$2:$H$761,$AR43)+SUMIFS(Dati!$J$2:$J$761,Dati!$H$2:$H$761,$H43,Dati!$A$2:$A$761,$AR43),"-")</f>
        <v/>
      </c>
      <c r="CL43" s="21">
        <f>$C43</f>
        <v/>
      </c>
      <c r="CM43" s="22">
        <f>IF(AND($H43&lt;&gt;"",$Y43&lt;&gt;"",$H43&lt;&gt;$Y43,IFERROR(VLOOKUP($H43,areaCercaPuntiClassificaSquadra,3,FALSE),-1)=IFERROR(VLOOKUP($Y43,areaCercaPuntiClassificaSquadra,3,FALSE),-2)),SUMIFS(Dati!$E$2:$E$761,Dati!$A$2:$A$761,$H43,Dati!$H$2:$H$761,$Y43)+SUMIFS(Dati!$L$2:$L$761,Dati!$H$2:$H$761,$H43,Dati!$A$2:$A$761,$Y43),"-")</f>
        <v/>
      </c>
      <c r="CN43" s="22">
        <f>IF(AND($H43&lt;&gt;"",$Z43&lt;&gt;"",$H43&lt;&gt;$Z43,IFERROR(VLOOKUP($H43,areaCercaPuntiClassificaSquadra,3,FALSE),-1)=IFERROR(VLOOKUP($Z43,areaCercaPuntiClassificaSquadra,3,FALSE),-2)),SUMIFS(Dati!$E$2:$E$761,Dati!$A$2:$A$761,$H43,Dati!$H$2:$H$761,$Z43)+SUMIFS(Dati!$L$2:$L$761,Dati!$H$2:$H$761,$H43,Dati!$A$2:$A$761,$Z43),"-")</f>
        <v/>
      </c>
      <c r="CO43" s="22">
        <f>IF(AND($H43&lt;&gt;"",$AA43&lt;&gt;"",$H43&lt;&gt;$AA43,IFERROR(VLOOKUP($H43,areaCercaPuntiClassificaSquadra,3,FALSE),-1)=IFERROR(VLOOKUP($AA43,areaCercaPuntiClassificaSquadra,3,FALSE),-2)),SUMIFS(Dati!$E$2:$E$761,Dati!$A$2:$A$761,$H43,Dati!$H$2:$H$761,$AA43)+SUMIFS(Dati!$L$2:$L$761,Dati!$H$2:$H$761,$H43,Dati!$A$2:$A$761,$AA43),"-")</f>
        <v/>
      </c>
      <c r="CP43" s="22">
        <f>IF(AND($H43&lt;&gt;"",$AB43&lt;&gt;"",$H43&lt;&gt;$AB43,IFERROR(VLOOKUP($H43,areaCercaPuntiClassificaSquadra,3,FALSE),-1)=IFERROR(VLOOKUP($AB43,areaCercaPuntiClassificaSquadra,3,FALSE),-2)),SUMIFS(Dati!$E$2:$E$761,Dati!$A$2:$A$761,$H43,Dati!$H$2:$H$761,$AB43)+SUMIFS(Dati!$L$2:$L$761,Dati!$H$2:$H$761,$H43,Dati!$A$2:$A$761,$AB43),"-")</f>
        <v/>
      </c>
      <c r="CQ43" s="22">
        <f>IF(AND($H43&lt;&gt;"",$AC43&lt;&gt;"",$H43&lt;&gt;$AC43,IFERROR(VLOOKUP($H43,areaCercaPuntiClassificaSquadra,3,FALSE),-1)=IFERROR(VLOOKUP($AC43,areaCercaPuntiClassificaSquadra,3,FALSE),-2)),SUMIFS(Dati!$E$2:$E$761,Dati!$A$2:$A$761,$H43,Dati!$H$2:$H$761,$AC43)+SUMIFS(Dati!$L$2:$L$761,Dati!$H$2:$H$761,$H43,Dati!$A$2:$A$761,$AC43),"-")</f>
        <v/>
      </c>
      <c r="CR43" s="22">
        <f>IF(AND($H43&lt;&gt;"",$AD43&lt;&gt;"",$H43&lt;&gt;$AD43,IFERROR(VLOOKUP($H43,areaCercaPuntiClassificaSquadra,3,FALSE),-1)=IFERROR(VLOOKUP($AD43,areaCercaPuntiClassificaSquadra,3,FALSE),-2)),SUMIFS(Dati!$E$2:$E$761,Dati!$A$2:$A$761,$H43,Dati!$H$2:$H$761,$AD43)+SUMIFS(Dati!$L$2:$L$761,Dati!$H$2:$H$761,$H43,Dati!$A$2:$A$761,$AD43),"-")</f>
        <v/>
      </c>
      <c r="CS43" s="22">
        <f>IF(AND($H43&lt;&gt;"",$AE43&lt;&gt;"",$H43&lt;&gt;$AE43,IFERROR(VLOOKUP($H43,areaCercaPuntiClassificaSquadra,3,FALSE),-1)=IFERROR(VLOOKUP($AE43,areaCercaPuntiClassificaSquadra,3,FALSE),-2)),SUMIFS(Dati!$E$2:$E$761,Dati!$A$2:$A$761,$H43,Dati!$H$2:$H$761,$AE43)+SUMIFS(Dati!$L$2:$L$761,Dati!$H$2:$H$761,$H43,Dati!$A$2:$A$761,$AE43),"-")</f>
        <v/>
      </c>
      <c r="CT43" s="22">
        <f>IF(AND($H43&lt;&gt;"",$AF43&lt;&gt;"",$H43&lt;&gt;$AF43,IFERROR(VLOOKUP($H43,areaCercaPuntiClassificaSquadra,3,FALSE),-1)=IFERROR(VLOOKUP($AF43,areaCercaPuntiClassificaSquadra,3,FALSE),-2)),SUMIFS(Dati!$E$2:$E$761,Dati!$A$2:$A$761,$H43,Dati!$H$2:$H$761,$AF43)+SUMIFS(Dati!$L$2:$L$761,Dati!$H$2:$H$761,$H43,Dati!$A$2:$A$761,$AF43),"-")</f>
        <v/>
      </c>
      <c r="CU43" s="22">
        <f>IF(AND($H43&lt;&gt;"",$AG43&lt;&gt;"",$H43&lt;&gt;$AG43,IFERROR(VLOOKUP($H43,areaCercaPuntiClassificaSquadra,3,FALSE),-1)=IFERROR(VLOOKUP($AG43,areaCercaPuntiClassificaSquadra,3,FALSE),-2)),SUMIFS(Dati!$E$2:$E$761,Dati!$A$2:$A$761,$H43,Dati!$H$2:$H$761,$AG43)+SUMIFS(Dati!$L$2:$L$761,Dati!$H$2:$H$761,$H43,Dati!$A$2:$A$761,$AG43),"-")</f>
        <v/>
      </c>
      <c r="CV43" s="22">
        <f>IF(AND($H43&lt;&gt;"",$AH43&lt;&gt;"",$H43&lt;&gt;$AH43,IFERROR(VLOOKUP($H43,areaCercaPuntiClassificaSquadra,3,FALSE),-1)=IFERROR(VLOOKUP($AH43,areaCercaPuntiClassificaSquadra,3,FALSE),-2)),SUMIFS(Dati!$E$2:$E$761,Dati!$A$2:$A$761,$H43,Dati!$H$2:$H$761,$AH43)+SUMIFS(Dati!$L$2:$L$761,Dati!$H$2:$H$761,$H43,Dati!$A$2:$A$761,$AH43),"-")</f>
        <v/>
      </c>
      <c r="CW43" s="22">
        <f>IF(AND($H43&lt;&gt;"",$AI43&lt;&gt;"",$H43&lt;&gt;$AI43,IFERROR(VLOOKUP($H43,areaCercaPuntiClassificaSquadra,3,FALSE),-1)=IFERROR(VLOOKUP($AI43,areaCercaPuntiClassificaSquadra,3,FALSE),-2)),SUMIFS(Dati!$E$2:$E$761,Dati!$A$2:$A$761,$H43,Dati!$H$2:$H$761,$AI43)+SUMIFS(Dati!$L$2:$L$761,Dati!$H$2:$H$761,$H43,Dati!$A$2:$A$761,$AI43),"-")</f>
        <v/>
      </c>
      <c r="CX43" s="22">
        <f>IF(AND($H43&lt;&gt;"",$AJ43&lt;&gt;"",$H43&lt;&gt;$AJ43,IFERROR(VLOOKUP($H43,areaCercaPuntiClassificaSquadra,3,FALSE),-1)=IFERROR(VLOOKUP($AJ43,areaCercaPuntiClassificaSquadra,3,FALSE),-2)),SUMIFS(Dati!$E$2:$E$761,Dati!$A$2:$A$761,$H43,Dati!$H$2:$H$761,$AJ43)+SUMIFS(Dati!$L$2:$L$761,Dati!$H$2:$H$761,$H43,Dati!$A$2:$A$761,$AJ43),"-")</f>
        <v/>
      </c>
      <c r="CY43" s="22">
        <f>IF(AND($H43&lt;&gt;"",$AK43&lt;&gt;"",$H43&lt;&gt;$AK43,IFERROR(VLOOKUP($H43,areaCercaPuntiClassificaSquadra,3,FALSE),-1)=IFERROR(VLOOKUP($AK43,areaCercaPuntiClassificaSquadra,3,FALSE),-2)),SUMIFS(Dati!$E$2:$E$761,Dati!$A$2:$A$761,$H43,Dati!$H$2:$H$761,$AK43)+SUMIFS(Dati!$L$2:$L$761,Dati!$H$2:$H$761,$H43,Dati!$A$2:$A$761,$AK43),"-")</f>
        <v/>
      </c>
      <c r="CZ43" s="22">
        <f>IF(AND($H43&lt;&gt;"",$AL43&lt;&gt;"",$H43&lt;&gt;$AL43,IFERROR(VLOOKUP($H43,areaCercaPuntiClassificaSquadra,3,FALSE),-1)=IFERROR(VLOOKUP($AL43,areaCercaPuntiClassificaSquadra,3,FALSE),-2)),SUMIFS(Dati!$E$2:$E$761,Dati!$A$2:$A$761,$H43,Dati!$H$2:$H$761,$AL43)+SUMIFS(Dati!$L$2:$L$761,Dati!$H$2:$H$761,$H43,Dati!$A$2:$A$761,$AL43),"-")</f>
        <v/>
      </c>
      <c r="DA43" s="22">
        <f>IF(AND($H43&lt;&gt;"",$AM43&lt;&gt;"",$H43&lt;&gt;$AM43,IFERROR(VLOOKUP($H43,areaCercaPuntiClassificaSquadra,3,FALSE),-1)=IFERROR(VLOOKUP($AM43,areaCercaPuntiClassificaSquadra,3,FALSE),-2)),SUMIFS(Dati!$E$2:$E$761,Dati!$A$2:$A$761,$H43,Dati!$H$2:$H$761,$AM43)+SUMIFS(Dati!$L$2:$L$761,Dati!$H$2:$H$761,$H43,Dati!$A$2:$A$761,$AM43),"-")</f>
        <v/>
      </c>
      <c r="DB43" s="22">
        <f>IF(AND($H43&lt;&gt;"",$AN43&lt;&gt;"",$H43&lt;&gt;$AN43,IFERROR(VLOOKUP($H43,areaCercaPuntiClassificaSquadra,3,FALSE),-1)=IFERROR(VLOOKUP($AN43,areaCercaPuntiClassificaSquadra,3,FALSE),-2)),SUMIFS(Dati!$E$2:$E$761,Dati!$A$2:$A$761,$H43,Dati!$H$2:$H$761,$AN43)+SUMIFS(Dati!$L$2:$L$761,Dati!$H$2:$H$761,$H43,Dati!$A$2:$A$761,$AN43),"-")</f>
        <v/>
      </c>
      <c r="DC43" s="22">
        <f>IF(AND($H43&lt;&gt;"",$AO43&lt;&gt;"",$H43&lt;&gt;$AO43,IFERROR(VLOOKUP($H43,areaCercaPuntiClassificaSquadra,3,FALSE),-1)=IFERROR(VLOOKUP($AO43,areaCercaPuntiClassificaSquadra,3,FALSE),-2)),SUMIFS(Dati!$E$2:$E$761,Dati!$A$2:$A$761,$H43,Dati!$H$2:$H$761,$AO43)+SUMIFS(Dati!$L$2:$L$761,Dati!$H$2:$H$761,$H43,Dati!$A$2:$A$761,$AO43),"-")</f>
        <v/>
      </c>
      <c r="DD43" s="22">
        <f>IF(AND($H43&lt;&gt;"",$AP43&lt;&gt;"",$H43&lt;&gt;$AP43,IFERROR(VLOOKUP($H43,areaCercaPuntiClassificaSquadra,3,FALSE),-1)=IFERROR(VLOOKUP($AP43,areaCercaPuntiClassificaSquadra,3,FALSE),-2)),SUMIFS(Dati!$E$2:$E$761,Dati!$A$2:$A$761,$H43,Dati!$H$2:$H$761,$AP43)+SUMIFS(Dati!$L$2:$L$761,Dati!$H$2:$H$761,$H43,Dati!$A$2:$A$761,$AP43),"-")</f>
        <v/>
      </c>
      <c r="DE43" s="22">
        <f>IF(AND($H43&lt;&gt;"",$AQ43&lt;&gt;"",$H43&lt;&gt;$AQ43,IFERROR(VLOOKUP($H43,areaCercaPuntiClassificaSquadra,3,FALSE),-1)=IFERROR(VLOOKUP($AQ43,areaCercaPuntiClassificaSquadra,3,FALSE),-2)),SUMIFS(Dati!$E$2:$E$761,Dati!$A$2:$A$761,$H43,Dati!$H$2:$H$761,$AQ43)+SUMIFS(Dati!$L$2:$L$761,Dati!$H$2:$H$761,$H43,Dati!$A$2:$A$761,$AQ43),"-")</f>
        <v/>
      </c>
      <c r="DF43" s="22">
        <f>IF(AND($H43&lt;&gt;"",$AR43&lt;&gt;"",$H43&lt;&gt;$AR43,IFERROR(VLOOKUP($H43,areaCercaPuntiClassificaSquadra,3,FALSE),-1)=IFERROR(VLOOKUP($AR43,areaCercaPuntiClassificaSquadra,3,FALSE),-2)),SUMIFS(Dati!$E$2:$E$761,Dati!$A$2:$A$761,$H43,Dati!$H$2:$H$761,$AR43)+SUMIFS(Dati!$L$2:$L$761,Dati!$H$2:$H$761,$H43,Dati!$A$2:$A$761,$AR43),"-")</f>
        <v/>
      </c>
      <c r="DH43" s="21">
        <f>$C43</f>
        <v/>
      </c>
      <c r="DI43" s="22">
        <f>IF(AND($H43&lt;&gt;"",$Y43&lt;&gt;"",$H43&lt;&gt;$Y43,IFERROR(VLOOKUP($H43,areaCercaPuntiClassificaSquadra,3,FALSE),-1)=IFERROR(VLOOKUP($Y43,areaCercaPuntiClassificaSquadra,3,FALSE),-2)),SUMIFS(Dati!$F$2:$F$761,Dati!$A$2:$A$761,$H43,Dati!$H$2:$H$761,$Y43)+SUMIFS(Dati!$M$2:$M$761,Dati!$H$2:$H$761,$H43,Dati!$A$2:$A$761,$Y43),"-")</f>
        <v/>
      </c>
      <c r="DJ43" s="22">
        <f>IF(AND($H43&lt;&gt;"",$Z43&lt;&gt;"",$H43&lt;&gt;$Z43,IFERROR(VLOOKUP($H43,areaCercaPuntiClassificaSquadra,3,FALSE),-1)=IFERROR(VLOOKUP($Z43,areaCercaPuntiClassificaSquadra,3,FALSE),-2)),SUMIFS(Dati!$F$2:$F$761,Dati!$A$2:$A$761,$H43,Dati!$H$2:$H$761,$Z43)+SUMIFS(Dati!$M$2:$M$761,Dati!$H$2:$H$761,$H43,Dati!$A$2:$A$761,$Z43),"-")</f>
        <v/>
      </c>
      <c r="DK43" s="22">
        <f>IF(AND($H43&lt;&gt;"",$AA43&lt;&gt;"",$H43&lt;&gt;$AA43,IFERROR(VLOOKUP($H43,areaCercaPuntiClassificaSquadra,3,FALSE),-1)=IFERROR(VLOOKUP($AA43,areaCercaPuntiClassificaSquadra,3,FALSE),-2)),SUMIFS(Dati!$F$2:$F$761,Dati!$A$2:$A$761,$H43,Dati!$H$2:$H$761,$AA43)+SUMIFS(Dati!$M$2:$M$761,Dati!$H$2:$H$761,$H43,Dati!$A$2:$A$761,$AA43),"-")</f>
        <v/>
      </c>
      <c r="DL43" s="22">
        <f>IF(AND($H43&lt;&gt;"",$AB43&lt;&gt;"",$H43&lt;&gt;$AB43,IFERROR(VLOOKUP($H43,areaCercaPuntiClassificaSquadra,3,FALSE),-1)=IFERROR(VLOOKUP($AB43,areaCercaPuntiClassificaSquadra,3,FALSE),-2)),SUMIFS(Dati!$F$2:$F$761,Dati!$A$2:$A$761,$H43,Dati!$H$2:$H$761,$AB43)+SUMIFS(Dati!$M$2:$M$761,Dati!$H$2:$H$761,$H43,Dati!$A$2:$A$761,$AB43),"-")</f>
        <v/>
      </c>
      <c r="DM43" s="22">
        <f>IF(AND($H43&lt;&gt;"",$AC43&lt;&gt;"",$H43&lt;&gt;$AC43,IFERROR(VLOOKUP($H43,areaCercaPuntiClassificaSquadra,3,FALSE),-1)=IFERROR(VLOOKUP($AC43,areaCercaPuntiClassificaSquadra,3,FALSE),-2)),SUMIFS(Dati!$F$2:$F$761,Dati!$A$2:$A$761,$H43,Dati!$H$2:$H$761,$AC43)+SUMIFS(Dati!$M$2:$M$761,Dati!$H$2:$H$761,$H43,Dati!$A$2:$A$761,$AC43),"-")</f>
        <v/>
      </c>
      <c r="DN43" s="22">
        <f>IF(AND($H43&lt;&gt;"",$AD43&lt;&gt;"",$H43&lt;&gt;$AD43,IFERROR(VLOOKUP($H43,areaCercaPuntiClassificaSquadra,3,FALSE),-1)=IFERROR(VLOOKUP($AD43,areaCercaPuntiClassificaSquadra,3,FALSE),-2)),SUMIFS(Dati!$F$2:$F$761,Dati!$A$2:$A$761,$H43,Dati!$H$2:$H$761,$AD43)+SUMIFS(Dati!$M$2:$M$761,Dati!$H$2:$H$761,$H43,Dati!$A$2:$A$761,$AD43),"-")</f>
        <v/>
      </c>
      <c r="DO43" s="22">
        <f>IF(AND($H43&lt;&gt;"",$AE43&lt;&gt;"",$H43&lt;&gt;$AE43,IFERROR(VLOOKUP($H43,areaCercaPuntiClassificaSquadra,3,FALSE),-1)=IFERROR(VLOOKUP($AE43,areaCercaPuntiClassificaSquadra,3,FALSE),-2)),SUMIFS(Dati!$F$2:$F$761,Dati!$A$2:$A$761,$H43,Dati!$H$2:$H$761,$AE43)+SUMIFS(Dati!$M$2:$M$761,Dati!$H$2:$H$761,$H43,Dati!$A$2:$A$761,$AE43),"-")</f>
        <v/>
      </c>
      <c r="DP43" s="22">
        <f>IF(AND($H43&lt;&gt;"",$AF43&lt;&gt;"",$H43&lt;&gt;$AF43,IFERROR(VLOOKUP($H43,areaCercaPuntiClassificaSquadra,3,FALSE),-1)=IFERROR(VLOOKUP($AF43,areaCercaPuntiClassificaSquadra,3,FALSE),-2)),SUMIFS(Dati!$F$2:$F$761,Dati!$A$2:$A$761,$H43,Dati!$H$2:$H$761,$AF43)+SUMIFS(Dati!$M$2:$M$761,Dati!$H$2:$H$761,$H43,Dati!$A$2:$A$761,$AF43),"-")</f>
        <v/>
      </c>
      <c r="DQ43" s="22">
        <f>IF(AND($H43&lt;&gt;"",$AG43&lt;&gt;"",$H43&lt;&gt;$AG43,IFERROR(VLOOKUP($H43,areaCercaPuntiClassificaSquadra,3,FALSE),-1)=IFERROR(VLOOKUP($AG43,areaCercaPuntiClassificaSquadra,3,FALSE),-2)),SUMIFS(Dati!$F$2:$F$761,Dati!$A$2:$A$761,$H43,Dati!$H$2:$H$761,$AG43)+SUMIFS(Dati!$M$2:$M$761,Dati!$H$2:$H$761,$H43,Dati!$A$2:$A$761,$AG43),"-")</f>
        <v/>
      </c>
      <c r="DR43" s="22">
        <f>IF(AND($H43&lt;&gt;"",$AH43&lt;&gt;"",$H43&lt;&gt;$AH43,IFERROR(VLOOKUP($H43,areaCercaPuntiClassificaSquadra,3,FALSE),-1)=IFERROR(VLOOKUP($AH43,areaCercaPuntiClassificaSquadra,3,FALSE),-2)),SUMIFS(Dati!$F$2:$F$761,Dati!$A$2:$A$761,$H43,Dati!$H$2:$H$761,$AH43)+SUMIFS(Dati!$M$2:$M$761,Dati!$H$2:$H$761,$H43,Dati!$A$2:$A$761,$AH43),"-")</f>
        <v/>
      </c>
      <c r="DS43" s="22">
        <f>IF(AND($H43&lt;&gt;"",$AI43&lt;&gt;"",$H43&lt;&gt;$AI43,IFERROR(VLOOKUP($H43,areaCercaPuntiClassificaSquadra,3,FALSE),-1)=IFERROR(VLOOKUP($AI43,areaCercaPuntiClassificaSquadra,3,FALSE),-2)),SUMIFS(Dati!$F$2:$F$761,Dati!$A$2:$A$761,$H43,Dati!$H$2:$H$761,$AI43)+SUMIFS(Dati!$M$2:$M$761,Dati!$H$2:$H$761,$H43,Dati!$A$2:$A$761,$AI43),"-")</f>
        <v/>
      </c>
      <c r="DT43" s="22">
        <f>IF(AND($H43&lt;&gt;"",$AJ43&lt;&gt;"",$H43&lt;&gt;$AJ43,IFERROR(VLOOKUP($H43,areaCercaPuntiClassificaSquadra,3,FALSE),-1)=IFERROR(VLOOKUP($AJ43,areaCercaPuntiClassificaSquadra,3,FALSE),-2)),SUMIFS(Dati!$F$2:$F$761,Dati!$A$2:$A$761,$H43,Dati!$H$2:$H$761,$AJ43)+SUMIFS(Dati!$M$2:$M$761,Dati!$H$2:$H$761,$H43,Dati!$A$2:$A$761,$AJ43),"-")</f>
        <v/>
      </c>
      <c r="DU43" s="22">
        <f>IF(AND($H43&lt;&gt;"",$AK43&lt;&gt;"",$H43&lt;&gt;$AK43,IFERROR(VLOOKUP($H43,areaCercaPuntiClassificaSquadra,3,FALSE),-1)=IFERROR(VLOOKUP($AK43,areaCercaPuntiClassificaSquadra,3,FALSE),-2)),SUMIFS(Dati!$F$2:$F$761,Dati!$A$2:$A$761,$H43,Dati!$H$2:$H$761,$AK43)+SUMIFS(Dati!$M$2:$M$761,Dati!$H$2:$H$761,$H43,Dati!$A$2:$A$761,$AK43),"-")</f>
        <v/>
      </c>
      <c r="DV43" s="22">
        <f>IF(AND($H43&lt;&gt;"",$AL43&lt;&gt;"",$H43&lt;&gt;$AL43,IFERROR(VLOOKUP($H43,areaCercaPuntiClassificaSquadra,3,FALSE),-1)=IFERROR(VLOOKUP($AL43,areaCercaPuntiClassificaSquadra,3,FALSE),-2)),SUMIFS(Dati!$F$2:$F$761,Dati!$A$2:$A$761,$H43,Dati!$H$2:$H$761,$AL43)+SUMIFS(Dati!$M$2:$M$761,Dati!$H$2:$H$761,$H43,Dati!$A$2:$A$761,$AL43),"-")</f>
        <v/>
      </c>
      <c r="DW43" s="22">
        <f>IF(AND($H43&lt;&gt;"",$AM43&lt;&gt;"",$H43&lt;&gt;$AM43,IFERROR(VLOOKUP($H43,areaCercaPuntiClassificaSquadra,3,FALSE),-1)=IFERROR(VLOOKUP($AM43,areaCercaPuntiClassificaSquadra,3,FALSE),-2)),SUMIFS(Dati!$F$2:$F$761,Dati!$A$2:$A$761,$H43,Dati!$H$2:$H$761,$AM43)+SUMIFS(Dati!$M$2:$M$761,Dati!$H$2:$H$761,$H43,Dati!$A$2:$A$761,$AM43),"-")</f>
        <v/>
      </c>
      <c r="DX43" s="22">
        <f>IF(AND($H43&lt;&gt;"",$AN43&lt;&gt;"",$H43&lt;&gt;$AN43,IFERROR(VLOOKUP($H43,areaCercaPuntiClassificaSquadra,3,FALSE),-1)=IFERROR(VLOOKUP($AN43,areaCercaPuntiClassificaSquadra,3,FALSE),-2)),SUMIFS(Dati!$F$2:$F$761,Dati!$A$2:$A$761,$H43,Dati!$H$2:$H$761,$AN43)+SUMIFS(Dati!$M$2:$M$761,Dati!$H$2:$H$761,$H43,Dati!$A$2:$A$761,$AN43),"-")</f>
        <v/>
      </c>
      <c r="DY43" s="22">
        <f>IF(AND($H43&lt;&gt;"",$AO43&lt;&gt;"",$H43&lt;&gt;$AO43,IFERROR(VLOOKUP($H43,areaCercaPuntiClassificaSquadra,3,FALSE),-1)=IFERROR(VLOOKUP($AO43,areaCercaPuntiClassificaSquadra,3,FALSE),-2)),SUMIFS(Dati!$F$2:$F$761,Dati!$A$2:$A$761,$H43,Dati!$H$2:$H$761,$AO43)+SUMIFS(Dati!$M$2:$M$761,Dati!$H$2:$H$761,$H43,Dati!$A$2:$A$761,$AO43),"-")</f>
        <v/>
      </c>
      <c r="DZ43" s="22">
        <f>IF(AND($H43&lt;&gt;"",$AP43&lt;&gt;"",$H43&lt;&gt;$AP43,IFERROR(VLOOKUP($H43,areaCercaPuntiClassificaSquadra,3,FALSE),-1)=IFERROR(VLOOKUP($AP43,areaCercaPuntiClassificaSquadra,3,FALSE),-2)),SUMIFS(Dati!$F$2:$F$761,Dati!$A$2:$A$761,$H43,Dati!$H$2:$H$761,$AP43)+SUMIFS(Dati!$M$2:$M$761,Dati!$H$2:$H$761,$H43,Dati!$A$2:$A$761,$AP43),"-")</f>
        <v/>
      </c>
      <c r="EA43" s="22">
        <f>IF(AND($H43&lt;&gt;"",$AQ43&lt;&gt;"",$H43&lt;&gt;$AQ43,IFERROR(VLOOKUP($H43,areaCercaPuntiClassificaSquadra,3,FALSE),-1)=IFERROR(VLOOKUP($AQ43,areaCercaPuntiClassificaSquadra,3,FALSE),-2)),SUMIFS(Dati!$F$2:$F$761,Dati!$A$2:$A$761,$H43,Dati!$H$2:$H$761,$AQ43)+SUMIFS(Dati!$M$2:$M$761,Dati!$H$2:$H$761,$H43,Dati!$A$2:$A$761,$AQ43),"-")</f>
        <v/>
      </c>
      <c r="EB43" s="22">
        <f>IF(AND($H43&lt;&gt;"",$AR43&lt;&gt;"",$H43&lt;&gt;$AR43,IFERROR(VLOOKUP($H43,areaCercaPuntiClassificaSquadra,3,FALSE),-1)=IFERROR(VLOOKUP($AR43,areaCercaPuntiClassificaSquadra,3,FALSE),-2)),SUMIFS(Dati!$F$2:$F$761,Dati!$A$2:$A$761,$H43,Dati!$H$2:$H$761,$AR43)+SUMIFS(Dati!$M$2:$M$761,Dati!$H$2:$H$761,$H43,Dati!$A$2:$A$761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inlineStr">
        <is>
          <t>Renne Regali-Renneopoli RA</t>
        </is>
      </c>
      <c r="D44" s="14" t="n"/>
      <c r="E44" s="23" t="inlineStr">
        <is>
          <t>B</t>
        </is>
      </c>
      <c r="G44" s="24">
        <f>IF($C44="","",$E44&amp;(COUNTIFS(I$14:I$93,"&gt;"&amp;I44,E$14:E$93,"="&amp;E44,C$14:C$93,"&lt;&gt;")+COUNTIFS(I$14:I$93,"="&amp;I44,H$14:H$93,"&lt;="&amp;H44,E$14:E$93,"="&amp;E44,C$14:C$93,"&lt;&gt;")))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L44*constPuntiVittoria+M44*constPuntiSconfitta+N44*constPuntiForfait+IF(D44="",0,D44)</f>
        <v/>
      </c>
      <c r="K44" s="12">
        <f>SUM(L44:N44)</f>
        <v/>
      </c>
      <c r="L44" s="12">
        <f>IF($H44="",0,SUMIF(Dati!$A$2:$A$761,$H44,Dati!$B$2:$B$761)+SUMIF(Dati!$H$2:$H$761,$H44,Dati!$I$2:$I$761))</f>
        <v/>
      </c>
      <c r="M44" s="12">
        <f>IF($H44="",0,SUMIF(Dati!$A$2:$A$761,$H44,Dati!$D$2:$D$761)+SUMIF(Dati!$H$2:$H$761,$H44,Dati!$K$2:$K$761))</f>
        <v/>
      </c>
      <c r="N44" s="12">
        <f>IF($H44="",0,SUMIF(Dati!$A$2:$A$761,$H44,Dati!$C$2:$C$761)+SUMIF(Dati!$H$2:$H$761,$H44,Dati!$J$2:$J$761))</f>
        <v/>
      </c>
      <c r="O44" s="12">
        <f>IF($H44="",0,SUMIF(Dati!$A$2:$A$761,$H44,Dati!$E$2:$E$761)+SUMIF(Dati!$H$2:$H$761,$H44,Dati!$L$2:$L$761))</f>
        <v/>
      </c>
      <c r="P44" s="12">
        <f>IF($H44="",0,SUMIF(Dati!$A$2:$A$761,$H44,Dati!$F$2:$F$761)+SUMIF(Dati!$H$2:$H$761,$H44,Dati!$M$2:$M$761))</f>
        <v/>
      </c>
      <c r="Q44" s="12">
        <f>IF($H44="",0,SUMIF(Dati!$A$2:$A$761,$H44,Dati!$G$2:$G$761)+SUMIF(Dati!$H$2:$H$761,$H44,Dati!$N$2:$N$761))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IF(COUNTIFS($E$14:$E$93,$E44,$J$14:$J$93,$J44,$C$14:$C$93,"&lt;&gt;")&lt;=1,"-",SUM(AU44:BN44)&amp;"-"&amp;SUM(BQ44:CJ44))</f>
        <v/>
      </c>
      <c r="V44" s="18">
        <f>IF(COUNTIFS($E$14:$E$93,$E44,$J$14:$J$93,$J44,$C$14:$C$93,"&lt;&gt;",$ED$14:$ED$93,$ED44)&lt;=1,"-",IF(SUM(DI44:EB44)=0,0,ROUND(SUM(CM44:DF44)/SUM(DI44:EB44),3)))</f>
        <v/>
      </c>
      <c r="W44" s="18">
        <f>IF(COUNTIFS($E$14:$E$93,$E44,$J$14:$J$93,$J44,$C$14:$C$93,"&lt;&gt;",$ED$14:$ED$93,$ED44,$V$14:$V$93,$V44)&lt;=1,"-",IF(P44=0,0,ROUND(O44/P44,3)))</f>
        <v/>
      </c>
      <c r="X44" s="19">
        <f>IF($C44="","",$E44&amp;"#"&amp;COUNTIFS($E$14:$E44,$E44,$C$14:$C44,"&lt;&gt;"))</f>
        <v/>
      </c>
      <c r="Y44" s="20">
        <f>IFERROR(INDEX($H$14:$H$93,MATCH($E44&amp;"#1",$X$14:$X$93,0)),"")</f>
        <v/>
      </c>
      <c r="Z44" s="20">
        <f>IFERROR(INDEX($H$14:$H$93,MATCH($E44&amp;"#2",$X$14:$X$93,0)),"")</f>
        <v/>
      </c>
      <c r="AA44" s="20">
        <f>IFERROR(INDEX($H$14:$H$93,MATCH($E44&amp;"#3",$X$14:$X$93,0)),"")</f>
        <v/>
      </c>
      <c r="AB44" s="20">
        <f>IFERROR(INDEX($H$14:$H$93,MATCH($E44&amp;"#4",$X$14:$X$93,0)),"")</f>
        <v/>
      </c>
      <c r="AC44" s="20">
        <f>IFERROR(INDEX($H$14:$H$93,MATCH($E44&amp;"#5",$X$14:$X$93,0)),"")</f>
        <v/>
      </c>
      <c r="AD44" s="20">
        <f>IFERROR(INDEX($H$14:$H$93,MATCH($E44&amp;"#6",$X$14:$X$93,0)),"")</f>
        <v/>
      </c>
      <c r="AE44" s="20">
        <f>IFERROR(INDEX($H$14:$H$93,MATCH($E44&amp;"#7",$X$14:$X$93,0)),"")</f>
        <v/>
      </c>
      <c r="AF44" s="20">
        <f>IFERROR(INDEX($H$14:$H$93,MATCH($E44&amp;"#8",$X$14:$X$93,0)),"")</f>
        <v/>
      </c>
      <c r="AG44" s="20">
        <f>IFERROR(INDEX($H$14:$H$93,MATCH($E44&amp;"#9",$X$14:$X$93,0)),"")</f>
        <v/>
      </c>
      <c r="AH44" s="20">
        <f>IFERROR(INDEX($H$14:$H$93,MATCH($E44&amp;"#10",$X$14:$X$93,0)),"")</f>
        <v/>
      </c>
      <c r="AI44" s="20">
        <f>IFERROR(INDEX($H$14:$H$93,MATCH($E44&amp;"#11",$X$14:$X$93,0)),"")</f>
        <v/>
      </c>
      <c r="AJ44" s="20">
        <f>IFERROR(INDEX($H$14:$H$93,MATCH($E44&amp;"#12",$X$14:$X$93,0)),"")</f>
        <v/>
      </c>
      <c r="AK44" s="20">
        <f>IFERROR(INDEX($H$14:$H$93,MATCH($E44&amp;"#13",$X$14:$X$93,0)),"")</f>
        <v/>
      </c>
      <c r="AL44" s="20">
        <f>IFERROR(INDEX($H$14:$H$93,MATCH($E44&amp;"#14",$X$14:$X$93,0)),"")</f>
        <v/>
      </c>
      <c r="AM44" s="20">
        <f>IFERROR(INDEX($H$14:$H$93,MATCH($E44&amp;"#15",$X$14:$X$93,0)),"")</f>
        <v/>
      </c>
      <c r="AN44" s="20">
        <f>IFERROR(INDEX($H$14:$H$93,MATCH($E44&amp;"#16",$X$14:$X$93,0)),"")</f>
        <v/>
      </c>
      <c r="AO44" s="20">
        <f>IFERROR(INDEX($H$14:$H$93,MATCH($E44&amp;"#17",$X$14:$X$93,0)),"")</f>
        <v/>
      </c>
      <c r="AP44" s="20">
        <f>IFERROR(INDEX($H$14:$H$93,MATCH($E44&amp;"#18",$X$14:$X$93,0)),"")</f>
        <v/>
      </c>
      <c r="AQ44" s="20">
        <f>IFERROR(INDEX($H$14:$H$93,MATCH($E44&amp;"#19",$X$14:$X$93,0)),"")</f>
        <v/>
      </c>
      <c r="AR44" s="20">
        <f>IFERROR(INDEX($H$14:$H$93,MATCH($E44&amp;"#20",$X$14:$X$93,0)),"")</f>
        <v/>
      </c>
      <c r="AT44" s="21">
        <f>$C44</f>
        <v/>
      </c>
      <c r="AU44" s="22">
        <f>IF(AND($H44&lt;&gt;"",$Y44&lt;&gt;"",$H44&lt;&gt;$Y44,IFERROR(VLOOKUP($H44,areaCercaPuntiClassificaSquadra,3,FALSE),-1)=IFERROR(VLOOKUP($Y44,areaCercaPuntiClassificaSquadra,3,FALSE),-2)),SUMIFS(Dati!$B$2:$B$761,Dati!$A$2:$A$761,$H44,Dati!$H$2:$H$761,$Y44)+SUMIFS(Dati!$I$2:$I$761,Dati!$H$2:$H$761,$H44,Dati!$A$2:$A$761,$Y44),"-")</f>
        <v/>
      </c>
      <c r="AV44" s="22">
        <f>IF(AND($H44&lt;&gt;"",$Z44&lt;&gt;"",$H44&lt;&gt;$Z44,IFERROR(VLOOKUP($H44,areaCercaPuntiClassificaSquadra,3,FALSE),-1)=IFERROR(VLOOKUP($Z44,areaCercaPuntiClassificaSquadra,3,FALSE),-2)),SUMIFS(Dati!$B$2:$B$761,Dati!$A$2:$A$761,$H44,Dati!$H$2:$H$761,$Z44)+SUMIFS(Dati!$I$2:$I$761,Dati!$H$2:$H$761,$H44,Dati!$A$2:$A$761,$Z44),"-")</f>
        <v/>
      </c>
      <c r="AW44" s="22">
        <f>IF(AND($H44&lt;&gt;"",$AA44&lt;&gt;"",$H44&lt;&gt;$AA44,IFERROR(VLOOKUP($H44,areaCercaPuntiClassificaSquadra,3,FALSE),-1)=IFERROR(VLOOKUP($AA44,areaCercaPuntiClassificaSquadra,3,FALSE),-2)),SUMIFS(Dati!$B$2:$B$761,Dati!$A$2:$A$761,$H44,Dati!$H$2:$H$761,$AA44)+SUMIFS(Dati!$I$2:$I$761,Dati!$H$2:$H$761,$H44,Dati!$A$2:$A$761,$AA44),"-")</f>
        <v/>
      </c>
      <c r="AX44" s="22">
        <f>IF(AND($H44&lt;&gt;"",$AB44&lt;&gt;"",$H44&lt;&gt;$AB44,IFERROR(VLOOKUP($H44,areaCercaPuntiClassificaSquadra,3,FALSE),-1)=IFERROR(VLOOKUP($AB44,areaCercaPuntiClassificaSquadra,3,FALSE),-2)),SUMIFS(Dati!$B$2:$B$761,Dati!$A$2:$A$761,$H44,Dati!$H$2:$H$761,$AB44)+SUMIFS(Dati!$I$2:$I$761,Dati!$H$2:$H$761,$H44,Dati!$A$2:$A$761,$AB44),"-")</f>
        <v/>
      </c>
      <c r="AY44" s="22">
        <f>IF(AND($H44&lt;&gt;"",$AC44&lt;&gt;"",$H44&lt;&gt;$AC44,IFERROR(VLOOKUP($H44,areaCercaPuntiClassificaSquadra,3,FALSE),-1)=IFERROR(VLOOKUP($AC44,areaCercaPuntiClassificaSquadra,3,FALSE),-2)),SUMIFS(Dati!$B$2:$B$761,Dati!$A$2:$A$761,$H44,Dati!$H$2:$H$761,$AC44)+SUMIFS(Dati!$I$2:$I$761,Dati!$H$2:$H$761,$H44,Dati!$A$2:$A$761,$AC44),"-")</f>
        <v/>
      </c>
      <c r="AZ44" s="22">
        <f>IF(AND($H44&lt;&gt;"",$AD44&lt;&gt;"",$H44&lt;&gt;$AD44,IFERROR(VLOOKUP($H44,areaCercaPuntiClassificaSquadra,3,FALSE),-1)=IFERROR(VLOOKUP($AD44,areaCercaPuntiClassificaSquadra,3,FALSE),-2)),SUMIFS(Dati!$B$2:$B$761,Dati!$A$2:$A$761,$H44,Dati!$H$2:$H$761,$AD44)+SUMIFS(Dati!$I$2:$I$761,Dati!$H$2:$H$761,$H44,Dati!$A$2:$A$761,$AD44),"-")</f>
        <v/>
      </c>
      <c r="BA44" s="22">
        <f>IF(AND($H44&lt;&gt;"",$AE44&lt;&gt;"",$H44&lt;&gt;$AE44,IFERROR(VLOOKUP($H44,areaCercaPuntiClassificaSquadra,3,FALSE),-1)=IFERROR(VLOOKUP($AE44,areaCercaPuntiClassificaSquadra,3,FALSE),-2)),SUMIFS(Dati!$B$2:$B$761,Dati!$A$2:$A$761,$H44,Dati!$H$2:$H$761,$AE44)+SUMIFS(Dati!$I$2:$I$761,Dati!$H$2:$H$761,$H44,Dati!$A$2:$A$761,$AE44),"-")</f>
        <v/>
      </c>
      <c r="BB44" s="22">
        <f>IF(AND($H44&lt;&gt;"",$AF44&lt;&gt;"",$H44&lt;&gt;$AF44,IFERROR(VLOOKUP($H44,areaCercaPuntiClassificaSquadra,3,FALSE),-1)=IFERROR(VLOOKUP($AF44,areaCercaPuntiClassificaSquadra,3,FALSE),-2)),SUMIFS(Dati!$B$2:$B$761,Dati!$A$2:$A$761,$H44,Dati!$H$2:$H$761,$AF44)+SUMIFS(Dati!$I$2:$I$761,Dati!$H$2:$H$761,$H44,Dati!$A$2:$A$761,$AF44),"-")</f>
        <v/>
      </c>
      <c r="BC44" s="22">
        <f>IF(AND($H44&lt;&gt;"",$AG44&lt;&gt;"",$H44&lt;&gt;$AG44,IFERROR(VLOOKUP($H44,areaCercaPuntiClassificaSquadra,3,FALSE),-1)=IFERROR(VLOOKUP($AG44,areaCercaPuntiClassificaSquadra,3,FALSE),-2)),SUMIFS(Dati!$B$2:$B$761,Dati!$A$2:$A$761,$H44,Dati!$H$2:$H$761,$AG44)+SUMIFS(Dati!$I$2:$I$761,Dati!$H$2:$H$761,$H44,Dati!$A$2:$A$761,$AG44),"-")</f>
        <v/>
      </c>
      <c r="BD44" s="22">
        <f>IF(AND($H44&lt;&gt;"",$AH44&lt;&gt;"",$H44&lt;&gt;$AH44,IFERROR(VLOOKUP($H44,areaCercaPuntiClassificaSquadra,3,FALSE),-1)=IFERROR(VLOOKUP($AH44,areaCercaPuntiClassificaSquadra,3,FALSE),-2)),SUMIFS(Dati!$B$2:$B$761,Dati!$A$2:$A$761,$H44,Dati!$H$2:$H$761,$AH44)+SUMIFS(Dati!$I$2:$I$761,Dati!$H$2:$H$761,$H44,Dati!$A$2:$A$761,$AH44),"-")</f>
        <v/>
      </c>
      <c r="BE44" s="22">
        <f>IF(AND($H44&lt;&gt;"",$AI44&lt;&gt;"",$H44&lt;&gt;$AI44,IFERROR(VLOOKUP($H44,areaCercaPuntiClassificaSquadra,3,FALSE),-1)=IFERROR(VLOOKUP($AI44,areaCercaPuntiClassificaSquadra,3,FALSE),-2)),SUMIFS(Dati!$B$2:$B$761,Dati!$A$2:$A$761,$H44,Dati!$H$2:$H$761,$AI44)+SUMIFS(Dati!$I$2:$I$761,Dati!$H$2:$H$761,$H44,Dati!$A$2:$A$761,$AI44),"-")</f>
        <v/>
      </c>
      <c r="BF44" s="22">
        <f>IF(AND($H44&lt;&gt;"",$AJ44&lt;&gt;"",$H44&lt;&gt;$AJ44,IFERROR(VLOOKUP($H44,areaCercaPuntiClassificaSquadra,3,FALSE),-1)=IFERROR(VLOOKUP($AJ44,areaCercaPuntiClassificaSquadra,3,FALSE),-2)),SUMIFS(Dati!$B$2:$B$761,Dati!$A$2:$A$761,$H44,Dati!$H$2:$H$761,$AJ44)+SUMIFS(Dati!$I$2:$I$761,Dati!$H$2:$H$761,$H44,Dati!$A$2:$A$761,$AJ44),"-")</f>
        <v/>
      </c>
      <c r="BG44" s="22">
        <f>IF(AND($H44&lt;&gt;"",$AK44&lt;&gt;"",$H44&lt;&gt;$AK44,IFERROR(VLOOKUP($H44,areaCercaPuntiClassificaSquadra,3,FALSE),-1)=IFERROR(VLOOKUP($AK44,areaCercaPuntiClassificaSquadra,3,FALSE),-2)),SUMIFS(Dati!$B$2:$B$761,Dati!$A$2:$A$761,$H44,Dati!$H$2:$H$761,$AK44)+SUMIFS(Dati!$I$2:$I$761,Dati!$H$2:$H$761,$H44,Dati!$A$2:$A$761,$AK44),"-")</f>
        <v/>
      </c>
      <c r="BH44" s="22">
        <f>IF(AND($H44&lt;&gt;"",$AL44&lt;&gt;"",$H44&lt;&gt;$AL44,IFERROR(VLOOKUP($H44,areaCercaPuntiClassificaSquadra,3,FALSE),-1)=IFERROR(VLOOKUP($AL44,areaCercaPuntiClassificaSquadra,3,FALSE),-2)),SUMIFS(Dati!$B$2:$B$761,Dati!$A$2:$A$761,$H44,Dati!$H$2:$H$761,$AL44)+SUMIFS(Dati!$I$2:$I$761,Dati!$H$2:$H$761,$H44,Dati!$A$2:$A$761,$AL44),"-")</f>
        <v/>
      </c>
      <c r="BI44" s="22">
        <f>IF(AND($H44&lt;&gt;"",$AM44&lt;&gt;"",$H44&lt;&gt;$AM44,IFERROR(VLOOKUP($H44,areaCercaPuntiClassificaSquadra,3,FALSE),-1)=IFERROR(VLOOKUP($AM44,areaCercaPuntiClassificaSquadra,3,FALSE),-2)),SUMIFS(Dati!$B$2:$B$761,Dati!$A$2:$A$761,$H44,Dati!$H$2:$H$761,$AM44)+SUMIFS(Dati!$I$2:$I$761,Dati!$H$2:$H$761,$H44,Dati!$A$2:$A$761,$AM44),"-")</f>
        <v/>
      </c>
      <c r="BJ44" s="22">
        <f>IF(AND($H44&lt;&gt;"",$AN44&lt;&gt;"",$H44&lt;&gt;$AN44,IFERROR(VLOOKUP($H44,areaCercaPuntiClassificaSquadra,3,FALSE),-1)=IFERROR(VLOOKUP($AN44,areaCercaPuntiClassificaSquadra,3,FALSE),-2)),SUMIFS(Dati!$B$2:$B$761,Dati!$A$2:$A$761,$H44,Dati!$H$2:$H$761,$AN44)+SUMIFS(Dati!$I$2:$I$761,Dati!$H$2:$H$761,$H44,Dati!$A$2:$A$761,$AN44),"-")</f>
        <v/>
      </c>
      <c r="BK44" s="22">
        <f>IF(AND($H44&lt;&gt;"",$AO44&lt;&gt;"",$H44&lt;&gt;$AO44,IFERROR(VLOOKUP($H44,areaCercaPuntiClassificaSquadra,3,FALSE),-1)=IFERROR(VLOOKUP($AO44,areaCercaPuntiClassificaSquadra,3,FALSE),-2)),SUMIFS(Dati!$B$2:$B$761,Dati!$A$2:$A$761,$H44,Dati!$H$2:$H$761,$AO44)+SUMIFS(Dati!$I$2:$I$761,Dati!$H$2:$H$761,$H44,Dati!$A$2:$A$761,$AO44),"-")</f>
        <v/>
      </c>
      <c r="BL44" s="22">
        <f>IF(AND($H44&lt;&gt;"",$AP44&lt;&gt;"",$H44&lt;&gt;$AP44,IFERROR(VLOOKUP($H44,areaCercaPuntiClassificaSquadra,3,FALSE),-1)=IFERROR(VLOOKUP($AP44,areaCercaPuntiClassificaSquadra,3,FALSE),-2)),SUMIFS(Dati!$B$2:$B$761,Dati!$A$2:$A$761,$H44,Dati!$H$2:$H$761,$AP44)+SUMIFS(Dati!$I$2:$I$761,Dati!$H$2:$H$761,$H44,Dati!$A$2:$A$761,$AP44),"-")</f>
        <v/>
      </c>
      <c r="BM44" s="22">
        <f>IF(AND($H44&lt;&gt;"",$AQ44&lt;&gt;"",$H44&lt;&gt;$AQ44,IFERROR(VLOOKUP($H44,areaCercaPuntiClassificaSquadra,3,FALSE),-1)=IFERROR(VLOOKUP($AQ44,areaCercaPuntiClassificaSquadra,3,FALSE),-2)),SUMIFS(Dati!$B$2:$B$761,Dati!$A$2:$A$761,$H44,Dati!$H$2:$H$761,$AQ44)+SUMIFS(Dati!$I$2:$I$761,Dati!$H$2:$H$761,$H44,Dati!$A$2:$A$761,$AQ44),"-")</f>
        <v/>
      </c>
      <c r="BN44" s="22">
        <f>IF(AND($H44&lt;&gt;"",$AR44&lt;&gt;"",$H44&lt;&gt;$AR44,IFERROR(VLOOKUP($H44,areaCercaPuntiClassificaSquadra,3,FALSE),-1)=IFERROR(VLOOKUP($AR44,areaCercaPuntiClassificaSquadra,3,FALSE),-2)),SUMIFS(Dati!$B$2:$B$761,Dati!$A$2:$A$761,$H44,Dati!$H$2:$H$761,$AR44)+SUMIFS(Dati!$I$2:$I$761,Dati!$H$2:$H$761,$H44,Dati!$A$2:$A$761,$AR44),"-")</f>
        <v/>
      </c>
      <c r="BP44" s="21">
        <f>$C44</f>
        <v/>
      </c>
      <c r="BQ44" s="22">
        <f>IF(AND($H44&lt;&gt;"",$Y44&lt;&gt;"",$H44&lt;&gt;$Y44,IFERROR(VLOOKUP($H44,areaCercaPuntiClassificaSquadra,3,FALSE),-1)=IFERROR(VLOOKUP($Y44,areaCercaPuntiClassificaSquadra,3,FALSE),-2)),SUMIFS(Dati!$D$2:$D$761,Dati!$A$2:$A$761,$H44,Dati!$H$2:$H$761,$Y44)+SUMIFS(Dati!$K$2:$K$761,Dati!$H$2:$H$761,$H44,Dati!$A$2:$A$761,$Y44)+SUMIFS(Dati!$C$2:$C$761,Dati!$A$2:$A$761,$H44,Dati!$H$2:$H$761,$Y44)+SUMIFS(Dati!$J$2:$J$761,Dati!$H$2:$H$761,$H44,Dati!$A$2:$A$761,$Y44),"-")</f>
        <v/>
      </c>
      <c r="BR44" s="22">
        <f>IF(AND($H44&lt;&gt;"",$Z44&lt;&gt;"",$H44&lt;&gt;$Z44,IFERROR(VLOOKUP($H44,areaCercaPuntiClassificaSquadra,3,FALSE),-1)=IFERROR(VLOOKUP($Z44,areaCercaPuntiClassificaSquadra,3,FALSE),-2)),SUMIFS(Dati!$D$2:$D$761,Dati!$A$2:$A$761,$H44,Dati!$H$2:$H$761,$Z44)+SUMIFS(Dati!$K$2:$K$761,Dati!$H$2:$H$761,$H44,Dati!$A$2:$A$761,$Z44)+SUMIFS(Dati!$C$2:$C$761,Dati!$A$2:$A$761,$H44,Dati!$H$2:$H$761,$Z44)+SUMIFS(Dati!$J$2:$J$761,Dati!$H$2:$H$761,$H44,Dati!$A$2:$A$761,$Z44),"-")</f>
        <v/>
      </c>
      <c r="BS44" s="22">
        <f>IF(AND($H44&lt;&gt;"",$AA44&lt;&gt;"",$H44&lt;&gt;$AA44,IFERROR(VLOOKUP($H44,areaCercaPuntiClassificaSquadra,3,FALSE),-1)=IFERROR(VLOOKUP($AA44,areaCercaPuntiClassificaSquadra,3,FALSE),-2)),SUMIFS(Dati!$D$2:$D$761,Dati!$A$2:$A$761,$H44,Dati!$H$2:$H$761,$AA44)+SUMIFS(Dati!$K$2:$K$761,Dati!$H$2:$H$761,$H44,Dati!$A$2:$A$761,$AA44)+SUMIFS(Dati!$C$2:$C$761,Dati!$A$2:$A$761,$H44,Dati!$H$2:$H$761,$AA44)+SUMIFS(Dati!$J$2:$J$761,Dati!$H$2:$H$761,$H44,Dati!$A$2:$A$761,$AA44),"-")</f>
        <v/>
      </c>
      <c r="BT44" s="22">
        <f>IF(AND($H44&lt;&gt;"",$AB44&lt;&gt;"",$H44&lt;&gt;$AB44,IFERROR(VLOOKUP($H44,areaCercaPuntiClassificaSquadra,3,FALSE),-1)=IFERROR(VLOOKUP($AB44,areaCercaPuntiClassificaSquadra,3,FALSE),-2)),SUMIFS(Dati!$D$2:$D$761,Dati!$A$2:$A$761,$H44,Dati!$H$2:$H$761,$AB44)+SUMIFS(Dati!$K$2:$K$761,Dati!$H$2:$H$761,$H44,Dati!$A$2:$A$761,$AB44)+SUMIFS(Dati!$C$2:$C$761,Dati!$A$2:$A$761,$H44,Dati!$H$2:$H$761,$AB44)+SUMIFS(Dati!$J$2:$J$761,Dati!$H$2:$H$761,$H44,Dati!$A$2:$A$761,$AB44),"-")</f>
        <v/>
      </c>
      <c r="BU44" s="22">
        <f>IF(AND($H44&lt;&gt;"",$AC44&lt;&gt;"",$H44&lt;&gt;$AC44,IFERROR(VLOOKUP($H44,areaCercaPuntiClassificaSquadra,3,FALSE),-1)=IFERROR(VLOOKUP($AC44,areaCercaPuntiClassificaSquadra,3,FALSE),-2)),SUMIFS(Dati!$D$2:$D$761,Dati!$A$2:$A$761,$H44,Dati!$H$2:$H$761,$AC44)+SUMIFS(Dati!$K$2:$K$761,Dati!$H$2:$H$761,$H44,Dati!$A$2:$A$761,$AC44)+SUMIFS(Dati!$C$2:$C$761,Dati!$A$2:$A$761,$H44,Dati!$H$2:$H$761,$AC44)+SUMIFS(Dati!$J$2:$J$761,Dati!$H$2:$H$761,$H44,Dati!$A$2:$A$761,$AC44),"-")</f>
        <v/>
      </c>
      <c r="BV44" s="22">
        <f>IF(AND($H44&lt;&gt;"",$AD44&lt;&gt;"",$H44&lt;&gt;$AD44,IFERROR(VLOOKUP($H44,areaCercaPuntiClassificaSquadra,3,FALSE),-1)=IFERROR(VLOOKUP($AD44,areaCercaPuntiClassificaSquadra,3,FALSE),-2)),SUMIFS(Dati!$D$2:$D$761,Dati!$A$2:$A$761,$H44,Dati!$H$2:$H$761,$AD44)+SUMIFS(Dati!$K$2:$K$761,Dati!$H$2:$H$761,$H44,Dati!$A$2:$A$761,$AD44)+SUMIFS(Dati!$C$2:$C$761,Dati!$A$2:$A$761,$H44,Dati!$H$2:$H$761,$AD44)+SUMIFS(Dati!$J$2:$J$761,Dati!$H$2:$H$761,$H44,Dati!$A$2:$A$761,$AD44),"-")</f>
        <v/>
      </c>
      <c r="BW44" s="22">
        <f>IF(AND($H44&lt;&gt;"",$AE44&lt;&gt;"",$H44&lt;&gt;$AE44,IFERROR(VLOOKUP($H44,areaCercaPuntiClassificaSquadra,3,FALSE),-1)=IFERROR(VLOOKUP($AE44,areaCercaPuntiClassificaSquadra,3,FALSE),-2)),SUMIFS(Dati!$D$2:$D$761,Dati!$A$2:$A$761,$H44,Dati!$H$2:$H$761,$AE44)+SUMIFS(Dati!$K$2:$K$761,Dati!$H$2:$H$761,$H44,Dati!$A$2:$A$761,$AE44)+SUMIFS(Dati!$C$2:$C$761,Dati!$A$2:$A$761,$H44,Dati!$H$2:$H$761,$AE44)+SUMIFS(Dati!$J$2:$J$761,Dati!$H$2:$H$761,$H44,Dati!$A$2:$A$761,$AE44),"-")</f>
        <v/>
      </c>
      <c r="BX44" s="22">
        <f>IF(AND($H44&lt;&gt;"",$AF44&lt;&gt;"",$H44&lt;&gt;$AF44,IFERROR(VLOOKUP($H44,areaCercaPuntiClassificaSquadra,3,FALSE),-1)=IFERROR(VLOOKUP($AF44,areaCercaPuntiClassificaSquadra,3,FALSE),-2)),SUMIFS(Dati!$D$2:$D$761,Dati!$A$2:$A$761,$H44,Dati!$H$2:$H$761,$AF44)+SUMIFS(Dati!$K$2:$K$761,Dati!$H$2:$H$761,$H44,Dati!$A$2:$A$761,$AF44)+SUMIFS(Dati!$C$2:$C$761,Dati!$A$2:$A$761,$H44,Dati!$H$2:$H$761,$AF44)+SUMIFS(Dati!$J$2:$J$761,Dati!$H$2:$H$761,$H44,Dati!$A$2:$A$761,$AF44),"-")</f>
        <v/>
      </c>
      <c r="BY44" s="22">
        <f>IF(AND($H44&lt;&gt;"",$AG44&lt;&gt;"",$H44&lt;&gt;$AG44,IFERROR(VLOOKUP($H44,areaCercaPuntiClassificaSquadra,3,FALSE),-1)=IFERROR(VLOOKUP($AG44,areaCercaPuntiClassificaSquadra,3,FALSE),-2)),SUMIFS(Dati!$D$2:$D$761,Dati!$A$2:$A$761,$H44,Dati!$H$2:$H$761,$AG44)+SUMIFS(Dati!$K$2:$K$761,Dati!$H$2:$H$761,$H44,Dati!$A$2:$A$761,$AG44)+SUMIFS(Dati!$C$2:$C$761,Dati!$A$2:$A$761,$H44,Dati!$H$2:$H$761,$AG44)+SUMIFS(Dati!$J$2:$J$761,Dati!$H$2:$H$761,$H44,Dati!$A$2:$A$761,$AG44),"-")</f>
        <v/>
      </c>
      <c r="BZ44" s="22">
        <f>IF(AND($H44&lt;&gt;"",$AH44&lt;&gt;"",$H44&lt;&gt;$AH44,IFERROR(VLOOKUP($H44,areaCercaPuntiClassificaSquadra,3,FALSE),-1)=IFERROR(VLOOKUP($AH44,areaCercaPuntiClassificaSquadra,3,FALSE),-2)),SUMIFS(Dati!$D$2:$D$761,Dati!$A$2:$A$761,$H44,Dati!$H$2:$H$761,$AH44)+SUMIFS(Dati!$K$2:$K$761,Dati!$H$2:$H$761,$H44,Dati!$A$2:$A$761,$AH44)+SUMIFS(Dati!$C$2:$C$761,Dati!$A$2:$A$761,$H44,Dati!$H$2:$H$761,$AH44)+SUMIFS(Dati!$J$2:$J$761,Dati!$H$2:$H$761,$H44,Dati!$A$2:$A$761,$AH44),"-")</f>
        <v/>
      </c>
      <c r="CA44" s="22">
        <f>IF(AND($H44&lt;&gt;"",$AI44&lt;&gt;"",$H44&lt;&gt;$AI44,IFERROR(VLOOKUP($H44,areaCercaPuntiClassificaSquadra,3,FALSE),-1)=IFERROR(VLOOKUP($AI44,areaCercaPuntiClassificaSquadra,3,FALSE),-2)),SUMIFS(Dati!$D$2:$D$761,Dati!$A$2:$A$761,$H44,Dati!$H$2:$H$761,$AI44)+SUMIFS(Dati!$K$2:$K$761,Dati!$H$2:$H$761,$H44,Dati!$A$2:$A$761,$AI44)+SUMIFS(Dati!$C$2:$C$761,Dati!$A$2:$A$761,$H44,Dati!$H$2:$H$761,$AI44)+SUMIFS(Dati!$J$2:$J$761,Dati!$H$2:$H$761,$H44,Dati!$A$2:$A$761,$AI44),"-")</f>
        <v/>
      </c>
      <c r="CB44" s="22">
        <f>IF(AND($H44&lt;&gt;"",$AJ44&lt;&gt;"",$H44&lt;&gt;$AJ44,IFERROR(VLOOKUP($H44,areaCercaPuntiClassificaSquadra,3,FALSE),-1)=IFERROR(VLOOKUP($AJ44,areaCercaPuntiClassificaSquadra,3,FALSE),-2)),SUMIFS(Dati!$D$2:$D$761,Dati!$A$2:$A$761,$H44,Dati!$H$2:$H$761,$AJ44)+SUMIFS(Dati!$K$2:$K$761,Dati!$H$2:$H$761,$H44,Dati!$A$2:$A$761,$AJ44)+SUMIFS(Dati!$C$2:$C$761,Dati!$A$2:$A$761,$H44,Dati!$H$2:$H$761,$AJ44)+SUMIFS(Dati!$J$2:$J$761,Dati!$H$2:$H$761,$H44,Dati!$A$2:$A$761,$AJ44),"-")</f>
        <v/>
      </c>
      <c r="CC44" s="22">
        <f>IF(AND($H44&lt;&gt;"",$AK44&lt;&gt;"",$H44&lt;&gt;$AK44,IFERROR(VLOOKUP($H44,areaCercaPuntiClassificaSquadra,3,FALSE),-1)=IFERROR(VLOOKUP($AK44,areaCercaPuntiClassificaSquadra,3,FALSE),-2)),SUMIFS(Dati!$D$2:$D$761,Dati!$A$2:$A$761,$H44,Dati!$H$2:$H$761,$AK44)+SUMIFS(Dati!$K$2:$K$761,Dati!$H$2:$H$761,$H44,Dati!$A$2:$A$761,$AK44)+SUMIFS(Dati!$C$2:$C$761,Dati!$A$2:$A$761,$H44,Dati!$H$2:$H$761,$AK44)+SUMIFS(Dati!$J$2:$J$761,Dati!$H$2:$H$761,$H44,Dati!$A$2:$A$761,$AK44),"-")</f>
        <v/>
      </c>
      <c r="CD44" s="22">
        <f>IF(AND($H44&lt;&gt;"",$AL44&lt;&gt;"",$H44&lt;&gt;$AL44,IFERROR(VLOOKUP($H44,areaCercaPuntiClassificaSquadra,3,FALSE),-1)=IFERROR(VLOOKUP($AL44,areaCercaPuntiClassificaSquadra,3,FALSE),-2)),SUMIFS(Dati!$D$2:$D$761,Dati!$A$2:$A$761,$H44,Dati!$H$2:$H$761,$AL44)+SUMIFS(Dati!$K$2:$K$761,Dati!$H$2:$H$761,$H44,Dati!$A$2:$A$761,$AL44)+SUMIFS(Dati!$C$2:$C$761,Dati!$A$2:$A$761,$H44,Dati!$H$2:$H$761,$AL44)+SUMIFS(Dati!$J$2:$J$761,Dati!$H$2:$H$761,$H44,Dati!$A$2:$A$761,$AL44),"-")</f>
        <v/>
      </c>
      <c r="CE44" s="22">
        <f>IF(AND($H44&lt;&gt;"",$AM44&lt;&gt;"",$H44&lt;&gt;$AM44,IFERROR(VLOOKUP($H44,areaCercaPuntiClassificaSquadra,3,FALSE),-1)=IFERROR(VLOOKUP($AM44,areaCercaPuntiClassificaSquadra,3,FALSE),-2)),SUMIFS(Dati!$D$2:$D$761,Dati!$A$2:$A$761,$H44,Dati!$H$2:$H$761,$AM44)+SUMIFS(Dati!$K$2:$K$761,Dati!$H$2:$H$761,$H44,Dati!$A$2:$A$761,$AM44)+SUMIFS(Dati!$C$2:$C$761,Dati!$A$2:$A$761,$H44,Dati!$H$2:$H$761,$AM44)+SUMIFS(Dati!$J$2:$J$761,Dati!$H$2:$H$761,$H44,Dati!$A$2:$A$761,$AM44),"-")</f>
        <v/>
      </c>
      <c r="CF44" s="22">
        <f>IF(AND($H44&lt;&gt;"",$AN44&lt;&gt;"",$H44&lt;&gt;$AN44,IFERROR(VLOOKUP($H44,areaCercaPuntiClassificaSquadra,3,FALSE),-1)=IFERROR(VLOOKUP($AN44,areaCercaPuntiClassificaSquadra,3,FALSE),-2)),SUMIFS(Dati!$D$2:$D$761,Dati!$A$2:$A$761,$H44,Dati!$H$2:$H$761,$AN44)+SUMIFS(Dati!$K$2:$K$761,Dati!$H$2:$H$761,$H44,Dati!$A$2:$A$761,$AN44)+SUMIFS(Dati!$C$2:$C$761,Dati!$A$2:$A$761,$H44,Dati!$H$2:$H$761,$AN44)+SUMIFS(Dati!$J$2:$J$761,Dati!$H$2:$H$761,$H44,Dati!$A$2:$A$761,$AN44),"-")</f>
        <v/>
      </c>
      <c r="CG44" s="22">
        <f>IF(AND($H44&lt;&gt;"",$AO44&lt;&gt;"",$H44&lt;&gt;$AO44,IFERROR(VLOOKUP($H44,areaCercaPuntiClassificaSquadra,3,FALSE),-1)=IFERROR(VLOOKUP($AO44,areaCercaPuntiClassificaSquadra,3,FALSE),-2)),SUMIFS(Dati!$D$2:$D$761,Dati!$A$2:$A$761,$H44,Dati!$H$2:$H$761,$AO44)+SUMIFS(Dati!$K$2:$K$761,Dati!$H$2:$H$761,$H44,Dati!$A$2:$A$761,$AO44)+SUMIFS(Dati!$C$2:$C$761,Dati!$A$2:$A$761,$H44,Dati!$H$2:$H$761,$AO44)+SUMIFS(Dati!$J$2:$J$761,Dati!$H$2:$H$761,$H44,Dati!$A$2:$A$761,$AO44),"-")</f>
        <v/>
      </c>
      <c r="CH44" s="22">
        <f>IF(AND($H44&lt;&gt;"",$AP44&lt;&gt;"",$H44&lt;&gt;$AP44,IFERROR(VLOOKUP($H44,areaCercaPuntiClassificaSquadra,3,FALSE),-1)=IFERROR(VLOOKUP($AP44,areaCercaPuntiClassificaSquadra,3,FALSE),-2)),SUMIFS(Dati!$D$2:$D$761,Dati!$A$2:$A$761,$H44,Dati!$H$2:$H$761,$AP44)+SUMIFS(Dati!$K$2:$K$761,Dati!$H$2:$H$761,$H44,Dati!$A$2:$A$761,$AP44)+SUMIFS(Dati!$C$2:$C$761,Dati!$A$2:$A$761,$H44,Dati!$H$2:$H$761,$AP44)+SUMIFS(Dati!$J$2:$J$761,Dati!$H$2:$H$761,$H44,Dati!$A$2:$A$761,$AP44),"-")</f>
        <v/>
      </c>
      <c r="CI44" s="22">
        <f>IF(AND($H44&lt;&gt;"",$AQ44&lt;&gt;"",$H44&lt;&gt;$AQ44,IFERROR(VLOOKUP($H44,areaCercaPuntiClassificaSquadra,3,FALSE),-1)=IFERROR(VLOOKUP($AQ44,areaCercaPuntiClassificaSquadra,3,FALSE),-2)),SUMIFS(Dati!$D$2:$D$761,Dati!$A$2:$A$761,$H44,Dati!$H$2:$H$761,$AQ44)+SUMIFS(Dati!$K$2:$K$761,Dati!$H$2:$H$761,$H44,Dati!$A$2:$A$761,$AQ44)+SUMIFS(Dati!$C$2:$C$761,Dati!$A$2:$A$761,$H44,Dati!$H$2:$H$761,$AQ44)+SUMIFS(Dati!$J$2:$J$761,Dati!$H$2:$H$761,$H44,Dati!$A$2:$A$761,$AQ44),"-")</f>
        <v/>
      </c>
      <c r="CJ44" s="22">
        <f>IF(AND($H44&lt;&gt;"",$AR44&lt;&gt;"",$H44&lt;&gt;$AR44,IFERROR(VLOOKUP($H44,areaCercaPuntiClassificaSquadra,3,FALSE),-1)=IFERROR(VLOOKUP($AR44,areaCercaPuntiClassificaSquadra,3,FALSE),-2)),SUMIFS(Dati!$D$2:$D$761,Dati!$A$2:$A$761,$H44,Dati!$H$2:$H$761,$AR44)+SUMIFS(Dati!$K$2:$K$761,Dati!$H$2:$H$761,$H44,Dati!$A$2:$A$761,$AR44)+SUMIFS(Dati!$C$2:$C$761,Dati!$A$2:$A$761,$H44,Dati!$H$2:$H$761,$AR44)+SUMIFS(Dati!$J$2:$J$761,Dati!$H$2:$H$761,$H44,Dati!$A$2:$A$761,$AR44),"-")</f>
        <v/>
      </c>
      <c r="CL44" s="21">
        <f>$C44</f>
        <v/>
      </c>
      <c r="CM44" s="22">
        <f>IF(AND($H44&lt;&gt;"",$Y44&lt;&gt;"",$H44&lt;&gt;$Y44,IFERROR(VLOOKUP($H44,areaCercaPuntiClassificaSquadra,3,FALSE),-1)=IFERROR(VLOOKUP($Y44,areaCercaPuntiClassificaSquadra,3,FALSE),-2)),SUMIFS(Dati!$E$2:$E$761,Dati!$A$2:$A$761,$H44,Dati!$H$2:$H$761,$Y44)+SUMIFS(Dati!$L$2:$L$761,Dati!$H$2:$H$761,$H44,Dati!$A$2:$A$761,$Y44),"-")</f>
        <v/>
      </c>
      <c r="CN44" s="22">
        <f>IF(AND($H44&lt;&gt;"",$Z44&lt;&gt;"",$H44&lt;&gt;$Z44,IFERROR(VLOOKUP($H44,areaCercaPuntiClassificaSquadra,3,FALSE),-1)=IFERROR(VLOOKUP($Z44,areaCercaPuntiClassificaSquadra,3,FALSE),-2)),SUMIFS(Dati!$E$2:$E$761,Dati!$A$2:$A$761,$H44,Dati!$H$2:$H$761,$Z44)+SUMIFS(Dati!$L$2:$L$761,Dati!$H$2:$H$761,$H44,Dati!$A$2:$A$761,$Z44),"-")</f>
        <v/>
      </c>
      <c r="CO44" s="22">
        <f>IF(AND($H44&lt;&gt;"",$AA44&lt;&gt;"",$H44&lt;&gt;$AA44,IFERROR(VLOOKUP($H44,areaCercaPuntiClassificaSquadra,3,FALSE),-1)=IFERROR(VLOOKUP($AA44,areaCercaPuntiClassificaSquadra,3,FALSE),-2)),SUMIFS(Dati!$E$2:$E$761,Dati!$A$2:$A$761,$H44,Dati!$H$2:$H$761,$AA44)+SUMIFS(Dati!$L$2:$L$761,Dati!$H$2:$H$761,$H44,Dati!$A$2:$A$761,$AA44),"-")</f>
        <v/>
      </c>
      <c r="CP44" s="22">
        <f>IF(AND($H44&lt;&gt;"",$AB44&lt;&gt;"",$H44&lt;&gt;$AB44,IFERROR(VLOOKUP($H44,areaCercaPuntiClassificaSquadra,3,FALSE),-1)=IFERROR(VLOOKUP($AB44,areaCercaPuntiClassificaSquadra,3,FALSE),-2)),SUMIFS(Dati!$E$2:$E$761,Dati!$A$2:$A$761,$H44,Dati!$H$2:$H$761,$AB44)+SUMIFS(Dati!$L$2:$L$761,Dati!$H$2:$H$761,$H44,Dati!$A$2:$A$761,$AB44),"-")</f>
        <v/>
      </c>
      <c r="CQ44" s="22">
        <f>IF(AND($H44&lt;&gt;"",$AC44&lt;&gt;"",$H44&lt;&gt;$AC44,IFERROR(VLOOKUP($H44,areaCercaPuntiClassificaSquadra,3,FALSE),-1)=IFERROR(VLOOKUP($AC44,areaCercaPuntiClassificaSquadra,3,FALSE),-2)),SUMIFS(Dati!$E$2:$E$761,Dati!$A$2:$A$761,$H44,Dati!$H$2:$H$761,$AC44)+SUMIFS(Dati!$L$2:$L$761,Dati!$H$2:$H$761,$H44,Dati!$A$2:$A$761,$AC44),"-")</f>
        <v/>
      </c>
      <c r="CR44" s="22">
        <f>IF(AND($H44&lt;&gt;"",$AD44&lt;&gt;"",$H44&lt;&gt;$AD44,IFERROR(VLOOKUP($H44,areaCercaPuntiClassificaSquadra,3,FALSE),-1)=IFERROR(VLOOKUP($AD44,areaCercaPuntiClassificaSquadra,3,FALSE),-2)),SUMIFS(Dati!$E$2:$E$761,Dati!$A$2:$A$761,$H44,Dati!$H$2:$H$761,$AD44)+SUMIFS(Dati!$L$2:$L$761,Dati!$H$2:$H$761,$H44,Dati!$A$2:$A$761,$AD44),"-")</f>
        <v/>
      </c>
      <c r="CS44" s="22">
        <f>IF(AND($H44&lt;&gt;"",$AE44&lt;&gt;"",$H44&lt;&gt;$AE44,IFERROR(VLOOKUP($H44,areaCercaPuntiClassificaSquadra,3,FALSE),-1)=IFERROR(VLOOKUP($AE44,areaCercaPuntiClassificaSquadra,3,FALSE),-2)),SUMIFS(Dati!$E$2:$E$761,Dati!$A$2:$A$761,$H44,Dati!$H$2:$H$761,$AE44)+SUMIFS(Dati!$L$2:$L$761,Dati!$H$2:$H$761,$H44,Dati!$A$2:$A$761,$AE44),"-")</f>
        <v/>
      </c>
      <c r="CT44" s="22">
        <f>IF(AND($H44&lt;&gt;"",$AF44&lt;&gt;"",$H44&lt;&gt;$AF44,IFERROR(VLOOKUP($H44,areaCercaPuntiClassificaSquadra,3,FALSE),-1)=IFERROR(VLOOKUP($AF44,areaCercaPuntiClassificaSquadra,3,FALSE),-2)),SUMIFS(Dati!$E$2:$E$761,Dati!$A$2:$A$761,$H44,Dati!$H$2:$H$761,$AF44)+SUMIFS(Dati!$L$2:$L$761,Dati!$H$2:$H$761,$H44,Dati!$A$2:$A$761,$AF44),"-")</f>
        <v/>
      </c>
      <c r="CU44" s="22">
        <f>IF(AND($H44&lt;&gt;"",$AG44&lt;&gt;"",$H44&lt;&gt;$AG44,IFERROR(VLOOKUP($H44,areaCercaPuntiClassificaSquadra,3,FALSE),-1)=IFERROR(VLOOKUP($AG44,areaCercaPuntiClassificaSquadra,3,FALSE),-2)),SUMIFS(Dati!$E$2:$E$761,Dati!$A$2:$A$761,$H44,Dati!$H$2:$H$761,$AG44)+SUMIFS(Dati!$L$2:$L$761,Dati!$H$2:$H$761,$H44,Dati!$A$2:$A$761,$AG44),"-")</f>
        <v/>
      </c>
      <c r="CV44" s="22">
        <f>IF(AND($H44&lt;&gt;"",$AH44&lt;&gt;"",$H44&lt;&gt;$AH44,IFERROR(VLOOKUP($H44,areaCercaPuntiClassificaSquadra,3,FALSE),-1)=IFERROR(VLOOKUP($AH44,areaCercaPuntiClassificaSquadra,3,FALSE),-2)),SUMIFS(Dati!$E$2:$E$761,Dati!$A$2:$A$761,$H44,Dati!$H$2:$H$761,$AH44)+SUMIFS(Dati!$L$2:$L$761,Dati!$H$2:$H$761,$H44,Dati!$A$2:$A$761,$AH44),"-")</f>
        <v/>
      </c>
      <c r="CW44" s="22">
        <f>IF(AND($H44&lt;&gt;"",$AI44&lt;&gt;"",$H44&lt;&gt;$AI44,IFERROR(VLOOKUP($H44,areaCercaPuntiClassificaSquadra,3,FALSE),-1)=IFERROR(VLOOKUP($AI44,areaCercaPuntiClassificaSquadra,3,FALSE),-2)),SUMIFS(Dati!$E$2:$E$761,Dati!$A$2:$A$761,$H44,Dati!$H$2:$H$761,$AI44)+SUMIFS(Dati!$L$2:$L$761,Dati!$H$2:$H$761,$H44,Dati!$A$2:$A$761,$AI44),"-")</f>
        <v/>
      </c>
      <c r="CX44" s="22">
        <f>IF(AND($H44&lt;&gt;"",$AJ44&lt;&gt;"",$H44&lt;&gt;$AJ44,IFERROR(VLOOKUP($H44,areaCercaPuntiClassificaSquadra,3,FALSE),-1)=IFERROR(VLOOKUP($AJ44,areaCercaPuntiClassificaSquadra,3,FALSE),-2)),SUMIFS(Dati!$E$2:$E$761,Dati!$A$2:$A$761,$H44,Dati!$H$2:$H$761,$AJ44)+SUMIFS(Dati!$L$2:$L$761,Dati!$H$2:$H$761,$H44,Dati!$A$2:$A$761,$AJ44),"-")</f>
        <v/>
      </c>
      <c r="CY44" s="22">
        <f>IF(AND($H44&lt;&gt;"",$AK44&lt;&gt;"",$H44&lt;&gt;$AK44,IFERROR(VLOOKUP($H44,areaCercaPuntiClassificaSquadra,3,FALSE),-1)=IFERROR(VLOOKUP($AK44,areaCercaPuntiClassificaSquadra,3,FALSE),-2)),SUMIFS(Dati!$E$2:$E$761,Dati!$A$2:$A$761,$H44,Dati!$H$2:$H$761,$AK44)+SUMIFS(Dati!$L$2:$L$761,Dati!$H$2:$H$761,$H44,Dati!$A$2:$A$761,$AK44),"-")</f>
        <v/>
      </c>
      <c r="CZ44" s="22">
        <f>IF(AND($H44&lt;&gt;"",$AL44&lt;&gt;"",$H44&lt;&gt;$AL44,IFERROR(VLOOKUP($H44,areaCercaPuntiClassificaSquadra,3,FALSE),-1)=IFERROR(VLOOKUP($AL44,areaCercaPuntiClassificaSquadra,3,FALSE),-2)),SUMIFS(Dati!$E$2:$E$761,Dati!$A$2:$A$761,$H44,Dati!$H$2:$H$761,$AL44)+SUMIFS(Dati!$L$2:$L$761,Dati!$H$2:$H$761,$H44,Dati!$A$2:$A$761,$AL44),"-")</f>
        <v/>
      </c>
      <c r="DA44" s="22">
        <f>IF(AND($H44&lt;&gt;"",$AM44&lt;&gt;"",$H44&lt;&gt;$AM44,IFERROR(VLOOKUP($H44,areaCercaPuntiClassificaSquadra,3,FALSE),-1)=IFERROR(VLOOKUP($AM44,areaCercaPuntiClassificaSquadra,3,FALSE),-2)),SUMIFS(Dati!$E$2:$E$761,Dati!$A$2:$A$761,$H44,Dati!$H$2:$H$761,$AM44)+SUMIFS(Dati!$L$2:$L$761,Dati!$H$2:$H$761,$H44,Dati!$A$2:$A$761,$AM44),"-")</f>
        <v/>
      </c>
      <c r="DB44" s="22">
        <f>IF(AND($H44&lt;&gt;"",$AN44&lt;&gt;"",$H44&lt;&gt;$AN44,IFERROR(VLOOKUP($H44,areaCercaPuntiClassificaSquadra,3,FALSE),-1)=IFERROR(VLOOKUP($AN44,areaCercaPuntiClassificaSquadra,3,FALSE),-2)),SUMIFS(Dati!$E$2:$E$761,Dati!$A$2:$A$761,$H44,Dati!$H$2:$H$761,$AN44)+SUMIFS(Dati!$L$2:$L$761,Dati!$H$2:$H$761,$H44,Dati!$A$2:$A$761,$AN44),"-")</f>
        <v/>
      </c>
      <c r="DC44" s="22">
        <f>IF(AND($H44&lt;&gt;"",$AO44&lt;&gt;"",$H44&lt;&gt;$AO44,IFERROR(VLOOKUP($H44,areaCercaPuntiClassificaSquadra,3,FALSE),-1)=IFERROR(VLOOKUP($AO44,areaCercaPuntiClassificaSquadra,3,FALSE),-2)),SUMIFS(Dati!$E$2:$E$761,Dati!$A$2:$A$761,$H44,Dati!$H$2:$H$761,$AO44)+SUMIFS(Dati!$L$2:$L$761,Dati!$H$2:$H$761,$H44,Dati!$A$2:$A$761,$AO44),"-")</f>
        <v/>
      </c>
      <c r="DD44" s="22">
        <f>IF(AND($H44&lt;&gt;"",$AP44&lt;&gt;"",$H44&lt;&gt;$AP44,IFERROR(VLOOKUP($H44,areaCercaPuntiClassificaSquadra,3,FALSE),-1)=IFERROR(VLOOKUP($AP44,areaCercaPuntiClassificaSquadra,3,FALSE),-2)),SUMIFS(Dati!$E$2:$E$761,Dati!$A$2:$A$761,$H44,Dati!$H$2:$H$761,$AP44)+SUMIFS(Dati!$L$2:$L$761,Dati!$H$2:$H$761,$H44,Dati!$A$2:$A$761,$AP44),"-")</f>
        <v/>
      </c>
      <c r="DE44" s="22">
        <f>IF(AND($H44&lt;&gt;"",$AQ44&lt;&gt;"",$H44&lt;&gt;$AQ44,IFERROR(VLOOKUP($H44,areaCercaPuntiClassificaSquadra,3,FALSE),-1)=IFERROR(VLOOKUP($AQ44,areaCercaPuntiClassificaSquadra,3,FALSE),-2)),SUMIFS(Dati!$E$2:$E$761,Dati!$A$2:$A$761,$H44,Dati!$H$2:$H$761,$AQ44)+SUMIFS(Dati!$L$2:$L$761,Dati!$H$2:$H$761,$H44,Dati!$A$2:$A$761,$AQ44),"-")</f>
        <v/>
      </c>
      <c r="DF44" s="22">
        <f>IF(AND($H44&lt;&gt;"",$AR44&lt;&gt;"",$H44&lt;&gt;$AR44,IFERROR(VLOOKUP($H44,areaCercaPuntiClassificaSquadra,3,FALSE),-1)=IFERROR(VLOOKUP($AR44,areaCercaPuntiClassificaSquadra,3,FALSE),-2)),SUMIFS(Dati!$E$2:$E$761,Dati!$A$2:$A$761,$H44,Dati!$H$2:$H$761,$AR44)+SUMIFS(Dati!$L$2:$L$761,Dati!$H$2:$H$761,$H44,Dati!$A$2:$A$761,$AR44),"-")</f>
        <v/>
      </c>
      <c r="DH44" s="21">
        <f>$C44</f>
        <v/>
      </c>
      <c r="DI44" s="22">
        <f>IF(AND($H44&lt;&gt;"",$Y44&lt;&gt;"",$H44&lt;&gt;$Y44,IFERROR(VLOOKUP($H44,areaCercaPuntiClassificaSquadra,3,FALSE),-1)=IFERROR(VLOOKUP($Y44,areaCercaPuntiClassificaSquadra,3,FALSE),-2)),SUMIFS(Dati!$F$2:$F$761,Dati!$A$2:$A$761,$H44,Dati!$H$2:$H$761,$Y44)+SUMIFS(Dati!$M$2:$M$761,Dati!$H$2:$H$761,$H44,Dati!$A$2:$A$761,$Y44),"-")</f>
        <v/>
      </c>
      <c r="DJ44" s="22">
        <f>IF(AND($H44&lt;&gt;"",$Z44&lt;&gt;"",$H44&lt;&gt;$Z44,IFERROR(VLOOKUP($H44,areaCercaPuntiClassificaSquadra,3,FALSE),-1)=IFERROR(VLOOKUP($Z44,areaCercaPuntiClassificaSquadra,3,FALSE),-2)),SUMIFS(Dati!$F$2:$F$761,Dati!$A$2:$A$761,$H44,Dati!$H$2:$H$761,$Z44)+SUMIFS(Dati!$M$2:$M$761,Dati!$H$2:$H$761,$H44,Dati!$A$2:$A$761,$Z44),"-")</f>
        <v/>
      </c>
      <c r="DK44" s="22">
        <f>IF(AND($H44&lt;&gt;"",$AA44&lt;&gt;"",$H44&lt;&gt;$AA44,IFERROR(VLOOKUP($H44,areaCercaPuntiClassificaSquadra,3,FALSE),-1)=IFERROR(VLOOKUP($AA44,areaCercaPuntiClassificaSquadra,3,FALSE),-2)),SUMIFS(Dati!$F$2:$F$761,Dati!$A$2:$A$761,$H44,Dati!$H$2:$H$761,$AA44)+SUMIFS(Dati!$M$2:$M$761,Dati!$H$2:$H$761,$H44,Dati!$A$2:$A$761,$AA44),"-")</f>
        <v/>
      </c>
      <c r="DL44" s="22">
        <f>IF(AND($H44&lt;&gt;"",$AB44&lt;&gt;"",$H44&lt;&gt;$AB44,IFERROR(VLOOKUP($H44,areaCercaPuntiClassificaSquadra,3,FALSE),-1)=IFERROR(VLOOKUP($AB44,areaCercaPuntiClassificaSquadra,3,FALSE),-2)),SUMIFS(Dati!$F$2:$F$761,Dati!$A$2:$A$761,$H44,Dati!$H$2:$H$761,$AB44)+SUMIFS(Dati!$M$2:$M$761,Dati!$H$2:$H$761,$H44,Dati!$A$2:$A$761,$AB44),"-")</f>
        <v/>
      </c>
      <c r="DM44" s="22">
        <f>IF(AND($H44&lt;&gt;"",$AC44&lt;&gt;"",$H44&lt;&gt;$AC44,IFERROR(VLOOKUP($H44,areaCercaPuntiClassificaSquadra,3,FALSE),-1)=IFERROR(VLOOKUP($AC44,areaCercaPuntiClassificaSquadra,3,FALSE),-2)),SUMIFS(Dati!$F$2:$F$761,Dati!$A$2:$A$761,$H44,Dati!$H$2:$H$761,$AC44)+SUMIFS(Dati!$M$2:$M$761,Dati!$H$2:$H$761,$H44,Dati!$A$2:$A$761,$AC44),"-")</f>
        <v/>
      </c>
      <c r="DN44" s="22">
        <f>IF(AND($H44&lt;&gt;"",$AD44&lt;&gt;"",$H44&lt;&gt;$AD44,IFERROR(VLOOKUP($H44,areaCercaPuntiClassificaSquadra,3,FALSE),-1)=IFERROR(VLOOKUP($AD44,areaCercaPuntiClassificaSquadra,3,FALSE),-2)),SUMIFS(Dati!$F$2:$F$761,Dati!$A$2:$A$761,$H44,Dati!$H$2:$H$761,$AD44)+SUMIFS(Dati!$M$2:$M$761,Dati!$H$2:$H$761,$H44,Dati!$A$2:$A$761,$AD44),"-")</f>
        <v/>
      </c>
      <c r="DO44" s="22">
        <f>IF(AND($H44&lt;&gt;"",$AE44&lt;&gt;"",$H44&lt;&gt;$AE44,IFERROR(VLOOKUP($H44,areaCercaPuntiClassificaSquadra,3,FALSE),-1)=IFERROR(VLOOKUP($AE44,areaCercaPuntiClassificaSquadra,3,FALSE),-2)),SUMIFS(Dati!$F$2:$F$761,Dati!$A$2:$A$761,$H44,Dati!$H$2:$H$761,$AE44)+SUMIFS(Dati!$M$2:$M$761,Dati!$H$2:$H$761,$H44,Dati!$A$2:$A$761,$AE44),"-")</f>
        <v/>
      </c>
      <c r="DP44" s="22">
        <f>IF(AND($H44&lt;&gt;"",$AF44&lt;&gt;"",$H44&lt;&gt;$AF44,IFERROR(VLOOKUP($H44,areaCercaPuntiClassificaSquadra,3,FALSE),-1)=IFERROR(VLOOKUP($AF44,areaCercaPuntiClassificaSquadra,3,FALSE),-2)),SUMIFS(Dati!$F$2:$F$761,Dati!$A$2:$A$761,$H44,Dati!$H$2:$H$761,$AF44)+SUMIFS(Dati!$M$2:$M$761,Dati!$H$2:$H$761,$H44,Dati!$A$2:$A$761,$AF44),"-")</f>
        <v/>
      </c>
      <c r="DQ44" s="22">
        <f>IF(AND($H44&lt;&gt;"",$AG44&lt;&gt;"",$H44&lt;&gt;$AG44,IFERROR(VLOOKUP($H44,areaCercaPuntiClassificaSquadra,3,FALSE),-1)=IFERROR(VLOOKUP($AG44,areaCercaPuntiClassificaSquadra,3,FALSE),-2)),SUMIFS(Dati!$F$2:$F$761,Dati!$A$2:$A$761,$H44,Dati!$H$2:$H$761,$AG44)+SUMIFS(Dati!$M$2:$M$761,Dati!$H$2:$H$761,$H44,Dati!$A$2:$A$761,$AG44),"-")</f>
        <v/>
      </c>
      <c r="DR44" s="22">
        <f>IF(AND($H44&lt;&gt;"",$AH44&lt;&gt;"",$H44&lt;&gt;$AH44,IFERROR(VLOOKUP($H44,areaCercaPuntiClassificaSquadra,3,FALSE),-1)=IFERROR(VLOOKUP($AH44,areaCercaPuntiClassificaSquadra,3,FALSE),-2)),SUMIFS(Dati!$F$2:$F$761,Dati!$A$2:$A$761,$H44,Dati!$H$2:$H$761,$AH44)+SUMIFS(Dati!$M$2:$M$761,Dati!$H$2:$H$761,$H44,Dati!$A$2:$A$761,$AH44),"-")</f>
        <v/>
      </c>
      <c r="DS44" s="22">
        <f>IF(AND($H44&lt;&gt;"",$AI44&lt;&gt;"",$H44&lt;&gt;$AI44,IFERROR(VLOOKUP($H44,areaCercaPuntiClassificaSquadra,3,FALSE),-1)=IFERROR(VLOOKUP($AI44,areaCercaPuntiClassificaSquadra,3,FALSE),-2)),SUMIFS(Dati!$F$2:$F$761,Dati!$A$2:$A$761,$H44,Dati!$H$2:$H$761,$AI44)+SUMIFS(Dati!$M$2:$M$761,Dati!$H$2:$H$761,$H44,Dati!$A$2:$A$761,$AI44),"-")</f>
        <v/>
      </c>
      <c r="DT44" s="22">
        <f>IF(AND($H44&lt;&gt;"",$AJ44&lt;&gt;"",$H44&lt;&gt;$AJ44,IFERROR(VLOOKUP($H44,areaCercaPuntiClassificaSquadra,3,FALSE),-1)=IFERROR(VLOOKUP($AJ44,areaCercaPuntiClassificaSquadra,3,FALSE),-2)),SUMIFS(Dati!$F$2:$F$761,Dati!$A$2:$A$761,$H44,Dati!$H$2:$H$761,$AJ44)+SUMIFS(Dati!$M$2:$M$761,Dati!$H$2:$H$761,$H44,Dati!$A$2:$A$761,$AJ44),"-")</f>
        <v/>
      </c>
      <c r="DU44" s="22">
        <f>IF(AND($H44&lt;&gt;"",$AK44&lt;&gt;"",$H44&lt;&gt;$AK44,IFERROR(VLOOKUP($H44,areaCercaPuntiClassificaSquadra,3,FALSE),-1)=IFERROR(VLOOKUP($AK44,areaCercaPuntiClassificaSquadra,3,FALSE),-2)),SUMIFS(Dati!$F$2:$F$761,Dati!$A$2:$A$761,$H44,Dati!$H$2:$H$761,$AK44)+SUMIFS(Dati!$M$2:$M$761,Dati!$H$2:$H$761,$H44,Dati!$A$2:$A$761,$AK44),"-")</f>
        <v/>
      </c>
      <c r="DV44" s="22">
        <f>IF(AND($H44&lt;&gt;"",$AL44&lt;&gt;"",$H44&lt;&gt;$AL44,IFERROR(VLOOKUP($H44,areaCercaPuntiClassificaSquadra,3,FALSE),-1)=IFERROR(VLOOKUP($AL44,areaCercaPuntiClassificaSquadra,3,FALSE),-2)),SUMIFS(Dati!$F$2:$F$761,Dati!$A$2:$A$761,$H44,Dati!$H$2:$H$761,$AL44)+SUMIFS(Dati!$M$2:$M$761,Dati!$H$2:$H$761,$H44,Dati!$A$2:$A$761,$AL44),"-")</f>
        <v/>
      </c>
      <c r="DW44" s="22">
        <f>IF(AND($H44&lt;&gt;"",$AM44&lt;&gt;"",$H44&lt;&gt;$AM44,IFERROR(VLOOKUP($H44,areaCercaPuntiClassificaSquadra,3,FALSE),-1)=IFERROR(VLOOKUP($AM44,areaCercaPuntiClassificaSquadra,3,FALSE),-2)),SUMIFS(Dati!$F$2:$F$761,Dati!$A$2:$A$761,$H44,Dati!$H$2:$H$761,$AM44)+SUMIFS(Dati!$M$2:$M$761,Dati!$H$2:$H$761,$H44,Dati!$A$2:$A$761,$AM44),"-")</f>
        <v/>
      </c>
      <c r="DX44" s="22">
        <f>IF(AND($H44&lt;&gt;"",$AN44&lt;&gt;"",$H44&lt;&gt;$AN44,IFERROR(VLOOKUP($H44,areaCercaPuntiClassificaSquadra,3,FALSE),-1)=IFERROR(VLOOKUP($AN44,areaCercaPuntiClassificaSquadra,3,FALSE),-2)),SUMIFS(Dati!$F$2:$F$761,Dati!$A$2:$A$761,$H44,Dati!$H$2:$H$761,$AN44)+SUMIFS(Dati!$M$2:$M$761,Dati!$H$2:$H$761,$H44,Dati!$A$2:$A$761,$AN44),"-")</f>
        <v/>
      </c>
      <c r="DY44" s="22">
        <f>IF(AND($H44&lt;&gt;"",$AO44&lt;&gt;"",$H44&lt;&gt;$AO44,IFERROR(VLOOKUP($H44,areaCercaPuntiClassificaSquadra,3,FALSE),-1)=IFERROR(VLOOKUP($AO44,areaCercaPuntiClassificaSquadra,3,FALSE),-2)),SUMIFS(Dati!$F$2:$F$761,Dati!$A$2:$A$761,$H44,Dati!$H$2:$H$761,$AO44)+SUMIFS(Dati!$M$2:$M$761,Dati!$H$2:$H$761,$H44,Dati!$A$2:$A$761,$AO44),"-")</f>
        <v/>
      </c>
      <c r="DZ44" s="22">
        <f>IF(AND($H44&lt;&gt;"",$AP44&lt;&gt;"",$H44&lt;&gt;$AP44,IFERROR(VLOOKUP($H44,areaCercaPuntiClassificaSquadra,3,FALSE),-1)=IFERROR(VLOOKUP($AP44,areaCercaPuntiClassificaSquadra,3,FALSE),-2)),SUMIFS(Dati!$F$2:$F$761,Dati!$A$2:$A$761,$H44,Dati!$H$2:$H$761,$AP44)+SUMIFS(Dati!$M$2:$M$761,Dati!$H$2:$H$761,$H44,Dati!$A$2:$A$761,$AP44),"-")</f>
        <v/>
      </c>
      <c r="EA44" s="22">
        <f>IF(AND($H44&lt;&gt;"",$AQ44&lt;&gt;"",$H44&lt;&gt;$AQ44,IFERROR(VLOOKUP($H44,areaCercaPuntiClassificaSquadra,3,FALSE),-1)=IFERROR(VLOOKUP($AQ44,areaCercaPuntiClassificaSquadra,3,FALSE),-2)),SUMIFS(Dati!$F$2:$F$761,Dati!$A$2:$A$761,$H44,Dati!$H$2:$H$761,$AQ44)+SUMIFS(Dati!$M$2:$M$761,Dati!$H$2:$H$761,$H44,Dati!$A$2:$A$761,$AQ44),"-")</f>
        <v/>
      </c>
      <c r="EB44" s="22">
        <f>IF(AND($H44&lt;&gt;"",$AR44&lt;&gt;"",$H44&lt;&gt;$AR44,IFERROR(VLOOKUP($H44,areaCercaPuntiClassificaSquadra,3,FALSE),-1)=IFERROR(VLOOKUP($AR44,areaCercaPuntiClassificaSquadra,3,FALSE),-2)),SUMIFS(Dati!$F$2:$F$761,Dati!$A$2:$A$761,$H44,Dati!$H$2:$H$761,$AR44)+SUMIFS(Dati!$M$2:$M$761,Dati!$H$2:$H$761,$H44,Dati!$A$2:$A$761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inlineStr">
        <is>
          <t>Serpenti Sagaci-Serpentiopoli SE</t>
        </is>
      </c>
      <c r="D45" s="14" t="n"/>
      <c r="E45" s="23" t="inlineStr">
        <is>
          <t>B</t>
        </is>
      </c>
      <c r="G45" s="24">
        <f>IF($C45="","",$E45&amp;(COUNTIFS(I$14:I$93,"&gt;"&amp;I45,E$14:E$93,"="&amp;E45,C$14:C$93,"&lt;&gt;")+COUNTIFS(I$14:I$93,"="&amp;I45,H$14:H$93,"&lt;="&amp;H45,E$14:E$93,"="&amp;E45,C$14:C$93,"&lt;&gt;")))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L45*constPuntiVittoria+M45*constPuntiSconfitta+N45*constPuntiForfait+IF(D45="",0,D45)</f>
        <v/>
      </c>
      <c r="K45" s="12">
        <f>SUM(L45:N45)</f>
        <v/>
      </c>
      <c r="L45" s="12">
        <f>IF($H45="",0,SUMIF(Dati!$A$2:$A$761,$H45,Dati!$B$2:$B$761)+SUMIF(Dati!$H$2:$H$761,$H45,Dati!$I$2:$I$761))</f>
        <v/>
      </c>
      <c r="M45" s="12">
        <f>IF($H45="",0,SUMIF(Dati!$A$2:$A$761,$H45,Dati!$D$2:$D$761)+SUMIF(Dati!$H$2:$H$761,$H45,Dati!$K$2:$K$761))</f>
        <v/>
      </c>
      <c r="N45" s="12">
        <f>IF($H45="",0,SUMIF(Dati!$A$2:$A$761,$H45,Dati!$C$2:$C$761)+SUMIF(Dati!$H$2:$H$761,$H45,Dati!$J$2:$J$761))</f>
        <v/>
      </c>
      <c r="O45" s="12">
        <f>IF($H45="",0,SUMIF(Dati!$A$2:$A$761,$H45,Dati!$E$2:$E$761)+SUMIF(Dati!$H$2:$H$761,$H45,Dati!$L$2:$L$761))</f>
        <v/>
      </c>
      <c r="P45" s="12">
        <f>IF($H45="",0,SUMIF(Dati!$A$2:$A$761,$H45,Dati!$F$2:$F$761)+SUMIF(Dati!$H$2:$H$761,$H45,Dati!$M$2:$M$761))</f>
        <v/>
      </c>
      <c r="Q45" s="12">
        <f>IF($H45="",0,SUMIF(Dati!$A$2:$A$761,$H45,Dati!$G$2:$G$761)+SUMIF(Dati!$H$2:$H$761,$H45,Dati!$N$2:$N$761))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IF(COUNTIFS($E$14:$E$93,$E45,$J$14:$J$93,$J45,$C$14:$C$93,"&lt;&gt;")&lt;=1,"-",SUM(AU45:BN45)&amp;"-"&amp;SUM(BQ45:CJ45))</f>
        <v/>
      </c>
      <c r="V45" s="18">
        <f>IF(COUNTIFS($E$14:$E$93,$E45,$J$14:$J$93,$J45,$C$14:$C$93,"&lt;&gt;",$ED$14:$ED$93,$ED45)&lt;=1,"-",IF(SUM(DI45:EB45)=0,0,ROUND(SUM(CM45:DF45)/SUM(DI45:EB45),3)))</f>
        <v/>
      </c>
      <c r="W45" s="18">
        <f>IF(COUNTIFS($E$14:$E$93,$E45,$J$14:$J$93,$J45,$C$14:$C$93,"&lt;&gt;",$ED$14:$ED$93,$ED45,$V$14:$V$93,$V45)&lt;=1,"-",IF(P45=0,0,ROUND(O45/P45,3)))</f>
        <v/>
      </c>
      <c r="X45" s="19">
        <f>IF($C45="","",$E45&amp;"#"&amp;COUNTIFS($E$14:$E45,$E45,$C$14:$C45,"&lt;&gt;"))</f>
        <v/>
      </c>
      <c r="Y45" s="20">
        <f>IFERROR(INDEX($H$14:$H$93,MATCH($E45&amp;"#1",$X$14:$X$93,0)),"")</f>
        <v/>
      </c>
      <c r="Z45" s="20">
        <f>IFERROR(INDEX($H$14:$H$93,MATCH($E45&amp;"#2",$X$14:$X$93,0)),"")</f>
        <v/>
      </c>
      <c r="AA45" s="20">
        <f>IFERROR(INDEX($H$14:$H$93,MATCH($E45&amp;"#3",$X$14:$X$93,0)),"")</f>
        <v/>
      </c>
      <c r="AB45" s="20">
        <f>IFERROR(INDEX($H$14:$H$93,MATCH($E45&amp;"#4",$X$14:$X$93,0)),"")</f>
        <v/>
      </c>
      <c r="AC45" s="20">
        <f>IFERROR(INDEX($H$14:$H$93,MATCH($E45&amp;"#5",$X$14:$X$93,0)),"")</f>
        <v/>
      </c>
      <c r="AD45" s="20">
        <f>IFERROR(INDEX($H$14:$H$93,MATCH($E45&amp;"#6",$X$14:$X$93,0)),"")</f>
        <v/>
      </c>
      <c r="AE45" s="20">
        <f>IFERROR(INDEX($H$14:$H$93,MATCH($E45&amp;"#7",$X$14:$X$93,0)),"")</f>
        <v/>
      </c>
      <c r="AF45" s="20">
        <f>IFERROR(INDEX($H$14:$H$93,MATCH($E45&amp;"#8",$X$14:$X$93,0)),"")</f>
        <v/>
      </c>
      <c r="AG45" s="20">
        <f>IFERROR(INDEX($H$14:$H$93,MATCH($E45&amp;"#9",$X$14:$X$93,0)),"")</f>
        <v/>
      </c>
      <c r="AH45" s="20">
        <f>IFERROR(INDEX($H$14:$H$93,MATCH($E45&amp;"#10",$X$14:$X$93,0)),"")</f>
        <v/>
      </c>
      <c r="AI45" s="20">
        <f>IFERROR(INDEX($H$14:$H$93,MATCH($E45&amp;"#11",$X$14:$X$93,0)),"")</f>
        <v/>
      </c>
      <c r="AJ45" s="20">
        <f>IFERROR(INDEX($H$14:$H$93,MATCH($E45&amp;"#12",$X$14:$X$93,0)),"")</f>
        <v/>
      </c>
      <c r="AK45" s="20">
        <f>IFERROR(INDEX($H$14:$H$93,MATCH($E45&amp;"#13",$X$14:$X$93,0)),"")</f>
        <v/>
      </c>
      <c r="AL45" s="20">
        <f>IFERROR(INDEX($H$14:$H$93,MATCH($E45&amp;"#14",$X$14:$X$93,0)),"")</f>
        <v/>
      </c>
      <c r="AM45" s="20">
        <f>IFERROR(INDEX($H$14:$H$93,MATCH($E45&amp;"#15",$X$14:$X$93,0)),"")</f>
        <v/>
      </c>
      <c r="AN45" s="20">
        <f>IFERROR(INDEX($H$14:$H$93,MATCH($E45&amp;"#16",$X$14:$X$93,0)),"")</f>
        <v/>
      </c>
      <c r="AO45" s="20">
        <f>IFERROR(INDEX($H$14:$H$93,MATCH($E45&amp;"#17",$X$14:$X$93,0)),"")</f>
        <v/>
      </c>
      <c r="AP45" s="20">
        <f>IFERROR(INDEX($H$14:$H$93,MATCH($E45&amp;"#18",$X$14:$X$93,0)),"")</f>
        <v/>
      </c>
      <c r="AQ45" s="20">
        <f>IFERROR(INDEX($H$14:$H$93,MATCH($E45&amp;"#19",$X$14:$X$93,0)),"")</f>
        <v/>
      </c>
      <c r="AR45" s="20">
        <f>IFERROR(INDEX($H$14:$H$93,MATCH($E45&amp;"#20",$X$14:$X$93,0)),"")</f>
        <v/>
      </c>
      <c r="AT45" s="21">
        <f>$C45</f>
        <v/>
      </c>
      <c r="AU45" s="22">
        <f>IF(AND($H45&lt;&gt;"",$Y45&lt;&gt;"",$H45&lt;&gt;$Y45,IFERROR(VLOOKUP($H45,areaCercaPuntiClassificaSquadra,3,FALSE),-1)=IFERROR(VLOOKUP($Y45,areaCercaPuntiClassificaSquadra,3,FALSE),-2)),SUMIFS(Dati!$B$2:$B$761,Dati!$A$2:$A$761,$H45,Dati!$H$2:$H$761,$Y45)+SUMIFS(Dati!$I$2:$I$761,Dati!$H$2:$H$761,$H45,Dati!$A$2:$A$761,$Y45),"-")</f>
        <v/>
      </c>
      <c r="AV45" s="22">
        <f>IF(AND($H45&lt;&gt;"",$Z45&lt;&gt;"",$H45&lt;&gt;$Z45,IFERROR(VLOOKUP($H45,areaCercaPuntiClassificaSquadra,3,FALSE),-1)=IFERROR(VLOOKUP($Z45,areaCercaPuntiClassificaSquadra,3,FALSE),-2)),SUMIFS(Dati!$B$2:$B$761,Dati!$A$2:$A$761,$H45,Dati!$H$2:$H$761,$Z45)+SUMIFS(Dati!$I$2:$I$761,Dati!$H$2:$H$761,$H45,Dati!$A$2:$A$761,$Z45),"-")</f>
        <v/>
      </c>
      <c r="AW45" s="22">
        <f>IF(AND($H45&lt;&gt;"",$AA45&lt;&gt;"",$H45&lt;&gt;$AA45,IFERROR(VLOOKUP($H45,areaCercaPuntiClassificaSquadra,3,FALSE),-1)=IFERROR(VLOOKUP($AA45,areaCercaPuntiClassificaSquadra,3,FALSE),-2)),SUMIFS(Dati!$B$2:$B$761,Dati!$A$2:$A$761,$H45,Dati!$H$2:$H$761,$AA45)+SUMIFS(Dati!$I$2:$I$761,Dati!$H$2:$H$761,$H45,Dati!$A$2:$A$761,$AA45),"-")</f>
        <v/>
      </c>
      <c r="AX45" s="22">
        <f>IF(AND($H45&lt;&gt;"",$AB45&lt;&gt;"",$H45&lt;&gt;$AB45,IFERROR(VLOOKUP($H45,areaCercaPuntiClassificaSquadra,3,FALSE),-1)=IFERROR(VLOOKUP($AB45,areaCercaPuntiClassificaSquadra,3,FALSE),-2)),SUMIFS(Dati!$B$2:$B$761,Dati!$A$2:$A$761,$H45,Dati!$H$2:$H$761,$AB45)+SUMIFS(Dati!$I$2:$I$761,Dati!$H$2:$H$761,$H45,Dati!$A$2:$A$761,$AB45),"-")</f>
        <v/>
      </c>
      <c r="AY45" s="22">
        <f>IF(AND($H45&lt;&gt;"",$AC45&lt;&gt;"",$H45&lt;&gt;$AC45,IFERROR(VLOOKUP($H45,areaCercaPuntiClassificaSquadra,3,FALSE),-1)=IFERROR(VLOOKUP($AC45,areaCercaPuntiClassificaSquadra,3,FALSE),-2)),SUMIFS(Dati!$B$2:$B$761,Dati!$A$2:$A$761,$H45,Dati!$H$2:$H$761,$AC45)+SUMIFS(Dati!$I$2:$I$761,Dati!$H$2:$H$761,$H45,Dati!$A$2:$A$761,$AC45),"-")</f>
        <v/>
      </c>
      <c r="AZ45" s="22">
        <f>IF(AND($H45&lt;&gt;"",$AD45&lt;&gt;"",$H45&lt;&gt;$AD45,IFERROR(VLOOKUP($H45,areaCercaPuntiClassificaSquadra,3,FALSE),-1)=IFERROR(VLOOKUP($AD45,areaCercaPuntiClassificaSquadra,3,FALSE),-2)),SUMIFS(Dati!$B$2:$B$761,Dati!$A$2:$A$761,$H45,Dati!$H$2:$H$761,$AD45)+SUMIFS(Dati!$I$2:$I$761,Dati!$H$2:$H$761,$H45,Dati!$A$2:$A$761,$AD45),"-")</f>
        <v/>
      </c>
      <c r="BA45" s="22">
        <f>IF(AND($H45&lt;&gt;"",$AE45&lt;&gt;"",$H45&lt;&gt;$AE45,IFERROR(VLOOKUP($H45,areaCercaPuntiClassificaSquadra,3,FALSE),-1)=IFERROR(VLOOKUP($AE45,areaCercaPuntiClassificaSquadra,3,FALSE),-2)),SUMIFS(Dati!$B$2:$B$761,Dati!$A$2:$A$761,$H45,Dati!$H$2:$H$761,$AE45)+SUMIFS(Dati!$I$2:$I$761,Dati!$H$2:$H$761,$H45,Dati!$A$2:$A$761,$AE45),"-")</f>
        <v/>
      </c>
      <c r="BB45" s="22">
        <f>IF(AND($H45&lt;&gt;"",$AF45&lt;&gt;"",$H45&lt;&gt;$AF45,IFERROR(VLOOKUP($H45,areaCercaPuntiClassificaSquadra,3,FALSE),-1)=IFERROR(VLOOKUP($AF45,areaCercaPuntiClassificaSquadra,3,FALSE),-2)),SUMIFS(Dati!$B$2:$B$761,Dati!$A$2:$A$761,$H45,Dati!$H$2:$H$761,$AF45)+SUMIFS(Dati!$I$2:$I$761,Dati!$H$2:$H$761,$H45,Dati!$A$2:$A$761,$AF45),"-")</f>
        <v/>
      </c>
      <c r="BC45" s="22">
        <f>IF(AND($H45&lt;&gt;"",$AG45&lt;&gt;"",$H45&lt;&gt;$AG45,IFERROR(VLOOKUP($H45,areaCercaPuntiClassificaSquadra,3,FALSE),-1)=IFERROR(VLOOKUP($AG45,areaCercaPuntiClassificaSquadra,3,FALSE),-2)),SUMIFS(Dati!$B$2:$B$761,Dati!$A$2:$A$761,$H45,Dati!$H$2:$H$761,$AG45)+SUMIFS(Dati!$I$2:$I$761,Dati!$H$2:$H$761,$H45,Dati!$A$2:$A$761,$AG45),"-")</f>
        <v/>
      </c>
      <c r="BD45" s="22">
        <f>IF(AND($H45&lt;&gt;"",$AH45&lt;&gt;"",$H45&lt;&gt;$AH45,IFERROR(VLOOKUP($H45,areaCercaPuntiClassificaSquadra,3,FALSE),-1)=IFERROR(VLOOKUP($AH45,areaCercaPuntiClassificaSquadra,3,FALSE),-2)),SUMIFS(Dati!$B$2:$B$761,Dati!$A$2:$A$761,$H45,Dati!$H$2:$H$761,$AH45)+SUMIFS(Dati!$I$2:$I$761,Dati!$H$2:$H$761,$H45,Dati!$A$2:$A$761,$AH45),"-")</f>
        <v/>
      </c>
      <c r="BE45" s="22">
        <f>IF(AND($H45&lt;&gt;"",$AI45&lt;&gt;"",$H45&lt;&gt;$AI45,IFERROR(VLOOKUP($H45,areaCercaPuntiClassificaSquadra,3,FALSE),-1)=IFERROR(VLOOKUP($AI45,areaCercaPuntiClassificaSquadra,3,FALSE),-2)),SUMIFS(Dati!$B$2:$B$761,Dati!$A$2:$A$761,$H45,Dati!$H$2:$H$761,$AI45)+SUMIFS(Dati!$I$2:$I$761,Dati!$H$2:$H$761,$H45,Dati!$A$2:$A$761,$AI45),"-")</f>
        <v/>
      </c>
      <c r="BF45" s="22">
        <f>IF(AND($H45&lt;&gt;"",$AJ45&lt;&gt;"",$H45&lt;&gt;$AJ45,IFERROR(VLOOKUP($H45,areaCercaPuntiClassificaSquadra,3,FALSE),-1)=IFERROR(VLOOKUP($AJ45,areaCercaPuntiClassificaSquadra,3,FALSE),-2)),SUMIFS(Dati!$B$2:$B$761,Dati!$A$2:$A$761,$H45,Dati!$H$2:$H$761,$AJ45)+SUMIFS(Dati!$I$2:$I$761,Dati!$H$2:$H$761,$H45,Dati!$A$2:$A$761,$AJ45),"-")</f>
        <v/>
      </c>
      <c r="BG45" s="22">
        <f>IF(AND($H45&lt;&gt;"",$AK45&lt;&gt;"",$H45&lt;&gt;$AK45,IFERROR(VLOOKUP($H45,areaCercaPuntiClassificaSquadra,3,FALSE),-1)=IFERROR(VLOOKUP($AK45,areaCercaPuntiClassificaSquadra,3,FALSE),-2)),SUMIFS(Dati!$B$2:$B$761,Dati!$A$2:$A$761,$H45,Dati!$H$2:$H$761,$AK45)+SUMIFS(Dati!$I$2:$I$761,Dati!$H$2:$H$761,$H45,Dati!$A$2:$A$761,$AK45),"-")</f>
        <v/>
      </c>
      <c r="BH45" s="22">
        <f>IF(AND($H45&lt;&gt;"",$AL45&lt;&gt;"",$H45&lt;&gt;$AL45,IFERROR(VLOOKUP($H45,areaCercaPuntiClassificaSquadra,3,FALSE),-1)=IFERROR(VLOOKUP($AL45,areaCercaPuntiClassificaSquadra,3,FALSE),-2)),SUMIFS(Dati!$B$2:$B$761,Dati!$A$2:$A$761,$H45,Dati!$H$2:$H$761,$AL45)+SUMIFS(Dati!$I$2:$I$761,Dati!$H$2:$H$761,$H45,Dati!$A$2:$A$761,$AL45),"-")</f>
        <v/>
      </c>
      <c r="BI45" s="22">
        <f>IF(AND($H45&lt;&gt;"",$AM45&lt;&gt;"",$H45&lt;&gt;$AM45,IFERROR(VLOOKUP($H45,areaCercaPuntiClassificaSquadra,3,FALSE),-1)=IFERROR(VLOOKUP($AM45,areaCercaPuntiClassificaSquadra,3,FALSE),-2)),SUMIFS(Dati!$B$2:$B$761,Dati!$A$2:$A$761,$H45,Dati!$H$2:$H$761,$AM45)+SUMIFS(Dati!$I$2:$I$761,Dati!$H$2:$H$761,$H45,Dati!$A$2:$A$761,$AM45),"-")</f>
        <v/>
      </c>
      <c r="BJ45" s="22">
        <f>IF(AND($H45&lt;&gt;"",$AN45&lt;&gt;"",$H45&lt;&gt;$AN45,IFERROR(VLOOKUP($H45,areaCercaPuntiClassificaSquadra,3,FALSE),-1)=IFERROR(VLOOKUP($AN45,areaCercaPuntiClassificaSquadra,3,FALSE),-2)),SUMIFS(Dati!$B$2:$B$761,Dati!$A$2:$A$761,$H45,Dati!$H$2:$H$761,$AN45)+SUMIFS(Dati!$I$2:$I$761,Dati!$H$2:$H$761,$H45,Dati!$A$2:$A$761,$AN45),"-")</f>
        <v/>
      </c>
      <c r="BK45" s="22">
        <f>IF(AND($H45&lt;&gt;"",$AO45&lt;&gt;"",$H45&lt;&gt;$AO45,IFERROR(VLOOKUP($H45,areaCercaPuntiClassificaSquadra,3,FALSE),-1)=IFERROR(VLOOKUP($AO45,areaCercaPuntiClassificaSquadra,3,FALSE),-2)),SUMIFS(Dati!$B$2:$B$761,Dati!$A$2:$A$761,$H45,Dati!$H$2:$H$761,$AO45)+SUMIFS(Dati!$I$2:$I$761,Dati!$H$2:$H$761,$H45,Dati!$A$2:$A$761,$AO45),"-")</f>
        <v/>
      </c>
      <c r="BL45" s="22">
        <f>IF(AND($H45&lt;&gt;"",$AP45&lt;&gt;"",$H45&lt;&gt;$AP45,IFERROR(VLOOKUP($H45,areaCercaPuntiClassificaSquadra,3,FALSE),-1)=IFERROR(VLOOKUP($AP45,areaCercaPuntiClassificaSquadra,3,FALSE),-2)),SUMIFS(Dati!$B$2:$B$761,Dati!$A$2:$A$761,$H45,Dati!$H$2:$H$761,$AP45)+SUMIFS(Dati!$I$2:$I$761,Dati!$H$2:$H$761,$H45,Dati!$A$2:$A$761,$AP45),"-")</f>
        <v/>
      </c>
      <c r="BM45" s="22">
        <f>IF(AND($H45&lt;&gt;"",$AQ45&lt;&gt;"",$H45&lt;&gt;$AQ45,IFERROR(VLOOKUP($H45,areaCercaPuntiClassificaSquadra,3,FALSE),-1)=IFERROR(VLOOKUP($AQ45,areaCercaPuntiClassificaSquadra,3,FALSE),-2)),SUMIFS(Dati!$B$2:$B$761,Dati!$A$2:$A$761,$H45,Dati!$H$2:$H$761,$AQ45)+SUMIFS(Dati!$I$2:$I$761,Dati!$H$2:$H$761,$H45,Dati!$A$2:$A$761,$AQ45),"-")</f>
        <v/>
      </c>
      <c r="BN45" s="22">
        <f>IF(AND($H45&lt;&gt;"",$AR45&lt;&gt;"",$H45&lt;&gt;$AR45,IFERROR(VLOOKUP($H45,areaCercaPuntiClassificaSquadra,3,FALSE),-1)=IFERROR(VLOOKUP($AR45,areaCercaPuntiClassificaSquadra,3,FALSE),-2)),SUMIFS(Dati!$B$2:$B$761,Dati!$A$2:$A$761,$H45,Dati!$H$2:$H$761,$AR45)+SUMIFS(Dati!$I$2:$I$761,Dati!$H$2:$H$761,$H45,Dati!$A$2:$A$761,$AR45),"-")</f>
        <v/>
      </c>
      <c r="BP45" s="21">
        <f>$C45</f>
        <v/>
      </c>
      <c r="BQ45" s="22">
        <f>IF(AND($H45&lt;&gt;"",$Y45&lt;&gt;"",$H45&lt;&gt;$Y45,IFERROR(VLOOKUP($H45,areaCercaPuntiClassificaSquadra,3,FALSE),-1)=IFERROR(VLOOKUP($Y45,areaCercaPuntiClassificaSquadra,3,FALSE),-2)),SUMIFS(Dati!$D$2:$D$761,Dati!$A$2:$A$761,$H45,Dati!$H$2:$H$761,$Y45)+SUMIFS(Dati!$K$2:$K$761,Dati!$H$2:$H$761,$H45,Dati!$A$2:$A$761,$Y45)+SUMIFS(Dati!$C$2:$C$761,Dati!$A$2:$A$761,$H45,Dati!$H$2:$H$761,$Y45)+SUMIFS(Dati!$J$2:$J$761,Dati!$H$2:$H$761,$H45,Dati!$A$2:$A$761,$Y45),"-")</f>
        <v/>
      </c>
      <c r="BR45" s="22">
        <f>IF(AND($H45&lt;&gt;"",$Z45&lt;&gt;"",$H45&lt;&gt;$Z45,IFERROR(VLOOKUP($H45,areaCercaPuntiClassificaSquadra,3,FALSE),-1)=IFERROR(VLOOKUP($Z45,areaCercaPuntiClassificaSquadra,3,FALSE),-2)),SUMIFS(Dati!$D$2:$D$761,Dati!$A$2:$A$761,$H45,Dati!$H$2:$H$761,$Z45)+SUMIFS(Dati!$K$2:$K$761,Dati!$H$2:$H$761,$H45,Dati!$A$2:$A$761,$Z45)+SUMIFS(Dati!$C$2:$C$761,Dati!$A$2:$A$761,$H45,Dati!$H$2:$H$761,$Z45)+SUMIFS(Dati!$J$2:$J$761,Dati!$H$2:$H$761,$H45,Dati!$A$2:$A$761,$Z45),"-")</f>
        <v/>
      </c>
      <c r="BS45" s="22">
        <f>IF(AND($H45&lt;&gt;"",$AA45&lt;&gt;"",$H45&lt;&gt;$AA45,IFERROR(VLOOKUP($H45,areaCercaPuntiClassificaSquadra,3,FALSE),-1)=IFERROR(VLOOKUP($AA45,areaCercaPuntiClassificaSquadra,3,FALSE),-2)),SUMIFS(Dati!$D$2:$D$761,Dati!$A$2:$A$761,$H45,Dati!$H$2:$H$761,$AA45)+SUMIFS(Dati!$K$2:$K$761,Dati!$H$2:$H$761,$H45,Dati!$A$2:$A$761,$AA45)+SUMIFS(Dati!$C$2:$C$761,Dati!$A$2:$A$761,$H45,Dati!$H$2:$H$761,$AA45)+SUMIFS(Dati!$J$2:$J$761,Dati!$H$2:$H$761,$H45,Dati!$A$2:$A$761,$AA45),"-")</f>
        <v/>
      </c>
      <c r="BT45" s="22">
        <f>IF(AND($H45&lt;&gt;"",$AB45&lt;&gt;"",$H45&lt;&gt;$AB45,IFERROR(VLOOKUP($H45,areaCercaPuntiClassificaSquadra,3,FALSE),-1)=IFERROR(VLOOKUP($AB45,areaCercaPuntiClassificaSquadra,3,FALSE),-2)),SUMIFS(Dati!$D$2:$D$761,Dati!$A$2:$A$761,$H45,Dati!$H$2:$H$761,$AB45)+SUMIFS(Dati!$K$2:$K$761,Dati!$H$2:$H$761,$H45,Dati!$A$2:$A$761,$AB45)+SUMIFS(Dati!$C$2:$C$761,Dati!$A$2:$A$761,$H45,Dati!$H$2:$H$761,$AB45)+SUMIFS(Dati!$J$2:$J$761,Dati!$H$2:$H$761,$H45,Dati!$A$2:$A$761,$AB45),"-")</f>
        <v/>
      </c>
      <c r="BU45" s="22">
        <f>IF(AND($H45&lt;&gt;"",$AC45&lt;&gt;"",$H45&lt;&gt;$AC45,IFERROR(VLOOKUP($H45,areaCercaPuntiClassificaSquadra,3,FALSE),-1)=IFERROR(VLOOKUP($AC45,areaCercaPuntiClassificaSquadra,3,FALSE),-2)),SUMIFS(Dati!$D$2:$D$761,Dati!$A$2:$A$761,$H45,Dati!$H$2:$H$761,$AC45)+SUMIFS(Dati!$K$2:$K$761,Dati!$H$2:$H$761,$H45,Dati!$A$2:$A$761,$AC45)+SUMIFS(Dati!$C$2:$C$761,Dati!$A$2:$A$761,$H45,Dati!$H$2:$H$761,$AC45)+SUMIFS(Dati!$J$2:$J$761,Dati!$H$2:$H$761,$H45,Dati!$A$2:$A$761,$AC45),"-")</f>
        <v/>
      </c>
      <c r="BV45" s="22">
        <f>IF(AND($H45&lt;&gt;"",$AD45&lt;&gt;"",$H45&lt;&gt;$AD45,IFERROR(VLOOKUP($H45,areaCercaPuntiClassificaSquadra,3,FALSE),-1)=IFERROR(VLOOKUP($AD45,areaCercaPuntiClassificaSquadra,3,FALSE),-2)),SUMIFS(Dati!$D$2:$D$761,Dati!$A$2:$A$761,$H45,Dati!$H$2:$H$761,$AD45)+SUMIFS(Dati!$K$2:$K$761,Dati!$H$2:$H$761,$H45,Dati!$A$2:$A$761,$AD45)+SUMIFS(Dati!$C$2:$C$761,Dati!$A$2:$A$761,$H45,Dati!$H$2:$H$761,$AD45)+SUMIFS(Dati!$J$2:$J$761,Dati!$H$2:$H$761,$H45,Dati!$A$2:$A$761,$AD45),"-")</f>
        <v/>
      </c>
      <c r="BW45" s="22">
        <f>IF(AND($H45&lt;&gt;"",$AE45&lt;&gt;"",$H45&lt;&gt;$AE45,IFERROR(VLOOKUP($H45,areaCercaPuntiClassificaSquadra,3,FALSE),-1)=IFERROR(VLOOKUP($AE45,areaCercaPuntiClassificaSquadra,3,FALSE),-2)),SUMIFS(Dati!$D$2:$D$761,Dati!$A$2:$A$761,$H45,Dati!$H$2:$H$761,$AE45)+SUMIFS(Dati!$K$2:$K$761,Dati!$H$2:$H$761,$H45,Dati!$A$2:$A$761,$AE45)+SUMIFS(Dati!$C$2:$C$761,Dati!$A$2:$A$761,$H45,Dati!$H$2:$H$761,$AE45)+SUMIFS(Dati!$J$2:$J$761,Dati!$H$2:$H$761,$H45,Dati!$A$2:$A$761,$AE45),"-")</f>
        <v/>
      </c>
      <c r="BX45" s="22">
        <f>IF(AND($H45&lt;&gt;"",$AF45&lt;&gt;"",$H45&lt;&gt;$AF45,IFERROR(VLOOKUP($H45,areaCercaPuntiClassificaSquadra,3,FALSE),-1)=IFERROR(VLOOKUP($AF45,areaCercaPuntiClassificaSquadra,3,FALSE),-2)),SUMIFS(Dati!$D$2:$D$761,Dati!$A$2:$A$761,$H45,Dati!$H$2:$H$761,$AF45)+SUMIFS(Dati!$K$2:$K$761,Dati!$H$2:$H$761,$H45,Dati!$A$2:$A$761,$AF45)+SUMIFS(Dati!$C$2:$C$761,Dati!$A$2:$A$761,$H45,Dati!$H$2:$H$761,$AF45)+SUMIFS(Dati!$J$2:$J$761,Dati!$H$2:$H$761,$H45,Dati!$A$2:$A$761,$AF45),"-")</f>
        <v/>
      </c>
      <c r="BY45" s="22">
        <f>IF(AND($H45&lt;&gt;"",$AG45&lt;&gt;"",$H45&lt;&gt;$AG45,IFERROR(VLOOKUP($H45,areaCercaPuntiClassificaSquadra,3,FALSE),-1)=IFERROR(VLOOKUP($AG45,areaCercaPuntiClassificaSquadra,3,FALSE),-2)),SUMIFS(Dati!$D$2:$D$761,Dati!$A$2:$A$761,$H45,Dati!$H$2:$H$761,$AG45)+SUMIFS(Dati!$K$2:$K$761,Dati!$H$2:$H$761,$H45,Dati!$A$2:$A$761,$AG45)+SUMIFS(Dati!$C$2:$C$761,Dati!$A$2:$A$761,$H45,Dati!$H$2:$H$761,$AG45)+SUMIFS(Dati!$J$2:$J$761,Dati!$H$2:$H$761,$H45,Dati!$A$2:$A$761,$AG45),"-")</f>
        <v/>
      </c>
      <c r="BZ45" s="22">
        <f>IF(AND($H45&lt;&gt;"",$AH45&lt;&gt;"",$H45&lt;&gt;$AH45,IFERROR(VLOOKUP($H45,areaCercaPuntiClassificaSquadra,3,FALSE),-1)=IFERROR(VLOOKUP($AH45,areaCercaPuntiClassificaSquadra,3,FALSE),-2)),SUMIFS(Dati!$D$2:$D$761,Dati!$A$2:$A$761,$H45,Dati!$H$2:$H$761,$AH45)+SUMIFS(Dati!$K$2:$K$761,Dati!$H$2:$H$761,$H45,Dati!$A$2:$A$761,$AH45)+SUMIFS(Dati!$C$2:$C$761,Dati!$A$2:$A$761,$H45,Dati!$H$2:$H$761,$AH45)+SUMIFS(Dati!$J$2:$J$761,Dati!$H$2:$H$761,$H45,Dati!$A$2:$A$761,$AH45),"-")</f>
        <v/>
      </c>
      <c r="CA45" s="22">
        <f>IF(AND($H45&lt;&gt;"",$AI45&lt;&gt;"",$H45&lt;&gt;$AI45,IFERROR(VLOOKUP($H45,areaCercaPuntiClassificaSquadra,3,FALSE),-1)=IFERROR(VLOOKUP($AI45,areaCercaPuntiClassificaSquadra,3,FALSE),-2)),SUMIFS(Dati!$D$2:$D$761,Dati!$A$2:$A$761,$H45,Dati!$H$2:$H$761,$AI45)+SUMIFS(Dati!$K$2:$K$761,Dati!$H$2:$H$761,$H45,Dati!$A$2:$A$761,$AI45)+SUMIFS(Dati!$C$2:$C$761,Dati!$A$2:$A$761,$H45,Dati!$H$2:$H$761,$AI45)+SUMIFS(Dati!$J$2:$J$761,Dati!$H$2:$H$761,$H45,Dati!$A$2:$A$761,$AI45),"-")</f>
        <v/>
      </c>
      <c r="CB45" s="22">
        <f>IF(AND($H45&lt;&gt;"",$AJ45&lt;&gt;"",$H45&lt;&gt;$AJ45,IFERROR(VLOOKUP($H45,areaCercaPuntiClassificaSquadra,3,FALSE),-1)=IFERROR(VLOOKUP($AJ45,areaCercaPuntiClassificaSquadra,3,FALSE),-2)),SUMIFS(Dati!$D$2:$D$761,Dati!$A$2:$A$761,$H45,Dati!$H$2:$H$761,$AJ45)+SUMIFS(Dati!$K$2:$K$761,Dati!$H$2:$H$761,$H45,Dati!$A$2:$A$761,$AJ45)+SUMIFS(Dati!$C$2:$C$761,Dati!$A$2:$A$761,$H45,Dati!$H$2:$H$761,$AJ45)+SUMIFS(Dati!$J$2:$J$761,Dati!$H$2:$H$761,$H45,Dati!$A$2:$A$761,$AJ45),"-")</f>
        <v/>
      </c>
      <c r="CC45" s="22">
        <f>IF(AND($H45&lt;&gt;"",$AK45&lt;&gt;"",$H45&lt;&gt;$AK45,IFERROR(VLOOKUP($H45,areaCercaPuntiClassificaSquadra,3,FALSE),-1)=IFERROR(VLOOKUP($AK45,areaCercaPuntiClassificaSquadra,3,FALSE),-2)),SUMIFS(Dati!$D$2:$D$761,Dati!$A$2:$A$761,$H45,Dati!$H$2:$H$761,$AK45)+SUMIFS(Dati!$K$2:$K$761,Dati!$H$2:$H$761,$H45,Dati!$A$2:$A$761,$AK45)+SUMIFS(Dati!$C$2:$C$761,Dati!$A$2:$A$761,$H45,Dati!$H$2:$H$761,$AK45)+SUMIFS(Dati!$J$2:$J$761,Dati!$H$2:$H$761,$H45,Dati!$A$2:$A$761,$AK45),"-")</f>
        <v/>
      </c>
      <c r="CD45" s="22">
        <f>IF(AND($H45&lt;&gt;"",$AL45&lt;&gt;"",$H45&lt;&gt;$AL45,IFERROR(VLOOKUP($H45,areaCercaPuntiClassificaSquadra,3,FALSE),-1)=IFERROR(VLOOKUP($AL45,areaCercaPuntiClassificaSquadra,3,FALSE),-2)),SUMIFS(Dati!$D$2:$D$761,Dati!$A$2:$A$761,$H45,Dati!$H$2:$H$761,$AL45)+SUMIFS(Dati!$K$2:$K$761,Dati!$H$2:$H$761,$H45,Dati!$A$2:$A$761,$AL45)+SUMIFS(Dati!$C$2:$C$761,Dati!$A$2:$A$761,$H45,Dati!$H$2:$H$761,$AL45)+SUMIFS(Dati!$J$2:$J$761,Dati!$H$2:$H$761,$H45,Dati!$A$2:$A$761,$AL45),"-")</f>
        <v/>
      </c>
      <c r="CE45" s="22">
        <f>IF(AND($H45&lt;&gt;"",$AM45&lt;&gt;"",$H45&lt;&gt;$AM45,IFERROR(VLOOKUP($H45,areaCercaPuntiClassificaSquadra,3,FALSE),-1)=IFERROR(VLOOKUP($AM45,areaCercaPuntiClassificaSquadra,3,FALSE),-2)),SUMIFS(Dati!$D$2:$D$761,Dati!$A$2:$A$761,$H45,Dati!$H$2:$H$761,$AM45)+SUMIFS(Dati!$K$2:$K$761,Dati!$H$2:$H$761,$H45,Dati!$A$2:$A$761,$AM45)+SUMIFS(Dati!$C$2:$C$761,Dati!$A$2:$A$761,$H45,Dati!$H$2:$H$761,$AM45)+SUMIFS(Dati!$J$2:$J$761,Dati!$H$2:$H$761,$H45,Dati!$A$2:$A$761,$AM45),"-")</f>
        <v/>
      </c>
      <c r="CF45" s="22">
        <f>IF(AND($H45&lt;&gt;"",$AN45&lt;&gt;"",$H45&lt;&gt;$AN45,IFERROR(VLOOKUP($H45,areaCercaPuntiClassificaSquadra,3,FALSE),-1)=IFERROR(VLOOKUP($AN45,areaCercaPuntiClassificaSquadra,3,FALSE),-2)),SUMIFS(Dati!$D$2:$D$761,Dati!$A$2:$A$761,$H45,Dati!$H$2:$H$761,$AN45)+SUMIFS(Dati!$K$2:$K$761,Dati!$H$2:$H$761,$H45,Dati!$A$2:$A$761,$AN45)+SUMIFS(Dati!$C$2:$C$761,Dati!$A$2:$A$761,$H45,Dati!$H$2:$H$761,$AN45)+SUMIFS(Dati!$J$2:$J$761,Dati!$H$2:$H$761,$H45,Dati!$A$2:$A$761,$AN45),"-")</f>
        <v/>
      </c>
      <c r="CG45" s="22">
        <f>IF(AND($H45&lt;&gt;"",$AO45&lt;&gt;"",$H45&lt;&gt;$AO45,IFERROR(VLOOKUP($H45,areaCercaPuntiClassificaSquadra,3,FALSE),-1)=IFERROR(VLOOKUP($AO45,areaCercaPuntiClassificaSquadra,3,FALSE),-2)),SUMIFS(Dati!$D$2:$D$761,Dati!$A$2:$A$761,$H45,Dati!$H$2:$H$761,$AO45)+SUMIFS(Dati!$K$2:$K$761,Dati!$H$2:$H$761,$H45,Dati!$A$2:$A$761,$AO45)+SUMIFS(Dati!$C$2:$C$761,Dati!$A$2:$A$761,$H45,Dati!$H$2:$H$761,$AO45)+SUMIFS(Dati!$J$2:$J$761,Dati!$H$2:$H$761,$H45,Dati!$A$2:$A$761,$AO45),"-")</f>
        <v/>
      </c>
      <c r="CH45" s="22">
        <f>IF(AND($H45&lt;&gt;"",$AP45&lt;&gt;"",$H45&lt;&gt;$AP45,IFERROR(VLOOKUP($H45,areaCercaPuntiClassificaSquadra,3,FALSE),-1)=IFERROR(VLOOKUP($AP45,areaCercaPuntiClassificaSquadra,3,FALSE),-2)),SUMIFS(Dati!$D$2:$D$761,Dati!$A$2:$A$761,$H45,Dati!$H$2:$H$761,$AP45)+SUMIFS(Dati!$K$2:$K$761,Dati!$H$2:$H$761,$H45,Dati!$A$2:$A$761,$AP45)+SUMIFS(Dati!$C$2:$C$761,Dati!$A$2:$A$761,$H45,Dati!$H$2:$H$761,$AP45)+SUMIFS(Dati!$J$2:$J$761,Dati!$H$2:$H$761,$H45,Dati!$A$2:$A$761,$AP45),"-")</f>
        <v/>
      </c>
      <c r="CI45" s="22">
        <f>IF(AND($H45&lt;&gt;"",$AQ45&lt;&gt;"",$H45&lt;&gt;$AQ45,IFERROR(VLOOKUP($H45,areaCercaPuntiClassificaSquadra,3,FALSE),-1)=IFERROR(VLOOKUP($AQ45,areaCercaPuntiClassificaSquadra,3,FALSE),-2)),SUMIFS(Dati!$D$2:$D$761,Dati!$A$2:$A$761,$H45,Dati!$H$2:$H$761,$AQ45)+SUMIFS(Dati!$K$2:$K$761,Dati!$H$2:$H$761,$H45,Dati!$A$2:$A$761,$AQ45)+SUMIFS(Dati!$C$2:$C$761,Dati!$A$2:$A$761,$H45,Dati!$H$2:$H$761,$AQ45)+SUMIFS(Dati!$J$2:$J$761,Dati!$H$2:$H$761,$H45,Dati!$A$2:$A$761,$AQ45),"-")</f>
        <v/>
      </c>
      <c r="CJ45" s="22">
        <f>IF(AND($H45&lt;&gt;"",$AR45&lt;&gt;"",$H45&lt;&gt;$AR45,IFERROR(VLOOKUP($H45,areaCercaPuntiClassificaSquadra,3,FALSE),-1)=IFERROR(VLOOKUP($AR45,areaCercaPuntiClassificaSquadra,3,FALSE),-2)),SUMIFS(Dati!$D$2:$D$761,Dati!$A$2:$A$761,$H45,Dati!$H$2:$H$761,$AR45)+SUMIFS(Dati!$K$2:$K$761,Dati!$H$2:$H$761,$H45,Dati!$A$2:$A$761,$AR45)+SUMIFS(Dati!$C$2:$C$761,Dati!$A$2:$A$761,$H45,Dati!$H$2:$H$761,$AR45)+SUMIFS(Dati!$J$2:$J$761,Dati!$H$2:$H$761,$H45,Dati!$A$2:$A$761,$AR45),"-")</f>
        <v/>
      </c>
      <c r="CL45" s="21">
        <f>$C45</f>
        <v/>
      </c>
      <c r="CM45" s="22">
        <f>IF(AND($H45&lt;&gt;"",$Y45&lt;&gt;"",$H45&lt;&gt;$Y45,IFERROR(VLOOKUP($H45,areaCercaPuntiClassificaSquadra,3,FALSE),-1)=IFERROR(VLOOKUP($Y45,areaCercaPuntiClassificaSquadra,3,FALSE),-2)),SUMIFS(Dati!$E$2:$E$761,Dati!$A$2:$A$761,$H45,Dati!$H$2:$H$761,$Y45)+SUMIFS(Dati!$L$2:$L$761,Dati!$H$2:$H$761,$H45,Dati!$A$2:$A$761,$Y45),"-")</f>
        <v/>
      </c>
      <c r="CN45" s="22">
        <f>IF(AND($H45&lt;&gt;"",$Z45&lt;&gt;"",$H45&lt;&gt;$Z45,IFERROR(VLOOKUP($H45,areaCercaPuntiClassificaSquadra,3,FALSE),-1)=IFERROR(VLOOKUP($Z45,areaCercaPuntiClassificaSquadra,3,FALSE),-2)),SUMIFS(Dati!$E$2:$E$761,Dati!$A$2:$A$761,$H45,Dati!$H$2:$H$761,$Z45)+SUMIFS(Dati!$L$2:$L$761,Dati!$H$2:$H$761,$H45,Dati!$A$2:$A$761,$Z45),"-")</f>
        <v/>
      </c>
      <c r="CO45" s="22">
        <f>IF(AND($H45&lt;&gt;"",$AA45&lt;&gt;"",$H45&lt;&gt;$AA45,IFERROR(VLOOKUP($H45,areaCercaPuntiClassificaSquadra,3,FALSE),-1)=IFERROR(VLOOKUP($AA45,areaCercaPuntiClassificaSquadra,3,FALSE),-2)),SUMIFS(Dati!$E$2:$E$761,Dati!$A$2:$A$761,$H45,Dati!$H$2:$H$761,$AA45)+SUMIFS(Dati!$L$2:$L$761,Dati!$H$2:$H$761,$H45,Dati!$A$2:$A$761,$AA45),"-")</f>
        <v/>
      </c>
      <c r="CP45" s="22">
        <f>IF(AND($H45&lt;&gt;"",$AB45&lt;&gt;"",$H45&lt;&gt;$AB45,IFERROR(VLOOKUP($H45,areaCercaPuntiClassificaSquadra,3,FALSE),-1)=IFERROR(VLOOKUP($AB45,areaCercaPuntiClassificaSquadra,3,FALSE),-2)),SUMIFS(Dati!$E$2:$E$761,Dati!$A$2:$A$761,$H45,Dati!$H$2:$H$761,$AB45)+SUMIFS(Dati!$L$2:$L$761,Dati!$H$2:$H$761,$H45,Dati!$A$2:$A$761,$AB45),"-")</f>
        <v/>
      </c>
      <c r="CQ45" s="22">
        <f>IF(AND($H45&lt;&gt;"",$AC45&lt;&gt;"",$H45&lt;&gt;$AC45,IFERROR(VLOOKUP($H45,areaCercaPuntiClassificaSquadra,3,FALSE),-1)=IFERROR(VLOOKUP($AC45,areaCercaPuntiClassificaSquadra,3,FALSE),-2)),SUMIFS(Dati!$E$2:$E$761,Dati!$A$2:$A$761,$H45,Dati!$H$2:$H$761,$AC45)+SUMIFS(Dati!$L$2:$L$761,Dati!$H$2:$H$761,$H45,Dati!$A$2:$A$761,$AC45),"-")</f>
        <v/>
      </c>
      <c r="CR45" s="22">
        <f>IF(AND($H45&lt;&gt;"",$AD45&lt;&gt;"",$H45&lt;&gt;$AD45,IFERROR(VLOOKUP($H45,areaCercaPuntiClassificaSquadra,3,FALSE),-1)=IFERROR(VLOOKUP($AD45,areaCercaPuntiClassificaSquadra,3,FALSE),-2)),SUMIFS(Dati!$E$2:$E$761,Dati!$A$2:$A$761,$H45,Dati!$H$2:$H$761,$AD45)+SUMIFS(Dati!$L$2:$L$761,Dati!$H$2:$H$761,$H45,Dati!$A$2:$A$761,$AD45),"-")</f>
        <v/>
      </c>
      <c r="CS45" s="22">
        <f>IF(AND($H45&lt;&gt;"",$AE45&lt;&gt;"",$H45&lt;&gt;$AE45,IFERROR(VLOOKUP($H45,areaCercaPuntiClassificaSquadra,3,FALSE),-1)=IFERROR(VLOOKUP($AE45,areaCercaPuntiClassificaSquadra,3,FALSE),-2)),SUMIFS(Dati!$E$2:$E$761,Dati!$A$2:$A$761,$H45,Dati!$H$2:$H$761,$AE45)+SUMIFS(Dati!$L$2:$L$761,Dati!$H$2:$H$761,$H45,Dati!$A$2:$A$761,$AE45),"-")</f>
        <v/>
      </c>
      <c r="CT45" s="22">
        <f>IF(AND($H45&lt;&gt;"",$AF45&lt;&gt;"",$H45&lt;&gt;$AF45,IFERROR(VLOOKUP($H45,areaCercaPuntiClassificaSquadra,3,FALSE),-1)=IFERROR(VLOOKUP($AF45,areaCercaPuntiClassificaSquadra,3,FALSE),-2)),SUMIFS(Dati!$E$2:$E$761,Dati!$A$2:$A$761,$H45,Dati!$H$2:$H$761,$AF45)+SUMIFS(Dati!$L$2:$L$761,Dati!$H$2:$H$761,$H45,Dati!$A$2:$A$761,$AF45),"-")</f>
        <v/>
      </c>
      <c r="CU45" s="22">
        <f>IF(AND($H45&lt;&gt;"",$AG45&lt;&gt;"",$H45&lt;&gt;$AG45,IFERROR(VLOOKUP($H45,areaCercaPuntiClassificaSquadra,3,FALSE),-1)=IFERROR(VLOOKUP($AG45,areaCercaPuntiClassificaSquadra,3,FALSE),-2)),SUMIFS(Dati!$E$2:$E$761,Dati!$A$2:$A$761,$H45,Dati!$H$2:$H$761,$AG45)+SUMIFS(Dati!$L$2:$L$761,Dati!$H$2:$H$761,$H45,Dati!$A$2:$A$761,$AG45),"-")</f>
        <v/>
      </c>
      <c r="CV45" s="22">
        <f>IF(AND($H45&lt;&gt;"",$AH45&lt;&gt;"",$H45&lt;&gt;$AH45,IFERROR(VLOOKUP($H45,areaCercaPuntiClassificaSquadra,3,FALSE),-1)=IFERROR(VLOOKUP($AH45,areaCercaPuntiClassificaSquadra,3,FALSE),-2)),SUMIFS(Dati!$E$2:$E$761,Dati!$A$2:$A$761,$H45,Dati!$H$2:$H$761,$AH45)+SUMIFS(Dati!$L$2:$L$761,Dati!$H$2:$H$761,$H45,Dati!$A$2:$A$761,$AH45),"-")</f>
        <v/>
      </c>
      <c r="CW45" s="22">
        <f>IF(AND($H45&lt;&gt;"",$AI45&lt;&gt;"",$H45&lt;&gt;$AI45,IFERROR(VLOOKUP($H45,areaCercaPuntiClassificaSquadra,3,FALSE),-1)=IFERROR(VLOOKUP($AI45,areaCercaPuntiClassificaSquadra,3,FALSE),-2)),SUMIFS(Dati!$E$2:$E$761,Dati!$A$2:$A$761,$H45,Dati!$H$2:$H$761,$AI45)+SUMIFS(Dati!$L$2:$L$761,Dati!$H$2:$H$761,$H45,Dati!$A$2:$A$761,$AI45),"-")</f>
        <v/>
      </c>
      <c r="CX45" s="22">
        <f>IF(AND($H45&lt;&gt;"",$AJ45&lt;&gt;"",$H45&lt;&gt;$AJ45,IFERROR(VLOOKUP($H45,areaCercaPuntiClassificaSquadra,3,FALSE),-1)=IFERROR(VLOOKUP($AJ45,areaCercaPuntiClassificaSquadra,3,FALSE),-2)),SUMIFS(Dati!$E$2:$E$761,Dati!$A$2:$A$761,$H45,Dati!$H$2:$H$761,$AJ45)+SUMIFS(Dati!$L$2:$L$761,Dati!$H$2:$H$761,$H45,Dati!$A$2:$A$761,$AJ45),"-")</f>
        <v/>
      </c>
      <c r="CY45" s="22">
        <f>IF(AND($H45&lt;&gt;"",$AK45&lt;&gt;"",$H45&lt;&gt;$AK45,IFERROR(VLOOKUP($H45,areaCercaPuntiClassificaSquadra,3,FALSE),-1)=IFERROR(VLOOKUP($AK45,areaCercaPuntiClassificaSquadra,3,FALSE),-2)),SUMIFS(Dati!$E$2:$E$761,Dati!$A$2:$A$761,$H45,Dati!$H$2:$H$761,$AK45)+SUMIFS(Dati!$L$2:$L$761,Dati!$H$2:$H$761,$H45,Dati!$A$2:$A$761,$AK45),"-")</f>
        <v/>
      </c>
      <c r="CZ45" s="22">
        <f>IF(AND($H45&lt;&gt;"",$AL45&lt;&gt;"",$H45&lt;&gt;$AL45,IFERROR(VLOOKUP($H45,areaCercaPuntiClassificaSquadra,3,FALSE),-1)=IFERROR(VLOOKUP($AL45,areaCercaPuntiClassificaSquadra,3,FALSE),-2)),SUMIFS(Dati!$E$2:$E$761,Dati!$A$2:$A$761,$H45,Dati!$H$2:$H$761,$AL45)+SUMIFS(Dati!$L$2:$L$761,Dati!$H$2:$H$761,$H45,Dati!$A$2:$A$761,$AL45),"-")</f>
        <v/>
      </c>
      <c r="DA45" s="22">
        <f>IF(AND($H45&lt;&gt;"",$AM45&lt;&gt;"",$H45&lt;&gt;$AM45,IFERROR(VLOOKUP($H45,areaCercaPuntiClassificaSquadra,3,FALSE),-1)=IFERROR(VLOOKUP($AM45,areaCercaPuntiClassificaSquadra,3,FALSE),-2)),SUMIFS(Dati!$E$2:$E$761,Dati!$A$2:$A$761,$H45,Dati!$H$2:$H$761,$AM45)+SUMIFS(Dati!$L$2:$L$761,Dati!$H$2:$H$761,$H45,Dati!$A$2:$A$761,$AM45),"-")</f>
        <v/>
      </c>
      <c r="DB45" s="22">
        <f>IF(AND($H45&lt;&gt;"",$AN45&lt;&gt;"",$H45&lt;&gt;$AN45,IFERROR(VLOOKUP($H45,areaCercaPuntiClassificaSquadra,3,FALSE),-1)=IFERROR(VLOOKUP($AN45,areaCercaPuntiClassificaSquadra,3,FALSE),-2)),SUMIFS(Dati!$E$2:$E$761,Dati!$A$2:$A$761,$H45,Dati!$H$2:$H$761,$AN45)+SUMIFS(Dati!$L$2:$L$761,Dati!$H$2:$H$761,$H45,Dati!$A$2:$A$761,$AN45),"-")</f>
        <v/>
      </c>
      <c r="DC45" s="22">
        <f>IF(AND($H45&lt;&gt;"",$AO45&lt;&gt;"",$H45&lt;&gt;$AO45,IFERROR(VLOOKUP($H45,areaCercaPuntiClassificaSquadra,3,FALSE),-1)=IFERROR(VLOOKUP($AO45,areaCercaPuntiClassificaSquadra,3,FALSE),-2)),SUMIFS(Dati!$E$2:$E$761,Dati!$A$2:$A$761,$H45,Dati!$H$2:$H$761,$AO45)+SUMIFS(Dati!$L$2:$L$761,Dati!$H$2:$H$761,$H45,Dati!$A$2:$A$761,$AO45),"-")</f>
        <v/>
      </c>
      <c r="DD45" s="22">
        <f>IF(AND($H45&lt;&gt;"",$AP45&lt;&gt;"",$H45&lt;&gt;$AP45,IFERROR(VLOOKUP($H45,areaCercaPuntiClassificaSquadra,3,FALSE),-1)=IFERROR(VLOOKUP($AP45,areaCercaPuntiClassificaSquadra,3,FALSE),-2)),SUMIFS(Dati!$E$2:$E$761,Dati!$A$2:$A$761,$H45,Dati!$H$2:$H$761,$AP45)+SUMIFS(Dati!$L$2:$L$761,Dati!$H$2:$H$761,$H45,Dati!$A$2:$A$761,$AP45),"-")</f>
        <v/>
      </c>
      <c r="DE45" s="22">
        <f>IF(AND($H45&lt;&gt;"",$AQ45&lt;&gt;"",$H45&lt;&gt;$AQ45,IFERROR(VLOOKUP($H45,areaCercaPuntiClassificaSquadra,3,FALSE),-1)=IFERROR(VLOOKUP($AQ45,areaCercaPuntiClassificaSquadra,3,FALSE),-2)),SUMIFS(Dati!$E$2:$E$761,Dati!$A$2:$A$761,$H45,Dati!$H$2:$H$761,$AQ45)+SUMIFS(Dati!$L$2:$L$761,Dati!$H$2:$H$761,$H45,Dati!$A$2:$A$761,$AQ45),"-")</f>
        <v/>
      </c>
      <c r="DF45" s="22">
        <f>IF(AND($H45&lt;&gt;"",$AR45&lt;&gt;"",$H45&lt;&gt;$AR45,IFERROR(VLOOKUP($H45,areaCercaPuntiClassificaSquadra,3,FALSE),-1)=IFERROR(VLOOKUP($AR45,areaCercaPuntiClassificaSquadra,3,FALSE),-2)),SUMIFS(Dati!$E$2:$E$761,Dati!$A$2:$A$761,$H45,Dati!$H$2:$H$761,$AR45)+SUMIFS(Dati!$L$2:$L$761,Dati!$H$2:$H$761,$H45,Dati!$A$2:$A$761,$AR45),"-")</f>
        <v/>
      </c>
      <c r="DH45" s="21">
        <f>$C45</f>
        <v/>
      </c>
      <c r="DI45" s="22">
        <f>IF(AND($H45&lt;&gt;"",$Y45&lt;&gt;"",$H45&lt;&gt;$Y45,IFERROR(VLOOKUP($H45,areaCercaPuntiClassificaSquadra,3,FALSE),-1)=IFERROR(VLOOKUP($Y45,areaCercaPuntiClassificaSquadra,3,FALSE),-2)),SUMIFS(Dati!$F$2:$F$761,Dati!$A$2:$A$761,$H45,Dati!$H$2:$H$761,$Y45)+SUMIFS(Dati!$M$2:$M$761,Dati!$H$2:$H$761,$H45,Dati!$A$2:$A$761,$Y45),"-")</f>
        <v/>
      </c>
      <c r="DJ45" s="22">
        <f>IF(AND($H45&lt;&gt;"",$Z45&lt;&gt;"",$H45&lt;&gt;$Z45,IFERROR(VLOOKUP($H45,areaCercaPuntiClassificaSquadra,3,FALSE),-1)=IFERROR(VLOOKUP($Z45,areaCercaPuntiClassificaSquadra,3,FALSE),-2)),SUMIFS(Dati!$F$2:$F$761,Dati!$A$2:$A$761,$H45,Dati!$H$2:$H$761,$Z45)+SUMIFS(Dati!$M$2:$M$761,Dati!$H$2:$H$761,$H45,Dati!$A$2:$A$761,$Z45),"-")</f>
        <v/>
      </c>
      <c r="DK45" s="22">
        <f>IF(AND($H45&lt;&gt;"",$AA45&lt;&gt;"",$H45&lt;&gt;$AA45,IFERROR(VLOOKUP($H45,areaCercaPuntiClassificaSquadra,3,FALSE),-1)=IFERROR(VLOOKUP($AA45,areaCercaPuntiClassificaSquadra,3,FALSE),-2)),SUMIFS(Dati!$F$2:$F$761,Dati!$A$2:$A$761,$H45,Dati!$H$2:$H$761,$AA45)+SUMIFS(Dati!$M$2:$M$761,Dati!$H$2:$H$761,$H45,Dati!$A$2:$A$761,$AA45),"-")</f>
        <v/>
      </c>
      <c r="DL45" s="22">
        <f>IF(AND($H45&lt;&gt;"",$AB45&lt;&gt;"",$H45&lt;&gt;$AB45,IFERROR(VLOOKUP($H45,areaCercaPuntiClassificaSquadra,3,FALSE),-1)=IFERROR(VLOOKUP($AB45,areaCercaPuntiClassificaSquadra,3,FALSE),-2)),SUMIFS(Dati!$F$2:$F$761,Dati!$A$2:$A$761,$H45,Dati!$H$2:$H$761,$AB45)+SUMIFS(Dati!$M$2:$M$761,Dati!$H$2:$H$761,$H45,Dati!$A$2:$A$761,$AB45),"-")</f>
        <v/>
      </c>
      <c r="DM45" s="22">
        <f>IF(AND($H45&lt;&gt;"",$AC45&lt;&gt;"",$H45&lt;&gt;$AC45,IFERROR(VLOOKUP($H45,areaCercaPuntiClassificaSquadra,3,FALSE),-1)=IFERROR(VLOOKUP($AC45,areaCercaPuntiClassificaSquadra,3,FALSE),-2)),SUMIFS(Dati!$F$2:$F$761,Dati!$A$2:$A$761,$H45,Dati!$H$2:$H$761,$AC45)+SUMIFS(Dati!$M$2:$M$761,Dati!$H$2:$H$761,$H45,Dati!$A$2:$A$761,$AC45),"-")</f>
        <v/>
      </c>
      <c r="DN45" s="22">
        <f>IF(AND($H45&lt;&gt;"",$AD45&lt;&gt;"",$H45&lt;&gt;$AD45,IFERROR(VLOOKUP($H45,areaCercaPuntiClassificaSquadra,3,FALSE),-1)=IFERROR(VLOOKUP($AD45,areaCercaPuntiClassificaSquadra,3,FALSE),-2)),SUMIFS(Dati!$F$2:$F$761,Dati!$A$2:$A$761,$H45,Dati!$H$2:$H$761,$AD45)+SUMIFS(Dati!$M$2:$M$761,Dati!$H$2:$H$761,$H45,Dati!$A$2:$A$761,$AD45),"-")</f>
        <v/>
      </c>
      <c r="DO45" s="22">
        <f>IF(AND($H45&lt;&gt;"",$AE45&lt;&gt;"",$H45&lt;&gt;$AE45,IFERROR(VLOOKUP($H45,areaCercaPuntiClassificaSquadra,3,FALSE),-1)=IFERROR(VLOOKUP($AE45,areaCercaPuntiClassificaSquadra,3,FALSE),-2)),SUMIFS(Dati!$F$2:$F$761,Dati!$A$2:$A$761,$H45,Dati!$H$2:$H$761,$AE45)+SUMIFS(Dati!$M$2:$M$761,Dati!$H$2:$H$761,$H45,Dati!$A$2:$A$761,$AE45),"-")</f>
        <v/>
      </c>
      <c r="DP45" s="22">
        <f>IF(AND($H45&lt;&gt;"",$AF45&lt;&gt;"",$H45&lt;&gt;$AF45,IFERROR(VLOOKUP($H45,areaCercaPuntiClassificaSquadra,3,FALSE),-1)=IFERROR(VLOOKUP($AF45,areaCercaPuntiClassificaSquadra,3,FALSE),-2)),SUMIFS(Dati!$F$2:$F$761,Dati!$A$2:$A$761,$H45,Dati!$H$2:$H$761,$AF45)+SUMIFS(Dati!$M$2:$M$761,Dati!$H$2:$H$761,$H45,Dati!$A$2:$A$761,$AF45),"-")</f>
        <v/>
      </c>
      <c r="DQ45" s="22">
        <f>IF(AND($H45&lt;&gt;"",$AG45&lt;&gt;"",$H45&lt;&gt;$AG45,IFERROR(VLOOKUP($H45,areaCercaPuntiClassificaSquadra,3,FALSE),-1)=IFERROR(VLOOKUP($AG45,areaCercaPuntiClassificaSquadra,3,FALSE),-2)),SUMIFS(Dati!$F$2:$F$761,Dati!$A$2:$A$761,$H45,Dati!$H$2:$H$761,$AG45)+SUMIFS(Dati!$M$2:$M$761,Dati!$H$2:$H$761,$H45,Dati!$A$2:$A$761,$AG45),"-")</f>
        <v/>
      </c>
      <c r="DR45" s="22">
        <f>IF(AND($H45&lt;&gt;"",$AH45&lt;&gt;"",$H45&lt;&gt;$AH45,IFERROR(VLOOKUP($H45,areaCercaPuntiClassificaSquadra,3,FALSE),-1)=IFERROR(VLOOKUP($AH45,areaCercaPuntiClassificaSquadra,3,FALSE),-2)),SUMIFS(Dati!$F$2:$F$761,Dati!$A$2:$A$761,$H45,Dati!$H$2:$H$761,$AH45)+SUMIFS(Dati!$M$2:$M$761,Dati!$H$2:$H$761,$H45,Dati!$A$2:$A$761,$AH45),"-")</f>
        <v/>
      </c>
      <c r="DS45" s="22">
        <f>IF(AND($H45&lt;&gt;"",$AI45&lt;&gt;"",$H45&lt;&gt;$AI45,IFERROR(VLOOKUP($H45,areaCercaPuntiClassificaSquadra,3,FALSE),-1)=IFERROR(VLOOKUP($AI45,areaCercaPuntiClassificaSquadra,3,FALSE),-2)),SUMIFS(Dati!$F$2:$F$761,Dati!$A$2:$A$761,$H45,Dati!$H$2:$H$761,$AI45)+SUMIFS(Dati!$M$2:$M$761,Dati!$H$2:$H$761,$H45,Dati!$A$2:$A$761,$AI45),"-")</f>
        <v/>
      </c>
      <c r="DT45" s="22">
        <f>IF(AND($H45&lt;&gt;"",$AJ45&lt;&gt;"",$H45&lt;&gt;$AJ45,IFERROR(VLOOKUP($H45,areaCercaPuntiClassificaSquadra,3,FALSE),-1)=IFERROR(VLOOKUP($AJ45,areaCercaPuntiClassificaSquadra,3,FALSE),-2)),SUMIFS(Dati!$F$2:$F$761,Dati!$A$2:$A$761,$H45,Dati!$H$2:$H$761,$AJ45)+SUMIFS(Dati!$M$2:$M$761,Dati!$H$2:$H$761,$H45,Dati!$A$2:$A$761,$AJ45),"-")</f>
        <v/>
      </c>
      <c r="DU45" s="22">
        <f>IF(AND($H45&lt;&gt;"",$AK45&lt;&gt;"",$H45&lt;&gt;$AK45,IFERROR(VLOOKUP($H45,areaCercaPuntiClassificaSquadra,3,FALSE),-1)=IFERROR(VLOOKUP($AK45,areaCercaPuntiClassificaSquadra,3,FALSE),-2)),SUMIFS(Dati!$F$2:$F$761,Dati!$A$2:$A$761,$H45,Dati!$H$2:$H$761,$AK45)+SUMIFS(Dati!$M$2:$M$761,Dati!$H$2:$H$761,$H45,Dati!$A$2:$A$761,$AK45),"-")</f>
        <v/>
      </c>
      <c r="DV45" s="22">
        <f>IF(AND($H45&lt;&gt;"",$AL45&lt;&gt;"",$H45&lt;&gt;$AL45,IFERROR(VLOOKUP($H45,areaCercaPuntiClassificaSquadra,3,FALSE),-1)=IFERROR(VLOOKUP($AL45,areaCercaPuntiClassificaSquadra,3,FALSE),-2)),SUMIFS(Dati!$F$2:$F$761,Dati!$A$2:$A$761,$H45,Dati!$H$2:$H$761,$AL45)+SUMIFS(Dati!$M$2:$M$761,Dati!$H$2:$H$761,$H45,Dati!$A$2:$A$761,$AL45),"-")</f>
        <v/>
      </c>
      <c r="DW45" s="22">
        <f>IF(AND($H45&lt;&gt;"",$AM45&lt;&gt;"",$H45&lt;&gt;$AM45,IFERROR(VLOOKUP($H45,areaCercaPuntiClassificaSquadra,3,FALSE),-1)=IFERROR(VLOOKUP($AM45,areaCercaPuntiClassificaSquadra,3,FALSE),-2)),SUMIFS(Dati!$F$2:$F$761,Dati!$A$2:$A$761,$H45,Dati!$H$2:$H$761,$AM45)+SUMIFS(Dati!$M$2:$M$761,Dati!$H$2:$H$761,$H45,Dati!$A$2:$A$761,$AM45),"-")</f>
        <v/>
      </c>
      <c r="DX45" s="22">
        <f>IF(AND($H45&lt;&gt;"",$AN45&lt;&gt;"",$H45&lt;&gt;$AN45,IFERROR(VLOOKUP($H45,areaCercaPuntiClassificaSquadra,3,FALSE),-1)=IFERROR(VLOOKUP($AN45,areaCercaPuntiClassificaSquadra,3,FALSE),-2)),SUMIFS(Dati!$F$2:$F$761,Dati!$A$2:$A$761,$H45,Dati!$H$2:$H$761,$AN45)+SUMIFS(Dati!$M$2:$M$761,Dati!$H$2:$H$761,$H45,Dati!$A$2:$A$761,$AN45),"-")</f>
        <v/>
      </c>
      <c r="DY45" s="22">
        <f>IF(AND($H45&lt;&gt;"",$AO45&lt;&gt;"",$H45&lt;&gt;$AO45,IFERROR(VLOOKUP($H45,areaCercaPuntiClassificaSquadra,3,FALSE),-1)=IFERROR(VLOOKUP($AO45,areaCercaPuntiClassificaSquadra,3,FALSE),-2)),SUMIFS(Dati!$F$2:$F$761,Dati!$A$2:$A$761,$H45,Dati!$H$2:$H$761,$AO45)+SUMIFS(Dati!$M$2:$M$761,Dati!$H$2:$H$761,$H45,Dati!$A$2:$A$761,$AO45),"-")</f>
        <v/>
      </c>
      <c r="DZ45" s="22">
        <f>IF(AND($H45&lt;&gt;"",$AP45&lt;&gt;"",$H45&lt;&gt;$AP45,IFERROR(VLOOKUP($H45,areaCercaPuntiClassificaSquadra,3,FALSE),-1)=IFERROR(VLOOKUP($AP45,areaCercaPuntiClassificaSquadra,3,FALSE),-2)),SUMIFS(Dati!$F$2:$F$761,Dati!$A$2:$A$761,$H45,Dati!$H$2:$H$761,$AP45)+SUMIFS(Dati!$M$2:$M$761,Dati!$H$2:$H$761,$H45,Dati!$A$2:$A$761,$AP45),"-")</f>
        <v/>
      </c>
      <c r="EA45" s="22">
        <f>IF(AND($H45&lt;&gt;"",$AQ45&lt;&gt;"",$H45&lt;&gt;$AQ45,IFERROR(VLOOKUP($H45,areaCercaPuntiClassificaSquadra,3,FALSE),-1)=IFERROR(VLOOKUP($AQ45,areaCercaPuntiClassificaSquadra,3,FALSE),-2)),SUMIFS(Dati!$F$2:$F$761,Dati!$A$2:$A$761,$H45,Dati!$H$2:$H$761,$AQ45)+SUMIFS(Dati!$M$2:$M$761,Dati!$H$2:$H$761,$H45,Dati!$A$2:$A$761,$AQ45),"-")</f>
        <v/>
      </c>
      <c r="EB45" s="22">
        <f>IF(AND($H45&lt;&gt;"",$AR45&lt;&gt;"",$H45&lt;&gt;$AR45,IFERROR(VLOOKUP($H45,areaCercaPuntiClassificaSquadra,3,FALSE),-1)=IFERROR(VLOOKUP($AR45,areaCercaPuntiClassificaSquadra,3,FALSE),-2)),SUMIFS(Dati!$F$2:$F$761,Dati!$A$2:$A$761,$H45,Dati!$H$2:$H$761,$AR45)+SUMIFS(Dati!$M$2:$M$761,Dati!$H$2:$H$761,$H45,Dati!$A$2:$A$761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inlineStr">
        <is>
          <t>Tucani Tenaci-Tucaniopoli TI</t>
        </is>
      </c>
      <c r="D46" s="14" t="n"/>
      <c r="E46" s="23" t="inlineStr">
        <is>
          <t>B</t>
        </is>
      </c>
      <c r="G46" s="24">
        <f>IF($C46="","",$E46&amp;(COUNTIFS(I$14:I$93,"&gt;"&amp;I46,E$14:E$93,"="&amp;E46,C$14:C$93,"&lt;&gt;")+COUNTIFS(I$14:I$93,"="&amp;I46,H$14:H$93,"&lt;="&amp;H46,E$14:E$93,"="&amp;E46,C$14:C$93,"&lt;&gt;")))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L46*constPuntiVittoria+M46*constPuntiSconfitta+N46*constPuntiForfait+IF(D46="",0,D46)</f>
        <v/>
      </c>
      <c r="K46" s="12">
        <f>SUM(L46:N46)</f>
        <v/>
      </c>
      <c r="L46" s="12">
        <f>IF($H46="",0,SUMIF(Dati!$A$2:$A$761,$H46,Dati!$B$2:$B$761)+SUMIF(Dati!$H$2:$H$761,$H46,Dati!$I$2:$I$761))</f>
        <v/>
      </c>
      <c r="M46" s="12">
        <f>IF($H46="",0,SUMIF(Dati!$A$2:$A$761,$H46,Dati!$D$2:$D$761)+SUMIF(Dati!$H$2:$H$761,$H46,Dati!$K$2:$K$761))</f>
        <v/>
      </c>
      <c r="N46" s="12">
        <f>IF($H46="",0,SUMIF(Dati!$A$2:$A$761,$H46,Dati!$C$2:$C$761)+SUMIF(Dati!$H$2:$H$761,$H46,Dati!$J$2:$J$761))</f>
        <v/>
      </c>
      <c r="O46" s="12">
        <f>IF($H46="",0,SUMIF(Dati!$A$2:$A$761,$H46,Dati!$E$2:$E$761)+SUMIF(Dati!$H$2:$H$761,$H46,Dati!$L$2:$L$761))</f>
        <v/>
      </c>
      <c r="P46" s="12">
        <f>IF($H46="",0,SUMIF(Dati!$A$2:$A$761,$H46,Dati!$F$2:$F$761)+SUMIF(Dati!$H$2:$H$761,$H46,Dati!$M$2:$M$761))</f>
        <v/>
      </c>
      <c r="Q46" s="12">
        <f>IF($H46="",0,SUMIF(Dati!$A$2:$A$761,$H46,Dati!$G$2:$G$761)+SUMIF(Dati!$H$2:$H$761,$H46,Dati!$N$2:$N$761))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IF(COUNTIFS($E$14:$E$93,$E46,$J$14:$J$93,$J46,$C$14:$C$93,"&lt;&gt;")&lt;=1,"-",SUM(AU46:BN46)&amp;"-"&amp;SUM(BQ46:CJ46))</f>
        <v/>
      </c>
      <c r="V46" s="18">
        <f>IF(COUNTIFS($E$14:$E$93,$E46,$J$14:$J$93,$J46,$C$14:$C$93,"&lt;&gt;",$ED$14:$ED$93,$ED46)&lt;=1,"-",IF(SUM(DI46:EB46)=0,0,ROUND(SUM(CM46:DF46)/SUM(DI46:EB46),3)))</f>
        <v/>
      </c>
      <c r="W46" s="18">
        <f>IF(COUNTIFS($E$14:$E$93,$E46,$J$14:$J$93,$J46,$C$14:$C$93,"&lt;&gt;",$ED$14:$ED$93,$ED46,$V$14:$V$93,$V46)&lt;=1,"-",IF(P46=0,0,ROUND(O46/P46,3)))</f>
        <v/>
      </c>
      <c r="X46" s="19">
        <f>IF($C46="","",$E46&amp;"#"&amp;COUNTIFS($E$14:$E46,$E46,$C$14:$C46,"&lt;&gt;"))</f>
        <v/>
      </c>
      <c r="Y46" s="20">
        <f>IFERROR(INDEX($H$14:$H$93,MATCH($E46&amp;"#1",$X$14:$X$93,0)),"")</f>
        <v/>
      </c>
      <c r="Z46" s="20">
        <f>IFERROR(INDEX($H$14:$H$93,MATCH($E46&amp;"#2",$X$14:$X$93,0)),"")</f>
        <v/>
      </c>
      <c r="AA46" s="20">
        <f>IFERROR(INDEX($H$14:$H$93,MATCH($E46&amp;"#3",$X$14:$X$93,0)),"")</f>
        <v/>
      </c>
      <c r="AB46" s="20">
        <f>IFERROR(INDEX($H$14:$H$93,MATCH($E46&amp;"#4",$X$14:$X$93,0)),"")</f>
        <v/>
      </c>
      <c r="AC46" s="20">
        <f>IFERROR(INDEX($H$14:$H$93,MATCH($E46&amp;"#5",$X$14:$X$93,0)),"")</f>
        <v/>
      </c>
      <c r="AD46" s="20">
        <f>IFERROR(INDEX($H$14:$H$93,MATCH($E46&amp;"#6",$X$14:$X$93,0)),"")</f>
        <v/>
      </c>
      <c r="AE46" s="20">
        <f>IFERROR(INDEX($H$14:$H$93,MATCH($E46&amp;"#7",$X$14:$X$93,0)),"")</f>
        <v/>
      </c>
      <c r="AF46" s="20">
        <f>IFERROR(INDEX($H$14:$H$93,MATCH($E46&amp;"#8",$X$14:$X$93,0)),"")</f>
        <v/>
      </c>
      <c r="AG46" s="20">
        <f>IFERROR(INDEX($H$14:$H$93,MATCH($E46&amp;"#9",$X$14:$X$93,0)),"")</f>
        <v/>
      </c>
      <c r="AH46" s="20">
        <f>IFERROR(INDEX($H$14:$H$93,MATCH($E46&amp;"#10",$X$14:$X$93,0)),"")</f>
        <v/>
      </c>
      <c r="AI46" s="20">
        <f>IFERROR(INDEX($H$14:$H$93,MATCH($E46&amp;"#11",$X$14:$X$93,0)),"")</f>
        <v/>
      </c>
      <c r="AJ46" s="20">
        <f>IFERROR(INDEX($H$14:$H$93,MATCH($E46&amp;"#12",$X$14:$X$93,0)),"")</f>
        <v/>
      </c>
      <c r="AK46" s="20">
        <f>IFERROR(INDEX($H$14:$H$93,MATCH($E46&amp;"#13",$X$14:$X$93,0)),"")</f>
        <v/>
      </c>
      <c r="AL46" s="20">
        <f>IFERROR(INDEX($H$14:$H$93,MATCH($E46&amp;"#14",$X$14:$X$93,0)),"")</f>
        <v/>
      </c>
      <c r="AM46" s="20">
        <f>IFERROR(INDEX($H$14:$H$93,MATCH($E46&amp;"#15",$X$14:$X$93,0)),"")</f>
        <v/>
      </c>
      <c r="AN46" s="20">
        <f>IFERROR(INDEX($H$14:$H$93,MATCH($E46&amp;"#16",$X$14:$X$93,0)),"")</f>
        <v/>
      </c>
      <c r="AO46" s="20">
        <f>IFERROR(INDEX($H$14:$H$93,MATCH($E46&amp;"#17",$X$14:$X$93,0)),"")</f>
        <v/>
      </c>
      <c r="AP46" s="20">
        <f>IFERROR(INDEX($H$14:$H$93,MATCH($E46&amp;"#18",$X$14:$X$93,0)),"")</f>
        <v/>
      </c>
      <c r="AQ46" s="20">
        <f>IFERROR(INDEX($H$14:$H$93,MATCH($E46&amp;"#19",$X$14:$X$93,0)),"")</f>
        <v/>
      </c>
      <c r="AR46" s="20">
        <f>IFERROR(INDEX($H$14:$H$93,MATCH($E46&amp;"#20",$X$14:$X$93,0)),"")</f>
        <v/>
      </c>
      <c r="AT46" s="21">
        <f>$C46</f>
        <v/>
      </c>
      <c r="AU46" s="22">
        <f>IF(AND($H46&lt;&gt;"",$Y46&lt;&gt;"",$H46&lt;&gt;$Y46,IFERROR(VLOOKUP($H46,areaCercaPuntiClassificaSquadra,3,FALSE),-1)=IFERROR(VLOOKUP($Y46,areaCercaPuntiClassificaSquadra,3,FALSE),-2)),SUMIFS(Dati!$B$2:$B$761,Dati!$A$2:$A$761,$H46,Dati!$H$2:$H$761,$Y46)+SUMIFS(Dati!$I$2:$I$761,Dati!$H$2:$H$761,$H46,Dati!$A$2:$A$761,$Y46),"-")</f>
        <v/>
      </c>
      <c r="AV46" s="22">
        <f>IF(AND($H46&lt;&gt;"",$Z46&lt;&gt;"",$H46&lt;&gt;$Z46,IFERROR(VLOOKUP($H46,areaCercaPuntiClassificaSquadra,3,FALSE),-1)=IFERROR(VLOOKUP($Z46,areaCercaPuntiClassificaSquadra,3,FALSE),-2)),SUMIFS(Dati!$B$2:$B$761,Dati!$A$2:$A$761,$H46,Dati!$H$2:$H$761,$Z46)+SUMIFS(Dati!$I$2:$I$761,Dati!$H$2:$H$761,$H46,Dati!$A$2:$A$761,$Z46),"-")</f>
        <v/>
      </c>
      <c r="AW46" s="22">
        <f>IF(AND($H46&lt;&gt;"",$AA46&lt;&gt;"",$H46&lt;&gt;$AA46,IFERROR(VLOOKUP($H46,areaCercaPuntiClassificaSquadra,3,FALSE),-1)=IFERROR(VLOOKUP($AA46,areaCercaPuntiClassificaSquadra,3,FALSE),-2)),SUMIFS(Dati!$B$2:$B$761,Dati!$A$2:$A$761,$H46,Dati!$H$2:$H$761,$AA46)+SUMIFS(Dati!$I$2:$I$761,Dati!$H$2:$H$761,$H46,Dati!$A$2:$A$761,$AA46),"-")</f>
        <v/>
      </c>
      <c r="AX46" s="22">
        <f>IF(AND($H46&lt;&gt;"",$AB46&lt;&gt;"",$H46&lt;&gt;$AB46,IFERROR(VLOOKUP($H46,areaCercaPuntiClassificaSquadra,3,FALSE),-1)=IFERROR(VLOOKUP($AB46,areaCercaPuntiClassificaSquadra,3,FALSE),-2)),SUMIFS(Dati!$B$2:$B$761,Dati!$A$2:$A$761,$H46,Dati!$H$2:$H$761,$AB46)+SUMIFS(Dati!$I$2:$I$761,Dati!$H$2:$H$761,$H46,Dati!$A$2:$A$761,$AB46),"-")</f>
        <v/>
      </c>
      <c r="AY46" s="22">
        <f>IF(AND($H46&lt;&gt;"",$AC46&lt;&gt;"",$H46&lt;&gt;$AC46,IFERROR(VLOOKUP($H46,areaCercaPuntiClassificaSquadra,3,FALSE),-1)=IFERROR(VLOOKUP($AC46,areaCercaPuntiClassificaSquadra,3,FALSE),-2)),SUMIFS(Dati!$B$2:$B$761,Dati!$A$2:$A$761,$H46,Dati!$H$2:$H$761,$AC46)+SUMIFS(Dati!$I$2:$I$761,Dati!$H$2:$H$761,$H46,Dati!$A$2:$A$761,$AC46),"-")</f>
        <v/>
      </c>
      <c r="AZ46" s="22">
        <f>IF(AND($H46&lt;&gt;"",$AD46&lt;&gt;"",$H46&lt;&gt;$AD46,IFERROR(VLOOKUP($H46,areaCercaPuntiClassificaSquadra,3,FALSE),-1)=IFERROR(VLOOKUP($AD46,areaCercaPuntiClassificaSquadra,3,FALSE),-2)),SUMIFS(Dati!$B$2:$B$761,Dati!$A$2:$A$761,$H46,Dati!$H$2:$H$761,$AD46)+SUMIFS(Dati!$I$2:$I$761,Dati!$H$2:$H$761,$H46,Dati!$A$2:$A$761,$AD46),"-")</f>
        <v/>
      </c>
      <c r="BA46" s="22">
        <f>IF(AND($H46&lt;&gt;"",$AE46&lt;&gt;"",$H46&lt;&gt;$AE46,IFERROR(VLOOKUP($H46,areaCercaPuntiClassificaSquadra,3,FALSE),-1)=IFERROR(VLOOKUP($AE46,areaCercaPuntiClassificaSquadra,3,FALSE),-2)),SUMIFS(Dati!$B$2:$B$761,Dati!$A$2:$A$761,$H46,Dati!$H$2:$H$761,$AE46)+SUMIFS(Dati!$I$2:$I$761,Dati!$H$2:$H$761,$H46,Dati!$A$2:$A$761,$AE46),"-")</f>
        <v/>
      </c>
      <c r="BB46" s="22">
        <f>IF(AND($H46&lt;&gt;"",$AF46&lt;&gt;"",$H46&lt;&gt;$AF46,IFERROR(VLOOKUP($H46,areaCercaPuntiClassificaSquadra,3,FALSE),-1)=IFERROR(VLOOKUP($AF46,areaCercaPuntiClassificaSquadra,3,FALSE),-2)),SUMIFS(Dati!$B$2:$B$761,Dati!$A$2:$A$761,$H46,Dati!$H$2:$H$761,$AF46)+SUMIFS(Dati!$I$2:$I$761,Dati!$H$2:$H$761,$H46,Dati!$A$2:$A$761,$AF46),"-")</f>
        <v/>
      </c>
      <c r="BC46" s="22">
        <f>IF(AND($H46&lt;&gt;"",$AG46&lt;&gt;"",$H46&lt;&gt;$AG46,IFERROR(VLOOKUP($H46,areaCercaPuntiClassificaSquadra,3,FALSE),-1)=IFERROR(VLOOKUP($AG46,areaCercaPuntiClassificaSquadra,3,FALSE),-2)),SUMIFS(Dati!$B$2:$B$761,Dati!$A$2:$A$761,$H46,Dati!$H$2:$H$761,$AG46)+SUMIFS(Dati!$I$2:$I$761,Dati!$H$2:$H$761,$H46,Dati!$A$2:$A$761,$AG46),"-")</f>
        <v/>
      </c>
      <c r="BD46" s="22">
        <f>IF(AND($H46&lt;&gt;"",$AH46&lt;&gt;"",$H46&lt;&gt;$AH46,IFERROR(VLOOKUP($H46,areaCercaPuntiClassificaSquadra,3,FALSE),-1)=IFERROR(VLOOKUP($AH46,areaCercaPuntiClassificaSquadra,3,FALSE),-2)),SUMIFS(Dati!$B$2:$B$761,Dati!$A$2:$A$761,$H46,Dati!$H$2:$H$761,$AH46)+SUMIFS(Dati!$I$2:$I$761,Dati!$H$2:$H$761,$H46,Dati!$A$2:$A$761,$AH46),"-")</f>
        <v/>
      </c>
      <c r="BE46" s="22">
        <f>IF(AND($H46&lt;&gt;"",$AI46&lt;&gt;"",$H46&lt;&gt;$AI46,IFERROR(VLOOKUP($H46,areaCercaPuntiClassificaSquadra,3,FALSE),-1)=IFERROR(VLOOKUP($AI46,areaCercaPuntiClassificaSquadra,3,FALSE),-2)),SUMIFS(Dati!$B$2:$B$761,Dati!$A$2:$A$761,$H46,Dati!$H$2:$H$761,$AI46)+SUMIFS(Dati!$I$2:$I$761,Dati!$H$2:$H$761,$H46,Dati!$A$2:$A$761,$AI46),"-")</f>
        <v/>
      </c>
      <c r="BF46" s="22">
        <f>IF(AND($H46&lt;&gt;"",$AJ46&lt;&gt;"",$H46&lt;&gt;$AJ46,IFERROR(VLOOKUP($H46,areaCercaPuntiClassificaSquadra,3,FALSE),-1)=IFERROR(VLOOKUP($AJ46,areaCercaPuntiClassificaSquadra,3,FALSE),-2)),SUMIFS(Dati!$B$2:$B$761,Dati!$A$2:$A$761,$H46,Dati!$H$2:$H$761,$AJ46)+SUMIFS(Dati!$I$2:$I$761,Dati!$H$2:$H$761,$H46,Dati!$A$2:$A$761,$AJ46),"-")</f>
        <v/>
      </c>
      <c r="BG46" s="22">
        <f>IF(AND($H46&lt;&gt;"",$AK46&lt;&gt;"",$H46&lt;&gt;$AK46,IFERROR(VLOOKUP($H46,areaCercaPuntiClassificaSquadra,3,FALSE),-1)=IFERROR(VLOOKUP($AK46,areaCercaPuntiClassificaSquadra,3,FALSE),-2)),SUMIFS(Dati!$B$2:$B$761,Dati!$A$2:$A$761,$H46,Dati!$H$2:$H$761,$AK46)+SUMIFS(Dati!$I$2:$I$761,Dati!$H$2:$H$761,$H46,Dati!$A$2:$A$761,$AK46),"-")</f>
        <v/>
      </c>
      <c r="BH46" s="22">
        <f>IF(AND($H46&lt;&gt;"",$AL46&lt;&gt;"",$H46&lt;&gt;$AL46,IFERROR(VLOOKUP($H46,areaCercaPuntiClassificaSquadra,3,FALSE),-1)=IFERROR(VLOOKUP($AL46,areaCercaPuntiClassificaSquadra,3,FALSE),-2)),SUMIFS(Dati!$B$2:$B$761,Dati!$A$2:$A$761,$H46,Dati!$H$2:$H$761,$AL46)+SUMIFS(Dati!$I$2:$I$761,Dati!$H$2:$H$761,$H46,Dati!$A$2:$A$761,$AL46),"-")</f>
        <v/>
      </c>
      <c r="BI46" s="22">
        <f>IF(AND($H46&lt;&gt;"",$AM46&lt;&gt;"",$H46&lt;&gt;$AM46,IFERROR(VLOOKUP($H46,areaCercaPuntiClassificaSquadra,3,FALSE),-1)=IFERROR(VLOOKUP($AM46,areaCercaPuntiClassificaSquadra,3,FALSE),-2)),SUMIFS(Dati!$B$2:$B$761,Dati!$A$2:$A$761,$H46,Dati!$H$2:$H$761,$AM46)+SUMIFS(Dati!$I$2:$I$761,Dati!$H$2:$H$761,$H46,Dati!$A$2:$A$761,$AM46),"-")</f>
        <v/>
      </c>
      <c r="BJ46" s="22">
        <f>IF(AND($H46&lt;&gt;"",$AN46&lt;&gt;"",$H46&lt;&gt;$AN46,IFERROR(VLOOKUP($H46,areaCercaPuntiClassificaSquadra,3,FALSE),-1)=IFERROR(VLOOKUP($AN46,areaCercaPuntiClassificaSquadra,3,FALSE),-2)),SUMIFS(Dati!$B$2:$B$761,Dati!$A$2:$A$761,$H46,Dati!$H$2:$H$761,$AN46)+SUMIFS(Dati!$I$2:$I$761,Dati!$H$2:$H$761,$H46,Dati!$A$2:$A$761,$AN46),"-")</f>
        <v/>
      </c>
      <c r="BK46" s="22">
        <f>IF(AND($H46&lt;&gt;"",$AO46&lt;&gt;"",$H46&lt;&gt;$AO46,IFERROR(VLOOKUP($H46,areaCercaPuntiClassificaSquadra,3,FALSE),-1)=IFERROR(VLOOKUP($AO46,areaCercaPuntiClassificaSquadra,3,FALSE),-2)),SUMIFS(Dati!$B$2:$B$761,Dati!$A$2:$A$761,$H46,Dati!$H$2:$H$761,$AO46)+SUMIFS(Dati!$I$2:$I$761,Dati!$H$2:$H$761,$H46,Dati!$A$2:$A$761,$AO46),"-")</f>
        <v/>
      </c>
      <c r="BL46" s="22">
        <f>IF(AND($H46&lt;&gt;"",$AP46&lt;&gt;"",$H46&lt;&gt;$AP46,IFERROR(VLOOKUP($H46,areaCercaPuntiClassificaSquadra,3,FALSE),-1)=IFERROR(VLOOKUP($AP46,areaCercaPuntiClassificaSquadra,3,FALSE),-2)),SUMIFS(Dati!$B$2:$B$761,Dati!$A$2:$A$761,$H46,Dati!$H$2:$H$761,$AP46)+SUMIFS(Dati!$I$2:$I$761,Dati!$H$2:$H$761,$H46,Dati!$A$2:$A$761,$AP46),"-")</f>
        <v/>
      </c>
      <c r="BM46" s="22">
        <f>IF(AND($H46&lt;&gt;"",$AQ46&lt;&gt;"",$H46&lt;&gt;$AQ46,IFERROR(VLOOKUP($H46,areaCercaPuntiClassificaSquadra,3,FALSE),-1)=IFERROR(VLOOKUP($AQ46,areaCercaPuntiClassificaSquadra,3,FALSE),-2)),SUMIFS(Dati!$B$2:$B$761,Dati!$A$2:$A$761,$H46,Dati!$H$2:$H$761,$AQ46)+SUMIFS(Dati!$I$2:$I$761,Dati!$H$2:$H$761,$H46,Dati!$A$2:$A$761,$AQ46),"-")</f>
        <v/>
      </c>
      <c r="BN46" s="22">
        <f>IF(AND($H46&lt;&gt;"",$AR46&lt;&gt;"",$H46&lt;&gt;$AR46,IFERROR(VLOOKUP($H46,areaCercaPuntiClassificaSquadra,3,FALSE),-1)=IFERROR(VLOOKUP($AR46,areaCercaPuntiClassificaSquadra,3,FALSE),-2)),SUMIFS(Dati!$B$2:$B$761,Dati!$A$2:$A$761,$H46,Dati!$H$2:$H$761,$AR46)+SUMIFS(Dati!$I$2:$I$761,Dati!$H$2:$H$761,$H46,Dati!$A$2:$A$761,$AR46),"-")</f>
        <v/>
      </c>
      <c r="BP46" s="21">
        <f>$C46</f>
        <v/>
      </c>
      <c r="BQ46" s="22">
        <f>IF(AND($H46&lt;&gt;"",$Y46&lt;&gt;"",$H46&lt;&gt;$Y46,IFERROR(VLOOKUP($H46,areaCercaPuntiClassificaSquadra,3,FALSE),-1)=IFERROR(VLOOKUP($Y46,areaCercaPuntiClassificaSquadra,3,FALSE),-2)),SUMIFS(Dati!$D$2:$D$761,Dati!$A$2:$A$761,$H46,Dati!$H$2:$H$761,$Y46)+SUMIFS(Dati!$K$2:$K$761,Dati!$H$2:$H$761,$H46,Dati!$A$2:$A$761,$Y46)+SUMIFS(Dati!$C$2:$C$761,Dati!$A$2:$A$761,$H46,Dati!$H$2:$H$761,$Y46)+SUMIFS(Dati!$J$2:$J$761,Dati!$H$2:$H$761,$H46,Dati!$A$2:$A$761,$Y46),"-")</f>
        <v/>
      </c>
      <c r="BR46" s="22">
        <f>IF(AND($H46&lt;&gt;"",$Z46&lt;&gt;"",$H46&lt;&gt;$Z46,IFERROR(VLOOKUP($H46,areaCercaPuntiClassificaSquadra,3,FALSE),-1)=IFERROR(VLOOKUP($Z46,areaCercaPuntiClassificaSquadra,3,FALSE),-2)),SUMIFS(Dati!$D$2:$D$761,Dati!$A$2:$A$761,$H46,Dati!$H$2:$H$761,$Z46)+SUMIFS(Dati!$K$2:$K$761,Dati!$H$2:$H$761,$H46,Dati!$A$2:$A$761,$Z46)+SUMIFS(Dati!$C$2:$C$761,Dati!$A$2:$A$761,$H46,Dati!$H$2:$H$761,$Z46)+SUMIFS(Dati!$J$2:$J$761,Dati!$H$2:$H$761,$H46,Dati!$A$2:$A$761,$Z46),"-")</f>
        <v/>
      </c>
      <c r="BS46" s="22">
        <f>IF(AND($H46&lt;&gt;"",$AA46&lt;&gt;"",$H46&lt;&gt;$AA46,IFERROR(VLOOKUP($H46,areaCercaPuntiClassificaSquadra,3,FALSE),-1)=IFERROR(VLOOKUP($AA46,areaCercaPuntiClassificaSquadra,3,FALSE),-2)),SUMIFS(Dati!$D$2:$D$761,Dati!$A$2:$A$761,$H46,Dati!$H$2:$H$761,$AA46)+SUMIFS(Dati!$K$2:$K$761,Dati!$H$2:$H$761,$H46,Dati!$A$2:$A$761,$AA46)+SUMIFS(Dati!$C$2:$C$761,Dati!$A$2:$A$761,$H46,Dati!$H$2:$H$761,$AA46)+SUMIFS(Dati!$J$2:$J$761,Dati!$H$2:$H$761,$H46,Dati!$A$2:$A$761,$AA46),"-")</f>
        <v/>
      </c>
      <c r="BT46" s="22">
        <f>IF(AND($H46&lt;&gt;"",$AB46&lt;&gt;"",$H46&lt;&gt;$AB46,IFERROR(VLOOKUP($H46,areaCercaPuntiClassificaSquadra,3,FALSE),-1)=IFERROR(VLOOKUP($AB46,areaCercaPuntiClassificaSquadra,3,FALSE),-2)),SUMIFS(Dati!$D$2:$D$761,Dati!$A$2:$A$761,$H46,Dati!$H$2:$H$761,$AB46)+SUMIFS(Dati!$K$2:$K$761,Dati!$H$2:$H$761,$H46,Dati!$A$2:$A$761,$AB46)+SUMIFS(Dati!$C$2:$C$761,Dati!$A$2:$A$761,$H46,Dati!$H$2:$H$761,$AB46)+SUMIFS(Dati!$J$2:$J$761,Dati!$H$2:$H$761,$H46,Dati!$A$2:$A$761,$AB46),"-")</f>
        <v/>
      </c>
      <c r="BU46" s="22">
        <f>IF(AND($H46&lt;&gt;"",$AC46&lt;&gt;"",$H46&lt;&gt;$AC46,IFERROR(VLOOKUP($H46,areaCercaPuntiClassificaSquadra,3,FALSE),-1)=IFERROR(VLOOKUP($AC46,areaCercaPuntiClassificaSquadra,3,FALSE),-2)),SUMIFS(Dati!$D$2:$D$761,Dati!$A$2:$A$761,$H46,Dati!$H$2:$H$761,$AC46)+SUMIFS(Dati!$K$2:$K$761,Dati!$H$2:$H$761,$H46,Dati!$A$2:$A$761,$AC46)+SUMIFS(Dati!$C$2:$C$761,Dati!$A$2:$A$761,$H46,Dati!$H$2:$H$761,$AC46)+SUMIFS(Dati!$J$2:$J$761,Dati!$H$2:$H$761,$H46,Dati!$A$2:$A$761,$AC46),"-")</f>
        <v/>
      </c>
      <c r="BV46" s="22">
        <f>IF(AND($H46&lt;&gt;"",$AD46&lt;&gt;"",$H46&lt;&gt;$AD46,IFERROR(VLOOKUP($H46,areaCercaPuntiClassificaSquadra,3,FALSE),-1)=IFERROR(VLOOKUP($AD46,areaCercaPuntiClassificaSquadra,3,FALSE),-2)),SUMIFS(Dati!$D$2:$D$761,Dati!$A$2:$A$761,$H46,Dati!$H$2:$H$761,$AD46)+SUMIFS(Dati!$K$2:$K$761,Dati!$H$2:$H$761,$H46,Dati!$A$2:$A$761,$AD46)+SUMIFS(Dati!$C$2:$C$761,Dati!$A$2:$A$761,$H46,Dati!$H$2:$H$761,$AD46)+SUMIFS(Dati!$J$2:$J$761,Dati!$H$2:$H$761,$H46,Dati!$A$2:$A$761,$AD46),"-")</f>
        <v/>
      </c>
      <c r="BW46" s="22">
        <f>IF(AND($H46&lt;&gt;"",$AE46&lt;&gt;"",$H46&lt;&gt;$AE46,IFERROR(VLOOKUP($H46,areaCercaPuntiClassificaSquadra,3,FALSE),-1)=IFERROR(VLOOKUP($AE46,areaCercaPuntiClassificaSquadra,3,FALSE),-2)),SUMIFS(Dati!$D$2:$D$761,Dati!$A$2:$A$761,$H46,Dati!$H$2:$H$761,$AE46)+SUMIFS(Dati!$K$2:$K$761,Dati!$H$2:$H$761,$H46,Dati!$A$2:$A$761,$AE46)+SUMIFS(Dati!$C$2:$C$761,Dati!$A$2:$A$761,$H46,Dati!$H$2:$H$761,$AE46)+SUMIFS(Dati!$J$2:$J$761,Dati!$H$2:$H$761,$H46,Dati!$A$2:$A$761,$AE46),"-")</f>
        <v/>
      </c>
      <c r="BX46" s="22">
        <f>IF(AND($H46&lt;&gt;"",$AF46&lt;&gt;"",$H46&lt;&gt;$AF46,IFERROR(VLOOKUP($H46,areaCercaPuntiClassificaSquadra,3,FALSE),-1)=IFERROR(VLOOKUP($AF46,areaCercaPuntiClassificaSquadra,3,FALSE),-2)),SUMIFS(Dati!$D$2:$D$761,Dati!$A$2:$A$761,$H46,Dati!$H$2:$H$761,$AF46)+SUMIFS(Dati!$K$2:$K$761,Dati!$H$2:$H$761,$H46,Dati!$A$2:$A$761,$AF46)+SUMIFS(Dati!$C$2:$C$761,Dati!$A$2:$A$761,$H46,Dati!$H$2:$H$761,$AF46)+SUMIFS(Dati!$J$2:$J$761,Dati!$H$2:$H$761,$H46,Dati!$A$2:$A$761,$AF46),"-")</f>
        <v/>
      </c>
      <c r="BY46" s="22">
        <f>IF(AND($H46&lt;&gt;"",$AG46&lt;&gt;"",$H46&lt;&gt;$AG46,IFERROR(VLOOKUP($H46,areaCercaPuntiClassificaSquadra,3,FALSE),-1)=IFERROR(VLOOKUP($AG46,areaCercaPuntiClassificaSquadra,3,FALSE),-2)),SUMIFS(Dati!$D$2:$D$761,Dati!$A$2:$A$761,$H46,Dati!$H$2:$H$761,$AG46)+SUMIFS(Dati!$K$2:$K$761,Dati!$H$2:$H$761,$H46,Dati!$A$2:$A$761,$AG46)+SUMIFS(Dati!$C$2:$C$761,Dati!$A$2:$A$761,$H46,Dati!$H$2:$H$761,$AG46)+SUMIFS(Dati!$J$2:$J$761,Dati!$H$2:$H$761,$H46,Dati!$A$2:$A$761,$AG46),"-")</f>
        <v/>
      </c>
      <c r="BZ46" s="22">
        <f>IF(AND($H46&lt;&gt;"",$AH46&lt;&gt;"",$H46&lt;&gt;$AH46,IFERROR(VLOOKUP($H46,areaCercaPuntiClassificaSquadra,3,FALSE),-1)=IFERROR(VLOOKUP($AH46,areaCercaPuntiClassificaSquadra,3,FALSE),-2)),SUMIFS(Dati!$D$2:$D$761,Dati!$A$2:$A$761,$H46,Dati!$H$2:$H$761,$AH46)+SUMIFS(Dati!$K$2:$K$761,Dati!$H$2:$H$761,$H46,Dati!$A$2:$A$761,$AH46)+SUMIFS(Dati!$C$2:$C$761,Dati!$A$2:$A$761,$H46,Dati!$H$2:$H$761,$AH46)+SUMIFS(Dati!$J$2:$J$761,Dati!$H$2:$H$761,$H46,Dati!$A$2:$A$761,$AH46),"-")</f>
        <v/>
      </c>
      <c r="CA46" s="22">
        <f>IF(AND($H46&lt;&gt;"",$AI46&lt;&gt;"",$H46&lt;&gt;$AI46,IFERROR(VLOOKUP($H46,areaCercaPuntiClassificaSquadra,3,FALSE),-1)=IFERROR(VLOOKUP($AI46,areaCercaPuntiClassificaSquadra,3,FALSE),-2)),SUMIFS(Dati!$D$2:$D$761,Dati!$A$2:$A$761,$H46,Dati!$H$2:$H$761,$AI46)+SUMIFS(Dati!$K$2:$K$761,Dati!$H$2:$H$761,$H46,Dati!$A$2:$A$761,$AI46)+SUMIFS(Dati!$C$2:$C$761,Dati!$A$2:$A$761,$H46,Dati!$H$2:$H$761,$AI46)+SUMIFS(Dati!$J$2:$J$761,Dati!$H$2:$H$761,$H46,Dati!$A$2:$A$761,$AI46),"-")</f>
        <v/>
      </c>
      <c r="CB46" s="22">
        <f>IF(AND($H46&lt;&gt;"",$AJ46&lt;&gt;"",$H46&lt;&gt;$AJ46,IFERROR(VLOOKUP($H46,areaCercaPuntiClassificaSquadra,3,FALSE),-1)=IFERROR(VLOOKUP($AJ46,areaCercaPuntiClassificaSquadra,3,FALSE),-2)),SUMIFS(Dati!$D$2:$D$761,Dati!$A$2:$A$761,$H46,Dati!$H$2:$H$761,$AJ46)+SUMIFS(Dati!$K$2:$K$761,Dati!$H$2:$H$761,$H46,Dati!$A$2:$A$761,$AJ46)+SUMIFS(Dati!$C$2:$C$761,Dati!$A$2:$A$761,$H46,Dati!$H$2:$H$761,$AJ46)+SUMIFS(Dati!$J$2:$J$761,Dati!$H$2:$H$761,$H46,Dati!$A$2:$A$761,$AJ46),"-")</f>
        <v/>
      </c>
      <c r="CC46" s="22">
        <f>IF(AND($H46&lt;&gt;"",$AK46&lt;&gt;"",$H46&lt;&gt;$AK46,IFERROR(VLOOKUP($H46,areaCercaPuntiClassificaSquadra,3,FALSE),-1)=IFERROR(VLOOKUP($AK46,areaCercaPuntiClassificaSquadra,3,FALSE),-2)),SUMIFS(Dati!$D$2:$D$761,Dati!$A$2:$A$761,$H46,Dati!$H$2:$H$761,$AK46)+SUMIFS(Dati!$K$2:$K$761,Dati!$H$2:$H$761,$H46,Dati!$A$2:$A$761,$AK46)+SUMIFS(Dati!$C$2:$C$761,Dati!$A$2:$A$761,$H46,Dati!$H$2:$H$761,$AK46)+SUMIFS(Dati!$J$2:$J$761,Dati!$H$2:$H$761,$H46,Dati!$A$2:$A$761,$AK46),"-")</f>
        <v/>
      </c>
      <c r="CD46" s="22">
        <f>IF(AND($H46&lt;&gt;"",$AL46&lt;&gt;"",$H46&lt;&gt;$AL46,IFERROR(VLOOKUP($H46,areaCercaPuntiClassificaSquadra,3,FALSE),-1)=IFERROR(VLOOKUP($AL46,areaCercaPuntiClassificaSquadra,3,FALSE),-2)),SUMIFS(Dati!$D$2:$D$761,Dati!$A$2:$A$761,$H46,Dati!$H$2:$H$761,$AL46)+SUMIFS(Dati!$K$2:$K$761,Dati!$H$2:$H$761,$H46,Dati!$A$2:$A$761,$AL46)+SUMIFS(Dati!$C$2:$C$761,Dati!$A$2:$A$761,$H46,Dati!$H$2:$H$761,$AL46)+SUMIFS(Dati!$J$2:$J$761,Dati!$H$2:$H$761,$H46,Dati!$A$2:$A$761,$AL46),"-")</f>
        <v/>
      </c>
      <c r="CE46" s="22">
        <f>IF(AND($H46&lt;&gt;"",$AM46&lt;&gt;"",$H46&lt;&gt;$AM46,IFERROR(VLOOKUP($H46,areaCercaPuntiClassificaSquadra,3,FALSE),-1)=IFERROR(VLOOKUP($AM46,areaCercaPuntiClassificaSquadra,3,FALSE),-2)),SUMIFS(Dati!$D$2:$D$761,Dati!$A$2:$A$761,$H46,Dati!$H$2:$H$761,$AM46)+SUMIFS(Dati!$K$2:$K$761,Dati!$H$2:$H$761,$H46,Dati!$A$2:$A$761,$AM46)+SUMIFS(Dati!$C$2:$C$761,Dati!$A$2:$A$761,$H46,Dati!$H$2:$H$761,$AM46)+SUMIFS(Dati!$J$2:$J$761,Dati!$H$2:$H$761,$H46,Dati!$A$2:$A$761,$AM46),"-")</f>
        <v/>
      </c>
      <c r="CF46" s="22">
        <f>IF(AND($H46&lt;&gt;"",$AN46&lt;&gt;"",$H46&lt;&gt;$AN46,IFERROR(VLOOKUP($H46,areaCercaPuntiClassificaSquadra,3,FALSE),-1)=IFERROR(VLOOKUP($AN46,areaCercaPuntiClassificaSquadra,3,FALSE),-2)),SUMIFS(Dati!$D$2:$D$761,Dati!$A$2:$A$761,$H46,Dati!$H$2:$H$761,$AN46)+SUMIFS(Dati!$K$2:$K$761,Dati!$H$2:$H$761,$H46,Dati!$A$2:$A$761,$AN46)+SUMIFS(Dati!$C$2:$C$761,Dati!$A$2:$A$761,$H46,Dati!$H$2:$H$761,$AN46)+SUMIFS(Dati!$J$2:$J$761,Dati!$H$2:$H$761,$H46,Dati!$A$2:$A$761,$AN46),"-")</f>
        <v/>
      </c>
      <c r="CG46" s="22">
        <f>IF(AND($H46&lt;&gt;"",$AO46&lt;&gt;"",$H46&lt;&gt;$AO46,IFERROR(VLOOKUP($H46,areaCercaPuntiClassificaSquadra,3,FALSE),-1)=IFERROR(VLOOKUP($AO46,areaCercaPuntiClassificaSquadra,3,FALSE),-2)),SUMIFS(Dati!$D$2:$D$761,Dati!$A$2:$A$761,$H46,Dati!$H$2:$H$761,$AO46)+SUMIFS(Dati!$K$2:$K$761,Dati!$H$2:$H$761,$H46,Dati!$A$2:$A$761,$AO46)+SUMIFS(Dati!$C$2:$C$761,Dati!$A$2:$A$761,$H46,Dati!$H$2:$H$761,$AO46)+SUMIFS(Dati!$J$2:$J$761,Dati!$H$2:$H$761,$H46,Dati!$A$2:$A$761,$AO46),"-")</f>
        <v/>
      </c>
      <c r="CH46" s="22">
        <f>IF(AND($H46&lt;&gt;"",$AP46&lt;&gt;"",$H46&lt;&gt;$AP46,IFERROR(VLOOKUP($H46,areaCercaPuntiClassificaSquadra,3,FALSE),-1)=IFERROR(VLOOKUP($AP46,areaCercaPuntiClassificaSquadra,3,FALSE),-2)),SUMIFS(Dati!$D$2:$D$761,Dati!$A$2:$A$761,$H46,Dati!$H$2:$H$761,$AP46)+SUMIFS(Dati!$K$2:$K$761,Dati!$H$2:$H$761,$H46,Dati!$A$2:$A$761,$AP46)+SUMIFS(Dati!$C$2:$C$761,Dati!$A$2:$A$761,$H46,Dati!$H$2:$H$761,$AP46)+SUMIFS(Dati!$J$2:$J$761,Dati!$H$2:$H$761,$H46,Dati!$A$2:$A$761,$AP46),"-")</f>
        <v/>
      </c>
      <c r="CI46" s="22">
        <f>IF(AND($H46&lt;&gt;"",$AQ46&lt;&gt;"",$H46&lt;&gt;$AQ46,IFERROR(VLOOKUP($H46,areaCercaPuntiClassificaSquadra,3,FALSE),-1)=IFERROR(VLOOKUP($AQ46,areaCercaPuntiClassificaSquadra,3,FALSE),-2)),SUMIFS(Dati!$D$2:$D$761,Dati!$A$2:$A$761,$H46,Dati!$H$2:$H$761,$AQ46)+SUMIFS(Dati!$K$2:$K$761,Dati!$H$2:$H$761,$H46,Dati!$A$2:$A$761,$AQ46)+SUMIFS(Dati!$C$2:$C$761,Dati!$A$2:$A$761,$H46,Dati!$H$2:$H$761,$AQ46)+SUMIFS(Dati!$J$2:$J$761,Dati!$H$2:$H$761,$H46,Dati!$A$2:$A$761,$AQ46),"-")</f>
        <v/>
      </c>
      <c r="CJ46" s="22">
        <f>IF(AND($H46&lt;&gt;"",$AR46&lt;&gt;"",$H46&lt;&gt;$AR46,IFERROR(VLOOKUP($H46,areaCercaPuntiClassificaSquadra,3,FALSE),-1)=IFERROR(VLOOKUP($AR46,areaCercaPuntiClassificaSquadra,3,FALSE),-2)),SUMIFS(Dati!$D$2:$D$761,Dati!$A$2:$A$761,$H46,Dati!$H$2:$H$761,$AR46)+SUMIFS(Dati!$K$2:$K$761,Dati!$H$2:$H$761,$H46,Dati!$A$2:$A$761,$AR46)+SUMIFS(Dati!$C$2:$C$761,Dati!$A$2:$A$761,$H46,Dati!$H$2:$H$761,$AR46)+SUMIFS(Dati!$J$2:$J$761,Dati!$H$2:$H$761,$H46,Dati!$A$2:$A$761,$AR46),"-")</f>
        <v/>
      </c>
      <c r="CL46" s="21">
        <f>$C46</f>
        <v/>
      </c>
      <c r="CM46" s="22">
        <f>IF(AND($H46&lt;&gt;"",$Y46&lt;&gt;"",$H46&lt;&gt;$Y46,IFERROR(VLOOKUP($H46,areaCercaPuntiClassificaSquadra,3,FALSE),-1)=IFERROR(VLOOKUP($Y46,areaCercaPuntiClassificaSquadra,3,FALSE),-2)),SUMIFS(Dati!$E$2:$E$761,Dati!$A$2:$A$761,$H46,Dati!$H$2:$H$761,$Y46)+SUMIFS(Dati!$L$2:$L$761,Dati!$H$2:$H$761,$H46,Dati!$A$2:$A$761,$Y46),"-")</f>
        <v/>
      </c>
      <c r="CN46" s="22">
        <f>IF(AND($H46&lt;&gt;"",$Z46&lt;&gt;"",$H46&lt;&gt;$Z46,IFERROR(VLOOKUP($H46,areaCercaPuntiClassificaSquadra,3,FALSE),-1)=IFERROR(VLOOKUP($Z46,areaCercaPuntiClassificaSquadra,3,FALSE),-2)),SUMIFS(Dati!$E$2:$E$761,Dati!$A$2:$A$761,$H46,Dati!$H$2:$H$761,$Z46)+SUMIFS(Dati!$L$2:$L$761,Dati!$H$2:$H$761,$H46,Dati!$A$2:$A$761,$Z46),"-")</f>
        <v/>
      </c>
      <c r="CO46" s="22">
        <f>IF(AND($H46&lt;&gt;"",$AA46&lt;&gt;"",$H46&lt;&gt;$AA46,IFERROR(VLOOKUP($H46,areaCercaPuntiClassificaSquadra,3,FALSE),-1)=IFERROR(VLOOKUP($AA46,areaCercaPuntiClassificaSquadra,3,FALSE),-2)),SUMIFS(Dati!$E$2:$E$761,Dati!$A$2:$A$761,$H46,Dati!$H$2:$H$761,$AA46)+SUMIFS(Dati!$L$2:$L$761,Dati!$H$2:$H$761,$H46,Dati!$A$2:$A$761,$AA46),"-")</f>
        <v/>
      </c>
      <c r="CP46" s="22">
        <f>IF(AND($H46&lt;&gt;"",$AB46&lt;&gt;"",$H46&lt;&gt;$AB46,IFERROR(VLOOKUP($H46,areaCercaPuntiClassificaSquadra,3,FALSE),-1)=IFERROR(VLOOKUP($AB46,areaCercaPuntiClassificaSquadra,3,FALSE),-2)),SUMIFS(Dati!$E$2:$E$761,Dati!$A$2:$A$761,$H46,Dati!$H$2:$H$761,$AB46)+SUMIFS(Dati!$L$2:$L$761,Dati!$H$2:$H$761,$H46,Dati!$A$2:$A$761,$AB46),"-")</f>
        <v/>
      </c>
      <c r="CQ46" s="22">
        <f>IF(AND($H46&lt;&gt;"",$AC46&lt;&gt;"",$H46&lt;&gt;$AC46,IFERROR(VLOOKUP($H46,areaCercaPuntiClassificaSquadra,3,FALSE),-1)=IFERROR(VLOOKUP($AC46,areaCercaPuntiClassificaSquadra,3,FALSE),-2)),SUMIFS(Dati!$E$2:$E$761,Dati!$A$2:$A$761,$H46,Dati!$H$2:$H$761,$AC46)+SUMIFS(Dati!$L$2:$L$761,Dati!$H$2:$H$761,$H46,Dati!$A$2:$A$761,$AC46),"-")</f>
        <v/>
      </c>
      <c r="CR46" s="22">
        <f>IF(AND($H46&lt;&gt;"",$AD46&lt;&gt;"",$H46&lt;&gt;$AD46,IFERROR(VLOOKUP($H46,areaCercaPuntiClassificaSquadra,3,FALSE),-1)=IFERROR(VLOOKUP($AD46,areaCercaPuntiClassificaSquadra,3,FALSE),-2)),SUMIFS(Dati!$E$2:$E$761,Dati!$A$2:$A$761,$H46,Dati!$H$2:$H$761,$AD46)+SUMIFS(Dati!$L$2:$L$761,Dati!$H$2:$H$761,$H46,Dati!$A$2:$A$761,$AD46),"-")</f>
        <v/>
      </c>
      <c r="CS46" s="22">
        <f>IF(AND($H46&lt;&gt;"",$AE46&lt;&gt;"",$H46&lt;&gt;$AE46,IFERROR(VLOOKUP($H46,areaCercaPuntiClassificaSquadra,3,FALSE),-1)=IFERROR(VLOOKUP($AE46,areaCercaPuntiClassificaSquadra,3,FALSE),-2)),SUMIFS(Dati!$E$2:$E$761,Dati!$A$2:$A$761,$H46,Dati!$H$2:$H$761,$AE46)+SUMIFS(Dati!$L$2:$L$761,Dati!$H$2:$H$761,$H46,Dati!$A$2:$A$761,$AE46),"-")</f>
        <v/>
      </c>
      <c r="CT46" s="22">
        <f>IF(AND($H46&lt;&gt;"",$AF46&lt;&gt;"",$H46&lt;&gt;$AF46,IFERROR(VLOOKUP($H46,areaCercaPuntiClassificaSquadra,3,FALSE),-1)=IFERROR(VLOOKUP($AF46,areaCercaPuntiClassificaSquadra,3,FALSE),-2)),SUMIFS(Dati!$E$2:$E$761,Dati!$A$2:$A$761,$H46,Dati!$H$2:$H$761,$AF46)+SUMIFS(Dati!$L$2:$L$761,Dati!$H$2:$H$761,$H46,Dati!$A$2:$A$761,$AF46),"-")</f>
        <v/>
      </c>
      <c r="CU46" s="22">
        <f>IF(AND($H46&lt;&gt;"",$AG46&lt;&gt;"",$H46&lt;&gt;$AG46,IFERROR(VLOOKUP($H46,areaCercaPuntiClassificaSquadra,3,FALSE),-1)=IFERROR(VLOOKUP($AG46,areaCercaPuntiClassificaSquadra,3,FALSE),-2)),SUMIFS(Dati!$E$2:$E$761,Dati!$A$2:$A$761,$H46,Dati!$H$2:$H$761,$AG46)+SUMIFS(Dati!$L$2:$L$761,Dati!$H$2:$H$761,$H46,Dati!$A$2:$A$761,$AG46),"-")</f>
        <v/>
      </c>
      <c r="CV46" s="22">
        <f>IF(AND($H46&lt;&gt;"",$AH46&lt;&gt;"",$H46&lt;&gt;$AH46,IFERROR(VLOOKUP($H46,areaCercaPuntiClassificaSquadra,3,FALSE),-1)=IFERROR(VLOOKUP($AH46,areaCercaPuntiClassificaSquadra,3,FALSE),-2)),SUMIFS(Dati!$E$2:$E$761,Dati!$A$2:$A$761,$H46,Dati!$H$2:$H$761,$AH46)+SUMIFS(Dati!$L$2:$L$761,Dati!$H$2:$H$761,$H46,Dati!$A$2:$A$761,$AH46),"-")</f>
        <v/>
      </c>
      <c r="CW46" s="22">
        <f>IF(AND($H46&lt;&gt;"",$AI46&lt;&gt;"",$H46&lt;&gt;$AI46,IFERROR(VLOOKUP($H46,areaCercaPuntiClassificaSquadra,3,FALSE),-1)=IFERROR(VLOOKUP($AI46,areaCercaPuntiClassificaSquadra,3,FALSE),-2)),SUMIFS(Dati!$E$2:$E$761,Dati!$A$2:$A$761,$H46,Dati!$H$2:$H$761,$AI46)+SUMIFS(Dati!$L$2:$L$761,Dati!$H$2:$H$761,$H46,Dati!$A$2:$A$761,$AI46),"-")</f>
        <v/>
      </c>
      <c r="CX46" s="22">
        <f>IF(AND($H46&lt;&gt;"",$AJ46&lt;&gt;"",$H46&lt;&gt;$AJ46,IFERROR(VLOOKUP($H46,areaCercaPuntiClassificaSquadra,3,FALSE),-1)=IFERROR(VLOOKUP($AJ46,areaCercaPuntiClassificaSquadra,3,FALSE),-2)),SUMIFS(Dati!$E$2:$E$761,Dati!$A$2:$A$761,$H46,Dati!$H$2:$H$761,$AJ46)+SUMIFS(Dati!$L$2:$L$761,Dati!$H$2:$H$761,$H46,Dati!$A$2:$A$761,$AJ46),"-")</f>
        <v/>
      </c>
      <c r="CY46" s="22">
        <f>IF(AND($H46&lt;&gt;"",$AK46&lt;&gt;"",$H46&lt;&gt;$AK46,IFERROR(VLOOKUP($H46,areaCercaPuntiClassificaSquadra,3,FALSE),-1)=IFERROR(VLOOKUP($AK46,areaCercaPuntiClassificaSquadra,3,FALSE),-2)),SUMIFS(Dati!$E$2:$E$761,Dati!$A$2:$A$761,$H46,Dati!$H$2:$H$761,$AK46)+SUMIFS(Dati!$L$2:$L$761,Dati!$H$2:$H$761,$H46,Dati!$A$2:$A$761,$AK46),"-")</f>
        <v/>
      </c>
      <c r="CZ46" s="22">
        <f>IF(AND($H46&lt;&gt;"",$AL46&lt;&gt;"",$H46&lt;&gt;$AL46,IFERROR(VLOOKUP($H46,areaCercaPuntiClassificaSquadra,3,FALSE),-1)=IFERROR(VLOOKUP($AL46,areaCercaPuntiClassificaSquadra,3,FALSE),-2)),SUMIFS(Dati!$E$2:$E$761,Dati!$A$2:$A$761,$H46,Dati!$H$2:$H$761,$AL46)+SUMIFS(Dati!$L$2:$L$761,Dati!$H$2:$H$761,$H46,Dati!$A$2:$A$761,$AL46),"-")</f>
        <v/>
      </c>
      <c r="DA46" s="22">
        <f>IF(AND($H46&lt;&gt;"",$AM46&lt;&gt;"",$H46&lt;&gt;$AM46,IFERROR(VLOOKUP($H46,areaCercaPuntiClassificaSquadra,3,FALSE),-1)=IFERROR(VLOOKUP($AM46,areaCercaPuntiClassificaSquadra,3,FALSE),-2)),SUMIFS(Dati!$E$2:$E$761,Dati!$A$2:$A$761,$H46,Dati!$H$2:$H$761,$AM46)+SUMIFS(Dati!$L$2:$L$761,Dati!$H$2:$H$761,$H46,Dati!$A$2:$A$761,$AM46),"-")</f>
        <v/>
      </c>
      <c r="DB46" s="22">
        <f>IF(AND($H46&lt;&gt;"",$AN46&lt;&gt;"",$H46&lt;&gt;$AN46,IFERROR(VLOOKUP($H46,areaCercaPuntiClassificaSquadra,3,FALSE),-1)=IFERROR(VLOOKUP($AN46,areaCercaPuntiClassificaSquadra,3,FALSE),-2)),SUMIFS(Dati!$E$2:$E$761,Dati!$A$2:$A$761,$H46,Dati!$H$2:$H$761,$AN46)+SUMIFS(Dati!$L$2:$L$761,Dati!$H$2:$H$761,$H46,Dati!$A$2:$A$761,$AN46),"-")</f>
        <v/>
      </c>
      <c r="DC46" s="22">
        <f>IF(AND($H46&lt;&gt;"",$AO46&lt;&gt;"",$H46&lt;&gt;$AO46,IFERROR(VLOOKUP($H46,areaCercaPuntiClassificaSquadra,3,FALSE),-1)=IFERROR(VLOOKUP($AO46,areaCercaPuntiClassificaSquadra,3,FALSE),-2)),SUMIFS(Dati!$E$2:$E$761,Dati!$A$2:$A$761,$H46,Dati!$H$2:$H$761,$AO46)+SUMIFS(Dati!$L$2:$L$761,Dati!$H$2:$H$761,$H46,Dati!$A$2:$A$761,$AO46),"-")</f>
        <v/>
      </c>
      <c r="DD46" s="22">
        <f>IF(AND($H46&lt;&gt;"",$AP46&lt;&gt;"",$H46&lt;&gt;$AP46,IFERROR(VLOOKUP($H46,areaCercaPuntiClassificaSquadra,3,FALSE),-1)=IFERROR(VLOOKUP($AP46,areaCercaPuntiClassificaSquadra,3,FALSE),-2)),SUMIFS(Dati!$E$2:$E$761,Dati!$A$2:$A$761,$H46,Dati!$H$2:$H$761,$AP46)+SUMIFS(Dati!$L$2:$L$761,Dati!$H$2:$H$761,$H46,Dati!$A$2:$A$761,$AP46),"-")</f>
        <v/>
      </c>
      <c r="DE46" s="22">
        <f>IF(AND($H46&lt;&gt;"",$AQ46&lt;&gt;"",$H46&lt;&gt;$AQ46,IFERROR(VLOOKUP($H46,areaCercaPuntiClassificaSquadra,3,FALSE),-1)=IFERROR(VLOOKUP($AQ46,areaCercaPuntiClassificaSquadra,3,FALSE),-2)),SUMIFS(Dati!$E$2:$E$761,Dati!$A$2:$A$761,$H46,Dati!$H$2:$H$761,$AQ46)+SUMIFS(Dati!$L$2:$L$761,Dati!$H$2:$H$761,$H46,Dati!$A$2:$A$761,$AQ46),"-")</f>
        <v/>
      </c>
      <c r="DF46" s="22">
        <f>IF(AND($H46&lt;&gt;"",$AR46&lt;&gt;"",$H46&lt;&gt;$AR46,IFERROR(VLOOKUP($H46,areaCercaPuntiClassificaSquadra,3,FALSE),-1)=IFERROR(VLOOKUP($AR46,areaCercaPuntiClassificaSquadra,3,FALSE),-2)),SUMIFS(Dati!$E$2:$E$761,Dati!$A$2:$A$761,$H46,Dati!$H$2:$H$761,$AR46)+SUMIFS(Dati!$L$2:$L$761,Dati!$H$2:$H$761,$H46,Dati!$A$2:$A$761,$AR46),"-")</f>
        <v/>
      </c>
      <c r="DH46" s="21">
        <f>$C46</f>
        <v/>
      </c>
      <c r="DI46" s="22">
        <f>IF(AND($H46&lt;&gt;"",$Y46&lt;&gt;"",$H46&lt;&gt;$Y46,IFERROR(VLOOKUP($H46,areaCercaPuntiClassificaSquadra,3,FALSE),-1)=IFERROR(VLOOKUP($Y46,areaCercaPuntiClassificaSquadra,3,FALSE),-2)),SUMIFS(Dati!$F$2:$F$761,Dati!$A$2:$A$761,$H46,Dati!$H$2:$H$761,$Y46)+SUMIFS(Dati!$M$2:$M$761,Dati!$H$2:$H$761,$H46,Dati!$A$2:$A$761,$Y46),"-")</f>
        <v/>
      </c>
      <c r="DJ46" s="22">
        <f>IF(AND($H46&lt;&gt;"",$Z46&lt;&gt;"",$H46&lt;&gt;$Z46,IFERROR(VLOOKUP($H46,areaCercaPuntiClassificaSquadra,3,FALSE),-1)=IFERROR(VLOOKUP($Z46,areaCercaPuntiClassificaSquadra,3,FALSE),-2)),SUMIFS(Dati!$F$2:$F$761,Dati!$A$2:$A$761,$H46,Dati!$H$2:$H$761,$Z46)+SUMIFS(Dati!$M$2:$M$761,Dati!$H$2:$H$761,$H46,Dati!$A$2:$A$761,$Z46),"-")</f>
        <v/>
      </c>
      <c r="DK46" s="22">
        <f>IF(AND($H46&lt;&gt;"",$AA46&lt;&gt;"",$H46&lt;&gt;$AA46,IFERROR(VLOOKUP($H46,areaCercaPuntiClassificaSquadra,3,FALSE),-1)=IFERROR(VLOOKUP($AA46,areaCercaPuntiClassificaSquadra,3,FALSE),-2)),SUMIFS(Dati!$F$2:$F$761,Dati!$A$2:$A$761,$H46,Dati!$H$2:$H$761,$AA46)+SUMIFS(Dati!$M$2:$M$761,Dati!$H$2:$H$761,$H46,Dati!$A$2:$A$761,$AA46),"-")</f>
        <v/>
      </c>
      <c r="DL46" s="22">
        <f>IF(AND($H46&lt;&gt;"",$AB46&lt;&gt;"",$H46&lt;&gt;$AB46,IFERROR(VLOOKUP($H46,areaCercaPuntiClassificaSquadra,3,FALSE),-1)=IFERROR(VLOOKUP($AB46,areaCercaPuntiClassificaSquadra,3,FALSE),-2)),SUMIFS(Dati!$F$2:$F$761,Dati!$A$2:$A$761,$H46,Dati!$H$2:$H$761,$AB46)+SUMIFS(Dati!$M$2:$M$761,Dati!$H$2:$H$761,$H46,Dati!$A$2:$A$761,$AB46),"-")</f>
        <v/>
      </c>
      <c r="DM46" s="22">
        <f>IF(AND($H46&lt;&gt;"",$AC46&lt;&gt;"",$H46&lt;&gt;$AC46,IFERROR(VLOOKUP($H46,areaCercaPuntiClassificaSquadra,3,FALSE),-1)=IFERROR(VLOOKUP($AC46,areaCercaPuntiClassificaSquadra,3,FALSE),-2)),SUMIFS(Dati!$F$2:$F$761,Dati!$A$2:$A$761,$H46,Dati!$H$2:$H$761,$AC46)+SUMIFS(Dati!$M$2:$M$761,Dati!$H$2:$H$761,$H46,Dati!$A$2:$A$761,$AC46),"-")</f>
        <v/>
      </c>
      <c r="DN46" s="22">
        <f>IF(AND($H46&lt;&gt;"",$AD46&lt;&gt;"",$H46&lt;&gt;$AD46,IFERROR(VLOOKUP($H46,areaCercaPuntiClassificaSquadra,3,FALSE),-1)=IFERROR(VLOOKUP($AD46,areaCercaPuntiClassificaSquadra,3,FALSE),-2)),SUMIFS(Dati!$F$2:$F$761,Dati!$A$2:$A$761,$H46,Dati!$H$2:$H$761,$AD46)+SUMIFS(Dati!$M$2:$M$761,Dati!$H$2:$H$761,$H46,Dati!$A$2:$A$761,$AD46),"-")</f>
        <v/>
      </c>
      <c r="DO46" s="22">
        <f>IF(AND($H46&lt;&gt;"",$AE46&lt;&gt;"",$H46&lt;&gt;$AE46,IFERROR(VLOOKUP($H46,areaCercaPuntiClassificaSquadra,3,FALSE),-1)=IFERROR(VLOOKUP($AE46,areaCercaPuntiClassificaSquadra,3,FALSE),-2)),SUMIFS(Dati!$F$2:$F$761,Dati!$A$2:$A$761,$H46,Dati!$H$2:$H$761,$AE46)+SUMIFS(Dati!$M$2:$M$761,Dati!$H$2:$H$761,$H46,Dati!$A$2:$A$761,$AE46),"-")</f>
        <v/>
      </c>
      <c r="DP46" s="22">
        <f>IF(AND($H46&lt;&gt;"",$AF46&lt;&gt;"",$H46&lt;&gt;$AF46,IFERROR(VLOOKUP($H46,areaCercaPuntiClassificaSquadra,3,FALSE),-1)=IFERROR(VLOOKUP($AF46,areaCercaPuntiClassificaSquadra,3,FALSE),-2)),SUMIFS(Dati!$F$2:$F$761,Dati!$A$2:$A$761,$H46,Dati!$H$2:$H$761,$AF46)+SUMIFS(Dati!$M$2:$M$761,Dati!$H$2:$H$761,$H46,Dati!$A$2:$A$761,$AF46),"-")</f>
        <v/>
      </c>
      <c r="DQ46" s="22">
        <f>IF(AND($H46&lt;&gt;"",$AG46&lt;&gt;"",$H46&lt;&gt;$AG46,IFERROR(VLOOKUP($H46,areaCercaPuntiClassificaSquadra,3,FALSE),-1)=IFERROR(VLOOKUP($AG46,areaCercaPuntiClassificaSquadra,3,FALSE),-2)),SUMIFS(Dati!$F$2:$F$761,Dati!$A$2:$A$761,$H46,Dati!$H$2:$H$761,$AG46)+SUMIFS(Dati!$M$2:$M$761,Dati!$H$2:$H$761,$H46,Dati!$A$2:$A$761,$AG46),"-")</f>
        <v/>
      </c>
      <c r="DR46" s="22">
        <f>IF(AND($H46&lt;&gt;"",$AH46&lt;&gt;"",$H46&lt;&gt;$AH46,IFERROR(VLOOKUP($H46,areaCercaPuntiClassificaSquadra,3,FALSE),-1)=IFERROR(VLOOKUP($AH46,areaCercaPuntiClassificaSquadra,3,FALSE),-2)),SUMIFS(Dati!$F$2:$F$761,Dati!$A$2:$A$761,$H46,Dati!$H$2:$H$761,$AH46)+SUMIFS(Dati!$M$2:$M$761,Dati!$H$2:$H$761,$H46,Dati!$A$2:$A$761,$AH46),"-")</f>
        <v/>
      </c>
      <c r="DS46" s="22">
        <f>IF(AND($H46&lt;&gt;"",$AI46&lt;&gt;"",$H46&lt;&gt;$AI46,IFERROR(VLOOKUP($H46,areaCercaPuntiClassificaSquadra,3,FALSE),-1)=IFERROR(VLOOKUP($AI46,areaCercaPuntiClassificaSquadra,3,FALSE),-2)),SUMIFS(Dati!$F$2:$F$761,Dati!$A$2:$A$761,$H46,Dati!$H$2:$H$761,$AI46)+SUMIFS(Dati!$M$2:$M$761,Dati!$H$2:$H$761,$H46,Dati!$A$2:$A$761,$AI46),"-")</f>
        <v/>
      </c>
      <c r="DT46" s="22">
        <f>IF(AND($H46&lt;&gt;"",$AJ46&lt;&gt;"",$H46&lt;&gt;$AJ46,IFERROR(VLOOKUP($H46,areaCercaPuntiClassificaSquadra,3,FALSE),-1)=IFERROR(VLOOKUP($AJ46,areaCercaPuntiClassificaSquadra,3,FALSE),-2)),SUMIFS(Dati!$F$2:$F$761,Dati!$A$2:$A$761,$H46,Dati!$H$2:$H$761,$AJ46)+SUMIFS(Dati!$M$2:$M$761,Dati!$H$2:$H$761,$H46,Dati!$A$2:$A$761,$AJ46),"-")</f>
        <v/>
      </c>
      <c r="DU46" s="22">
        <f>IF(AND($H46&lt;&gt;"",$AK46&lt;&gt;"",$H46&lt;&gt;$AK46,IFERROR(VLOOKUP($H46,areaCercaPuntiClassificaSquadra,3,FALSE),-1)=IFERROR(VLOOKUP($AK46,areaCercaPuntiClassificaSquadra,3,FALSE),-2)),SUMIFS(Dati!$F$2:$F$761,Dati!$A$2:$A$761,$H46,Dati!$H$2:$H$761,$AK46)+SUMIFS(Dati!$M$2:$M$761,Dati!$H$2:$H$761,$H46,Dati!$A$2:$A$761,$AK46),"-")</f>
        <v/>
      </c>
      <c r="DV46" s="22">
        <f>IF(AND($H46&lt;&gt;"",$AL46&lt;&gt;"",$H46&lt;&gt;$AL46,IFERROR(VLOOKUP($H46,areaCercaPuntiClassificaSquadra,3,FALSE),-1)=IFERROR(VLOOKUP($AL46,areaCercaPuntiClassificaSquadra,3,FALSE),-2)),SUMIFS(Dati!$F$2:$F$761,Dati!$A$2:$A$761,$H46,Dati!$H$2:$H$761,$AL46)+SUMIFS(Dati!$M$2:$M$761,Dati!$H$2:$H$761,$H46,Dati!$A$2:$A$761,$AL46),"-")</f>
        <v/>
      </c>
      <c r="DW46" s="22">
        <f>IF(AND($H46&lt;&gt;"",$AM46&lt;&gt;"",$H46&lt;&gt;$AM46,IFERROR(VLOOKUP($H46,areaCercaPuntiClassificaSquadra,3,FALSE),-1)=IFERROR(VLOOKUP($AM46,areaCercaPuntiClassificaSquadra,3,FALSE),-2)),SUMIFS(Dati!$F$2:$F$761,Dati!$A$2:$A$761,$H46,Dati!$H$2:$H$761,$AM46)+SUMIFS(Dati!$M$2:$M$761,Dati!$H$2:$H$761,$H46,Dati!$A$2:$A$761,$AM46),"-")</f>
        <v/>
      </c>
      <c r="DX46" s="22">
        <f>IF(AND($H46&lt;&gt;"",$AN46&lt;&gt;"",$H46&lt;&gt;$AN46,IFERROR(VLOOKUP($H46,areaCercaPuntiClassificaSquadra,3,FALSE),-1)=IFERROR(VLOOKUP($AN46,areaCercaPuntiClassificaSquadra,3,FALSE),-2)),SUMIFS(Dati!$F$2:$F$761,Dati!$A$2:$A$761,$H46,Dati!$H$2:$H$761,$AN46)+SUMIFS(Dati!$M$2:$M$761,Dati!$H$2:$H$761,$H46,Dati!$A$2:$A$761,$AN46),"-")</f>
        <v/>
      </c>
      <c r="DY46" s="22">
        <f>IF(AND($H46&lt;&gt;"",$AO46&lt;&gt;"",$H46&lt;&gt;$AO46,IFERROR(VLOOKUP($H46,areaCercaPuntiClassificaSquadra,3,FALSE),-1)=IFERROR(VLOOKUP($AO46,areaCercaPuntiClassificaSquadra,3,FALSE),-2)),SUMIFS(Dati!$F$2:$F$761,Dati!$A$2:$A$761,$H46,Dati!$H$2:$H$761,$AO46)+SUMIFS(Dati!$M$2:$M$761,Dati!$H$2:$H$761,$H46,Dati!$A$2:$A$761,$AO46),"-")</f>
        <v/>
      </c>
      <c r="DZ46" s="22">
        <f>IF(AND($H46&lt;&gt;"",$AP46&lt;&gt;"",$H46&lt;&gt;$AP46,IFERROR(VLOOKUP($H46,areaCercaPuntiClassificaSquadra,3,FALSE),-1)=IFERROR(VLOOKUP($AP46,areaCercaPuntiClassificaSquadra,3,FALSE),-2)),SUMIFS(Dati!$F$2:$F$761,Dati!$A$2:$A$761,$H46,Dati!$H$2:$H$761,$AP46)+SUMIFS(Dati!$M$2:$M$761,Dati!$H$2:$H$761,$H46,Dati!$A$2:$A$761,$AP46),"-")</f>
        <v/>
      </c>
      <c r="EA46" s="22">
        <f>IF(AND($H46&lt;&gt;"",$AQ46&lt;&gt;"",$H46&lt;&gt;$AQ46,IFERROR(VLOOKUP($H46,areaCercaPuntiClassificaSquadra,3,FALSE),-1)=IFERROR(VLOOKUP($AQ46,areaCercaPuntiClassificaSquadra,3,FALSE),-2)),SUMIFS(Dati!$F$2:$F$761,Dati!$A$2:$A$761,$H46,Dati!$H$2:$H$761,$AQ46)+SUMIFS(Dati!$M$2:$M$761,Dati!$H$2:$H$761,$H46,Dati!$A$2:$A$761,$AQ46),"-")</f>
        <v/>
      </c>
      <c r="EB46" s="22">
        <f>IF(AND($H46&lt;&gt;"",$AR46&lt;&gt;"",$H46&lt;&gt;$AR46,IFERROR(VLOOKUP($H46,areaCercaPuntiClassificaSquadra,3,FALSE),-1)=IFERROR(VLOOKUP($AR46,areaCercaPuntiClassificaSquadra,3,FALSE),-2)),SUMIFS(Dati!$F$2:$F$761,Dati!$A$2:$A$761,$H46,Dati!$H$2:$H$761,$AR46)+SUMIFS(Dati!$M$2:$M$761,Dati!$H$2:$H$761,$H46,Dati!$A$2:$A$761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inlineStr">
        <is>
          <t>Vipere Veloci-Vipereopoli VO</t>
        </is>
      </c>
      <c r="D47" s="14" t="n"/>
      <c r="E47" s="23" t="inlineStr">
        <is>
          <t>B</t>
        </is>
      </c>
      <c r="G47" s="24">
        <f>IF($C47="","",$E47&amp;(COUNTIFS(I$14:I$93,"&gt;"&amp;I47,E$14:E$93,"="&amp;E47,C$14:C$93,"&lt;&gt;")+COUNTIFS(I$14:I$93,"="&amp;I47,H$14:H$93,"&lt;="&amp;H47,E$14:E$93,"="&amp;E47,C$14:C$93,"&lt;&gt;")))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L47*constPuntiVittoria+M47*constPuntiSconfitta+N47*constPuntiForfait+IF(D47="",0,D47)</f>
        <v/>
      </c>
      <c r="K47" s="12">
        <f>SUM(L47:N47)</f>
        <v/>
      </c>
      <c r="L47" s="12">
        <f>IF($H47="",0,SUMIF(Dati!$A$2:$A$761,$H47,Dati!$B$2:$B$761)+SUMIF(Dati!$H$2:$H$761,$H47,Dati!$I$2:$I$761))</f>
        <v/>
      </c>
      <c r="M47" s="12">
        <f>IF($H47="",0,SUMIF(Dati!$A$2:$A$761,$H47,Dati!$D$2:$D$761)+SUMIF(Dati!$H$2:$H$761,$H47,Dati!$K$2:$K$761))</f>
        <v/>
      </c>
      <c r="N47" s="12">
        <f>IF($H47="",0,SUMIF(Dati!$A$2:$A$761,$H47,Dati!$C$2:$C$761)+SUMIF(Dati!$H$2:$H$761,$H47,Dati!$J$2:$J$761))</f>
        <v/>
      </c>
      <c r="O47" s="12">
        <f>IF($H47="",0,SUMIF(Dati!$A$2:$A$761,$H47,Dati!$E$2:$E$761)+SUMIF(Dati!$H$2:$H$761,$H47,Dati!$L$2:$L$761))</f>
        <v/>
      </c>
      <c r="P47" s="12">
        <f>IF($H47="",0,SUMIF(Dati!$A$2:$A$761,$H47,Dati!$F$2:$F$761)+SUMIF(Dati!$H$2:$H$761,$H47,Dati!$M$2:$M$761))</f>
        <v/>
      </c>
      <c r="Q47" s="12">
        <f>IF($H47="",0,SUMIF(Dati!$A$2:$A$761,$H47,Dati!$G$2:$G$761)+SUMIF(Dati!$H$2:$H$761,$H47,Dati!$N$2:$N$761))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IF(COUNTIFS($E$14:$E$93,$E47,$J$14:$J$93,$J47,$C$14:$C$93,"&lt;&gt;")&lt;=1,"-",SUM(AU47:BN47)&amp;"-"&amp;SUM(BQ47:CJ47))</f>
        <v/>
      </c>
      <c r="V47" s="18">
        <f>IF(COUNTIFS($E$14:$E$93,$E47,$J$14:$J$93,$J47,$C$14:$C$93,"&lt;&gt;",$ED$14:$ED$93,$ED47)&lt;=1,"-",IF(SUM(DI47:EB47)=0,0,ROUND(SUM(CM47:DF47)/SUM(DI47:EB47),3)))</f>
        <v/>
      </c>
      <c r="W47" s="18">
        <f>IF(COUNTIFS($E$14:$E$93,$E47,$J$14:$J$93,$J47,$C$14:$C$93,"&lt;&gt;",$ED$14:$ED$93,$ED47,$V$14:$V$93,$V47)&lt;=1,"-",IF(P47=0,0,ROUND(O47/P47,3)))</f>
        <v/>
      </c>
      <c r="X47" s="19">
        <f>IF($C47="","",$E47&amp;"#"&amp;COUNTIFS($E$14:$E47,$E47,$C$14:$C47,"&lt;&gt;"))</f>
        <v/>
      </c>
      <c r="Y47" s="20">
        <f>IFERROR(INDEX($H$14:$H$93,MATCH($E47&amp;"#1",$X$14:$X$93,0)),"")</f>
        <v/>
      </c>
      <c r="Z47" s="20">
        <f>IFERROR(INDEX($H$14:$H$93,MATCH($E47&amp;"#2",$X$14:$X$93,0)),"")</f>
        <v/>
      </c>
      <c r="AA47" s="20">
        <f>IFERROR(INDEX($H$14:$H$93,MATCH($E47&amp;"#3",$X$14:$X$93,0)),"")</f>
        <v/>
      </c>
      <c r="AB47" s="20">
        <f>IFERROR(INDEX($H$14:$H$93,MATCH($E47&amp;"#4",$X$14:$X$93,0)),"")</f>
        <v/>
      </c>
      <c r="AC47" s="20">
        <f>IFERROR(INDEX($H$14:$H$93,MATCH($E47&amp;"#5",$X$14:$X$93,0)),"")</f>
        <v/>
      </c>
      <c r="AD47" s="20">
        <f>IFERROR(INDEX($H$14:$H$93,MATCH($E47&amp;"#6",$X$14:$X$93,0)),"")</f>
        <v/>
      </c>
      <c r="AE47" s="20">
        <f>IFERROR(INDEX($H$14:$H$93,MATCH($E47&amp;"#7",$X$14:$X$93,0)),"")</f>
        <v/>
      </c>
      <c r="AF47" s="20">
        <f>IFERROR(INDEX($H$14:$H$93,MATCH($E47&amp;"#8",$X$14:$X$93,0)),"")</f>
        <v/>
      </c>
      <c r="AG47" s="20">
        <f>IFERROR(INDEX($H$14:$H$93,MATCH($E47&amp;"#9",$X$14:$X$93,0)),"")</f>
        <v/>
      </c>
      <c r="AH47" s="20">
        <f>IFERROR(INDEX($H$14:$H$93,MATCH($E47&amp;"#10",$X$14:$X$93,0)),"")</f>
        <v/>
      </c>
      <c r="AI47" s="20">
        <f>IFERROR(INDEX($H$14:$H$93,MATCH($E47&amp;"#11",$X$14:$X$93,0)),"")</f>
        <v/>
      </c>
      <c r="AJ47" s="20">
        <f>IFERROR(INDEX($H$14:$H$93,MATCH($E47&amp;"#12",$X$14:$X$93,0)),"")</f>
        <v/>
      </c>
      <c r="AK47" s="20">
        <f>IFERROR(INDEX($H$14:$H$93,MATCH($E47&amp;"#13",$X$14:$X$93,0)),"")</f>
        <v/>
      </c>
      <c r="AL47" s="20">
        <f>IFERROR(INDEX($H$14:$H$93,MATCH($E47&amp;"#14",$X$14:$X$93,0)),"")</f>
        <v/>
      </c>
      <c r="AM47" s="20">
        <f>IFERROR(INDEX($H$14:$H$93,MATCH($E47&amp;"#15",$X$14:$X$93,0)),"")</f>
        <v/>
      </c>
      <c r="AN47" s="20">
        <f>IFERROR(INDEX($H$14:$H$93,MATCH($E47&amp;"#16",$X$14:$X$93,0)),"")</f>
        <v/>
      </c>
      <c r="AO47" s="20">
        <f>IFERROR(INDEX($H$14:$H$93,MATCH($E47&amp;"#17",$X$14:$X$93,0)),"")</f>
        <v/>
      </c>
      <c r="AP47" s="20">
        <f>IFERROR(INDEX($H$14:$H$93,MATCH($E47&amp;"#18",$X$14:$X$93,0)),"")</f>
        <v/>
      </c>
      <c r="AQ47" s="20">
        <f>IFERROR(INDEX($H$14:$H$93,MATCH($E47&amp;"#19",$X$14:$X$93,0)),"")</f>
        <v/>
      </c>
      <c r="AR47" s="20">
        <f>IFERROR(INDEX($H$14:$H$93,MATCH($E47&amp;"#20",$X$14:$X$93,0)),"")</f>
        <v/>
      </c>
      <c r="AT47" s="21">
        <f>$C47</f>
        <v/>
      </c>
      <c r="AU47" s="22">
        <f>IF(AND($H47&lt;&gt;"",$Y47&lt;&gt;"",$H47&lt;&gt;$Y47,IFERROR(VLOOKUP($H47,areaCercaPuntiClassificaSquadra,3,FALSE),-1)=IFERROR(VLOOKUP($Y47,areaCercaPuntiClassificaSquadra,3,FALSE),-2)),SUMIFS(Dati!$B$2:$B$761,Dati!$A$2:$A$761,$H47,Dati!$H$2:$H$761,$Y47)+SUMIFS(Dati!$I$2:$I$761,Dati!$H$2:$H$761,$H47,Dati!$A$2:$A$761,$Y47),"-")</f>
        <v/>
      </c>
      <c r="AV47" s="22">
        <f>IF(AND($H47&lt;&gt;"",$Z47&lt;&gt;"",$H47&lt;&gt;$Z47,IFERROR(VLOOKUP($H47,areaCercaPuntiClassificaSquadra,3,FALSE),-1)=IFERROR(VLOOKUP($Z47,areaCercaPuntiClassificaSquadra,3,FALSE),-2)),SUMIFS(Dati!$B$2:$B$761,Dati!$A$2:$A$761,$H47,Dati!$H$2:$H$761,$Z47)+SUMIFS(Dati!$I$2:$I$761,Dati!$H$2:$H$761,$H47,Dati!$A$2:$A$761,$Z47),"-")</f>
        <v/>
      </c>
      <c r="AW47" s="22">
        <f>IF(AND($H47&lt;&gt;"",$AA47&lt;&gt;"",$H47&lt;&gt;$AA47,IFERROR(VLOOKUP($H47,areaCercaPuntiClassificaSquadra,3,FALSE),-1)=IFERROR(VLOOKUP($AA47,areaCercaPuntiClassificaSquadra,3,FALSE),-2)),SUMIFS(Dati!$B$2:$B$761,Dati!$A$2:$A$761,$H47,Dati!$H$2:$H$761,$AA47)+SUMIFS(Dati!$I$2:$I$761,Dati!$H$2:$H$761,$H47,Dati!$A$2:$A$761,$AA47),"-")</f>
        <v/>
      </c>
      <c r="AX47" s="22">
        <f>IF(AND($H47&lt;&gt;"",$AB47&lt;&gt;"",$H47&lt;&gt;$AB47,IFERROR(VLOOKUP($H47,areaCercaPuntiClassificaSquadra,3,FALSE),-1)=IFERROR(VLOOKUP($AB47,areaCercaPuntiClassificaSquadra,3,FALSE),-2)),SUMIFS(Dati!$B$2:$B$761,Dati!$A$2:$A$761,$H47,Dati!$H$2:$H$761,$AB47)+SUMIFS(Dati!$I$2:$I$761,Dati!$H$2:$H$761,$H47,Dati!$A$2:$A$761,$AB47),"-")</f>
        <v/>
      </c>
      <c r="AY47" s="22">
        <f>IF(AND($H47&lt;&gt;"",$AC47&lt;&gt;"",$H47&lt;&gt;$AC47,IFERROR(VLOOKUP($H47,areaCercaPuntiClassificaSquadra,3,FALSE),-1)=IFERROR(VLOOKUP($AC47,areaCercaPuntiClassificaSquadra,3,FALSE),-2)),SUMIFS(Dati!$B$2:$B$761,Dati!$A$2:$A$761,$H47,Dati!$H$2:$H$761,$AC47)+SUMIFS(Dati!$I$2:$I$761,Dati!$H$2:$H$761,$H47,Dati!$A$2:$A$761,$AC47),"-")</f>
        <v/>
      </c>
      <c r="AZ47" s="22">
        <f>IF(AND($H47&lt;&gt;"",$AD47&lt;&gt;"",$H47&lt;&gt;$AD47,IFERROR(VLOOKUP($H47,areaCercaPuntiClassificaSquadra,3,FALSE),-1)=IFERROR(VLOOKUP($AD47,areaCercaPuntiClassificaSquadra,3,FALSE),-2)),SUMIFS(Dati!$B$2:$B$761,Dati!$A$2:$A$761,$H47,Dati!$H$2:$H$761,$AD47)+SUMIFS(Dati!$I$2:$I$761,Dati!$H$2:$H$761,$H47,Dati!$A$2:$A$761,$AD47),"-")</f>
        <v/>
      </c>
      <c r="BA47" s="22">
        <f>IF(AND($H47&lt;&gt;"",$AE47&lt;&gt;"",$H47&lt;&gt;$AE47,IFERROR(VLOOKUP($H47,areaCercaPuntiClassificaSquadra,3,FALSE),-1)=IFERROR(VLOOKUP($AE47,areaCercaPuntiClassificaSquadra,3,FALSE),-2)),SUMIFS(Dati!$B$2:$B$761,Dati!$A$2:$A$761,$H47,Dati!$H$2:$H$761,$AE47)+SUMIFS(Dati!$I$2:$I$761,Dati!$H$2:$H$761,$H47,Dati!$A$2:$A$761,$AE47),"-")</f>
        <v/>
      </c>
      <c r="BB47" s="22">
        <f>IF(AND($H47&lt;&gt;"",$AF47&lt;&gt;"",$H47&lt;&gt;$AF47,IFERROR(VLOOKUP($H47,areaCercaPuntiClassificaSquadra,3,FALSE),-1)=IFERROR(VLOOKUP($AF47,areaCercaPuntiClassificaSquadra,3,FALSE),-2)),SUMIFS(Dati!$B$2:$B$761,Dati!$A$2:$A$761,$H47,Dati!$H$2:$H$761,$AF47)+SUMIFS(Dati!$I$2:$I$761,Dati!$H$2:$H$761,$H47,Dati!$A$2:$A$761,$AF47),"-")</f>
        <v/>
      </c>
      <c r="BC47" s="22">
        <f>IF(AND($H47&lt;&gt;"",$AG47&lt;&gt;"",$H47&lt;&gt;$AG47,IFERROR(VLOOKUP($H47,areaCercaPuntiClassificaSquadra,3,FALSE),-1)=IFERROR(VLOOKUP($AG47,areaCercaPuntiClassificaSquadra,3,FALSE),-2)),SUMIFS(Dati!$B$2:$B$761,Dati!$A$2:$A$761,$H47,Dati!$H$2:$H$761,$AG47)+SUMIFS(Dati!$I$2:$I$761,Dati!$H$2:$H$761,$H47,Dati!$A$2:$A$761,$AG47),"-")</f>
        <v/>
      </c>
      <c r="BD47" s="22">
        <f>IF(AND($H47&lt;&gt;"",$AH47&lt;&gt;"",$H47&lt;&gt;$AH47,IFERROR(VLOOKUP($H47,areaCercaPuntiClassificaSquadra,3,FALSE),-1)=IFERROR(VLOOKUP($AH47,areaCercaPuntiClassificaSquadra,3,FALSE),-2)),SUMIFS(Dati!$B$2:$B$761,Dati!$A$2:$A$761,$H47,Dati!$H$2:$H$761,$AH47)+SUMIFS(Dati!$I$2:$I$761,Dati!$H$2:$H$761,$H47,Dati!$A$2:$A$761,$AH47),"-")</f>
        <v/>
      </c>
      <c r="BE47" s="22">
        <f>IF(AND($H47&lt;&gt;"",$AI47&lt;&gt;"",$H47&lt;&gt;$AI47,IFERROR(VLOOKUP($H47,areaCercaPuntiClassificaSquadra,3,FALSE),-1)=IFERROR(VLOOKUP($AI47,areaCercaPuntiClassificaSquadra,3,FALSE),-2)),SUMIFS(Dati!$B$2:$B$761,Dati!$A$2:$A$761,$H47,Dati!$H$2:$H$761,$AI47)+SUMIFS(Dati!$I$2:$I$761,Dati!$H$2:$H$761,$H47,Dati!$A$2:$A$761,$AI47),"-")</f>
        <v/>
      </c>
      <c r="BF47" s="22">
        <f>IF(AND($H47&lt;&gt;"",$AJ47&lt;&gt;"",$H47&lt;&gt;$AJ47,IFERROR(VLOOKUP($H47,areaCercaPuntiClassificaSquadra,3,FALSE),-1)=IFERROR(VLOOKUP($AJ47,areaCercaPuntiClassificaSquadra,3,FALSE),-2)),SUMIFS(Dati!$B$2:$B$761,Dati!$A$2:$A$761,$H47,Dati!$H$2:$H$761,$AJ47)+SUMIFS(Dati!$I$2:$I$761,Dati!$H$2:$H$761,$H47,Dati!$A$2:$A$761,$AJ47),"-")</f>
        <v/>
      </c>
      <c r="BG47" s="22">
        <f>IF(AND($H47&lt;&gt;"",$AK47&lt;&gt;"",$H47&lt;&gt;$AK47,IFERROR(VLOOKUP($H47,areaCercaPuntiClassificaSquadra,3,FALSE),-1)=IFERROR(VLOOKUP($AK47,areaCercaPuntiClassificaSquadra,3,FALSE),-2)),SUMIFS(Dati!$B$2:$B$761,Dati!$A$2:$A$761,$H47,Dati!$H$2:$H$761,$AK47)+SUMIFS(Dati!$I$2:$I$761,Dati!$H$2:$H$761,$H47,Dati!$A$2:$A$761,$AK47),"-")</f>
        <v/>
      </c>
      <c r="BH47" s="22">
        <f>IF(AND($H47&lt;&gt;"",$AL47&lt;&gt;"",$H47&lt;&gt;$AL47,IFERROR(VLOOKUP($H47,areaCercaPuntiClassificaSquadra,3,FALSE),-1)=IFERROR(VLOOKUP($AL47,areaCercaPuntiClassificaSquadra,3,FALSE),-2)),SUMIFS(Dati!$B$2:$B$761,Dati!$A$2:$A$761,$H47,Dati!$H$2:$H$761,$AL47)+SUMIFS(Dati!$I$2:$I$761,Dati!$H$2:$H$761,$H47,Dati!$A$2:$A$761,$AL47),"-")</f>
        <v/>
      </c>
      <c r="BI47" s="22">
        <f>IF(AND($H47&lt;&gt;"",$AM47&lt;&gt;"",$H47&lt;&gt;$AM47,IFERROR(VLOOKUP($H47,areaCercaPuntiClassificaSquadra,3,FALSE),-1)=IFERROR(VLOOKUP($AM47,areaCercaPuntiClassificaSquadra,3,FALSE),-2)),SUMIFS(Dati!$B$2:$B$761,Dati!$A$2:$A$761,$H47,Dati!$H$2:$H$761,$AM47)+SUMIFS(Dati!$I$2:$I$761,Dati!$H$2:$H$761,$H47,Dati!$A$2:$A$761,$AM47),"-")</f>
        <v/>
      </c>
      <c r="BJ47" s="22">
        <f>IF(AND($H47&lt;&gt;"",$AN47&lt;&gt;"",$H47&lt;&gt;$AN47,IFERROR(VLOOKUP($H47,areaCercaPuntiClassificaSquadra,3,FALSE),-1)=IFERROR(VLOOKUP($AN47,areaCercaPuntiClassificaSquadra,3,FALSE),-2)),SUMIFS(Dati!$B$2:$B$761,Dati!$A$2:$A$761,$H47,Dati!$H$2:$H$761,$AN47)+SUMIFS(Dati!$I$2:$I$761,Dati!$H$2:$H$761,$H47,Dati!$A$2:$A$761,$AN47),"-")</f>
        <v/>
      </c>
      <c r="BK47" s="22">
        <f>IF(AND($H47&lt;&gt;"",$AO47&lt;&gt;"",$H47&lt;&gt;$AO47,IFERROR(VLOOKUP($H47,areaCercaPuntiClassificaSquadra,3,FALSE),-1)=IFERROR(VLOOKUP($AO47,areaCercaPuntiClassificaSquadra,3,FALSE),-2)),SUMIFS(Dati!$B$2:$B$761,Dati!$A$2:$A$761,$H47,Dati!$H$2:$H$761,$AO47)+SUMIFS(Dati!$I$2:$I$761,Dati!$H$2:$H$761,$H47,Dati!$A$2:$A$761,$AO47),"-")</f>
        <v/>
      </c>
      <c r="BL47" s="22">
        <f>IF(AND($H47&lt;&gt;"",$AP47&lt;&gt;"",$H47&lt;&gt;$AP47,IFERROR(VLOOKUP($H47,areaCercaPuntiClassificaSquadra,3,FALSE),-1)=IFERROR(VLOOKUP($AP47,areaCercaPuntiClassificaSquadra,3,FALSE),-2)),SUMIFS(Dati!$B$2:$B$761,Dati!$A$2:$A$761,$H47,Dati!$H$2:$H$761,$AP47)+SUMIFS(Dati!$I$2:$I$761,Dati!$H$2:$H$761,$H47,Dati!$A$2:$A$761,$AP47),"-")</f>
        <v/>
      </c>
      <c r="BM47" s="22">
        <f>IF(AND($H47&lt;&gt;"",$AQ47&lt;&gt;"",$H47&lt;&gt;$AQ47,IFERROR(VLOOKUP($H47,areaCercaPuntiClassificaSquadra,3,FALSE),-1)=IFERROR(VLOOKUP($AQ47,areaCercaPuntiClassificaSquadra,3,FALSE),-2)),SUMIFS(Dati!$B$2:$B$761,Dati!$A$2:$A$761,$H47,Dati!$H$2:$H$761,$AQ47)+SUMIFS(Dati!$I$2:$I$761,Dati!$H$2:$H$761,$H47,Dati!$A$2:$A$761,$AQ47),"-")</f>
        <v/>
      </c>
      <c r="BN47" s="22">
        <f>IF(AND($H47&lt;&gt;"",$AR47&lt;&gt;"",$H47&lt;&gt;$AR47,IFERROR(VLOOKUP($H47,areaCercaPuntiClassificaSquadra,3,FALSE),-1)=IFERROR(VLOOKUP($AR47,areaCercaPuntiClassificaSquadra,3,FALSE),-2)),SUMIFS(Dati!$B$2:$B$761,Dati!$A$2:$A$761,$H47,Dati!$H$2:$H$761,$AR47)+SUMIFS(Dati!$I$2:$I$761,Dati!$H$2:$H$761,$H47,Dati!$A$2:$A$761,$AR47),"-")</f>
        <v/>
      </c>
      <c r="BP47" s="21">
        <f>$C47</f>
        <v/>
      </c>
      <c r="BQ47" s="22">
        <f>IF(AND($H47&lt;&gt;"",$Y47&lt;&gt;"",$H47&lt;&gt;$Y47,IFERROR(VLOOKUP($H47,areaCercaPuntiClassificaSquadra,3,FALSE),-1)=IFERROR(VLOOKUP($Y47,areaCercaPuntiClassificaSquadra,3,FALSE),-2)),SUMIFS(Dati!$D$2:$D$761,Dati!$A$2:$A$761,$H47,Dati!$H$2:$H$761,$Y47)+SUMIFS(Dati!$K$2:$K$761,Dati!$H$2:$H$761,$H47,Dati!$A$2:$A$761,$Y47)+SUMIFS(Dati!$C$2:$C$761,Dati!$A$2:$A$761,$H47,Dati!$H$2:$H$761,$Y47)+SUMIFS(Dati!$J$2:$J$761,Dati!$H$2:$H$761,$H47,Dati!$A$2:$A$761,$Y47),"-")</f>
        <v/>
      </c>
      <c r="BR47" s="22">
        <f>IF(AND($H47&lt;&gt;"",$Z47&lt;&gt;"",$H47&lt;&gt;$Z47,IFERROR(VLOOKUP($H47,areaCercaPuntiClassificaSquadra,3,FALSE),-1)=IFERROR(VLOOKUP($Z47,areaCercaPuntiClassificaSquadra,3,FALSE),-2)),SUMIFS(Dati!$D$2:$D$761,Dati!$A$2:$A$761,$H47,Dati!$H$2:$H$761,$Z47)+SUMIFS(Dati!$K$2:$K$761,Dati!$H$2:$H$761,$H47,Dati!$A$2:$A$761,$Z47)+SUMIFS(Dati!$C$2:$C$761,Dati!$A$2:$A$761,$H47,Dati!$H$2:$H$761,$Z47)+SUMIFS(Dati!$J$2:$J$761,Dati!$H$2:$H$761,$H47,Dati!$A$2:$A$761,$Z47),"-")</f>
        <v/>
      </c>
      <c r="BS47" s="22">
        <f>IF(AND($H47&lt;&gt;"",$AA47&lt;&gt;"",$H47&lt;&gt;$AA47,IFERROR(VLOOKUP($H47,areaCercaPuntiClassificaSquadra,3,FALSE),-1)=IFERROR(VLOOKUP($AA47,areaCercaPuntiClassificaSquadra,3,FALSE),-2)),SUMIFS(Dati!$D$2:$D$761,Dati!$A$2:$A$761,$H47,Dati!$H$2:$H$761,$AA47)+SUMIFS(Dati!$K$2:$K$761,Dati!$H$2:$H$761,$H47,Dati!$A$2:$A$761,$AA47)+SUMIFS(Dati!$C$2:$C$761,Dati!$A$2:$A$761,$H47,Dati!$H$2:$H$761,$AA47)+SUMIFS(Dati!$J$2:$J$761,Dati!$H$2:$H$761,$H47,Dati!$A$2:$A$761,$AA47),"-")</f>
        <v/>
      </c>
      <c r="BT47" s="22">
        <f>IF(AND($H47&lt;&gt;"",$AB47&lt;&gt;"",$H47&lt;&gt;$AB47,IFERROR(VLOOKUP($H47,areaCercaPuntiClassificaSquadra,3,FALSE),-1)=IFERROR(VLOOKUP($AB47,areaCercaPuntiClassificaSquadra,3,FALSE),-2)),SUMIFS(Dati!$D$2:$D$761,Dati!$A$2:$A$761,$H47,Dati!$H$2:$H$761,$AB47)+SUMIFS(Dati!$K$2:$K$761,Dati!$H$2:$H$761,$H47,Dati!$A$2:$A$761,$AB47)+SUMIFS(Dati!$C$2:$C$761,Dati!$A$2:$A$761,$H47,Dati!$H$2:$H$761,$AB47)+SUMIFS(Dati!$J$2:$J$761,Dati!$H$2:$H$761,$H47,Dati!$A$2:$A$761,$AB47),"-")</f>
        <v/>
      </c>
      <c r="BU47" s="22">
        <f>IF(AND($H47&lt;&gt;"",$AC47&lt;&gt;"",$H47&lt;&gt;$AC47,IFERROR(VLOOKUP($H47,areaCercaPuntiClassificaSquadra,3,FALSE),-1)=IFERROR(VLOOKUP($AC47,areaCercaPuntiClassificaSquadra,3,FALSE),-2)),SUMIFS(Dati!$D$2:$D$761,Dati!$A$2:$A$761,$H47,Dati!$H$2:$H$761,$AC47)+SUMIFS(Dati!$K$2:$K$761,Dati!$H$2:$H$761,$H47,Dati!$A$2:$A$761,$AC47)+SUMIFS(Dati!$C$2:$C$761,Dati!$A$2:$A$761,$H47,Dati!$H$2:$H$761,$AC47)+SUMIFS(Dati!$J$2:$J$761,Dati!$H$2:$H$761,$H47,Dati!$A$2:$A$761,$AC47),"-")</f>
        <v/>
      </c>
      <c r="BV47" s="22">
        <f>IF(AND($H47&lt;&gt;"",$AD47&lt;&gt;"",$H47&lt;&gt;$AD47,IFERROR(VLOOKUP($H47,areaCercaPuntiClassificaSquadra,3,FALSE),-1)=IFERROR(VLOOKUP($AD47,areaCercaPuntiClassificaSquadra,3,FALSE),-2)),SUMIFS(Dati!$D$2:$D$761,Dati!$A$2:$A$761,$H47,Dati!$H$2:$H$761,$AD47)+SUMIFS(Dati!$K$2:$K$761,Dati!$H$2:$H$761,$H47,Dati!$A$2:$A$761,$AD47)+SUMIFS(Dati!$C$2:$C$761,Dati!$A$2:$A$761,$H47,Dati!$H$2:$H$761,$AD47)+SUMIFS(Dati!$J$2:$J$761,Dati!$H$2:$H$761,$H47,Dati!$A$2:$A$761,$AD47),"-")</f>
        <v/>
      </c>
      <c r="BW47" s="22">
        <f>IF(AND($H47&lt;&gt;"",$AE47&lt;&gt;"",$H47&lt;&gt;$AE47,IFERROR(VLOOKUP($H47,areaCercaPuntiClassificaSquadra,3,FALSE),-1)=IFERROR(VLOOKUP($AE47,areaCercaPuntiClassificaSquadra,3,FALSE),-2)),SUMIFS(Dati!$D$2:$D$761,Dati!$A$2:$A$761,$H47,Dati!$H$2:$H$761,$AE47)+SUMIFS(Dati!$K$2:$K$761,Dati!$H$2:$H$761,$H47,Dati!$A$2:$A$761,$AE47)+SUMIFS(Dati!$C$2:$C$761,Dati!$A$2:$A$761,$H47,Dati!$H$2:$H$761,$AE47)+SUMIFS(Dati!$J$2:$J$761,Dati!$H$2:$H$761,$H47,Dati!$A$2:$A$761,$AE47),"-")</f>
        <v/>
      </c>
      <c r="BX47" s="22">
        <f>IF(AND($H47&lt;&gt;"",$AF47&lt;&gt;"",$H47&lt;&gt;$AF47,IFERROR(VLOOKUP($H47,areaCercaPuntiClassificaSquadra,3,FALSE),-1)=IFERROR(VLOOKUP($AF47,areaCercaPuntiClassificaSquadra,3,FALSE),-2)),SUMIFS(Dati!$D$2:$D$761,Dati!$A$2:$A$761,$H47,Dati!$H$2:$H$761,$AF47)+SUMIFS(Dati!$K$2:$K$761,Dati!$H$2:$H$761,$H47,Dati!$A$2:$A$761,$AF47)+SUMIFS(Dati!$C$2:$C$761,Dati!$A$2:$A$761,$H47,Dati!$H$2:$H$761,$AF47)+SUMIFS(Dati!$J$2:$J$761,Dati!$H$2:$H$761,$H47,Dati!$A$2:$A$761,$AF47),"-")</f>
        <v/>
      </c>
      <c r="BY47" s="22">
        <f>IF(AND($H47&lt;&gt;"",$AG47&lt;&gt;"",$H47&lt;&gt;$AG47,IFERROR(VLOOKUP($H47,areaCercaPuntiClassificaSquadra,3,FALSE),-1)=IFERROR(VLOOKUP($AG47,areaCercaPuntiClassificaSquadra,3,FALSE),-2)),SUMIFS(Dati!$D$2:$D$761,Dati!$A$2:$A$761,$H47,Dati!$H$2:$H$761,$AG47)+SUMIFS(Dati!$K$2:$K$761,Dati!$H$2:$H$761,$H47,Dati!$A$2:$A$761,$AG47)+SUMIFS(Dati!$C$2:$C$761,Dati!$A$2:$A$761,$H47,Dati!$H$2:$H$761,$AG47)+SUMIFS(Dati!$J$2:$J$761,Dati!$H$2:$H$761,$H47,Dati!$A$2:$A$761,$AG47),"-")</f>
        <v/>
      </c>
      <c r="BZ47" s="22">
        <f>IF(AND($H47&lt;&gt;"",$AH47&lt;&gt;"",$H47&lt;&gt;$AH47,IFERROR(VLOOKUP($H47,areaCercaPuntiClassificaSquadra,3,FALSE),-1)=IFERROR(VLOOKUP($AH47,areaCercaPuntiClassificaSquadra,3,FALSE),-2)),SUMIFS(Dati!$D$2:$D$761,Dati!$A$2:$A$761,$H47,Dati!$H$2:$H$761,$AH47)+SUMIFS(Dati!$K$2:$K$761,Dati!$H$2:$H$761,$H47,Dati!$A$2:$A$761,$AH47)+SUMIFS(Dati!$C$2:$C$761,Dati!$A$2:$A$761,$H47,Dati!$H$2:$H$761,$AH47)+SUMIFS(Dati!$J$2:$J$761,Dati!$H$2:$H$761,$H47,Dati!$A$2:$A$761,$AH47),"-")</f>
        <v/>
      </c>
      <c r="CA47" s="22">
        <f>IF(AND($H47&lt;&gt;"",$AI47&lt;&gt;"",$H47&lt;&gt;$AI47,IFERROR(VLOOKUP($H47,areaCercaPuntiClassificaSquadra,3,FALSE),-1)=IFERROR(VLOOKUP($AI47,areaCercaPuntiClassificaSquadra,3,FALSE),-2)),SUMIFS(Dati!$D$2:$D$761,Dati!$A$2:$A$761,$H47,Dati!$H$2:$H$761,$AI47)+SUMIFS(Dati!$K$2:$K$761,Dati!$H$2:$H$761,$H47,Dati!$A$2:$A$761,$AI47)+SUMIFS(Dati!$C$2:$C$761,Dati!$A$2:$A$761,$H47,Dati!$H$2:$H$761,$AI47)+SUMIFS(Dati!$J$2:$J$761,Dati!$H$2:$H$761,$H47,Dati!$A$2:$A$761,$AI47),"-")</f>
        <v/>
      </c>
      <c r="CB47" s="22">
        <f>IF(AND($H47&lt;&gt;"",$AJ47&lt;&gt;"",$H47&lt;&gt;$AJ47,IFERROR(VLOOKUP($H47,areaCercaPuntiClassificaSquadra,3,FALSE),-1)=IFERROR(VLOOKUP($AJ47,areaCercaPuntiClassificaSquadra,3,FALSE),-2)),SUMIFS(Dati!$D$2:$D$761,Dati!$A$2:$A$761,$H47,Dati!$H$2:$H$761,$AJ47)+SUMIFS(Dati!$K$2:$K$761,Dati!$H$2:$H$761,$H47,Dati!$A$2:$A$761,$AJ47)+SUMIFS(Dati!$C$2:$C$761,Dati!$A$2:$A$761,$H47,Dati!$H$2:$H$761,$AJ47)+SUMIFS(Dati!$J$2:$J$761,Dati!$H$2:$H$761,$H47,Dati!$A$2:$A$761,$AJ47),"-")</f>
        <v/>
      </c>
      <c r="CC47" s="22">
        <f>IF(AND($H47&lt;&gt;"",$AK47&lt;&gt;"",$H47&lt;&gt;$AK47,IFERROR(VLOOKUP($H47,areaCercaPuntiClassificaSquadra,3,FALSE),-1)=IFERROR(VLOOKUP($AK47,areaCercaPuntiClassificaSquadra,3,FALSE),-2)),SUMIFS(Dati!$D$2:$D$761,Dati!$A$2:$A$761,$H47,Dati!$H$2:$H$761,$AK47)+SUMIFS(Dati!$K$2:$K$761,Dati!$H$2:$H$761,$H47,Dati!$A$2:$A$761,$AK47)+SUMIFS(Dati!$C$2:$C$761,Dati!$A$2:$A$761,$H47,Dati!$H$2:$H$761,$AK47)+SUMIFS(Dati!$J$2:$J$761,Dati!$H$2:$H$761,$H47,Dati!$A$2:$A$761,$AK47),"-")</f>
        <v/>
      </c>
      <c r="CD47" s="22">
        <f>IF(AND($H47&lt;&gt;"",$AL47&lt;&gt;"",$H47&lt;&gt;$AL47,IFERROR(VLOOKUP($H47,areaCercaPuntiClassificaSquadra,3,FALSE),-1)=IFERROR(VLOOKUP($AL47,areaCercaPuntiClassificaSquadra,3,FALSE),-2)),SUMIFS(Dati!$D$2:$D$761,Dati!$A$2:$A$761,$H47,Dati!$H$2:$H$761,$AL47)+SUMIFS(Dati!$K$2:$K$761,Dati!$H$2:$H$761,$H47,Dati!$A$2:$A$761,$AL47)+SUMIFS(Dati!$C$2:$C$761,Dati!$A$2:$A$761,$H47,Dati!$H$2:$H$761,$AL47)+SUMIFS(Dati!$J$2:$J$761,Dati!$H$2:$H$761,$H47,Dati!$A$2:$A$761,$AL47),"-")</f>
        <v/>
      </c>
      <c r="CE47" s="22">
        <f>IF(AND($H47&lt;&gt;"",$AM47&lt;&gt;"",$H47&lt;&gt;$AM47,IFERROR(VLOOKUP($H47,areaCercaPuntiClassificaSquadra,3,FALSE),-1)=IFERROR(VLOOKUP($AM47,areaCercaPuntiClassificaSquadra,3,FALSE),-2)),SUMIFS(Dati!$D$2:$D$761,Dati!$A$2:$A$761,$H47,Dati!$H$2:$H$761,$AM47)+SUMIFS(Dati!$K$2:$K$761,Dati!$H$2:$H$761,$H47,Dati!$A$2:$A$761,$AM47)+SUMIFS(Dati!$C$2:$C$761,Dati!$A$2:$A$761,$H47,Dati!$H$2:$H$761,$AM47)+SUMIFS(Dati!$J$2:$J$761,Dati!$H$2:$H$761,$H47,Dati!$A$2:$A$761,$AM47),"-")</f>
        <v/>
      </c>
      <c r="CF47" s="22">
        <f>IF(AND($H47&lt;&gt;"",$AN47&lt;&gt;"",$H47&lt;&gt;$AN47,IFERROR(VLOOKUP($H47,areaCercaPuntiClassificaSquadra,3,FALSE),-1)=IFERROR(VLOOKUP($AN47,areaCercaPuntiClassificaSquadra,3,FALSE),-2)),SUMIFS(Dati!$D$2:$D$761,Dati!$A$2:$A$761,$H47,Dati!$H$2:$H$761,$AN47)+SUMIFS(Dati!$K$2:$K$761,Dati!$H$2:$H$761,$H47,Dati!$A$2:$A$761,$AN47)+SUMIFS(Dati!$C$2:$C$761,Dati!$A$2:$A$761,$H47,Dati!$H$2:$H$761,$AN47)+SUMIFS(Dati!$J$2:$J$761,Dati!$H$2:$H$761,$H47,Dati!$A$2:$A$761,$AN47),"-")</f>
        <v/>
      </c>
      <c r="CG47" s="22">
        <f>IF(AND($H47&lt;&gt;"",$AO47&lt;&gt;"",$H47&lt;&gt;$AO47,IFERROR(VLOOKUP($H47,areaCercaPuntiClassificaSquadra,3,FALSE),-1)=IFERROR(VLOOKUP($AO47,areaCercaPuntiClassificaSquadra,3,FALSE),-2)),SUMIFS(Dati!$D$2:$D$761,Dati!$A$2:$A$761,$H47,Dati!$H$2:$H$761,$AO47)+SUMIFS(Dati!$K$2:$K$761,Dati!$H$2:$H$761,$H47,Dati!$A$2:$A$761,$AO47)+SUMIFS(Dati!$C$2:$C$761,Dati!$A$2:$A$761,$H47,Dati!$H$2:$H$761,$AO47)+SUMIFS(Dati!$J$2:$J$761,Dati!$H$2:$H$761,$H47,Dati!$A$2:$A$761,$AO47),"-")</f>
        <v/>
      </c>
      <c r="CH47" s="22">
        <f>IF(AND($H47&lt;&gt;"",$AP47&lt;&gt;"",$H47&lt;&gt;$AP47,IFERROR(VLOOKUP($H47,areaCercaPuntiClassificaSquadra,3,FALSE),-1)=IFERROR(VLOOKUP($AP47,areaCercaPuntiClassificaSquadra,3,FALSE),-2)),SUMIFS(Dati!$D$2:$D$761,Dati!$A$2:$A$761,$H47,Dati!$H$2:$H$761,$AP47)+SUMIFS(Dati!$K$2:$K$761,Dati!$H$2:$H$761,$H47,Dati!$A$2:$A$761,$AP47)+SUMIFS(Dati!$C$2:$C$761,Dati!$A$2:$A$761,$H47,Dati!$H$2:$H$761,$AP47)+SUMIFS(Dati!$J$2:$J$761,Dati!$H$2:$H$761,$H47,Dati!$A$2:$A$761,$AP47),"-")</f>
        <v/>
      </c>
      <c r="CI47" s="22">
        <f>IF(AND($H47&lt;&gt;"",$AQ47&lt;&gt;"",$H47&lt;&gt;$AQ47,IFERROR(VLOOKUP($H47,areaCercaPuntiClassificaSquadra,3,FALSE),-1)=IFERROR(VLOOKUP($AQ47,areaCercaPuntiClassificaSquadra,3,FALSE),-2)),SUMIFS(Dati!$D$2:$D$761,Dati!$A$2:$A$761,$H47,Dati!$H$2:$H$761,$AQ47)+SUMIFS(Dati!$K$2:$K$761,Dati!$H$2:$H$761,$H47,Dati!$A$2:$A$761,$AQ47)+SUMIFS(Dati!$C$2:$C$761,Dati!$A$2:$A$761,$H47,Dati!$H$2:$H$761,$AQ47)+SUMIFS(Dati!$J$2:$J$761,Dati!$H$2:$H$761,$H47,Dati!$A$2:$A$761,$AQ47),"-")</f>
        <v/>
      </c>
      <c r="CJ47" s="22">
        <f>IF(AND($H47&lt;&gt;"",$AR47&lt;&gt;"",$H47&lt;&gt;$AR47,IFERROR(VLOOKUP($H47,areaCercaPuntiClassificaSquadra,3,FALSE),-1)=IFERROR(VLOOKUP($AR47,areaCercaPuntiClassificaSquadra,3,FALSE),-2)),SUMIFS(Dati!$D$2:$D$761,Dati!$A$2:$A$761,$H47,Dati!$H$2:$H$761,$AR47)+SUMIFS(Dati!$K$2:$K$761,Dati!$H$2:$H$761,$H47,Dati!$A$2:$A$761,$AR47)+SUMIFS(Dati!$C$2:$C$761,Dati!$A$2:$A$761,$H47,Dati!$H$2:$H$761,$AR47)+SUMIFS(Dati!$J$2:$J$761,Dati!$H$2:$H$761,$H47,Dati!$A$2:$A$761,$AR47),"-")</f>
        <v/>
      </c>
      <c r="CL47" s="21">
        <f>$C47</f>
        <v/>
      </c>
      <c r="CM47" s="22">
        <f>IF(AND($H47&lt;&gt;"",$Y47&lt;&gt;"",$H47&lt;&gt;$Y47,IFERROR(VLOOKUP($H47,areaCercaPuntiClassificaSquadra,3,FALSE),-1)=IFERROR(VLOOKUP($Y47,areaCercaPuntiClassificaSquadra,3,FALSE),-2)),SUMIFS(Dati!$E$2:$E$761,Dati!$A$2:$A$761,$H47,Dati!$H$2:$H$761,$Y47)+SUMIFS(Dati!$L$2:$L$761,Dati!$H$2:$H$761,$H47,Dati!$A$2:$A$761,$Y47),"-")</f>
        <v/>
      </c>
      <c r="CN47" s="22">
        <f>IF(AND($H47&lt;&gt;"",$Z47&lt;&gt;"",$H47&lt;&gt;$Z47,IFERROR(VLOOKUP($H47,areaCercaPuntiClassificaSquadra,3,FALSE),-1)=IFERROR(VLOOKUP($Z47,areaCercaPuntiClassificaSquadra,3,FALSE),-2)),SUMIFS(Dati!$E$2:$E$761,Dati!$A$2:$A$761,$H47,Dati!$H$2:$H$761,$Z47)+SUMIFS(Dati!$L$2:$L$761,Dati!$H$2:$H$761,$H47,Dati!$A$2:$A$761,$Z47),"-")</f>
        <v/>
      </c>
      <c r="CO47" s="22">
        <f>IF(AND($H47&lt;&gt;"",$AA47&lt;&gt;"",$H47&lt;&gt;$AA47,IFERROR(VLOOKUP($H47,areaCercaPuntiClassificaSquadra,3,FALSE),-1)=IFERROR(VLOOKUP($AA47,areaCercaPuntiClassificaSquadra,3,FALSE),-2)),SUMIFS(Dati!$E$2:$E$761,Dati!$A$2:$A$761,$H47,Dati!$H$2:$H$761,$AA47)+SUMIFS(Dati!$L$2:$L$761,Dati!$H$2:$H$761,$H47,Dati!$A$2:$A$761,$AA47),"-")</f>
        <v/>
      </c>
      <c r="CP47" s="22">
        <f>IF(AND($H47&lt;&gt;"",$AB47&lt;&gt;"",$H47&lt;&gt;$AB47,IFERROR(VLOOKUP($H47,areaCercaPuntiClassificaSquadra,3,FALSE),-1)=IFERROR(VLOOKUP($AB47,areaCercaPuntiClassificaSquadra,3,FALSE),-2)),SUMIFS(Dati!$E$2:$E$761,Dati!$A$2:$A$761,$H47,Dati!$H$2:$H$761,$AB47)+SUMIFS(Dati!$L$2:$L$761,Dati!$H$2:$H$761,$H47,Dati!$A$2:$A$761,$AB47),"-")</f>
        <v/>
      </c>
      <c r="CQ47" s="22">
        <f>IF(AND($H47&lt;&gt;"",$AC47&lt;&gt;"",$H47&lt;&gt;$AC47,IFERROR(VLOOKUP($H47,areaCercaPuntiClassificaSquadra,3,FALSE),-1)=IFERROR(VLOOKUP($AC47,areaCercaPuntiClassificaSquadra,3,FALSE),-2)),SUMIFS(Dati!$E$2:$E$761,Dati!$A$2:$A$761,$H47,Dati!$H$2:$H$761,$AC47)+SUMIFS(Dati!$L$2:$L$761,Dati!$H$2:$H$761,$H47,Dati!$A$2:$A$761,$AC47),"-")</f>
        <v/>
      </c>
      <c r="CR47" s="22">
        <f>IF(AND($H47&lt;&gt;"",$AD47&lt;&gt;"",$H47&lt;&gt;$AD47,IFERROR(VLOOKUP($H47,areaCercaPuntiClassificaSquadra,3,FALSE),-1)=IFERROR(VLOOKUP($AD47,areaCercaPuntiClassificaSquadra,3,FALSE),-2)),SUMIFS(Dati!$E$2:$E$761,Dati!$A$2:$A$761,$H47,Dati!$H$2:$H$761,$AD47)+SUMIFS(Dati!$L$2:$L$761,Dati!$H$2:$H$761,$H47,Dati!$A$2:$A$761,$AD47),"-")</f>
        <v/>
      </c>
      <c r="CS47" s="22">
        <f>IF(AND($H47&lt;&gt;"",$AE47&lt;&gt;"",$H47&lt;&gt;$AE47,IFERROR(VLOOKUP($H47,areaCercaPuntiClassificaSquadra,3,FALSE),-1)=IFERROR(VLOOKUP($AE47,areaCercaPuntiClassificaSquadra,3,FALSE),-2)),SUMIFS(Dati!$E$2:$E$761,Dati!$A$2:$A$761,$H47,Dati!$H$2:$H$761,$AE47)+SUMIFS(Dati!$L$2:$L$761,Dati!$H$2:$H$761,$H47,Dati!$A$2:$A$761,$AE47),"-")</f>
        <v/>
      </c>
      <c r="CT47" s="22">
        <f>IF(AND($H47&lt;&gt;"",$AF47&lt;&gt;"",$H47&lt;&gt;$AF47,IFERROR(VLOOKUP($H47,areaCercaPuntiClassificaSquadra,3,FALSE),-1)=IFERROR(VLOOKUP($AF47,areaCercaPuntiClassificaSquadra,3,FALSE),-2)),SUMIFS(Dati!$E$2:$E$761,Dati!$A$2:$A$761,$H47,Dati!$H$2:$H$761,$AF47)+SUMIFS(Dati!$L$2:$L$761,Dati!$H$2:$H$761,$H47,Dati!$A$2:$A$761,$AF47),"-")</f>
        <v/>
      </c>
      <c r="CU47" s="22">
        <f>IF(AND($H47&lt;&gt;"",$AG47&lt;&gt;"",$H47&lt;&gt;$AG47,IFERROR(VLOOKUP($H47,areaCercaPuntiClassificaSquadra,3,FALSE),-1)=IFERROR(VLOOKUP($AG47,areaCercaPuntiClassificaSquadra,3,FALSE),-2)),SUMIFS(Dati!$E$2:$E$761,Dati!$A$2:$A$761,$H47,Dati!$H$2:$H$761,$AG47)+SUMIFS(Dati!$L$2:$L$761,Dati!$H$2:$H$761,$H47,Dati!$A$2:$A$761,$AG47),"-")</f>
        <v/>
      </c>
      <c r="CV47" s="22">
        <f>IF(AND($H47&lt;&gt;"",$AH47&lt;&gt;"",$H47&lt;&gt;$AH47,IFERROR(VLOOKUP($H47,areaCercaPuntiClassificaSquadra,3,FALSE),-1)=IFERROR(VLOOKUP($AH47,areaCercaPuntiClassificaSquadra,3,FALSE),-2)),SUMIFS(Dati!$E$2:$E$761,Dati!$A$2:$A$761,$H47,Dati!$H$2:$H$761,$AH47)+SUMIFS(Dati!$L$2:$L$761,Dati!$H$2:$H$761,$H47,Dati!$A$2:$A$761,$AH47),"-")</f>
        <v/>
      </c>
      <c r="CW47" s="22">
        <f>IF(AND($H47&lt;&gt;"",$AI47&lt;&gt;"",$H47&lt;&gt;$AI47,IFERROR(VLOOKUP($H47,areaCercaPuntiClassificaSquadra,3,FALSE),-1)=IFERROR(VLOOKUP($AI47,areaCercaPuntiClassificaSquadra,3,FALSE),-2)),SUMIFS(Dati!$E$2:$E$761,Dati!$A$2:$A$761,$H47,Dati!$H$2:$H$761,$AI47)+SUMIFS(Dati!$L$2:$L$761,Dati!$H$2:$H$761,$H47,Dati!$A$2:$A$761,$AI47),"-")</f>
        <v/>
      </c>
      <c r="CX47" s="22">
        <f>IF(AND($H47&lt;&gt;"",$AJ47&lt;&gt;"",$H47&lt;&gt;$AJ47,IFERROR(VLOOKUP($H47,areaCercaPuntiClassificaSquadra,3,FALSE),-1)=IFERROR(VLOOKUP($AJ47,areaCercaPuntiClassificaSquadra,3,FALSE),-2)),SUMIFS(Dati!$E$2:$E$761,Dati!$A$2:$A$761,$H47,Dati!$H$2:$H$761,$AJ47)+SUMIFS(Dati!$L$2:$L$761,Dati!$H$2:$H$761,$H47,Dati!$A$2:$A$761,$AJ47),"-")</f>
        <v/>
      </c>
      <c r="CY47" s="22">
        <f>IF(AND($H47&lt;&gt;"",$AK47&lt;&gt;"",$H47&lt;&gt;$AK47,IFERROR(VLOOKUP($H47,areaCercaPuntiClassificaSquadra,3,FALSE),-1)=IFERROR(VLOOKUP($AK47,areaCercaPuntiClassificaSquadra,3,FALSE),-2)),SUMIFS(Dati!$E$2:$E$761,Dati!$A$2:$A$761,$H47,Dati!$H$2:$H$761,$AK47)+SUMIFS(Dati!$L$2:$L$761,Dati!$H$2:$H$761,$H47,Dati!$A$2:$A$761,$AK47),"-")</f>
        <v/>
      </c>
      <c r="CZ47" s="22">
        <f>IF(AND($H47&lt;&gt;"",$AL47&lt;&gt;"",$H47&lt;&gt;$AL47,IFERROR(VLOOKUP($H47,areaCercaPuntiClassificaSquadra,3,FALSE),-1)=IFERROR(VLOOKUP($AL47,areaCercaPuntiClassificaSquadra,3,FALSE),-2)),SUMIFS(Dati!$E$2:$E$761,Dati!$A$2:$A$761,$H47,Dati!$H$2:$H$761,$AL47)+SUMIFS(Dati!$L$2:$L$761,Dati!$H$2:$H$761,$H47,Dati!$A$2:$A$761,$AL47),"-")</f>
        <v/>
      </c>
      <c r="DA47" s="22">
        <f>IF(AND($H47&lt;&gt;"",$AM47&lt;&gt;"",$H47&lt;&gt;$AM47,IFERROR(VLOOKUP($H47,areaCercaPuntiClassificaSquadra,3,FALSE),-1)=IFERROR(VLOOKUP($AM47,areaCercaPuntiClassificaSquadra,3,FALSE),-2)),SUMIFS(Dati!$E$2:$E$761,Dati!$A$2:$A$761,$H47,Dati!$H$2:$H$761,$AM47)+SUMIFS(Dati!$L$2:$L$761,Dati!$H$2:$H$761,$H47,Dati!$A$2:$A$761,$AM47),"-")</f>
        <v/>
      </c>
      <c r="DB47" s="22">
        <f>IF(AND($H47&lt;&gt;"",$AN47&lt;&gt;"",$H47&lt;&gt;$AN47,IFERROR(VLOOKUP($H47,areaCercaPuntiClassificaSquadra,3,FALSE),-1)=IFERROR(VLOOKUP($AN47,areaCercaPuntiClassificaSquadra,3,FALSE),-2)),SUMIFS(Dati!$E$2:$E$761,Dati!$A$2:$A$761,$H47,Dati!$H$2:$H$761,$AN47)+SUMIFS(Dati!$L$2:$L$761,Dati!$H$2:$H$761,$H47,Dati!$A$2:$A$761,$AN47),"-")</f>
        <v/>
      </c>
      <c r="DC47" s="22">
        <f>IF(AND($H47&lt;&gt;"",$AO47&lt;&gt;"",$H47&lt;&gt;$AO47,IFERROR(VLOOKUP($H47,areaCercaPuntiClassificaSquadra,3,FALSE),-1)=IFERROR(VLOOKUP($AO47,areaCercaPuntiClassificaSquadra,3,FALSE),-2)),SUMIFS(Dati!$E$2:$E$761,Dati!$A$2:$A$761,$H47,Dati!$H$2:$H$761,$AO47)+SUMIFS(Dati!$L$2:$L$761,Dati!$H$2:$H$761,$H47,Dati!$A$2:$A$761,$AO47),"-")</f>
        <v/>
      </c>
      <c r="DD47" s="22">
        <f>IF(AND($H47&lt;&gt;"",$AP47&lt;&gt;"",$H47&lt;&gt;$AP47,IFERROR(VLOOKUP($H47,areaCercaPuntiClassificaSquadra,3,FALSE),-1)=IFERROR(VLOOKUP($AP47,areaCercaPuntiClassificaSquadra,3,FALSE),-2)),SUMIFS(Dati!$E$2:$E$761,Dati!$A$2:$A$761,$H47,Dati!$H$2:$H$761,$AP47)+SUMIFS(Dati!$L$2:$L$761,Dati!$H$2:$H$761,$H47,Dati!$A$2:$A$761,$AP47),"-")</f>
        <v/>
      </c>
      <c r="DE47" s="22">
        <f>IF(AND($H47&lt;&gt;"",$AQ47&lt;&gt;"",$H47&lt;&gt;$AQ47,IFERROR(VLOOKUP($H47,areaCercaPuntiClassificaSquadra,3,FALSE),-1)=IFERROR(VLOOKUP($AQ47,areaCercaPuntiClassificaSquadra,3,FALSE),-2)),SUMIFS(Dati!$E$2:$E$761,Dati!$A$2:$A$761,$H47,Dati!$H$2:$H$761,$AQ47)+SUMIFS(Dati!$L$2:$L$761,Dati!$H$2:$H$761,$H47,Dati!$A$2:$A$761,$AQ47),"-")</f>
        <v/>
      </c>
      <c r="DF47" s="22">
        <f>IF(AND($H47&lt;&gt;"",$AR47&lt;&gt;"",$H47&lt;&gt;$AR47,IFERROR(VLOOKUP($H47,areaCercaPuntiClassificaSquadra,3,FALSE),-1)=IFERROR(VLOOKUP($AR47,areaCercaPuntiClassificaSquadra,3,FALSE),-2)),SUMIFS(Dati!$E$2:$E$761,Dati!$A$2:$A$761,$H47,Dati!$H$2:$H$761,$AR47)+SUMIFS(Dati!$L$2:$L$761,Dati!$H$2:$H$761,$H47,Dati!$A$2:$A$761,$AR47),"-")</f>
        <v/>
      </c>
      <c r="DH47" s="21">
        <f>$C47</f>
        <v/>
      </c>
      <c r="DI47" s="22">
        <f>IF(AND($H47&lt;&gt;"",$Y47&lt;&gt;"",$H47&lt;&gt;$Y47,IFERROR(VLOOKUP($H47,areaCercaPuntiClassificaSquadra,3,FALSE),-1)=IFERROR(VLOOKUP($Y47,areaCercaPuntiClassificaSquadra,3,FALSE),-2)),SUMIFS(Dati!$F$2:$F$761,Dati!$A$2:$A$761,$H47,Dati!$H$2:$H$761,$Y47)+SUMIFS(Dati!$M$2:$M$761,Dati!$H$2:$H$761,$H47,Dati!$A$2:$A$761,$Y47),"-")</f>
        <v/>
      </c>
      <c r="DJ47" s="22">
        <f>IF(AND($H47&lt;&gt;"",$Z47&lt;&gt;"",$H47&lt;&gt;$Z47,IFERROR(VLOOKUP($H47,areaCercaPuntiClassificaSquadra,3,FALSE),-1)=IFERROR(VLOOKUP($Z47,areaCercaPuntiClassificaSquadra,3,FALSE),-2)),SUMIFS(Dati!$F$2:$F$761,Dati!$A$2:$A$761,$H47,Dati!$H$2:$H$761,$Z47)+SUMIFS(Dati!$M$2:$M$761,Dati!$H$2:$H$761,$H47,Dati!$A$2:$A$761,$Z47),"-")</f>
        <v/>
      </c>
      <c r="DK47" s="22">
        <f>IF(AND($H47&lt;&gt;"",$AA47&lt;&gt;"",$H47&lt;&gt;$AA47,IFERROR(VLOOKUP($H47,areaCercaPuntiClassificaSquadra,3,FALSE),-1)=IFERROR(VLOOKUP($AA47,areaCercaPuntiClassificaSquadra,3,FALSE),-2)),SUMIFS(Dati!$F$2:$F$761,Dati!$A$2:$A$761,$H47,Dati!$H$2:$H$761,$AA47)+SUMIFS(Dati!$M$2:$M$761,Dati!$H$2:$H$761,$H47,Dati!$A$2:$A$761,$AA47),"-")</f>
        <v/>
      </c>
      <c r="DL47" s="22">
        <f>IF(AND($H47&lt;&gt;"",$AB47&lt;&gt;"",$H47&lt;&gt;$AB47,IFERROR(VLOOKUP($H47,areaCercaPuntiClassificaSquadra,3,FALSE),-1)=IFERROR(VLOOKUP($AB47,areaCercaPuntiClassificaSquadra,3,FALSE),-2)),SUMIFS(Dati!$F$2:$F$761,Dati!$A$2:$A$761,$H47,Dati!$H$2:$H$761,$AB47)+SUMIFS(Dati!$M$2:$M$761,Dati!$H$2:$H$761,$H47,Dati!$A$2:$A$761,$AB47),"-")</f>
        <v/>
      </c>
      <c r="DM47" s="22">
        <f>IF(AND($H47&lt;&gt;"",$AC47&lt;&gt;"",$H47&lt;&gt;$AC47,IFERROR(VLOOKUP($H47,areaCercaPuntiClassificaSquadra,3,FALSE),-1)=IFERROR(VLOOKUP($AC47,areaCercaPuntiClassificaSquadra,3,FALSE),-2)),SUMIFS(Dati!$F$2:$F$761,Dati!$A$2:$A$761,$H47,Dati!$H$2:$H$761,$AC47)+SUMIFS(Dati!$M$2:$M$761,Dati!$H$2:$H$761,$H47,Dati!$A$2:$A$761,$AC47),"-")</f>
        <v/>
      </c>
      <c r="DN47" s="22">
        <f>IF(AND($H47&lt;&gt;"",$AD47&lt;&gt;"",$H47&lt;&gt;$AD47,IFERROR(VLOOKUP($H47,areaCercaPuntiClassificaSquadra,3,FALSE),-1)=IFERROR(VLOOKUP($AD47,areaCercaPuntiClassificaSquadra,3,FALSE),-2)),SUMIFS(Dati!$F$2:$F$761,Dati!$A$2:$A$761,$H47,Dati!$H$2:$H$761,$AD47)+SUMIFS(Dati!$M$2:$M$761,Dati!$H$2:$H$761,$H47,Dati!$A$2:$A$761,$AD47),"-")</f>
        <v/>
      </c>
      <c r="DO47" s="22">
        <f>IF(AND($H47&lt;&gt;"",$AE47&lt;&gt;"",$H47&lt;&gt;$AE47,IFERROR(VLOOKUP($H47,areaCercaPuntiClassificaSquadra,3,FALSE),-1)=IFERROR(VLOOKUP($AE47,areaCercaPuntiClassificaSquadra,3,FALSE),-2)),SUMIFS(Dati!$F$2:$F$761,Dati!$A$2:$A$761,$H47,Dati!$H$2:$H$761,$AE47)+SUMIFS(Dati!$M$2:$M$761,Dati!$H$2:$H$761,$H47,Dati!$A$2:$A$761,$AE47),"-")</f>
        <v/>
      </c>
      <c r="DP47" s="22">
        <f>IF(AND($H47&lt;&gt;"",$AF47&lt;&gt;"",$H47&lt;&gt;$AF47,IFERROR(VLOOKUP($H47,areaCercaPuntiClassificaSquadra,3,FALSE),-1)=IFERROR(VLOOKUP($AF47,areaCercaPuntiClassificaSquadra,3,FALSE),-2)),SUMIFS(Dati!$F$2:$F$761,Dati!$A$2:$A$761,$H47,Dati!$H$2:$H$761,$AF47)+SUMIFS(Dati!$M$2:$M$761,Dati!$H$2:$H$761,$H47,Dati!$A$2:$A$761,$AF47),"-")</f>
        <v/>
      </c>
      <c r="DQ47" s="22">
        <f>IF(AND($H47&lt;&gt;"",$AG47&lt;&gt;"",$H47&lt;&gt;$AG47,IFERROR(VLOOKUP($H47,areaCercaPuntiClassificaSquadra,3,FALSE),-1)=IFERROR(VLOOKUP($AG47,areaCercaPuntiClassificaSquadra,3,FALSE),-2)),SUMIFS(Dati!$F$2:$F$761,Dati!$A$2:$A$761,$H47,Dati!$H$2:$H$761,$AG47)+SUMIFS(Dati!$M$2:$M$761,Dati!$H$2:$H$761,$H47,Dati!$A$2:$A$761,$AG47),"-")</f>
        <v/>
      </c>
      <c r="DR47" s="22">
        <f>IF(AND($H47&lt;&gt;"",$AH47&lt;&gt;"",$H47&lt;&gt;$AH47,IFERROR(VLOOKUP($H47,areaCercaPuntiClassificaSquadra,3,FALSE),-1)=IFERROR(VLOOKUP($AH47,areaCercaPuntiClassificaSquadra,3,FALSE),-2)),SUMIFS(Dati!$F$2:$F$761,Dati!$A$2:$A$761,$H47,Dati!$H$2:$H$761,$AH47)+SUMIFS(Dati!$M$2:$M$761,Dati!$H$2:$H$761,$H47,Dati!$A$2:$A$761,$AH47),"-")</f>
        <v/>
      </c>
      <c r="DS47" s="22">
        <f>IF(AND($H47&lt;&gt;"",$AI47&lt;&gt;"",$H47&lt;&gt;$AI47,IFERROR(VLOOKUP($H47,areaCercaPuntiClassificaSquadra,3,FALSE),-1)=IFERROR(VLOOKUP($AI47,areaCercaPuntiClassificaSquadra,3,FALSE),-2)),SUMIFS(Dati!$F$2:$F$761,Dati!$A$2:$A$761,$H47,Dati!$H$2:$H$761,$AI47)+SUMIFS(Dati!$M$2:$M$761,Dati!$H$2:$H$761,$H47,Dati!$A$2:$A$761,$AI47),"-")</f>
        <v/>
      </c>
      <c r="DT47" s="22">
        <f>IF(AND($H47&lt;&gt;"",$AJ47&lt;&gt;"",$H47&lt;&gt;$AJ47,IFERROR(VLOOKUP($H47,areaCercaPuntiClassificaSquadra,3,FALSE),-1)=IFERROR(VLOOKUP($AJ47,areaCercaPuntiClassificaSquadra,3,FALSE),-2)),SUMIFS(Dati!$F$2:$F$761,Dati!$A$2:$A$761,$H47,Dati!$H$2:$H$761,$AJ47)+SUMIFS(Dati!$M$2:$M$761,Dati!$H$2:$H$761,$H47,Dati!$A$2:$A$761,$AJ47),"-")</f>
        <v/>
      </c>
      <c r="DU47" s="22">
        <f>IF(AND($H47&lt;&gt;"",$AK47&lt;&gt;"",$H47&lt;&gt;$AK47,IFERROR(VLOOKUP($H47,areaCercaPuntiClassificaSquadra,3,FALSE),-1)=IFERROR(VLOOKUP($AK47,areaCercaPuntiClassificaSquadra,3,FALSE),-2)),SUMIFS(Dati!$F$2:$F$761,Dati!$A$2:$A$761,$H47,Dati!$H$2:$H$761,$AK47)+SUMIFS(Dati!$M$2:$M$761,Dati!$H$2:$H$761,$H47,Dati!$A$2:$A$761,$AK47),"-")</f>
        <v/>
      </c>
      <c r="DV47" s="22">
        <f>IF(AND($H47&lt;&gt;"",$AL47&lt;&gt;"",$H47&lt;&gt;$AL47,IFERROR(VLOOKUP($H47,areaCercaPuntiClassificaSquadra,3,FALSE),-1)=IFERROR(VLOOKUP($AL47,areaCercaPuntiClassificaSquadra,3,FALSE),-2)),SUMIFS(Dati!$F$2:$F$761,Dati!$A$2:$A$761,$H47,Dati!$H$2:$H$761,$AL47)+SUMIFS(Dati!$M$2:$M$761,Dati!$H$2:$H$761,$H47,Dati!$A$2:$A$761,$AL47),"-")</f>
        <v/>
      </c>
      <c r="DW47" s="22">
        <f>IF(AND($H47&lt;&gt;"",$AM47&lt;&gt;"",$H47&lt;&gt;$AM47,IFERROR(VLOOKUP($H47,areaCercaPuntiClassificaSquadra,3,FALSE),-1)=IFERROR(VLOOKUP($AM47,areaCercaPuntiClassificaSquadra,3,FALSE),-2)),SUMIFS(Dati!$F$2:$F$761,Dati!$A$2:$A$761,$H47,Dati!$H$2:$H$761,$AM47)+SUMIFS(Dati!$M$2:$M$761,Dati!$H$2:$H$761,$H47,Dati!$A$2:$A$761,$AM47),"-")</f>
        <v/>
      </c>
      <c r="DX47" s="22">
        <f>IF(AND($H47&lt;&gt;"",$AN47&lt;&gt;"",$H47&lt;&gt;$AN47,IFERROR(VLOOKUP($H47,areaCercaPuntiClassificaSquadra,3,FALSE),-1)=IFERROR(VLOOKUP($AN47,areaCercaPuntiClassificaSquadra,3,FALSE),-2)),SUMIFS(Dati!$F$2:$F$761,Dati!$A$2:$A$761,$H47,Dati!$H$2:$H$761,$AN47)+SUMIFS(Dati!$M$2:$M$761,Dati!$H$2:$H$761,$H47,Dati!$A$2:$A$761,$AN47),"-")</f>
        <v/>
      </c>
      <c r="DY47" s="22">
        <f>IF(AND($H47&lt;&gt;"",$AO47&lt;&gt;"",$H47&lt;&gt;$AO47,IFERROR(VLOOKUP($H47,areaCercaPuntiClassificaSquadra,3,FALSE),-1)=IFERROR(VLOOKUP($AO47,areaCercaPuntiClassificaSquadra,3,FALSE),-2)),SUMIFS(Dati!$F$2:$F$761,Dati!$A$2:$A$761,$H47,Dati!$H$2:$H$761,$AO47)+SUMIFS(Dati!$M$2:$M$761,Dati!$H$2:$H$761,$H47,Dati!$A$2:$A$761,$AO47),"-")</f>
        <v/>
      </c>
      <c r="DZ47" s="22">
        <f>IF(AND($H47&lt;&gt;"",$AP47&lt;&gt;"",$H47&lt;&gt;$AP47,IFERROR(VLOOKUP($H47,areaCercaPuntiClassificaSquadra,3,FALSE),-1)=IFERROR(VLOOKUP($AP47,areaCercaPuntiClassificaSquadra,3,FALSE),-2)),SUMIFS(Dati!$F$2:$F$761,Dati!$A$2:$A$761,$H47,Dati!$H$2:$H$761,$AP47)+SUMIFS(Dati!$M$2:$M$761,Dati!$H$2:$H$761,$H47,Dati!$A$2:$A$761,$AP47),"-")</f>
        <v/>
      </c>
      <c r="EA47" s="22">
        <f>IF(AND($H47&lt;&gt;"",$AQ47&lt;&gt;"",$H47&lt;&gt;$AQ47,IFERROR(VLOOKUP($H47,areaCercaPuntiClassificaSquadra,3,FALSE),-1)=IFERROR(VLOOKUP($AQ47,areaCercaPuntiClassificaSquadra,3,FALSE),-2)),SUMIFS(Dati!$F$2:$F$761,Dati!$A$2:$A$761,$H47,Dati!$H$2:$H$761,$AQ47)+SUMIFS(Dati!$M$2:$M$761,Dati!$H$2:$H$761,$H47,Dati!$A$2:$A$761,$AQ47),"-")</f>
        <v/>
      </c>
      <c r="EB47" s="22">
        <f>IF(AND($H47&lt;&gt;"",$AR47&lt;&gt;"",$H47&lt;&gt;$AR47,IFERROR(VLOOKUP($H47,areaCercaPuntiClassificaSquadra,3,FALSE),-1)=IFERROR(VLOOKUP($AR47,areaCercaPuntiClassificaSquadra,3,FALSE),-2)),SUMIFS(Dati!$F$2:$F$761,Dati!$A$2:$A$761,$H47,Dati!$H$2:$H$761,$AR47)+SUMIFS(Dati!$M$2:$M$761,Dati!$H$2:$H$761,$H47,Dati!$A$2:$A$761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inlineStr">
        <is>
          <t>Alci Audaci-Alciopoli AU</t>
        </is>
      </c>
      <c r="D48" s="14" t="n"/>
      <c r="E48" s="23" t="inlineStr">
        <is>
          <t>B</t>
        </is>
      </c>
      <c r="G48" s="24">
        <f>IF($C48="","",$E48&amp;(COUNTIFS(I$14:I$93,"&gt;"&amp;I48,E$14:E$93,"="&amp;E48,C$14:C$93,"&lt;&gt;")+COUNTIFS(I$14:I$93,"="&amp;I48,H$14:H$93,"&lt;="&amp;H48,E$14:E$93,"="&amp;E48,C$14:C$93,"&lt;&gt;")))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L48*constPuntiVittoria+M48*constPuntiSconfitta+N48*constPuntiForfait+IF(D48="",0,D48)</f>
        <v/>
      </c>
      <c r="K48" s="12">
        <f>SUM(L48:N48)</f>
        <v/>
      </c>
      <c r="L48" s="12">
        <f>IF($H48="",0,SUMIF(Dati!$A$2:$A$761,$H48,Dati!$B$2:$B$761)+SUMIF(Dati!$H$2:$H$761,$H48,Dati!$I$2:$I$761))</f>
        <v/>
      </c>
      <c r="M48" s="12">
        <f>IF($H48="",0,SUMIF(Dati!$A$2:$A$761,$H48,Dati!$D$2:$D$761)+SUMIF(Dati!$H$2:$H$761,$H48,Dati!$K$2:$K$761))</f>
        <v/>
      </c>
      <c r="N48" s="12">
        <f>IF($H48="",0,SUMIF(Dati!$A$2:$A$761,$H48,Dati!$C$2:$C$761)+SUMIF(Dati!$H$2:$H$761,$H48,Dati!$J$2:$J$761))</f>
        <v/>
      </c>
      <c r="O48" s="12">
        <f>IF($H48="",0,SUMIF(Dati!$A$2:$A$761,$H48,Dati!$E$2:$E$761)+SUMIF(Dati!$H$2:$H$761,$H48,Dati!$L$2:$L$761))</f>
        <v/>
      </c>
      <c r="P48" s="12">
        <f>IF($H48="",0,SUMIF(Dati!$A$2:$A$761,$H48,Dati!$F$2:$F$761)+SUMIF(Dati!$H$2:$H$761,$H48,Dati!$M$2:$M$761))</f>
        <v/>
      </c>
      <c r="Q48" s="12">
        <f>IF($H48="",0,SUMIF(Dati!$A$2:$A$761,$H48,Dati!$G$2:$G$761)+SUMIF(Dati!$H$2:$H$761,$H48,Dati!$N$2:$N$761))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IF(COUNTIFS($E$14:$E$93,$E48,$J$14:$J$93,$J48,$C$14:$C$93,"&lt;&gt;")&lt;=1,"-",SUM(AU48:BN48)&amp;"-"&amp;SUM(BQ48:CJ48))</f>
        <v/>
      </c>
      <c r="V48" s="18">
        <f>IF(COUNTIFS($E$14:$E$93,$E48,$J$14:$J$93,$J48,$C$14:$C$93,"&lt;&gt;",$ED$14:$ED$93,$ED48)&lt;=1,"-",IF(SUM(DI48:EB48)=0,0,ROUND(SUM(CM48:DF48)/SUM(DI48:EB48),3)))</f>
        <v/>
      </c>
      <c r="W48" s="18">
        <f>IF(COUNTIFS($E$14:$E$93,$E48,$J$14:$J$93,$J48,$C$14:$C$93,"&lt;&gt;",$ED$14:$ED$93,$ED48,$V$14:$V$93,$V48)&lt;=1,"-",IF(P48=0,0,ROUND(O48/P48,3)))</f>
        <v/>
      </c>
      <c r="X48" s="19">
        <f>IF($C48="","",$E48&amp;"#"&amp;COUNTIFS($E$14:$E48,$E48,$C$14:$C48,"&lt;&gt;"))</f>
        <v/>
      </c>
      <c r="Y48" s="20">
        <f>IFERROR(INDEX($H$14:$H$93,MATCH($E48&amp;"#1",$X$14:$X$93,0)),"")</f>
        <v/>
      </c>
      <c r="Z48" s="20">
        <f>IFERROR(INDEX($H$14:$H$93,MATCH($E48&amp;"#2",$X$14:$X$93,0)),"")</f>
        <v/>
      </c>
      <c r="AA48" s="20">
        <f>IFERROR(INDEX($H$14:$H$93,MATCH($E48&amp;"#3",$X$14:$X$93,0)),"")</f>
        <v/>
      </c>
      <c r="AB48" s="20">
        <f>IFERROR(INDEX($H$14:$H$93,MATCH($E48&amp;"#4",$X$14:$X$93,0)),"")</f>
        <v/>
      </c>
      <c r="AC48" s="20">
        <f>IFERROR(INDEX($H$14:$H$93,MATCH($E48&amp;"#5",$X$14:$X$93,0)),"")</f>
        <v/>
      </c>
      <c r="AD48" s="20">
        <f>IFERROR(INDEX($H$14:$H$93,MATCH($E48&amp;"#6",$X$14:$X$93,0)),"")</f>
        <v/>
      </c>
      <c r="AE48" s="20">
        <f>IFERROR(INDEX($H$14:$H$93,MATCH($E48&amp;"#7",$X$14:$X$93,0)),"")</f>
        <v/>
      </c>
      <c r="AF48" s="20">
        <f>IFERROR(INDEX($H$14:$H$93,MATCH($E48&amp;"#8",$X$14:$X$93,0)),"")</f>
        <v/>
      </c>
      <c r="AG48" s="20">
        <f>IFERROR(INDEX($H$14:$H$93,MATCH($E48&amp;"#9",$X$14:$X$93,0)),"")</f>
        <v/>
      </c>
      <c r="AH48" s="20">
        <f>IFERROR(INDEX($H$14:$H$93,MATCH($E48&amp;"#10",$X$14:$X$93,0)),"")</f>
        <v/>
      </c>
      <c r="AI48" s="20">
        <f>IFERROR(INDEX($H$14:$H$93,MATCH($E48&amp;"#11",$X$14:$X$93,0)),"")</f>
        <v/>
      </c>
      <c r="AJ48" s="20">
        <f>IFERROR(INDEX($H$14:$H$93,MATCH($E48&amp;"#12",$X$14:$X$93,0)),"")</f>
        <v/>
      </c>
      <c r="AK48" s="20">
        <f>IFERROR(INDEX($H$14:$H$93,MATCH($E48&amp;"#13",$X$14:$X$93,0)),"")</f>
        <v/>
      </c>
      <c r="AL48" s="20">
        <f>IFERROR(INDEX($H$14:$H$93,MATCH($E48&amp;"#14",$X$14:$X$93,0)),"")</f>
        <v/>
      </c>
      <c r="AM48" s="20">
        <f>IFERROR(INDEX($H$14:$H$93,MATCH($E48&amp;"#15",$X$14:$X$93,0)),"")</f>
        <v/>
      </c>
      <c r="AN48" s="20">
        <f>IFERROR(INDEX($H$14:$H$93,MATCH($E48&amp;"#16",$X$14:$X$93,0)),"")</f>
        <v/>
      </c>
      <c r="AO48" s="20">
        <f>IFERROR(INDEX($H$14:$H$93,MATCH($E48&amp;"#17",$X$14:$X$93,0)),"")</f>
        <v/>
      </c>
      <c r="AP48" s="20">
        <f>IFERROR(INDEX($H$14:$H$93,MATCH($E48&amp;"#18",$X$14:$X$93,0)),"")</f>
        <v/>
      </c>
      <c r="AQ48" s="20">
        <f>IFERROR(INDEX($H$14:$H$93,MATCH($E48&amp;"#19",$X$14:$X$93,0)),"")</f>
        <v/>
      </c>
      <c r="AR48" s="20">
        <f>IFERROR(INDEX($H$14:$H$93,MATCH($E48&amp;"#20",$X$14:$X$93,0)),"")</f>
        <v/>
      </c>
      <c r="AT48" s="21">
        <f>$C48</f>
        <v/>
      </c>
      <c r="AU48" s="22">
        <f>IF(AND($H48&lt;&gt;"",$Y48&lt;&gt;"",$H48&lt;&gt;$Y48,IFERROR(VLOOKUP($H48,areaCercaPuntiClassificaSquadra,3,FALSE),-1)=IFERROR(VLOOKUP($Y48,areaCercaPuntiClassificaSquadra,3,FALSE),-2)),SUMIFS(Dati!$B$2:$B$761,Dati!$A$2:$A$761,$H48,Dati!$H$2:$H$761,$Y48)+SUMIFS(Dati!$I$2:$I$761,Dati!$H$2:$H$761,$H48,Dati!$A$2:$A$761,$Y48),"-")</f>
        <v/>
      </c>
      <c r="AV48" s="22">
        <f>IF(AND($H48&lt;&gt;"",$Z48&lt;&gt;"",$H48&lt;&gt;$Z48,IFERROR(VLOOKUP($H48,areaCercaPuntiClassificaSquadra,3,FALSE),-1)=IFERROR(VLOOKUP($Z48,areaCercaPuntiClassificaSquadra,3,FALSE),-2)),SUMIFS(Dati!$B$2:$B$761,Dati!$A$2:$A$761,$H48,Dati!$H$2:$H$761,$Z48)+SUMIFS(Dati!$I$2:$I$761,Dati!$H$2:$H$761,$H48,Dati!$A$2:$A$761,$Z48),"-")</f>
        <v/>
      </c>
      <c r="AW48" s="22">
        <f>IF(AND($H48&lt;&gt;"",$AA48&lt;&gt;"",$H48&lt;&gt;$AA48,IFERROR(VLOOKUP($H48,areaCercaPuntiClassificaSquadra,3,FALSE),-1)=IFERROR(VLOOKUP($AA48,areaCercaPuntiClassificaSquadra,3,FALSE),-2)),SUMIFS(Dati!$B$2:$B$761,Dati!$A$2:$A$761,$H48,Dati!$H$2:$H$761,$AA48)+SUMIFS(Dati!$I$2:$I$761,Dati!$H$2:$H$761,$H48,Dati!$A$2:$A$761,$AA48),"-")</f>
        <v/>
      </c>
      <c r="AX48" s="22">
        <f>IF(AND($H48&lt;&gt;"",$AB48&lt;&gt;"",$H48&lt;&gt;$AB48,IFERROR(VLOOKUP($H48,areaCercaPuntiClassificaSquadra,3,FALSE),-1)=IFERROR(VLOOKUP($AB48,areaCercaPuntiClassificaSquadra,3,FALSE),-2)),SUMIFS(Dati!$B$2:$B$761,Dati!$A$2:$A$761,$H48,Dati!$H$2:$H$761,$AB48)+SUMIFS(Dati!$I$2:$I$761,Dati!$H$2:$H$761,$H48,Dati!$A$2:$A$761,$AB48),"-")</f>
        <v/>
      </c>
      <c r="AY48" s="22">
        <f>IF(AND($H48&lt;&gt;"",$AC48&lt;&gt;"",$H48&lt;&gt;$AC48,IFERROR(VLOOKUP($H48,areaCercaPuntiClassificaSquadra,3,FALSE),-1)=IFERROR(VLOOKUP($AC48,areaCercaPuntiClassificaSquadra,3,FALSE),-2)),SUMIFS(Dati!$B$2:$B$761,Dati!$A$2:$A$761,$H48,Dati!$H$2:$H$761,$AC48)+SUMIFS(Dati!$I$2:$I$761,Dati!$H$2:$H$761,$H48,Dati!$A$2:$A$761,$AC48),"-")</f>
        <v/>
      </c>
      <c r="AZ48" s="22">
        <f>IF(AND($H48&lt;&gt;"",$AD48&lt;&gt;"",$H48&lt;&gt;$AD48,IFERROR(VLOOKUP($H48,areaCercaPuntiClassificaSquadra,3,FALSE),-1)=IFERROR(VLOOKUP($AD48,areaCercaPuntiClassificaSquadra,3,FALSE),-2)),SUMIFS(Dati!$B$2:$B$761,Dati!$A$2:$A$761,$H48,Dati!$H$2:$H$761,$AD48)+SUMIFS(Dati!$I$2:$I$761,Dati!$H$2:$H$761,$H48,Dati!$A$2:$A$761,$AD48),"-")</f>
        <v/>
      </c>
      <c r="BA48" s="22">
        <f>IF(AND($H48&lt;&gt;"",$AE48&lt;&gt;"",$H48&lt;&gt;$AE48,IFERROR(VLOOKUP($H48,areaCercaPuntiClassificaSquadra,3,FALSE),-1)=IFERROR(VLOOKUP($AE48,areaCercaPuntiClassificaSquadra,3,FALSE),-2)),SUMIFS(Dati!$B$2:$B$761,Dati!$A$2:$A$761,$H48,Dati!$H$2:$H$761,$AE48)+SUMIFS(Dati!$I$2:$I$761,Dati!$H$2:$H$761,$H48,Dati!$A$2:$A$761,$AE48),"-")</f>
        <v/>
      </c>
      <c r="BB48" s="22">
        <f>IF(AND($H48&lt;&gt;"",$AF48&lt;&gt;"",$H48&lt;&gt;$AF48,IFERROR(VLOOKUP($H48,areaCercaPuntiClassificaSquadra,3,FALSE),-1)=IFERROR(VLOOKUP($AF48,areaCercaPuntiClassificaSquadra,3,FALSE),-2)),SUMIFS(Dati!$B$2:$B$761,Dati!$A$2:$A$761,$H48,Dati!$H$2:$H$761,$AF48)+SUMIFS(Dati!$I$2:$I$761,Dati!$H$2:$H$761,$H48,Dati!$A$2:$A$761,$AF48),"-")</f>
        <v/>
      </c>
      <c r="BC48" s="22">
        <f>IF(AND($H48&lt;&gt;"",$AG48&lt;&gt;"",$H48&lt;&gt;$AG48,IFERROR(VLOOKUP($H48,areaCercaPuntiClassificaSquadra,3,FALSE),-1)=IFERROR(VLOOKUP($AG48,areaCercaPuntiClassificaSquadra,3,FALSE),-2)),SUMIFS(Dati!$B$2:$B$761,Dati!$A$2:$A$761,$H48,Dati!$H$2:$H$761,$AG48)+SUMIFS(Dati!$I$2:$I$761,Dati!$H$2:$H$761,$H48,Dati!$A$2:$A$761,$AG48),"-")</f>
        <v/>
      </c>
      <c r="BD48" s="22">
        <f>IF(AND($H48&lt;&gt;"",$AH48&lt;&gt;"",$H48&lt;&gt;$AH48,IFERROR(VLOOKUP($H48,areaCercaPuntiClassificaSquadra,3,FALSE),-1)=IFERROR(VLOOKUP($AH48,areaCercaPuntiClassificaSquadra,3,FALSE),-2)),SUMIFS(Dati!$B$2:$B$761,Dati!$A$2:$A$761,$H48,Dati!$H$2:$H$761,$AH48)+SUMIFS(Dati!$I$2:$I$761,Dati!$H$2:$H$761,$H48,Dati!$A$2:$A$761,$AH48),"-")</f>
        <v/>
      </c>
      <c r="BE48" s="22">
        <f>IF(AND($H48&lt;&gt;"",$AI48&lt;&gt;"",$H48&lt;&gt;$AI48,IFERROR(VLOOKUP($H48,areaCercaPuntiClassificaSquadra,3,FALSE),-1)=IFERROR(VLOOKUP($AI48,areaCercaPuntiClassificaSquadra,3,FALSE),-2)),SUMIFS(Dati!$B$2:$B$761,Dati!$A$2:$A$761,$H48,Dati!$H$2:$H$761,$AI48)+SUMIFS(Dati!$I$2:$I$761,Dati!$H$2:$H$761,$H48,Dati!$A$2:$A$761,$AI48),"-")</f>
        <v/>
      </c>
      <c r="BF48" s="22">
        <f>IF(AND($H48&lt;&gt;"",$AJ48&lt;&gt;"",$H48&lt;&gt;$AJ48,IFERROR(VLOOKUP($H48,areaCercaPuntiClassificaSquadra,3,FALSE),-1)=IFERROR(VLOOKUP($AJ48,areaCercaPuntiClassificaSquadra,3,FALSE),-2)),SUMIFS(Dati!$B$2:$B$761,Dati!$A$2:$A$761,$H48,Dati!$H$2:$H$761,$AJ48)+SUMIFS(Dati!$I$2:$I$761,Dati!$H$2:$H$761,$H48,Dati!$A$2:$A$761,$AJ48),"-")</f>
        <v/>
      </c>
      <c r="BG48" s="22">
        <f>IF(AND($H48&lt;&gt;"",$AK48&lt;&gt;"",$H48&lt;&gt;$AK48,IFERROR(VLOOKUP($H48,areaCercaPuntiClassificaSquadra,3,FALSE),-1)=IFERROR(VLOOKUP($AK48,areaCercaPuntiClassificaSquadra,3,FALSE),-2)),SUMIFS(Dati!$B$2:$B$761,Dati!$A$2:$A$761,$H48,Dati!$H$2:$H$761,$AK48)+SUMIFS(Dati!$I$2:$I$761,Dati!$H$2:$H$761,$H48,Dati!$A$2:$A$761,$AK48),"-")</f>
        <v/>
      </c>
      <c r="BH48" s="22">
        <f>IF(AND($H48&lt;&gt;"",$AL48&lt;&gt;"",$H48&lt;&gt;$AL48,IFERROR(VLOOKUP($H48,areaCercaPuntiClassificaSquadra,3,FALSE),-1)=IFERROR(VLOOKUP($AL48,areaCercaPuntiClassificaSquadra,3,FALSE),-2)),SUMIFS(Dati!$B$2:$B$761,Dati!$A$2:$A$761,$H48,Dati!$H$2:$H$761,$AL48)+SUMIFS(Dati!$I$2:$I$761,Dati!$H$2:$H$761,$H48,Dati!$A$2:$A$761,$AL48),"-")</f>
        <v/>
      </c>
      <c r="BI48" s="22">
        <f>IF(AND($H48&lt;&gt;"",$AM48&lt;&gt;"",$H48&lt;&gt;$AM48,IFERROR(VLOOKUP($H48,areaCercaPuntiClassificaSquadra,3,FALSE),-1)=IFERROR(VLOOKUP($AM48,areaCercaPuntiClassificaSquadra,3,FALSE),-2)),SUMIFS(Dati!$B$2:$B$761,Dati!$A$2:$A$761,$H48,Dati!$H$2:$H$761,$AM48)+SUMIFS(Dati!$I$2:$I$761,Dati!$H$2:$H$761,$H48,Dati!$A$2:$A$761,$AM48),"-")</f>
        <v/>
      </c>
      <c r="BJ48" s="22">
        <f>IF(AND($H48&lt;&gt;"",$AN48&lt;&gt;"",$H48&lt;&gt;$AN48,IFERROR(VLOOKUP($H48,areaCercaPuntiClassificaSquadra,3,FALSE),-1)=IFERROR(VLOOKUP($AN48,areaCercaPuntiClassificaSquadra,3,FALSE),-2)),SUMIFS(Dati!$B$2:$B$761,Dati!$A$2:$A$761,$H48,Dati!$H$2:$H$761,$AN48)+SUMIFS(Dati!$I$2:$I$761,Dati!$H$2:$H$761,$H48,Dati!$A$2:$A$761,$AN48),"-")</f>
        <v/>
      </c>
      <c r="BK48" s="22">
        <f>IF(AND($H48&lt;&gt;"",$AO48&lt;&gt;"",$H48&lt;&gt;$AO48,IFERROR(VLOOKUP($H48,areaCercaPuntiClassificaSquadra,3,FALSE),-1)=IFERROR(VLOOKUP($AO48,areaCercaPuntiClassificaSquadra,3,FALSE),-2)),SUMIFS(Dati!$B$2:$B$761,Dati!$A$2:$A$761,$H48,Dati!$H$2:$H$761,$AO48)+SUMIFS(Dati!$I$2:$I$761,Dati!$H$2:$H$761,$H48,Dati!$A$2:$A$761,$AO48),"-")</f>
        <v/>
      </c>
      <c r="BL48" s="22">
        <f>IF(AND($H48&lt;&gt;"",$AP48&lt;&gt;"",$H48&lt;&gt;$AP48,IFERROR(VLOOKUP($H48,areaCercaPuntiClassificaSquadra,3,FALSE),-1)=IFERROR(VLOOKUP($AP48,areaCercaPuntiClassificaSquadra,3,FALSE),-2)),SUMIFS(Dati!$B$2:$B$761,Dati!$A$2:$A$761,$H48,Dati!$H$2:$H$761,$AP48)+SUMIFS(Dati!$I$2:$I$761,Dati!$H$2:$H$761,$H48,Dati!$A$2:$A$761,$AP48),"-")</f>
        <v/>
      </c>
      <c r="BM48" s="22">
        <f>IF(AND($H48&lt;&gt;"",$AQ48&lt;&gt;"",$H48&lt;&gt;$AQ48,IFERROR(VLOOKUP($H48,areaCercaPuntiClassificaSquadra,3,FALSE),-1)=IFERROR(VLOOKUP($AQ48,areaCercaPuntiClassificaSquadra,3,FALSE),-2)),SUMIFS(Dati!$B$2:$B$761,Dati!$A$2:$A$761,$H48,Dati!$H$2:$H$761,$AQ48)+SUMIFS(Dati!$I$2:$I$761,Dati!$H$2:$H$761,$H48,Dati!$A$2:$A$761,$AQ48),"-")</f>
        <v/>
      </c>
      <c r="BN48" s="22">
        <f>IF(AND($H48&lt;&gt;"",$AR48&lt;&gt;"",$H48&lt;&gt;$AR48,IFERROR(VLOOKUP($H48,areaCercaPuntiClassificaSquadra,3,FALSE),-1)=IFERROR(VLOOKUP($AR48,areaCercaPuntiClassificaSquadra,3,FALSE),-2)),SUMIFS(Dati!$B$2:$B$761,Dati!$A$2:$A$761,$H48,Dati!$H$2:$H$761,$AR48)+SUMIFS(Dati!$I$2:$I$761,Dati!$H$2:$H$761,$H48,Dati!$A$2:$A$761,$AR48),"-")</f>
        <v/>
      </c>
      <c r="BP48" s="21">
        <f>$C48</f>
        <v/>
      </c>
      <c r="BQ48" s="22">
        <f>IF(AND($H48&lt;&gt;"",$Y48&lt;&gt;"",$H48&lt;&gt;$Y48,IFERROR(VLOOKUP($H48,areaCercaPuntiClassificaSquadra,3,FALSE),-1)=IFERROR(VLOOKUP($Y48,areaCercaPuntiClassificaSquadra,3,FALSE),-2)),SUMIFS(Dati!$D$2:$D$761,Dati!$A$2:$A$761,$H48,Dati!$H$2:$H$761,$Y48)+SUMIFS(Dati!$K$2:$K$761,Dati!$H$2:$H$761,$H48,Dati!$A$2:$A$761,$Y48)+SUMIFS(Dati!$C$2:$C$761,Dati!$A$2:$A$761,$H48,Dati!$H$2:$H$761,$Y48)+SUMIFS(Dati!$J$2:$J$761,Dati!$H$2:$H$761,$H48,Dati!$A$2:$A$761,$Y48),"-")</f>
        <v/>
      </c>
      <c r="BR48" s="22">
        <f>IF(AND($H48&lt;&gt;"",$Z48&lt;&gt;"",$H48&lt;&gt;$Z48,IFERROR(VLOOKUP($H48,areaCercaPuntiClassificaSquadra,3,FALSE),-1)=IFERROR(VLOOKUP($Z48,areaCercaPuntiClassificaSquadra,3,FALSE),-2)),SUMIFS(Dati!$D$2:$D$761,Dati!$A$2:$A$761,$H48,Dati!$H$2:$H$761,$Z48)+SUMIFS(Dati!$K$2:$K$761,Dati!$H$2:$H$761,$H48,Dati!$A$2:$A$761,$Z48)+SUMIFS(Dati!$C$2:$C$761,Dati!$A$2:$A$761,$H48,Dati!$H$2:$H$761,$Z48)+SUMIFS(Dati!$J$2:$J$761,Dati!$H$2:$H$761,$H48,Dati!$A$2:$A$761,$Z48),"-")</f>
        <v/>
      </c>
      <c r="BS48" s="22">
        <f>IF(AND($H48&lt;&gt;"",$AA48&lt;&gt;"",$H48&lt;&gt;$AA48,IFERROR(VLOOKUP($H48,areaCercaPuntiClassificaSquadra,3,FALSE),-1)=IFERROR(VLOOKUP($AA48,areaCercaPuntiClassificaSquadra,3,FALSE),-2)),SUMIFS(Dati!$D$2:$D$761,Dati!$A$2:$A$761,$H48,Dati!$H$2:$H$761,$AA48)+SUMIFS(Dati!$K$2:$K$761,Dati!$H$2:$H$761,$H48,Dati!$A$2:$A$761,$AA48)+SUMIFS(Dati!$C$2:$C$761,Dati!$A$2:$A$761,$H48,Dati!$H$2:$H$761,$AA48)+SUMIFS(Dati!$J$2:$J$761,Dati!$H$2:$H$761,$H48,Dati!$A$2:$A$761,$AA48),"-")</f>
        <v/>
      </c>
      <c r="BT48" s="22">
        <f>IF(AND($H48&lt;&gt;"",$AB48&lt;&gt;"",$H48&lt;&gt;$AB48,IFERROR(VLOOKUP($H48,areaCercaPuntiClassificaSquadra,3,FALSE),-1)=IFERROR(VLOOKUP($AB48,areaCercaPuntiClassificaSquadra,3,FALSE),-2)),SUMIFS(Dati!$D$2:$D$761,Dati!$A$2:$A$761,$H48,Dati!$H$2:$H$761,$AB48)+SUMIFS(Dati!$K$2:$K$761,Dati!$H$2:$H$761,$H48,Dati!$A$2:$A$761,$AB48)+SUMIFS(Dati!$C$2:$C$761,Dati!$A$2:$A$761,$H48,Dati!$H$2:$H$761,$AB48)+SUMIFS(Dati!$J$2:$J$761,Dati!$H$2:$H$761,$H48,Dati!$A$2:$A$761,$AB48),"-")</f>
        <v/>
      </c>
      <c r="BU48" s="22">
        <f>IF(AND($H48&lt;&gt;"",$AC48&lt;&gt;"",$H48&lt;&gt;$AC48,IFERROR(VLOOKUP($H48,areaCercaPuntiClassificaSquadra,3,FALSE),-1)=IFERROR(VLOOKUP($AC48,areaCercaPuntiClassificaSquadra,3,FALSE),-2)),SUMIFS(Dati!$D$2:$D$761,Dati!$A$2:$A$761,$H48,Dati!$H$2:$H$761,$AC48)+SUMIFS(Dati!$K$2:$K$761,Dati!$H$2:$H$761,$H48,Dati!$A$2:$A$761,$AC48)+SUMIFS(Dati!$C$2:$C$761,Dati!$A$2:$A$761,$H48,Dati!$H$2:$H$761,$AC48)+SUMIFS(Dati!$J$2:$J$761,Dati!$H$2:$H$761,$H48,Dati!$A$2:$A$761,$AC48),"-")</f>
        <v/>
      </c>
      <c r="BV48" s="22">
        <f>IF(AND($H48&lt;&gt;"",$AD48&lt;&gt;"",$H48&lt;&gt;$AD48,IFERROR(VLOOKUP($H48,areaCercaPuntiClassificaSquadra,3,FALSE),-1)=IFERROR(VLOOKUP($AD48,areaCercaPuntiClassificaSquadra,3,FALSE),-2)),SUMIFS(Dati!$D$2:$D$761,Dati!$A$2:$A$761,$H48,Dati!$H$2:$H$761,$AD48)+SUMIFS(Dati!$K$2:$K$761,Dati!$H$2:$H$761,$H48,Dati!$A$2:$A$761,$AD48)+SUMIFS(Dati!$C$2:$C$761,Dati!$A$2:$A$761,$H48,Dati!$H$2:$H$761,$AD48)+SUMIFS(Dati!$J$2:$J$761,Dati!$H$2:$H$761,$H48,Dati!$A$2:$A$761,$AD48),"-")</f>
        <v/>
      </c>
      <c r="BW48" s="22">
        <f>IF(AND($H48&lt;&gt;"",$AE48&lt;&gt;"",$H48&lt;&gt;$AE48,IFERROR(VLOOKUP($H48,areaCercaPuntiClassificaSquadra,3,FALSE),-1)=IFERROR(VLOOKUP($AE48,areaCercaPuntiClassificaSquadra,3,FALSE),-2)),SUMIFS(Dati!$D$2:$D$761,Dati!$A$2:$A$761,$H48,Dati!$H$2:$H$761,$AE48)+SUMIFS(Dati!$K$2:$K$761,Dati!$H$2:$H$761,$H48,Dati!$A$2:$A$761,$AE48)+SUMIFS(Dati!$C$2:$C$761,Dati!$A$2:$A$761,$H48,Dati!$H$2:$H$761,$AE48)+SUMIFS(Dati!$J$2:$J$761,Dati!$H$2:$H$761,$H48,Dati!$A$2:$A$761,$AE48),"-")</f>
        <v/>
      </c>
      <c r="BX48" s="22">
        <f>IF(AND($H48&lt;&gt;"",$AF48&lt;&gt;"",$H48&lt;&gt;$AF48,IFERROR(VLOOKUP($H48,areaCercaPuntiClassificaSquadra,3,FALSE),-1)=IFERROR(VLOOKUP($AF48,areaCercaPuntiClassificaSquadra,3,FALSE),-2)),SUMIFS(Dati!$D$2:$D$761,Dati!$A$2:$A$761,$H48,Dati!$H$2:$H$761,$AF48)+SUMIFS(Dati!$K$2:$K$761,Dati!$H$2:$H$761,$H48,Dati!$A$2:$A$761,$AF48)+SUMIFS(Dati!$C$2:$C$761,Dati!$A$2:$A$761,$H48,Dati!$H$2:$H$761,$AF48)+SUMIFS(Dati!$J$2:$J$761,Dati!$H$2:$H$761,$H48,Dati!$A$2:$A$761,$AF48),"-")</f>
        <v/>
      </c>
      <c r="BY48" s="22">
        <f>IF(AND($H48&lt;&gt;"",$AG48&lt;&gt;"",$H48&lt;&gt;$AG48,IFERROR(VLOOKUP($H48,areaCercaPuntiClassificaSquadra,3,FALSE),-1)=IFERROR(VLOOKUP($AG48,areaCercaPuntiClassificaSquadra,3,FALSE),-2)),SUMIFS(Dati!$D$2:$D$761,Dati!$A$2:$A$761,$H48,Dati!$H$2:$H$761,$AG48)+SUMIFS(Dati!$K$2:$K$761,Dati!$H$2:$H$761,$H48,Dati!$A$2:$A$761,$AG48)+SUMIFS(Dati!$C$2:$C$761,Dati!$A$2:$A$761,$H48,Dati!$H$2:$H$761,$AG48)+SUMIFS(Dati!$J$2:$J$761,Dati!$H$2:$H$761,$H48,Dati!$A$2:$A$761,$AG48),"-")</f>
        <v/>
      </c>
      <c r="BZ48" s="22">
        <f>IF(AND($H48&lt;&gt;"",$AH48&lt;&gt;"",$H48&lt;&gt;$AH48,IFERROR(VLOOKUP($H48,areaCercaPuntiClassificaSquadra,3,FALSE),-1)=IFERROR(VLOOKUP($AH48,areaCercaPuntiClassificaSquadra,3,FALSE),-2)),SUMIFS(Dati!$D$2:$D$761,Dati!$A$2:$A$761,$H48,Dati!$H$2:$H$761,$AH48)+SUMIFS(Dati!$K$2:$K$761,Dati!$H$2:$H$761,$H48,Dati!$A$2:$A$761,$AH48)+SUMIFS(Dati!$C$2:$C$761,Dati!$A$2:$A$761,$H48,Dati!$H$2:$H$761,$AH48)+SUMIFS(Dati!$J$2:$J$761,Dati!$H$2:$H$761,$H48,Dati!$A$2:$A$761,$AH48),"-")</f>
        <v/>
      </c>
      <c r="CA48" s="22">
        <f>IF(AND($H48&lt;&gt;"",$AI48&lt;&gt;"",$H48&lt;&gt;$AI48,IFERROR(VLOOKUP($H48,areaCercaPuntiClassificaSquadra,3,FALSE),-1)=IFERROR(VLOOKUP($AI48,areaCercaPuntiClassificaSquadra,3,FALSE),-2)),SUMIFS(Dati!$D$2:$D$761,Dati!$A$2:$A$761,$H48,Dati!$H$2:$H$761,$AI48)+SUMIFS(Dati!$K$2:$K$761,Dati!$H$2:$H$761,$H48,Dati!$A$2:$A$761,$AI48)+SUMIFS(Dati!$C$2:$C$761,Dati!$A$2:$A$761,$H48,Dati!$H$2:$H$761,$AI48)+SUMIFS(Dati!$J$2:$J$761,Dati!$H$2:$H$761,$H48,Dati!$A$2:$A$761,$AI48),"-")</f>
        <v/>
      </c>
      <c r="CB48" s="22">
        <f>IF(AND($H48&lt;&gt;"",$AJ48&lt;&gt;"",$H48&lt;&gt;$AJ48,IFERROR(VLOOKUP($H48,areaCercaPuntiClassificaSquadra,3,FALSE),-1)=IFERROR(VLOOKUP($AJ48,areaCercaPuntiClassificaSquadra,3,FALSE),-2)),SUMIFS(Dati!$D$2:$D$761,Dati!$A$2:$A$761,$H48,Dati!$H$2:$H$761,$AJ48)+SUMIFS(Dati!$K$2:$K$761,Dati!$H$2:$H$761,$H48,Dati!$A$2:$A$761,$AJ48)+SUMIFS(Dati!$C$2:$C$761,Dati!$A$2:$A$761,$H48,Dati!$H$2:$H$761,$AJ48)+SUMIFS(Dati!$J$2:$J$761,Dati!$H$2:$H$761,$H48,Dati!$A$2:$A$761,$AJ48),"-")</f>
        <v/>
      </c>
      <c r="CC48" s="22">
        <f>IF(AND($H48&lt;&gt;"",$AK48&lt;&gt;"",$H48&lt;&gt;$AK48,IFERROR(VLOOKUP($H48,areaCercaPuntiClassificaSquadra,3,FALSE),-1)=IFERROR(VLOOKUP($AK48,areaCercaPuntiClassificaSquadra,3,FALSE),-2)),SUMIFS(Dati!$D$2:$D$761,Dati!$A$2:$A$761,$H48,Dati!$H$2:$H$761,$AK48)+SUMIFS(Dati!$K$2:$K$761,Dati!$H$2:$H$761,$H48,Dati!$A$2:$A$761,$AK48)+SUMIFS(Dati!$C$2:$C$761,Dati!$A$2:$A$761,$H48,Dati!$H$2:$H$761,$AK48)+SUMIFS(Dati!$J$2:$J$761,Dati!$H$2:$H$761,$H48,Dati!$A$2:$A$761,$AK48),"-")</f>
        <v/>
      </c>
      <c r="CD48" s="22">
        <f>IF(AND($H48&lt;&gt;"",$AL48&lt;&gt;"",$H48&lt;&gt;$AL48,IFERROR(VLOOKUP($H48,areaCercaPuntiClassificaSquadra,3,FALSE),-1)=IFERROR(VLOOKUP($AL48,areaCercaPuntiClassificaSquadra,3,FALSE),-2)),SUMIFS(Dati!$D$2:$D$761,Dati!$A$2:$A$761,$H48,Dati!$H$2:$H$761,$AL48)+SUMIFS(Dati!$K$2:$K$761,Dati!$H$2:$H$761,$H48,Dati!$A$2:$A$761,$AL48)+SUMIFS(Dati!$C$2:$C$761,Dati!$A$2:$A$761,$H48,Dati!$H$2:$H$761,$AL48)+SUMIFS(Dati!$J$2:$J$761,Dati!$H$2:$H$761,$H48,Dati!$A$2:$A$761,$AL48),"-")</f>
        <v/>
      </c>
      <c r="CE48" s="22">
        <f>IF(AND($H48&lt;&gt;"",$AM48&lt;&gt;"",$H48&lt;&gt;$AM48,IFERROR(VLOOKUP($H48,areaCercaPuntiClassificaSquadra,3,FALSE),-1)=IFERROR(VLOOKUP($AM48,areaCercaPuntiClassificaSquadra,3,FALSE),-2)),SUMIFS(Dati!$D$2:$D$761,Dati!$A$2:$A$761,$H48,Dati!$H$2:$H$761,$AM48)+SUMIFS(Dati!$K$2:$K$761,Dati!$H$2:$H$761,$H48,Dati!$A$2:$A$761,$AM48)+SUMIFS(Dati!$C$2:$C$761,Dati!$A$2:$A$761,$H48,Dati!$H$2:$H$761,$AM48)+SUMIFS(Dati!$J$2:$J$761,Dati!$H$2:$H$761,$H48,Dati!$A$2:$A$761,$AM48),"-")</f>
        <v/>
      </c>
      <c r="CF48" s="22">
        <f>IF(AND($H48&lt;&gt;"",$AN48&lt;&gt;"",$H48&lt;&gt;$AN48,IFERROR(VLOOKUP($H48,areaCercaPuntiClassificaSquadra,3,FALSE),-1)=IFERROR(VLOOKUP($AN48,areaCercaPuntiClassificaSquadra,3,FALSE),-2)),SUMIFS(Dati!$D$2:$D$761,Dati!$A$2:$A$761,$H48,Dati!$H$2:$H$761,$AN48)+SUMIFS(Dati!$K$2:$K$761,Dati!$H$2:$H$761,$H48,Dati!$A$2:$A$761,$AN48)+SUMIFS(Dati!$C$2:$C$761,Dati!$A$2:$A$761,$H48,Dati!$H$2:$H$761,$AN48)+SUMIFS(Dati!$J$2:$J$761,Dati!$H$2:$H$761,$H48,Dati!$A$2:$A$761,$AN48),"-")</f>
        <v/>
      </c>
      <c r="CG48" s="22">
        <f>IF(AND($H48&lt;&gt;"",$AO48&lt;&gt;"",$H48&lt;&gt;$AO48,IFERROR(VLOOKUP($H48,areaCercaPuntiClassificaSquadra,3,FALSE),-1)=IFERROR(VLOOKUP($AO48,areaCercaPuntiClassificaSquadra,3,FALSE),-2)),SUMIFS(Dati!$D$2:$D$761,Dati!$A$2:$A$761,$H48,Dati!$H$2:$H$761,$AO48)+SUMIFS(Dati!$K$2:$K$761,Dati!$H$2:$H$761,$H48,Dati!$A$2:$A$761,$AO48)+SUMIFS(Dati!$C$2:$C$761,Dati!$A$2:$A$761,$H48,Dati!$H$2:$H$761,$AO48)+SUMIFS(Dati!$J$2:$J$761,Dati!$H$2:$H$761,$H48,Dati!$A$2:$A$761,$AO48),"-")</f>
        <v/>
      </c>
      <c r="CH48" s="22">
        <f>IF(AND($H48&lt;&gt;"",$AP48&lt;&gt;"",$H48&lt;&gt;$AP48,IFERROR(VLOOKUP($H48,areaCercaPuntiClassificaSquadra,3,FALSE),-1)=IFERROR(VLOOKUP($AP48,areaCercaPuntiClassificaSquadra,3,FALSE),-2)),SUMIFS(Dati!$D$2:$D$761,Dati!$A$2:$A$761,$H48,Dati!$H$2:$H$761,$AP48)+SUMIFS(Dati!$K$2:$K$761,Dati!$H$2:$H$761,$H48,Dati!$A$2:$A$761,$AP48)+SUMIFS(Dati!$C$2:$C$761,Dati!$A$2:$A$761,$H48,Dati!$H$2:$H$761,$AP48)+SUMIFS(Dati!$J$2:$J$761,Dati!$H$2:$H$761,$H48,Dati!$A$2:$A$761,$AP48),"-")</f>
        <v/>
      </c>
      <c r="CI48" s="22">
        <f>IF(AND($H48&lt;&gt;"",$AQ48&lt;&gt;"",$H48&lt;&gt;$AQ48,IFERROR(VLOOKUP($H48,areaCercaPuntiClassificaSquadra,3,FALSE),-1)=IFERROR(VLOOKUP($AQ48,areaCercaPuntiClassificaSquadra,3,FALSE),-2)),SUMIFS(Dati!$D$2:$D$761,Dati!$A$2:$A$761,$H48,Dati!$H$2:$H$761,$AQ48)+SUMIFS(Dati!$K$2:$K$761,Dati!$H$2:$H$761,$H48,Dati!$A$2:$A$761,$AQ48)+SUMIFS(Dati!$C$2:$C$761,Dati!$A$2:$A$761,$H48,Dati!$H$2:$H$761,$AQ48)+SUMIFS(Dati!$J$2:$J$761,Dati!$H$2:$H$761,$H48,Dati!$A$2:$A$761,$AQ48),"-")</f>
        <v/>
      </c>
      <c r="CJ48" s="22">
        <f>IF(AND($H48&lt;&gt;"",$AR48&lt;&gt;"",$H48&lt;&gt;$AR48,IFERROR(VLOOKUP($H48,areaCercaPuntiClassificaSquadra,3,FALSE),-1)=IFERROR(VLOOKUP($AR48,areaCercaPuntiClassificaSquadra,3,FALSE),-2)),SUMIFS(Dati!$D$2:$D$761,Dati!$A$2:$A$761,$H48,Dati!$H$2:$H$761,$AR48)+SUMIFS(Dati!$K$2:$K$761,Dati!$H$2:$H$761,$H48,Dati!$A$2:$A$761,$AR48)+SUMIFS(Dati!$C$2:$C$761,Dati!$A$2:$A$761,$H48,Dati!$H$2:$H$761,$AR48)+SUMIFS(Dati!$J$2:$J$761,Dati!$H$2:$H$761,$H48,Dati!$A$2:$A$761,$AR48),"-")</f>
        <v/>
      </c>
      <c r="CL48" s="21">
        <f>$C48</f>
        <v/>
      </c>
      <c r="CM48" s="22">
        <f>IF(AND($H48&lt;&gt;"",$Y48&lt;&gt;"",$H48&lt;&gt;$Y48,IFERROR(VLOOKUP($H48,areaCercaPuntiClassificaSquadra,3,FALSE),-1)=IFERROR(VLOOKUP($Y48,areaCercaPuntiClassificaSquadra,3,FALSE),-2)),SUMIFS(Dati!$E$2:$E$761,Dati!$A$2:$A$761,$H48,Dati!$H$2:$H$761,$Y48)+SUMIFS(Dati!$L$2:$L$761,Dati!$H$2:$H$761,$H48,Dati!$A$2:$A$761,$Y48),"-")</f>
        <v/>
      </c>
      <c r="CN48" s="22">
        <f>IF(AND($H48&lt;&gt;"",$Z48&lt;&gt;"",$H48&lt;&gt;$Z48,IFERROR(VLOOKUP($H48,areaCercaPuntiClassificaSquadra,3,FALSE),-1)=IFERROR(VLOOKUP($Z48,areaCercaPuntiClassificaSquadra,3,FALSE),-2)),SUMIFS(Dati!$E$2:$E$761,Dati!$A$2:$A$761,$H48,Dati!$H$2:$H$761,$Z48)+SUMIFS(Dati!$L$2:$L$761,Dati!$H$2:$H$761,$H48,Dati!$A$2:$A$761,$Z48),"-")</f>
        <v/>
      </c>
      <c r="CO48" s="22">
        <f>IF(AND($H48&lt;&gt;"",$AA48&lt;&gt;"",$H48&lt;&gt;$AA48,IFERROR(VLOOKUP($H48,areaCercaPuntiClassificaSquadra,3,FALSE),-1)=IFERROR(VLOOKUP($AA48,areaCercaPuntiClassificaSquadra,3,FALSE),-2)),SUMIFS(Dati!$E$2:$E$761,Dati!$A$2:$A$761,$H48,Dati!$H$2:$H$761,$AA48)+SUMIFS(Dati!$L$2:$L$761,Dati!$H$2:$H$761,$H48,Dati!$A$2:$A$761,$AA48),"-")</f>
        <v/>
      </c>
      <c r="CP48" s="22">
        <f>IF(AND($H48&lt;&gt;"",$AB48&lt;&gt;"",$H48&lt;&gt;$AB48,IFERROR(VLOOKUP($H48,areaCercaPuntiClassificaSquadra,3,FALSE),-1)=IFERROR(VLOOKUP($AB48,areaCercaPuntiClassificaSquadra,3,FALSE),-2)),SUMIFS(Dati!$E$2:$E$761,Dati!$A$2:$A$761,$H48,Dati!$H$2:$H$761,$AB48)+SUMIFS(Dati!$L$2:$L$761,Dati!$H$2:$H$761,$H48,Dati!$A$2:$A$761,$AB48),"-")</f>
        <v/>
      </c>
      <c r="CQ48" s="22">
        <f>IF(AND($H48&lt;&gt;"",$AC48&lt;&gt;"",$H48&lt;&gt;$AC48,IFERROR(VLOOKUP($H48,areaCercaPuntiClassificaSquadra,3,FALSE),-1)=IFERROR(VLOOKUP($AC48,areaCercaPuntiClassificaSquadra,3,FALSE),-2)),SUMIFS(Dati!$E$2:$E$761,Dati!$A$2:$A$761,$H48,Dati!$H$2:$H$761,$AC48)+SUMIFS(Dati!$L$2:$L$761,Dati!$H$2:$H$761,$H48,Dati!$A$2:$A$761,$AC48),"-")</f>
        <v/>
      </c>
      <c r="CR48" s="22">
        <f>IF(AND($H48&lt;&gt;"",$AD48&lt;&gt;"",$H48&lt;&gt;$AD48,IFERROR(VLOOKUP($H48,areaCercaPuntiClassificaSquadra,3,FALSE),-1)=IFERROR(VLOOKUP($AD48,areaCercaPuntiClassificaSquadra,3,FALSE),-2)),SUMIFS(Dati!$E$2:$E$761,Dati!$A$2:$A$761,$H48,Dati!$H$2:$H$761,$AD48)+SUMIFS(Dati!$L$2:$L$761,Dati!$H$2:$H$761,$H48,Dati!$A$2:$A$761,$AD48),"-")</f>
        <v/>
      </c>
      <c r="CS48" s="22">
        <f>IF(AND($H48&lt;&gt;"",$AE48&lt;&gt;"",$H48&lt;&gt;$AE48,IFERROR(VLOOKUP($H48,areaCercaPuntiClassificaSquadra,3,FALSE),-1)=IFERROR(VLOOKUP($AE48,areaCercaPuntiClassificaSquadra,3,FALSE),-2)),SUMIFS(Dati!$E$2:$E$761,Dati!$A$2:$A$761,$H48,Dati!$H$2:$H$761,$AE48)+SUMIFS(Dati!$L$2:$L$761,Dati!$H$2:$H$761,$H48,Dati!$A$2:$A$761,$AE48),"-")</f>
        <v/>
      </c>
      <c r="CT48" s="22">
        <f>IF(AND($H48&lt;&gt;"",$AF48&lt;&gt;"",$H48&lt;&gt;$AF48,IFERROR(VLOOKUP($H48,areaCercaPuntiClassificaSquadra,3,FALSE),-1)=IFERROR(VLOOKUP($AF48,areaCercaPuntiClassificaSquadra,3,FALSE),-2)),SUMIFS(Dati!$E$2:$E$761,Dati!$A$2:$A$761,$H48,Dati!$H$2:$H$761,$AF48)+SUMIFS(Dati!$L$2:$L$761,Dati!$H$2:$H$761,$H48,Dati!$A$2:$A$761,$AF48),"-")</f>
        <v/>
      </c>
      <c r="CU48" s="22">
        <f>IF(AND($H48&lt;&gt;"",$AG48&lt;&gt;"",$H48&lt;&gt;$AG48,IFERROR(VLOOKUP($H48,areaCercaPuntiClassificaSquadra,3,FALSE),-1)=IFERROR(VLOOKUP($AG48,areaCercaPuntiClassificaSquadra,3,FALSE),-2)),SUMIFS(Dati!$E$2:$E$761,Dati!$A$2:$A$761,$H48,Dati!$H$2:$H$761,$AG48)+SUMIFS(Dati!$L$2:$L$761,Dati!$H$2:$H$761,$H48,Dati!$A$2:$A$761,$AG48),"-")</f>
        <v/>
      </c>
      <c r="CV48" s="22">
        <f>IF(AND($H48&lt;&gt;"",$AH48&lt;&gt;"",$H48&lt;&gt;$AH48,IFERROR(VLOOKUP($H48,areaCercaPuntiClassificaSquadra,3,FALSE),-1)=IFERROR(VLOOKUP($AH48,areaCercaPuntiClassificaSquadra,3,FALSE),-2)),SUMIFS(Dati!$E$2:$E$761,Dati!$A$2:$A$761,$H48,Dati!$H$2:$H$761,$AH48)+SUMIFS(Dati!$L$2:$L$761,Dati!$H$2:$H$761,$H48,Dati!$A$2:$A$761,$AH48),"-")</f>
        <v/>
      </c>
      <c r="CW48" s="22">
        <f>IF(AND($H48&lt;&gt;"",$AI48&lt;&gt;"",$H48&lt;&gt;$AI48,IFERROR(VLOOKUP($H48,areaCercaPuntiClassificaSquadra,3,FALSE),-1)=IFERROR(VLOOKUP($AI48,areaCercaPuntiClassificaSquadra,3,FALSE),-2)),SUMIFS(Dati!$E$2:$E$761,Dati!$A$2:$A$761,$H48,Dati!$H$2:$H$761,$AI48)+SUMIFS(Dati!$L$2:$L$761,Dati!$H$2:$H$761,$H48,Dati!$A$2:$A$761,$AI48),"-")</f>
        <v/>
      </c>
      <c r="CX48" s="22">
        <f>IF(AND($H48&lt;&gt;"",$AJ48&lt;&gt;"",$H48&lt;&gt;$AJ48,IFERROR(VLOOKUP($H48,areaCercaPuntiClassificaSquadra,3,FALSE),-1)=IFERROR(VLOOKUP($AJ48,areaCercaPuntiClassificaSquadra,3,FALSE),-2)),SUMIFS(Dati!$E$2:$E$761,Dati!$A$2:$A$761,$H48,Dati!$H$2:$H$761,$AJ48)+SUMIFS(Dati!$L$2:$L$761,Dati!$H$2:$H$761,$H48,Dati!$A$2:$A$761,$AJ48),"-")</f>
        <v/>
      </c>
      <c r="CY48" s="22">
        <f>IF(AND($H48&lt;&gt;"",$AK48&lt;&gt;"",$H48&lt;&gt;$AK48,IFERROR(VLOOKUP($H48,areaCercaPuntiClassificaSquadra,3,FALSE),-1)=IFERROR(VLOOKUP($AK48,areaCercaPuntiClassificaSquadra,3,FALSE),-2)),SUMIFS(Dati!$E$2:$E$761,Dati!$A$2:$A$761,$H48,Dati!$H$2:$H$761,$AK48)+SUMIFS(Dati!$L$2:$L$761,Dati!$H$2:$H$761,$H48,Dati!$A$2:$A$761,$AK48),"-")</f>
        <v/>
      </c>
      <c r="CZ48" s="22">
        <f>IF(AND($H48&lt;&gt;"",$AL48&lt;&gt;"",$H48&lt;&gt;$AL48,IFERROR(VLOOKUP($H48,areaCercaPuntiClassificaSquadra,3,FALSE),-1)=IFERROR(VLOOKUP($AL48,areaCercaPuntiClassificaSquadra,3,FALSE),-2)),SUMIFS(Dati!$E$2:$E$761,Dati!$A$2:$A$761,$H48,Dati!$H$2:$H$761,$AL48)+SUMIFS(Dati!$L$2:$L$761,Dati!$H$2:$H$761,$H48,Dati!$A$2:$A$761,$AL48),"-")</f>
        <v/>
      </c>
      <c r="DA48" s="22">
        <f>IF(AND($H48&lt;&gt;"",$AM48&lt;&gt;"",$H48&lt;&gt;$AM48,IFERROR(VLOOKUP($H48,areaCercaPuntiClassificaSquadra,3,FALSE),-1)=IFERROR(VLOOKUP($AM48,areaCercaPuntiClassificaSquadra,3,FALSE),-2)),SUMIFS(Dati!$E$2:$E$761,Dati!$A$2:$A$761,$H48,Dati!$H$2:$H$761,$AM48)+SUMIFS(Dati!$L$2:$L$761,Dati!$H$2:$H$761,$H48,Dati!$A$2:$A$761,$AM48),"-")</f>
        <v/>
      </c>
      <c r="DB48" s="22">
        <f>IF(AND($H48&lt;&gt;"",$AN48&lt;&gt;"",$H48&lt;&gt;$AN48,IFERROR(VLOOKUP($H48,areaCercaPuntiClassificaSquadra,3,FALSE),-1)=IFERROR(VLOOKUP($AN48,areaCercaPuntiClassificaSquadra,3,FALSE),-2)),SUMIFS(Dati!$E$2:$E$761,Dati!$A$2:$A$761,$H48,Dati!$H$2:$H$761,$AN48)+SUMIFS(Dati!$L$2:$L$761,Dati!$H$2:$H$761,$H48,Dati!$A$2:$A$761,$AN48),"-")</f>
        <v/>
      </c>
      <c r="DC48" s="22">
        <f>IF(AND($H48&lt;&gt;"",$AO48&lt;&gt;"",$H48&lt;&gt;$AO48,IFERROR(VLOOKUP($H48,areaCercaPuntiClassificaSquadra,3,FALSE),-1)=IFERROR(VLOOKUP($AO48,areaCercaPuntiClassificaSquadra,3,FALSE),-2)),SUMIFS(Dati!$E$2:$E$761,Dati!$A$2:$A$761,$H48,Dati!$H$2:$H$761,$AO48)+SUMIFS(Dati!$L$2:$L$761,Dati!$H$2:$H$761,$H48,Dati!$A$2:$A$761,$AO48),"-")</f>
        <v/>
      </c>
      <c r="DD48" s="22">
        <f>IF(AND($H48&lt;&gt;"",$AP48&lt;&gt;"",$H48&lt;&gt;$AP48,IFERROR(VLOOKUP($H48,areaCercaPuntiClassificaSquadra,3,FALSE),-1)=IFERROR(VLOOKUP($AP48,areaCercaPuntiClassificaSquadra,3,FALSE),-2)),SUMIFS(Dati!$E$2:$E$761,Dati!$A$2:$A$761,$H48,Dati!$H$2:$H$761,$AP48)+SUMIFS(Dati!$L$2:$L$761,Dati!$H$2:$H$761,$H48,Dati!$A$2:$A$761,$AP48),"-")</f>
        <v/>
      </c>
      <c r="DE48" s="22">
        <f>IF(AND($H48&lt;&gt;"",$AQ48&lt;&gt;"",$H48&lt;&gt;$AQ48,IFERROR(VLOOKUP($H48,areaCercaPuntiClassificaSquadra,3,FALSE),-1)=IFERROR(VLOOKUP($AQ48,areaCercaPuntiClassificaSquadra,3,FALSE),-2)),SUMIFS(Dati!$E$2:$E$761,Dati!$A$2:$A$761,$H48,Dati!$H$2:$H$761,$AQ48)+SUMIFS(Dati!$L$2:$L$761,Dati!$H$2:$H$761,$H48,Dati!$A$2:$A$761,$AQ48),"-")</f>
        <v/>
      </c>
      <c r="DF48" s="22">
        <f>IF(AND($H48&lt;&gt;"",$AR48&lt;&gt;"",$H48&lt;&gt;$AR48,IFERROR(VLOOKUP($H48,areaCercaPuntiClassificaSquadra,3,FALSE),-1)=IFERROR(VLOOKUP($AR48,areaCercaPuntiClassificaSquadra,3,FALSE),-2)),SUMIFS(Dati!$E$2:$E$761,Dati!$A$2:$A$761,$H48,Dati!$H$2:$H$761,$AR48)+SUMIFS(Dati!$L$2:$L$761,Dati!$H$2:$H$761,$H48,Dati!$A$2:$A$761,$AR48),"-")</f>
        <v/>
      </c>
      <c r="DH48" s="21">
        <f>$C48</f>
        <v/>
      </c>
      <c r="DI48" s="22">
        <f>IF(AND($H48&lt;&gt;"",$Y48&lt;&gt;"",$H48&lt;&gt;$Y48,IFERROR(VLOOKUP($H48,areaCercaPuntiClassificaSquadra,3,FALSE),-1)=IFERROR(VLOOKUP($Y48,areaCercaPuntiClassificaSquadra,3,FALSE),-2)),SUMIFS(Dati!$F$2:$F$761,Dati!$A$2:$A$761,$H48,Dati!$H$2:$H$761,$Y48)+SUMIFS(Dati!$M$2:$M$761,Dati!$H$2:$H$761,$H48,Dati!$A$2:$A$761,$Y48),"-")</f>
        <v/>
      </c>
      <c r="DJ48" s="22">
        <f>IF(AND($H48&lt;&gt;"",$Z48&lt;&gt;"",$H48&lt;&gt;$Z48,IFERROR(VLOOKUP($H48,areaCercaPuntiClassificaSquadra,3,FALSE),-1)=IFERROR(VLOOKUP($Z48,areaCercaPuntiClassificaSquadra,3,FALSE),-2)),SUMIFS(Dati!$F$2:$F$761,Dati!$A$2:$A$761,$H48,Dati!$H$2:$H$761,$Z48)+SUMIFS(Dati!$M$2:$M$761,Dati!$H$2:$H$761,$H48,Dati!$A$2:$A$761,$Z48),"-")</f>
        <v/>
      </c>
      <c r="DK48" s="22">
        <f>IF(AND($H48&lt;&gt;"",$AA48&lt;&gt;"",$H48&lt;&gt;$AA48,IFERROR(VLOOKUP($H48,areaCercaPuntiClassificaSquadra,3,FALSE),-1)=IFERROR(VLOOKUP($AA48,areaCercaPuntiClassificaSquadra,3,FALSE),-2)),SUMIFS(Dati!$F$2:$F$761,Dati!$A$2:$A$761,$H48,Dati!$H$2:$H$761,$AA48)+SUMIFS(Dati!$M$2:$M$761,Dati!$H$2:$H$761,$H48,Dati!$A$2:$A$761,$AA48),"-")</f>
        <v/>
      </c>
      <c r="DL48" s="22">
        <f>IF(AND($H48&lt;&gt;"",$AB48&lt;&gt;"",$H48&lt;&gt;$AB48,IFERROR(VLOOKUP($H48,areaCercaPuntiClassificaSquadra,3,FALSE),-1)=IFERROR(VLOOKUP($AB48,areaCercaPuntiClassificaSquadra,3,FALSE),-2)),SUMIFS(Dati!$F$2:$F$761,Dati!$A$2:$A$761,$H48,Dati!$H$2:$H$761,$AB48)+SUMIFS(Dati!$M$2:$M$761,Dati!$H$2:$H$761,$H48,Dati!$A$2:$A$761,$AB48),"-")</f>
        <v/>
      </c>
      <c r="DM48" s="22">
        <f>IF(AND($H48&lt;&gt;"",$AC48&lt;&gt;"",$H48&lt;&gt;$AC48,IFERROR(VLOOKUP($H48,areaCercaPuntiClassificaSquadra,3,FALSE),-1)=IFERROR(VLOOKUP($AC48,areaCercaPuntiClassificaSquadra,3,FALSE),-2)),SUMIFS(Dati!$F$2:$F$761,Dati!$A$2:$A$761,$H48,Dati!$H$2:$H$761,$AC48)+SUMIFS(Dati!$M$2:$M$761,Dati!$H$2:$H$761,$H48,Dati!$A$2:$A$761,$AC48),"-")</f>
        <v/>
      </c>
      <c r="DN48" s="22">
        <f>IF(AND($H48&lt;&gt;"",$AD48&lt;&gt;"",$H48&lt;&gt;$AD48,IFERROR(VLOOKUP($H48,areaCercaPuntiClassificaSquadra,3,FALSE),-1)=IFERROR(VLOOKUP($AD48,areaCercaPuntiClassificaSquadra,3,FALSE),-2)),SUMIFS(Dati!$F$2:$F$761,Dati!$A$2:$A$761,$H48,Dati!$H$2:$H$761,$AD48)+SUMIFS(Dati!$M$2:$M$761,Dati!$H$2:$H$761,$H48,Dati!$A$2:$A$761,$AD48),"-")</f>
        <v/>
      </c>
      <c r="DO48" s="22">
        <f>IF(AND($H48&lt;&gt;"",$AE48&lt;&gt;"",$H48&lt;&gt;$AE48,IFERROR(VLOOKUP($H48,areaCercaPuntiClassificaSquadra,3,FALSE),-1)=IFERROR(VLOOKUP($AE48,areaCercaPuntiClassificaSquadra,3,FALSE),-2)),SUMIFS(Dati!$F$2:$F$761,Dati!$A$2:$A$761,$H48,Dati!$H$2:$H$761,$AE48)+SUMIFS(Dati!$M$2:$M$761,Dati!$H$2:$H$761,$H48,Dati!$A$2:$A$761,$AE48),"-")</f>
        <v/>
      </c>
      <c r="DP48" s="22">
        <f>IF(AND($H48&lt;&gt;"",$AF48&lt;&gt;"",$H48&lt;&gt;$AF48,IFERROR(VLOOKUP($H48,areaCercaPuntiClassificaSquadra,3,FALSE),-1)=IFERROR(VLOOKUP($AF48,areaCercaPuntiClassificaSquadra,3,FALSE),-2)),SUMIFS(Dati!$F$2:$F$761,Dati!$A$2:$A$761,$H48,Dati!$H$2:$H$761,$AF48)+SUMIFS(Dati!$M$2:$M$761,Dati!$H$2:$H$761,$H48,Dati!$A$2:$A$761,$AF48),"-")</f>
        <v/>
      </c>
      <c r="DQ48" s="22">
        <f>IF(AND($H48&lt;&gt;"",$AG48&lt;&gt;"",$H48&lt;&gt;$AG48,IFERROR(VLOOKUP($H48,areaCercaPuntiClassificaSquadra,3,FALSE),-1)=IFERROR(VLOOKUP($AG48,areaCercaPuntiClassificaSquadra,3,FALSE),-2)),SUMIFS(Dati!$F$2:$F$761,Dati!$A$2:$A$761,$H48,Dati!$H$2:$H$761,$AG48)+SUMIFS(Dati!$M$2:$M$761,Dati!$H$2:$H$761,$H48,Dati!$A$2:$A$761,$AG48),"-")</f>
        <v/>
      </c>
      <c r="DR48" s="22">
        <f>IF(AND($H48&lt;&gt;"",$AH48&lt;&gt;"",$H48&lt;&gt;$AH48,IFERROR(VLOOKUP($H48,areaCercaPuntiClassificaSquadra,3,FALSE),-1)=IFERROR(VLOOKUP($AH48,areaCercaPuntiClassificaSquadra,3,FALSE),-2)),SUMIFS(Dati!$F$2:$F$761,Dati!$A$2:$A$761,$H48,Dati!$H$2:$H$761,$AH48)+SUMIFS(Dati!$M$2:$M$761,Dati!$H$2:$H$761,$H48,Dati!$A$2:$A$761,$AH48),"-")</f>
        <v/>
      </c>
      <c r="DS48" s="22">
        <f>IF(AND($H48&lt;&gt;"",$AI48&lt;&gt;"",$H48&lt;&gt;$AI48,IFERROR(VLOOKUP($H48,areaCercaPuntiClassificaSquadra,3,FALSE),-1)=IFERROR(VLOOKUP($AI48,areaCercaPuntiClassificaSquadra,3,FALSE),-2)),SUMIFS(Dati!$F$2:$F$761,Dati!$A$2:$A$761,$H48,Dati!$H$2:$H$761,$AI48)+SUMIFS(Dati!$M$2:$M$761,Dati!$H$2:$H$761,$H48,Dati!$A$2:$A$761,$AI48),"-")</f>
        <v/>
      </c>
      <c r="DT48" s="22">
        <f>IF(AND($H48&lt;&gt;"",$AJ48&lt;&gt;"",$H48&lt;&gt;$AJ48,IFERROR(VLOOKUP($H48,areaCercaPuntiClassificaSquadra,3,FALSE),-1)=IFERROR(VLOOKUP($AJ48,areaCercaPuntiClassificaSquadra,3,FALSE),-2)),SUMIFS(Dati!$F$2:$F$761,Dati!$A$2:$A$761,$H48,Dati!$H$2:$H$761,$AJ48)+SUMIFS(Dati!$M$2:$M$761,Dati!$H$2:$H$761,$H48,Dati!$A$2:$A$761,$AJ48),"-")</f>
        <v/>
      </c>
      <c r="DU48" s="22">
        <f>IF(AND($H48&lt;&gt;"",$AK48&lt;&gt;"",$H48&lt;&gt;$AK48,IFERROR(VLOOKUP($H48,areaCercaPuntiClassificaSquadra,3,FALSE),-1)=IFERROR(VLOOKUP($AK48,areaCercaPuntiClassificaSquadra,3,FALSE),-2)),SUMIFS(Dati!$F$2:$F$761,Dati!$A$2:$A$761,$H48,Dati!$H$2:$H$761,$AK48)+SUMIFS(Dati!$M$2:$M$761,Dati!$H$2:$H$761,$H48,Dati!$A$2:$A$761,$AK48),"-")</f>
        <v/>
      </c>
      <c r="DV48" s="22">
        <f>IF(AND($H48&lt;&gt;"",$AL48&lt;&gt;"",$H48&lt;&gt;$AL48,IFERROR(VLOOKUP($H48,areaCercaPuntiClassificaSquadra,3,FALSE),-1)=IFERROR(VLOOKUP($AL48,areaCercaPuntiClassificaSquadra,3,FALSE),-2)),SUMIFS(Dati!$F$2:$F$761,Dati!$A$2:$A$761,$H48,Dati!$H$2:$H$761,$AL48)+SUMIFS(Dati!$M$2:$M$761,Dati!$H$2:$H$761,$H48,Dati!$A$2:$A$761,$AL48),"-")</f>
        <v/>
      </c>
      <c r="DW48" s="22">
        <f>IF(AND($H48&lt;&gt;"",$AM48&lt;&gt;"",$H48&lt;&gt;$AM48,IFERROR(VLOOKUP($H48,areaCercaPuntiClassificaSquadra,3,FALSE),-1)=IFERROR(VLOOKUP($AM48,areaCercaPuntiClassificaSquadra,3,FALSE),-2)),SUMIFS(Dati!$F$2:$F$761,Dati!$A$2:$A$761,$H48,Dati!$H$2:$H$761,$AM48)+SUMIFS(Dati!$M$2:$M$761,Dati!$H$2:$H$761,$H48,Dati!$A$2:$A$761,$AM48),"-")</f>
        <v/>
      </c>
      <c r="DX48" s="22">
        <f>IF(AND($H48&lt;&gt;"",$AN48&lt;&gt;"",$H48&lt;&gt;$AN48,IFERROR(VLOOKUP($H48,areaCercaPuntiClassificaSquadra,3,FALSE),-1)=IFERROR(VLOOKUP($AN48,areaCercaPuntiClassificaSquadra,3,FALSE),-2)),SUMIFS(Dati!$F$2:$F$761,Dati!$A$2:$A$761,$H48,Dati!$H$2:$H$761,$AN48)+SUMIFS(Dati!$M$2:$M$761,Dati!$H$2:$H$761,$H48,Dati!$A$2:$A$761,$AN48),"-")</f>
        <v/>
      </c>
      <c r="DY48" s="22">
        <f>IF(AND($H48&lt;&gt;"",$AO48&lt;&gt;"",$H48&lt;&gt;$AO48,IFERROR(VLOOKUP($H48,areaCercaPuntiClassificaSquadra,3,FALSE),-1)=IFERROR(VLOOKUP($AO48,areaCercaPuntiClassificaSquadra,3,FALSE),-2)),SUMIFS(Dati!$F$2:$F$761,Dati!$A$2:$A$761,$H48,Dati!$H$2:$H$761,$AO48)+SUMIFS(Dati!$M$2:$M$761,Dati!$H$2:$H$761,$H48,Dati!$A$2:$A$761,$AO48),"-")</f>
        <v/>
      </c>
      <c r="DZ48" s="22">
        <f>IF(AND($H48&lt;&gt;"",$AP48&lt;&gt;"",$H48&lt;&gt;$AP48,IFERROR(VLOOKUP($H48,areaCercaPuntiClassificaSquadra,3,FALSE),-1)=IFERROR(VLOOKUP($AP48,areaCercaPuntiClassificaSquadra,3,FALSE),-2)),SUMIFS(Dati!$F$2:$F$761,Dati!$A$2:$A$761,$H48,Dati!$H$2:$H$761,$AP48)+SUMIFS(Dati!$M$2:$M$761,Dati!$H$2:$H$761,$H48,Dati!$A$2:$A$761,$AP48),"-")</f>
        <v/>
      </c>
      <c r="EA48" s="22">
        <f>IF(AND($H48&lt;&gt;"",$AQ48&lt;&gt;"",$H48&lt;&gt;$AQ48,IFERROR(VLOOKUP($H48,areaCercaPuntiClassificaSquadra,3,FALSE),-1)=IFERROR(VLOOKUP($AQ48,areaCercaPuntiClassificaSquadra,3,FALSE),-2)),SUMIFS(Dati!$F$2:$F$761,Dati!$A$2:$A$761,$H48,Dati!$H$2:$H$761,$AQ48)+SUMIFS(Dati!$M$2:$M$761,Dati!$H$2:$H$761,$H48,Dati!$A$2:$A$761,$AQ48),"-")</f>
        <v/>
      </c>
      <c r="EB48" s="22">
        <f>IF(AND($H48&lt;&gt;"",$AR48&lt;&gt;"",$H48&lt;&gt;$AR48,IFERROR(VLOOKUP($H48,areaCercaPuntiClassificaSquadra,3,FALSE),-1)=IFERROR(VLOOKUP($AR48,areaCercaPuntiClassificaSquadra,3,FALSE),-2)),SUMIFS(Dati!$F$2:$F$761,Dati!$A$2:$A$761,$H48,Dati!$H$2:$H$761,$AR48)+SUMIFS(Dati!$M$2:$M$761,Dati!$H$2:$H$761,$H48,Dati!$A$2:$A$761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inlineStr">
        <is>
          <t>Barracuda Belligeranti-Barracudaopoli BA</t>
        </is>
      </c>
      <c r="D49" s="14" t="n"/>
      <c r="E49" s="23" t="inlineStr">
        <is>
          <t>B</t>
        </is>
      </c>
      <c r="G49" s="24">
        <f>IF($C49="","",$E49&amp;(COUNTIFS(I$14:I$93,"&gt;"&amp;I49,E$14:E$93,"="&amp;E49,C$14:C$93,"&lt;&gt;")+COUNTIFS(I$14:I$93,"="&amp;I49,H$14:H$93,"&lt;="&amp;H49,E$14:E$93,"="&amp;E49,C$14:C$93,"&lt;&gt;")))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L49*constPuntiVittoria+M49*constPuntiSconfitta+N49*constPuntiForfait+IF(D49="",0,D49)</f>
        <v/>
      </c>
      <c r="K49" s="12">
        <f>SUM(L49:N49)</f>
        <v/>
      </c>
      <c r="L49" s="12">
        <f>IF($H49="",0,SUMIF(Dati!$A$2:$A$761,$H49,Dati!$B$2:$B$761)+SUMIF(Dati!$H$2:$H$761,$H49,Dati!$I$2:$I$761))</f>
        <v/>
      </c>
      <c r="M49" s="12">
        <f>IF($H49="",0,SUMIF(Dati!$A$2:$A$761,$H49,Dati!$D$2:$D$761)+SUMIF(Dati!$H$2:$H$761,$H49,Dati!$K$2:$K$761))</f>
        <v/>
      </c>
      <c r="N49" s="12">
        <f>IF($H49="",0,SUMIF(Dati!$A$2:$A$761,$H49,Dati!$C$2:$C$761)+SUMIF(Dati!$H$2:$H$761,$H49,Dati!$J$2:$J$761))</f>
        <v/>
      </c>
      <c r="O49" s="12">
        <f>IF($H49="",0,SUMIF(Dati!$A$2:$A$761,$H49,Dati!$E$2:$E$761)+SUMIF(Dati!$H$2:$H$761,$H49,Dati!$L$2:$L$761))</f>
        <v/>
      </c>
      <c r="P49" s="12">
        <f>IF($H49="",0,SUMIF(Dati!$A$2:$A$761,$H49,Dati!$F$2:$F$761)+SUMIF(Dati!$H$2:$H$761,$H49,Dati!$M$2:$M$761))</f>
        <v/>
      </c>
      <c r="Q49" s="12">
        <f>IF($H49="",0,SUMIF(Dati!$A$2:$A$761,$H49,Dati!$G$2:$G$761)+SUMIF(Dati!$H$2:$H$761,$H49,Dati!$N$2:$N$761))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IF(COUNTIFS($E$14:$E$93,$E49,$J$14:$J$93,$J49,$C$14:$C$93,"&lt;&gt;")&lt;=1,"-",SUM(AU49:BN49)&amp;"-"&amp;SUM(BQ49:CJ49))</f>
        <v/>
      </c>
      <c r="V49" s="18">
        <f>IF(COUNTIFS($E$14:$E$93,$E49,$J$14:$J$93,$J49,$C$14:$C$93,"&lt;&gt;",$ED$14:$ED$93,$ED49)&lt;=1,"-",IF(SUM(DI49:EB49)=0,0,ROUND(SUM(CM49:DF49)/SUM(DI49:EB49),3)))</f>
        <v/>
      </c>
      <c r="W49" s="18">
        <f>IF(COUNTIFS($E$14:$E$93,$E49,$J$14:$J$93,$J49,$C$14:$C$93,"&lt;&gt;",$ED$14:$ED$93,$ED49,$V$14:$V$93,$V49)&lt;=1,"-",IF(P49=0,0,ROUND(O49/P49,3)))</f>
        <v/>
      </c>
      <c r="X49" s="19">
        <f>IF($C49="","",$E49&amp;"#"&amp;COUNTIFS($E$14:$E49,$E49,$C$14:$C49,"&lt;&gt;"))</f>
        <v/>
      </c>
      <c r="Y49" s="20">
        <f>IFERROR(INDEX($H$14:$H$93,MATCH($E49&amp;"#1",$X$14:$X$93,0)),"")</f>
        <v/>
      </c>
      <c r="Z49" s="20">
        <f>IFERROR(INDEX($H$14:$H$93,MATCH($E49&amp;"#2",$X$14:$X$93,0)),"")</f>
        <v/>
      </c>
      <c r="AA49" s="20">
        <f>IFERROR(INDEX($H$14:$H$93,MATCH($E49&amp;"#3",$X$14:$X$93,0)),"")</f>
        <v/>
      </c>
      <c r="AB49" s="20">
        <f>IFERROR(INDEX($H$14:$H$93,MATCH($E49&amp;"#4",$X$14:$X$93,0)),"")</f>
        <v/>
      </c>
      <c r="AC49" s="20">
        <f>IFERROR(INDEX($H$14:$H$93,MATCH($E49&amp;"#5",$X$14:$X$93,0)),"")</f>
        <v/>
      </c>
      <c r="AD49" s="20">
        <f>IFERROR(INDEX($H$14:$H$93,MATCH($E49&amp;"#6",$X$14:$X$93,0)),"")</f>
        <v/>
      </c>
      <c r="AE49" s="20">
        <f>IFERROR(INDEX($H$14:$H$93,MATCH($E49&amp;"#7",$X$14:$X$93,0)),"")</f>
        <v/>
      </c>
      <c r="AF49" s="20">
        <f>IFERROR(INDEX($H$14:$H$93,MATCH($E49&amp;"#8",$X$14:$X$93,0)),"")</f>
        <v/>
      </c>
      <c r="AG49" s="20">
        <f>IFERROR(INDEX($H$14:$H$93,MATCH($E49&amp;"#9",$X$14:$X$93,0)),"")</f>
        <v/>
      </c>
      <c r="AH49" s="20">
        <f>IFERROR(INDEX($H$14:$H$93,MATCH($E49&amp;"#10",$X$14:$X$93,0)),"")</f>
        <v/>
      </c>
      <c r="AI49" s="20">
        <f>IFERROR(INDEX($H$14:$H$93,MATCH($E49&amp;"#11",$X$14:$X$93,0)),"")</f>
        <v/>
      </c>
      <c r="AJ49" s="20">
        <f>IFERROR(INDEX($H$14:$H$93,MATCH($E49&amp;"#12",$X$14:$X$93,0)),"")</f>
        <v/>
      </c>
      <c r="AK49" s="20">
        <f>IFERROR(INDEX($H$14:$H$93,MATCH($E49&amp;"#13",$X$14:$X$93,0)),"")</f>
        <v/>
      </c>
      <c r="AL49" s="20">
        <f>IFERROR(INDEX($H$14:$H$93,MATCH($E49&amp;"#14",$X$14:$X$93,0)),"")</f>
        <v/>
      </c>
      <c r="AM49" s="20">
        <f>IFERROR(INDEX($H$14:$H$93,MATCH($E49&amp;"#15",$X$14:$X$93,0)),"")</f>
        <v/>
      </c>
      <c r="AN49" s="20">
        <f>IFERROR(INDEX($H$14:$H$93,MATCH($E49&amp;"#16",$X$14:$X$93,0)),"")</f>
        <v/>
      </c>
      <c r="AO49" s="20">
        <f>IFERROR(INDEX($H$14:$H$93,MATCH($E49&amp;"#17",$X$14:$X$93,0)),"")</f>
        <v/>
      </c>
      <c r="AP49" s="20">
        <f>IFERROR(INDEX($H$14:$H$93,MATCH($E49&amp;"#18",$X$14:$X$93,0)),"")</f>
        <v/>
      </c>
      <c r="AQ49" s="20">
        <f>IFERROR(INDEX($H$14:$H$93,MATCH($E49&amp;"#19",$X$14:$X$93,0)),"")</f>
        <v/>
      </c>
      <c r="AR49" s="20">
        <f>IFERROR(INDEX($H$14:$H$93,MATCH($E49&amp;"#20",$X$14:$X$93,0)),"")</f>
        <v/>
      </c>
      <c r="AT49" s="21">
        <f>$C49</f>
        <v/>
      </c>
      <c r="AU49" s="22">
        <f>IF(AND($H49&lt;&gt;"",$Y49&lt;&gt;"",$H49&lt;&gt;$Y49,IFERROR(VLOOKUP($H49,areaCercaPuntiClassificaSquadra,3,FALSE),-1)=IFERROR(VLOOKUP($Y49,areaCercaPuntiClassificaSquadra,3,FALSE),-2)),SUMIFS(Dati!$B$2:$B$761,Dati!$A$2:$A$761,$H49,Dati!$H$2:$H$761,$Y49)+SUMIFS(Dati!$I$2:$I$761,Dati!$H$2:$H$761,$H49,Dati!$A$2:$A$761,$Y49),"-")</f>
        <v/>
      </c>
      <c r="AV49" s="22">
        <f>IF(AND($H49&lt;&gt;"",$Z49&lt;&gt;"",$H49&lt;&gt;$Z49,IFERROR(VLOOKUP($H49,areaCercaPuntiClassificaSquadra,3,FALSE),-1)=IFERROR(VLOOKUP($Z49,areaCercaPuntiClassificaSquadra,3,FALSE),-2)),SUMIFS(Dati!$B$2:$B$761,Dati!$A$2:$A$761,$H49,Dati!$H$2:$H$761,$Z49)+SUMIFS(Dati!$I$2:$I$761,Dati!$H$2:$H$761,$H49,Dati!$A$2:$A$761,$Z49),"-")</f>
        <v/>
      </c>
      <c r="AW49" s="22">
        <f>IF(AND($H49&lt;&gt;"",$AA49&lt;&gt;"",$H49&lt;&gt;$AA49,IFERROR(VLOOKUP($H49,areaCercaPuntiClassificaSquadra,3,FALSE),-1)=IFERROR(VLOOKUP($AA49,areaCercaPuntiClassificaSquadra,3,FALSE),-2)),SUMIFS(Dati!$B$2:$B$761,Dati!$A$2:$A$761,$H49,Dati!$H$2:$H$761,$AA49)+SUMIFS(Dati!$I$2:$I$761,Dati!$H$2:$H$761,$H49,Dati!$A$2:$A$761,$AA49),"-")</f>
        <v/>
      </c>
      <c r="AX49" s="22">
        <f>IF(AND($H49&lt;&gt;"",$AB49&lt;&gt;"",$H49&lt;&gt;$AB49,IFERROR(VLOOKUP($H49,areaCercaPuntiClassificaSquadra,3,FALSE),-1)=IFERROR(VLOOKUP($AB49,areaCercaPuntiClassificaSquadra,3,FALSE),-2)),SUMIFS(Dati!$B$2:$B$761,Dati!$A$2:$A$761,$H49,Dati!$H$2:$H$761,$AB49)+SUMIFS(Dati!$I$2:$I$761,Dati!$H$2:$H$761,$H49,Dati!$A$2:$A$761,$AB49),"-")</f>
        <v/>
      </c>
      <c r="AY49" s="22">
        <f>IF(AND($H49&lt;&gt;"",$AC49&lt;&gt;"",$H49&lt;&gt;$AC49,IFERROR(VLOOKUP($H49,areaCercaPuntiClassificaSquadra,3,FALSE),-1)=IFERROR(VLOOKUP($AC49,areaCercaPuntiClassificaSquadra,3,FALSE),-2)),SUMIFS(Dati!$B$2:$B$761,Dati!$A$2:$A$761,$H49,Dati!$H$2:$H$761,$AC49)+SUMIFS(Dati!$I$2:$I$761,Dati!$H$2:$H$761,$H49,Dati!$A$2:$A$761,$AC49),"-")</f>
        <v/>
      </c>
      <c r="AZ49" s="22">
        <f>IF(AND($H49&lt;&gt;"",$AD49&lt;&gt;"",$H49&lt;&gt;$AD49,IFERROR(VLOOKUP($H49,areaCercaPuntiClassificaSquadra,3,FALSE),-1)=IFERROR(VLOOKUP($AD49,areaCercaPuntiClassificaSquadra,3,FALSE),-2)),SUMIFS(Dati!$B$2:$B$761,Dati!$A$2:$A$761,$H49,Dati!$H$2:$H$761,$AD49)+SUMIFS(Dati!$I$2:$I$761,Dati!$H$2:$H$761,$H49,Dati!$A$2:$A$761,$AD49),"-")</f>
        <v/>
      </c>
      <c r="BA49" s="22">
        <f>IF(AND($H49&lt;&gt;"",$AE49&lt;&gt;"",$H49&lt;&gt;$AE49,IFERROR(VLOOKUP($H49,areaCercaPuntiClassificaSquadra,3,FALSE),-1)=IFERROR(VLOOKUP($AE49,areaCercaPuntiClassificaSquadra,3,FALSE),-2)),SUMIFS(Dati!$B$2:$B$761,Dati!$A$2:$A$761,$H49,Dati!$H$2:$H$761,$AE49)+SUMIFS(Dati!$I$2:$I$761,Dati!$H$2:$H$761,$H49,Dati!$A$2:$A$761,$AE49),"-")</f>
        <v/>
      </c>
      <c r="BB49" s="22">
        <f>IF(AND($H49&lt;&gt;"",$AF49&lt;&gt;"",$H49&lt;&gt;$AF49,IFERROR(VLOOKUP($H49,areaCercaPuntiClassificaSquadra,3,FALSE),-1)=IFERROR(VLOOKUP($AF49,areaCercaPuntiClassificaSquadra,3,FALSE),-2)),SUMIFS(Dati!$B$2:$B$761,Dati!$A$2:$A$761,$H49,Dati!$H$2:$H$761,$AF49)+SUMIFS(Dati!$I$2:$I$761,Dati!$H$2:$H$761,$H49,Dati!$A$2:$A$761,$AF49),"-")</f>
        <v/>
      </c>
      <c r="BC49" s="22">
        <f>IF(AND($H49&lt;&gt;"",$AG49&lt;&gt;"",$H49&lt;&gt;$AG49,IFERROR(VLOOKUP($H49,areaCercaPuntiClassificaSquadra,3,FALSE),-1)=IFERROR(VLOOKUP($AG49,areaCercaPuntiClassificaSquadra,3,FALSE),-2)),SUMIFS(Dati!$B$2:$B$761,Dati!$A$2:$A$761,$H49,Dati!$H$2:$H$761,$AG49)+SUMIFS(Dati!$I$2:$I$761,Dati!$H$2:$H$761,$H49,Dati!$A$2:$A$761,$AG49),"-")</f>
        <v/>
      </c>
      <c r="BD49" s="22">
        <f>IF(AND($H49&lt;&gt;"",$AH49&lt;&gt;"",$H49&lt;&gt;$AH49,IFERROR(VLOOKUP($H49,areaCercaPuntiClassificaSquadra,3,FALSE),-1)=IFERROR(VLOOKUP($AH49,areaCercaPuntiClassificaSquadra,3,FALSE),-2)),SUMIFS(Dati!$B$2:$B$761,Dati!$A$2:$A$761,$H49,Dati!$H$2:$H$761,$AH49)+SUMIFS(Dati!$I$2:$I$761,Dati!$H$2:$H$761,$H49,Dati!$A$2:$A$761,$AH49),"-")</f>
        <v/>
      </c>
      <c r="BE49" s="22">
        <f>IF(AND($H49&lt;&gt;"",$AI49&lt;&gt;"",$H49&lt;&gt;$AI49,IFERROR(VLOOKUP($H49,areaCercaPuntiClassificaSquadra,3,FALSE),-1)=IFERROR(VLOOKUP($AI49,areaCercaPuntiClassificaSquadra,3,FALSE),-2)),SUMIFS(Dati!$B$2:$B$761,Dati!$A$2:$A$761,$H49,Dati!$H$2:$H$761,$AI49)+SUMIFS(Dati!$I$2:$I$761,Dati!$H$2:$H$761,$H49,Dati!$A$2:$A$761,$AI49),"-")</f>
        <v/>
      </c>
      <c r="BF49" s="22">
        <f>IF(AND($H49&lt;&gt;"",$AJ49&lt;&gt;"",$H49&lt;&gt;$AJ49,IFERROR(VLOOKUP($H49,areaCercaPuntiClassificaSquadra,3,FALSE),-1)=IFERROR(VLOOKUP($AJ49,areaCercaPuntiClassificaSquadra,3,FALSE),-2)),SUMIFS(Dati!$B$2:$B$761,Dati!$A$2:$A$761,$H49,Dati!$H$2:$H$761,$AJ49)+SUMIFS(Dati!$I$2:$I$761,Dati!$H$2:$H$761,$H49,Dati!$A$2:$A$761,$AJ49),"-")</f>
        <v/>
      </c>
      <c r="BG49" s="22">
        <f>IF(AND($H49&lt;&gt;"",$AK49&lt;&gt;"",$H49&lt;&gt;$AK49,IFERROR(VLOOKUP($H49,areaCercaPuntiClassificaSquadra,3,FALSE),-1)=IFERROR(VLOOKUP($AK49,areaCercaPuntiClassificaSquadra,3,FALSE),-2)),SUMIFS(Dati!$B$2:$B$761,Dati!$A$2:$A$761,$H49,Dati!$H$2:$H$761,$AK49)+SUMIFS(Dati!$I$2:$I$761,Dati!$H$2:$H$761,$H49,Dati!$A$2:$A$761,$AK49),"-")</f>
        <v/>
      </c>
      <c r="BH49" s="22">
        <f>IF(AND($H49&lt;&gt;"",$AL49&lt;&gt;"",$H49&lt;&gt;$AL49,IFERROR(VLOOKUP($H49,areaCercaPuntiClassificaSquadra,3,FALSE),-1)=IFERROR(VLOOKUP($AL49,areaCercaPuntiClassificaSquadra,3,FALSE),-2)),SUMIFS(Dati!$B$2:$B$761,Dati!$A$2:$A$761,$H49,Dati!$H$2:$H$761,$AL49)+SUMIFS(Dati!$I$2:$I$761,Dati!$H$2:$H$761,$H49,Dati!$A$2:$A$761,$AL49),"-")</f>
        <v/>
      </c>
      <c r="BI49" s="22">
        <f>IF(AND($H49&lt;&gt;"",$AM49&lt;&gt;"",$H49&lt;&gt;$AM49,IFERROR(VLOOKUP($H49,areaCercaPuntiClassificaSquadra,3,FALSE),-1)=IFERROR(VLOOKUP($AM49,areaCercaPuntiClassificaSquadra,3,FALSE),-2)),SUMIFS(Dati!$B$2:$B$761,Dati!$A$2:$A$761,$H49,Dati!$H$2:$H$761,$AM49)+SUMIFS(Dati!$I$2:$I$761,Dati!$H$2:$H$761,$H49,Dati!$A$2:$A$761,$AM49),"-")</f>
        <v/>
      </c>
      <c r="BJ49" s="22">
        <f>IF(AND($H49&lt;&gt;"",$AN49&lt;&gt;"",$H49&lt;&gt;$AN49,IFERROR(VLOOKUP($H49,areaCercaPuntiClassificaSquadra,3,FALSE),-1)=IFERROR(VLOOKUP($AN49,areaCercaPuntiClassificaSquadra,3,FALSE),-2)),SUMIFS(Dati!$B$2:$B$761,Dati!$A$2:$A$761,$H49,Dati!$H$2:$H$761,$AN49)+SUMIFS(Dati!$I$2:$I$761,Dati!$H$2:$H$761,$H49,Dati!$A$2:$A$761,$AN49),"-")</f>
        <v/>
      </c>
      <c r="BK49" s="22">
        <f>IF(AND($H49&lt;&gt;"",$AO49&lt;&gt;"",$H49&lt;&gt;$AO49,IFERROR(VLOOKUP($H49,areaCercaPuntiClassificaSquadra,3,FALSE),-1)=IFERROR(VLOOKUP($AO49,areaCercaPuntiClassificaSquadra,3,FALSE),-2)),SUMIFS(Dati!$B$2:$B$761,Dati!$A$2:$A$761,$H49,Dati!$H$2:$H$761,$AO49)+SUMIFS(Dati!$I$2:$I$761,Dati!$H$2:$H$761,$H49,Dati!$A$2:$A$761,$AO49),"-")</f>
        <v/>
      </c>
      <c r="BL49" s="22">
        <f>IF(AND($H49&lt;&gt;"",$AP49&lt;&gt;"",$H49&lt;&gt;$AP49,IFERROR(VLOOKUP($H49,areaCercaPuntiClassificaSquadra,3,FALSE),-1)=IFERROR(VLOOKUP($AP49,areaCercaPuntiClassificaSquadra,3,FALSE),-2)),SUMIFS(Dati!$B$2:$B$761,Dati!$A$2:$A$761,$H49,Dati!$H$2:$H$761,$AP49)+SUMIFS(Dati!$I$2:$I$761,Dati!$H$2:$H$761,$H49,Dati!$A$2:$A$761,$AP49),"-")</f>
        <v/>
      </c>
      <c r="BM49" s="22">
        <f>IF(AND($H49&lt;&gt;"",$AQ49&lt;&gt;"",$H49&lt;&gt;$AQ49,IFERROR(VLOOKUP($H49,areaCercaPuntiClassificaSquadra,3,FALSE),-1)=IFERROR(VLOOKUP($AQ49,areaCercaPuntiClassificaSquadra,3,FALSE),-2)),SUMIFS(Dati!$B$2:$B$761,Dati!$A$2:$A$761,$H49,Dati!$H$2:$H$761,$AQ49)+SUMIFS(Dati!$I$2:$I$761,Dati!$H$2:$H$761,$H49,Dati!$A$2:$A$761,$AQ49),"-")</f>
        <v/>
      </c>
      <c r="BN49" s="22">
        <f>IF(AND($H49&lt;&gt;"",$AR49&lt;&gt;"",$H49&lt;&gt;$AR49,IFERROR(VLOOKUP($H49,areaCercaPuntiClassificaSquadra,3,FALSE),-1)=IFERROR(VLOOKUP($AR49,areaCercaPuntiClassificaSquadra,3,FALSE),-2)),SUMIFS(Dati!$B$2:$B$761,Dati!$A$2:$A$761,$H49,Dati!$H$2:$H$761,$AR49)+SUMIFS(Dati!$I$2:$I$761,Dati!$H$2:$H$761,$H49,Dati!$A$2:$A$761,$AR49),"-")</f>
        <v/>
      </c>
      <c r="BP49" s="21">
        <f>$C49</f>
        <v/>
      </c>
      <c r="BQ49" s="22">
        <f>IF(AND($H49&lt;&gt;"",$Y49&lt;&gt;"",$H49&lt;&gt;$Y49,IFERROR(VLOOKUP($H49,areaCercaPuntiClassificaSquadra,3,FALSE),-1)=IFERROR(VLOOKUP($Y49,areaCercaPuntiClassificaSquadra,3,FALSE),-2)),SUMIFS(Dati!$D$2:$D$761,Dati!$A$2:$A$761,$H49,Dati!$H$2:$H$761,$Y49)+SUMIFS(Dati!$K$2:$K$761,Dati!$H$2:$H$761,$H49,Dati!$A$2:$A$761,$Y49)+SUMIFS(Dati!$C$2:$C$761,Dati!$A$2:$A$761,$H49,Dati!$H$2:$H$761,$Y49)+SUMIFS(Dati!$J$2:$J$761,Dati!$H$2:$H$761,$H49,Dati!$A$2:$A$761,$Y49),"-")</f>
        <v/>
      </c>
      <c r="BR49" s="22">
        <f>IF(AND($H49&lt;&gt;"",$Z49&lt;&gt;"",$H49&lt;&gt;$Z49,IFERROR(VLOOKUP($H49,areaCercaPuntiClassificaSquadra,3,FALSE),-1)=IFERROR(VLOOKUP($Z49,areaCercaPuntiClassificaSquadra,3,FALSE),-2)),SUMIFS(Dati!$D$2:$D$761,Dati!$A$2:$A$761,$H49,Dati!$H$2:$H$761,$Z49)+SUMIFS(Dati!$K$2:$K$761,Dati!$H$2:$H$761,$H49,Dati!$A$2:$A$761,$Z49)+SUMIFS(Dati!$C$2:$C$761,Dati!$A$2:$A$761,$H49,Dati!$H$2:$H$761,$Z49)+SUMIFS(Dati!$J$2:$J$761,Dati!$H$2:$H$761,$H49,Dati!$A$2:$A$761,$Z49),"-")</f>
        <v/>
      </c>
      <c r="BS49" s="22">
        <f>IF(AND($H49&lt;&gt;"",$AA49&lt;&gt;"",$H49&lt;&gt;$AA49,IFERROR(VLOOKUP($H49,areaCercaPuntiClassificaSquadra,3,FALSE),-1)=IFERROR(VLOOKUP($AA49,areaCercaPuntiClassificaSquadra,3,FALSE),-2)),SUMIFS(Dati!$D$2:$D$761,Dati!$A$2:$A$761,$H49,Dati!$H$2:$H$761,$AA49)+SUMIFS(Dati!$K$2:$K$761,Dati!$H$2:$H$761,$H49,Dati!$A$2:$A$761,$AA49)+SUMIFS(Dati!$C$2:$C$761,Dati!$A$2:$A$761,$H49,Dati!$H$2:$H$761,$AA49)+SUMIFS(Dati!$J$2:$J$761,Dati!$H$2:$H$761,$H49,Dati!$A$2:$A$761,$AA49),"-")</f>
        <v/>
      </c>
      <c r="BT49" s="22">
        <f>IF(AND($H49&lt;&gt;"",$AB49&lt;&gt;"",$H49&lt;&gt;$AB49,IFERROR(VLOOKUP($H49,areaCercaPuntiClassificaSquadra,3,FALSE),-1)=IFERROR(VLOOKUP($AB49,areaCercaPuntiClassificaSquadra,3,FALSE),-2)),SUMIFS(Dati!$D$2:$D$761,Dati!$A$2:$A$761,$H49,Dati!$H$2:$H$761,$AB49)+SUMIFS(Dati!$K$2:$K$761,Dati!$H$2:$H$761,$H49,Dati!$A$2:$A$761,$AB49)+SUMIFS(Dati!$C$2:$C$761,Dati!$A$2:$A$761,$H49,Dati!$H$2:$H$761,$AB49)+SUMIFS(Dati!$J$2:$J$761,Dati!$H$2:$H$761,$H49,Dati!$A$2:$A$761,$AB49),"-")</f>
        <v/>
      </c>
      <c r="BU49" s="22">
        <f>IF(AND($H49&lt;&gt;"",$AC49&lt;&gt;"",$H49&lt;&gt;$AC49,IFERROR(VLOOKUP($H49,areaCercaPuntiClassificaSquadra,3,FALSE),-1)=IFERROR(VLOOKUP($AC49,areaCercaPuntiClassificaSquadra,3,FALSE),-2)),SUMIFS(Dati!$D$2:$D$761,Dati!$A$2:$A$761,$H49,Dati!$H$2:$H$761,$AC49)+SUMIFS(Dati!$K$2:$K$761,Dati!$H$2:$H$761,$H49,Dati!$A$2:$A$761,$AC49)+SUMIFS(Dati!$C$2:$C$761,Dati!$A$2:$A$761,$H49,Dati!$H$2:$H$761,$AC49)+SUMIFS(Dati!$J$2:$J$761,Dati!$H$2:$H$761,$H49,Dati!$A$2:$A$761,$AC49),"-")</f>
        <v/>
      </c>
      <c r="BV49" s="22">
        <f>IF(AND($H49&lt;&gt;"",$AD49&lt;&gt;"",$H49&lt;&gt;$AD49,IFERROR(VLOOKUP($H49,areaCercaPuntiClassificaSquadra,3,FALSE),-1)=IFERROR(VLOOKUP($AD49,areaCercaPuntiClassificaSquadra,3,FALSE),-2)),SUMIFS(Dati!$D$2:$D$761,Dati!$A$2:$A$761,$H49,Dati!$H$2:$H$761,$AD49)+SUMIFS(Dati!$K$2:$K$761,Dati!$H$2:$H$761,$H49,Dati!$A$2:$A$761,$AD49)+SUMIFS(Dati!$C$2:$C$761,Dati!$A$2:$A$761,$H49,Dati!$H$2:$H$761,$AD49)+SUMIFS(Dati!$J$2:$J$761,Dati!$H$2:$H$761,$H49,Dati!$A$2:$A$761,$AD49),"-")</f>
        <v/>
      </c>
      <c r="BW49" s="22">
        <f>IF(AND($H49&lt;&gt;"",$AE49&lt;&gt;"",$H49&lt;&gt;$AE49,IFERROR(VLOOKUP($H49,areaCercaPuntiClassificaSquadra,3,FALSE),-1)=IFERROR(VLOOKUP($AE49,areaCercaPuntiClassificaSquadra,3,FALSE),-2)),SUMIFS(Dati!$D$2:$D$761,Dati!$A$2:$A$761,$H49,Dati!$H$2:$H$761,$AE49)+SUMIFS(Dati!$K$2:$K$761,Dati!$H$2:$H$761,$H49,Dati!$A$2:$A$761,$AE49)+SUMIFS(Dati!$C$2:$C$761,Dati!$A$2:$A$761,$H49,Dati!$H$2:$H$761,$AE49)+SUMIFS(Dati!$J$2:$J$761,Dati!$H$2:$H$761,$H49,Dati!$A$2:$A$761,$AE49),"-")</f>
        <v/>
      </c>
      <c r="BX49" s="22">
        <f>IF(AND($H49&lt;&gt;"",$AF49&lt;&gt;"",$H49&lt;&gt;$AF49,IFERROR(VLOOKUP($H49,areaCercaPuntiClassificaSquadra,3,FALSE),-1)=IFERROR(VLOOKUP($AF49,areaCercaPuntiClassificaSquadra,3,FALSE),-2)),SUMIFS(Dati!$D$2:$D$761,Dati!$A$2:$A$761,$H49,Dati!$H$2:$H$761,$AF49)+SUMIFS(Dati!$K$2:$K$761,Dati!$H$2:$H$761,$H49,Dati!$A$2:$A$761,$AF49)+SUMIFS(Dati!$C$2:$C$761,Dati!$A$2:$A$761,$H49,Dati!$H$2:$H$761,$AF49)+SUMIFS(Dati!$J$2:$J$761,Dati!$H$2:$H$761,$H49,Dati!$A$2:$A$761,$AF49),"-")</f>
        <v/>
      </c>
      <c r="BY49" s="22">
        <f>IF(AND($H49&lt;&gt;"",$AG49&lt;&gt;"",$H49&lt;&gt;$AG49,IFERROR(VLOOKUP($H49,areaCercaPuntiClassificaSquadra,3,FALSE),-1)=IFERROR(VLOOKUP($AG49,areaCercaPuntiClassificaSquadra,3,FALSE),-2)),SUMIFS(Dati!$D$2:$D$761,Dati!$A$2:$A$761,$H49,Dati!$H$2:$H$761,$AG49)+SUMIFS(Dati!$K$2:$K$761,Dati!$H$2:$H$761,$H49,Dati!$A$2:$A$761,$AG49)+SUMIFS(Dati!$C$2:$C$761,Dati!$A$2:$A$761,$H49,Dati!$H$2:$H$761,$AG49)+SUMIFS(Dati!$J$2:$J$761,Dati!$H$2:$H$761,$H49,Dati!$A$2:$A$761,$AG49),"-")</f>
        <v/>
      </c>
      <c r="BZ49" s="22">
        <f>IF(AND($H49&lt;&gt;"",$AH49&lt;&gt;"",$H49&lt;&gt;$AH49,IFERROR(VLOOKUP($H49,areaCercaPuntiClassificaSquadra,3,FALSE),-1)=IFERROR(VLOOKUP($AH49,areaCercaPuntiClassificaSquadra,3,FALSE),-2)),SUMIFS(Dati!$D$2:$D$761,Dati!$A$2:$A$761,$H49,Dati!$H$2:$H$761,$AH49)+SUMIFS(Dati!$K$2:$K$761,Dati!$H$2:$H$761,$H49,Dati!$A$2:$A$761,$AH49)+SUMIFS(Dati!$C$2:$C$761,Dati!$A$2:$A$761,$H49,Dati!$H$2:$H$761,$AH49)+SUMIFS(Dati!$J$2:$J$761,Dati!$H$2:$H$761,$H49,Dati!$A$2:$A$761,$AH49),"-")</f>
        <v/>
      </c>
      <c r="CA49" s="22">
        <f>IF(AND($H49&lt;&gt;"",$AI49&lt;&gt;"",$H49&lt;&gt;$AI49,IFERROR(VLOOKUP($H49,areaCercaPuntiClassificaSquadra,3,FALSE),-1)=IFERROR(VLOOKUP($AI49,areaCercaPuntiClassificaSquadra,3,FALSE),-2)),SUMIFS(Dati!$D$2:$D$761,Dati!$A$2:$A$761,$H49,Dati!$H$2:$H$761,$AI49)+SUMIFS(Dati!$K$2:$K$761,Dati!$H$2:$H$761,$H49,Dati!$A$2:$A$761,$AI49)+SUMIFS(Dati!$C$2:$C$761,Dati!$A$2:$A$761,$H49,Dati!$H$2:$H$761,$AI49)+SUMIFS(Dati!$J$2:$J$761,Dati!$H$2:$H$761,$H49,Dati!$A$2:$A$761,$AI49),"-")</f>
        <v/>
      </c>
      <c r="CB49" s="22">
        <f>IF(AND($H49&lt;&gt;"",$AJ49&lt;&gt;"",$H49&lt;&gt;$AJ49,IFERROR(VLOOKUP($H49,areaCercaPuntiClassificaSquadra,3,FALSE),-1)=IFERROR(VLOOKUP($AJ49,areaCercaPuntiClassificaSquadra,3,FALSE),-2)),SUMIFS(Dati!$D$2:$D$761,Dati!$A$2:$A$761,$H49,Dati!$H$2:$H$761,$AJ49)+SUMIFS(Dati!$K$2:$K$761,Dati!$H$2:$H$761,$H49,Dati!$A$2:$A$761,$AJ49)+SUMIFS(Dati!$C$2:$C$761,Dati!$A$2:$A$761,$H49,Dati!$H$2:$H$761,$AJ49)+SUMIFS(Dati!$J$2:$J$761,Dati!$H$2:$H$761,$H49,Dati!$A$2:$A$761,$AJ49),"-")</f>
        <v/>
      </c>
      <c r="CC49" s="22">
        <f>IF(AND($H49&lt;&gt;"",$AK49&lt;&gt;"",$H49&lt;&gt;$AK49,IFERROR(VLOOKUP($H49,areaCercaPuntiClassificaSquadra,3,FALSE),-1)=IFERROR(VLOOKUP($AK49,areaCercaPuntiClassificaSquadra,3,FALSE),-2)),SUMIFS(Dati!$D$2:$D$761,Dati!$A$2:$A$761,$H49,Dati!$H$2:$H$761,$AK49)+SUMIFS(Dati!$K$2:$K$761,Dati!$H$2:$H$761,$H49,Dati!$A$2:$A$761,$AK49)+SUMIFS(Dati!$C$2:$C$761,Dati!$A$2:$A$761,$H49,Dati!$H$2:$H$761,$AK49)+SUMIFS(Dati!$J$2:$J$761,Dati!$H$2:$H$761,$H49,Dati!$A$2:$A$761,$AK49),"-")</f>
        <v/>
      </c>
      <c r="CD49" s="22">
        <f>IF(AND($H49&lt;&gt;"",$AL49&lt;&gt;"",$H49&lt;&gt;$AL49,IFERROR(VLOOKUP($H49,areaCercaPuntiClassificaSquadra,3,FALSE),-1)=IFERROR(VLOOKUP($AL49,areaCercaPuntiClassificaSquadra,3,FALSE),-2)),SUMIFS(Dati!$D$2:$D$761,Dati!$A$2:$A$761,$H49,Dati!$H$2:$H$761,$AL49)+SUMIFS(Dati!$K$2:$K$761,Dati!$H$2:$H$761,$H49,Dati!$A$2:$A$761,$AL49)+SUMIFS(Dati!$C$2:$C$761,Dati!$A$2:$A$761,$H49,Dati!$H$2:$H$761,$AL49)+SUMIFS(Dati!$J$2:$J$761,Dati!$H$2:$H$761,$H49,Dati!$A$2:$A$761,$AL49),"-")</f>
        <v/>
      </c>
      <c r="CE49" s="22">
        <f>IF(AND($H49&lt;&gt;"",$AM49&lt;&gt;"",$H49&lt;&gt;$AM49,IFERROR(VLOOKUP($H49,areaCercaPuntiClassificaSquadra,3,FALSE),-1)=IFERROR(VLOOKUP($AM49,areaCercaPuntiClassificaSquadra,3,FALSE),-2)),SUMIFS(Dati!$D$2:$D$761,Dati!$A$2:$A$761,$H49,Dati!$H$2:$H$761,$AM49)+SUMIFS(Dati!$K$2:$K$761,Dati!$H$2:$H$761,$H49,Dati!$A$2:$A$761,$AM49)+SUMIFS(Dati!$C$2:$C$761,Dati!$A$2:$A$761,$H49,Dati!$H$2:$H$761,$AM49)+SUMIFS(Dati!$J$2:$J$761,Dati!$H$2:$H$761,$H49,Dati!$A$2:$A$761,$AM49),"-")</f>
        <v/>
      </c>
      <c r="CF49" s="22">
        <f>IF(AND($H49&lt;&gt;"",$AN49&lt;&gt;"",$H49&lt;&gt;$AN49,IFERROR(VLOOKUP($H49,areaCercaPuntiClassificaSquadra,3,FALSE),-1)=IFERROR(VLOOKUP($AN49,areaCercaPuntiClassificaSquadra,3,FALSE),-2)),SUMIFS(Dati!$D$2:$D$761,Dati!$A$2:$A$761,$H49,Dati!$H$2:$H$761,$AN49)+SUMIFS(Dati!$K$2:$K$761,Dati!$H$2:$H$761,$H49,Dati!$A$2:$A$761,$AN49)+SUMIFS(Dati!$C$2:$C$761,Dati!$A$2:$A$761,$H49,Dati!$H$2:$H$761,$AN49)+SUMIFS(Dati!$J$2:$J$761,Dati!$H$2:$H$761,$H49,Dati!$A$2:$A$761,$AN49),"-")</f>
        <v/>
      </c>
      <c r="CG49" s="22">
        <f>IF(AND($H49&lt;&gt;"",$AO49&lt;&gt;"",$H49&lt;&gt;$AO49,IFERROR(VLOOKUP($H49,areaCercaPuntiClassificaSquadra,3,FALSE),-1)=IFERROR(VLOOKUP($AO49,areaCercaPuntiClassificaSquadra,3,FALSE),-2)),SUMIFS(Dati!$D$2:$D$761,Dati!$A$2:$A$761,$H49,Dati!$H$2:$H$761,$AO49)+SUMIFS(Dati!$K$2:$K$761,Dati!$H$2:$H$761,$H49,Dati!$A$2:$A$761,$AO49)+SUMIFS(Dati!$C$2:$C$761,Dati!$A$2:$A$761,$H49,Dati!$H$2:$H$761,$AO49)+SUMIFS(Dati!$J$2:$J$761,Dati!$H$2:$H$761,$H49,Dati!$A$2:$A$761,$AO49),"-")</f>
        <v/>
      </c>
      <c r="CH49" s="22">
        <f>IF(AND($H49&lt;&gt;"",$AP49&lt;&gt;"",$H49&lt;&gt;$AP49,IFERROR(VLOOKUP($H49,areaCercaPuntiClassificaSquadra,3,FALSE),-1)=IFERROR(VLOOKUP($AP49,areaCercaPuntiClassificaSquadra,3,FALSE),-2)),SUMIFS(Dati!$D$2:$D$761,Dati!$A$2:$A$761,$H49,Dati!$H$2:$H$761,$AP49)+SUMIFS(Dati!$K$2:$K$761,Dati!$H$2:$H$761,$H49,Dati!$A$2:$A$761,$AP49)+SUMIFS(Dati!$C$2:$C$761,Dati!$A$2:$A$761,$H49,Dati!$H$2:$H$761,$AP49)+SUMIFS(Dati!$J$2:$J$761,Dati!$H$2:$H$761,$H49,Dati!$A$2:$A$761,$AP49),"-")</f>
        <v/>
      </c>
      <c r="CI49" s="22">
        <f>IF(AND($H49&lt;&gt;"",$AQ49&lt;&gt;"",$H49&lt;&gt;$AQ49,IFERROR(VLOOKUP($H49,areaCercaPuntiClassificaSquadra,3,FALSE),-1)=IFERROR(VLOOKUP($AQ49,areaCercaPuntiClassificaSquadra,3,FALSE),-2)),SUMIFS(Dati!$D$2:$D$761,Dati!$A$2:$A$761,$H49,Dati!$H$2:$H$761,$AQ49)+SUMIFS(Dati!$K$2:$K$761,Dati!$H$2:$H$761,$H49,Dati!$A$2:$A$761,$AQ49)+SUMIFS(Dati!$C$2:$C$761,Dati!$A$2:$A$761,$H49,Dati!$H$2:$H$761,$AQ49)+SUMIFS(Dati!$J$2:$J$761,Dati!$H$2:$H$761,$H49,Dati!$A$2:$A$761,$AQ49),"-")</f>
        <v/>
      </c>
      <c r="CJ49" s="22">
        <f>IF(AND($H49&lt;&gt;"",$AR49&lt;&gt;"",$H49&lt;&gt;$AR49,IFERROR(VLOOKUP($H49,areaCercaPuntiClassificaSquadra,3,FALSE),-1)=IFERROR(VLOOKUP($AR49,areaCercaPuntiClassificaSquadra,3,FALSE),-2)),SUMIFS(Dati!$D$2:$D$761,Dati!$A$2:$A$761,$H49,Dati!$H$2:$H$761,$AR49)+SUMIFS(Dati!$K$2:$K$761,Dati!$H$2:$H$761,$H49,Dati!$A$2:$A$761,$AR49)+SUMIFS(Dati!$C$2:$C$761,Dati!$A$2:$A$761,$H49,Dati!$H$2:$H$761,$AR49)+SUMIFS(Dati!$J$2:$J$761,Dati!$H$2:$H$761,$H49,Dati!$A$2:$A$761,$AR49),"-")</f>
        <v/>
      </c>
      <c r="CL49" s="21">
        <f>$C49</f>
        <v/>
      </c>
      <c r="CM49" s="22">
        <f>IF(AND($H49&lt;&gt;"",$Y49&lt;&gt;"",$H49&lt;&gt;$Y49,IFERROR(VLOOKUP($H49,areaCercaPuntiClassificaSquadra,3,FALSE),-1)=IFERROR(VLOOKUP($Y49,areaCercaPuntiClassificaSquadra,3,FALSE),-2)),SUMIFS(Dati!$E$2:$E$761,Dati!$A$2:$A$761,$H49,Dati!$H$2:$H$761,$Y49)+SUMIFS(Dati!$L$2:$L$761,Dati!$H$2:$H$761,$H49,Dati!$A$2:$A$761,$Y49),"-")</f>
        <v/>
      </c>
      <c r="CN49" s="22">
        <f>IF(AND($H49&lt;&gt;"",$Z49&lt;&gt;"",$H49&lt;&gt;$Z49,IFERROR(VLOOKUP($H49,areaCercaPuntiClassificaSquadra,3,FALSE),-1)=IFERROR(VLOOKUP($Z49,areaCercaPuntiClassificaSquadra,3,FALSE),-2)),SUMIFS(Dati!$E$2:$E$761,Dati!$A$2:$A$761,$H49,Dati!$H$2:$H$761,$Z49)+SUMIFS(Dati!$L$2:$L$761,Dati!$H$2:$H$761,$H49,Dati!$A$2:$A$761,$Z49),"-")</f>
        <v/>
      </c>
      <c r="CO49" s="22">
        <f>IF(AND($H49&lt;&gt;"",$AA49&lt;&gt;"",$H49&lt;&gt;$AA49,IFERROR(VLOOKUP($H49,areaCercaPuntiClassificaSquadra,3,FALSE),-1)=IFERROR(VLOOKUP($AA49,areaCercaPuntiClassificaSquadra,3,FALSE),-2)),SUMIFS(Dati!$E$2:$E$761,Dati!$A$2:$A$761,$H49,Dati!$H$2:$H$761,$AA49)+SUMIFS(Dati!$L$2:$L$761,Dati!$H$2:$H$761,$H49,Dati!$A$2:$A$761,$AA49),"-")</f>
        <v/>
      </c>
      <c r="CP49" s="22">
        <f>IF(AND($H49&lt;&gt;"",$AB49&lt;&gt;"",$H49&lt;&gt;$AB49,IFERROR(VLOOKUP($H49,areaCercaPuntiClassificaSquadra,3,FALSE),-1)=IFERROR(VLOOKUP($AB49,areaCercaPuntiClassificaSquadra,3,FALSE),-2)),SUMIFS(Dati!$E$2:$E$761,Dati!$A$2:$A$761,$H49,Dati!$H$2:$H$761,$AB49)+SUMIFS(Dati!$L$2:$L$761,Dati!$H$2:$H$761,$H49,Dati!$A$2:$A$761,$AB49),"-")</f>
        <v/>
      </c>
      <c r="CQ49" s="22">
        <f>IF(AND($H49&lt;&gt;"",$AC49&lt;&gt;"",$H49&lt;&gt;$AC49,IFERROR(VLOOKUP($H49,areaCercaPuntiClassificaSquadra,3,FALSE),-1)=IFERROR(VLOOKUP($AC49,areaCercaPuntiClassificaSquadra,3,FALSE),-2)),SUMIFS(Dati!$E$2:$E$761,Dati!$A$2:$A$761,$H49,Dati!$H$2:$H$761,$AC49)+SUMIFS(Dati!$L$2:$L$761,Dati!$H$2:$H$761,$H49,Dati!$A$2:$A$761,$AC49),"-")</f>
        <v/>
      </c>
      <c r="CR49" s="22">
        <f>IF(AND($H49&lt;&gt;"",$AD49&lt;&gt;"",$H49&lt;&gt;$AD49,IFERROR(VLOOKUP($H49,areaCercaPuntiClassificaSquadra,3,FALSE),-1)=IFERROR(VLOOKUP($AD49,areaCercaPuntiClassificaSquadra,3,FALSE),-2)),SUMIFS(Dati!$E$2:$E$761,Dati!$A$2:$A$761,$H49,Dati!$H$2:$H$761,$AD49)+SUMIFS(Dati!$L$2:$L$761,Dati!$H$2:$H$761,$H49,Dati!$A$2:$A$761,$AD49),"-")</f>
        <v/>
      </c>
      <c r="CS49" s="22">
        <f>IF(AND($H49&lt;&gt;"",$AE49&lt;&gt;"",$H49&lt;&gt;$AE49,IFERROR(VLOOKUP($H49,areaCercaPuntiClassificaSquadra,3,FALSE),-1)=IFERROR(VLOOKUP($AE49,areaCercaPuntiClassificaSquadra,3,FALSE),-2)),SUMIFS(Dati!$E$2:$E$761,Dati!$A$2:$A$761,$H49,Dati!$H$2:$H$761,$AE49)+SUMIFS(Dati!$L$2:$L$761,Dati!$H$2:$H$761,$H49,Dati!$A$2:$A$761,$AE49),"-")</f>
        <v/>
      </c>
      <c r="CT49" s="22">
        <f>IF(AND($H49&lt;&gt;"",$AF49&lt;&gt;"",$H49&lt;&gt;$AF49,IFERROR(VLOOKUP($H49,areaCercaPuntiClassificaSquadra,3,FALSE),-1)=IFERROR(VLOOKUP($AF49,areaCercaPuntiClassificaSquadra,3,FALSE),-2)),SUMIFS(Dati!$E$2:$E$761,Dati!$A$2:$A$761,$H49,Dati!$H$2:$H$761,$AF49)+SUMIFS(Dati!$L$2:$L$761,Dati!$H$2:$H$761,$H49,Dati!$A$2:$A$761,$AF49),"-")</f>
        <v/>
      </c>
      <c r="CU49" s="22">
        <f>IF(AND($H49&lt;&gt;"",$AG49&lt;&gt;"",$H49&lt;&gt;$AG49,IFERROR(VLOOKUP($H49,areaCercaPuntiClassificaSquadra,3,FALSE),-1)=IFERROR(VLOOKUP($AG49,areaCercaPuntiClassificaSquadra,3,FALSE),-2)),SUMIFS(Dati!$E$2:$E$761,Dati!$A$2:$A$761,$H49,Dati!$H$2:$H$761,$AG49)+SUMIFS(Dati!$L$2:$L$761,Dati!$H$2:$H$761,$H49,Dati!$A$2:$A$761,$AG49),"-")</f>
        <v/>
      </c>
      <c r="CV49" s="22">
        <f>IF(AND($H49&lt;&gt;"",$AH49&lt;&gt;"",$H49&lt;&gt;$AH49,IFERROR(VLOOKUP($H49,areaCercaPuntiClassificaSquadra,3,FALSE),-1)=IFERROR(VLOOKUP($AH49,areaCercaPuntiClassificaSquadra,3,FALSE),-2)),SUMIFS(Dati!$E$2:$E$761,Dati!$A$2:$A$761,$H49,Dati!$H$2:$H$761,$AH49)+SUMIFS(Dati!$L$2:$L$761,Dati!$H$2:$H$761,$H49,Dati!$A$2:$A$761,$AH49),"-")</f>
        <v/>
      </c>
      <c r="CW49" s="22">
        <f>IF(AND($H49&lt;&gt;"",$AI49&lt;&gt;"",$H49&lt;&gt;$AI49,IFERROR(VLOOKUP($H49,areaCercaPuntiClassificaSquadra,3,FALSE),-1)=IFERROR(VLOOKUP($AI49,areaCercaPuntiClassificaSquadra,3,FALSE),-2)),SUMIFS(Dati!$E$2:$E$761,Dati!$A$2:$A$761,$H49,Dati!$H$2:$H$761,$AI49)+SUMIFS(Dati!$L$2:$L$761,Dati!$H$2:$H$761,$H49,Dati!$A$2:$A$761,$AI49),"-")</f>
        <v/>
      </c>
      <c r="CX49" s="22">
        <f>IF(AND($H49&lt;&gt;"",$AJ49&lt;&gt;"",$H49&lt;&gt;$AJ49,IFERROR(VLOOKUP($H49,areaCercaPuntiClassificaSquadra,3,FALSE),-1)=IFERROR(VLOOKUP($AJ49,areaCercaPuntiClassificaSquadra,3,FALSE),-2)),SUMIFS(Dati!$E$2:$E$761,Dati!$A$2:$A$761,$H49,Dati!$H$2:$H$761,$AJ49)+SUMIFS(Dati!$L$2:$L$761,Dati!$H$2:$H$761,$H49,Dati!$A$2:$A$761,$AJ49),"-")</f>
        <v/>
      </c>
      <c r="CY49" s="22">
        <f>IF(AND($H49&lt;&gt;"",$AK49&lt;&gt;"",$H49&lt;&gt;$AK49,IFERROR(VLOOKUP($H49,areaCercaPuntiClassificaSquadra,3,FALSE),-1)=IFERROR(VLOOKUP($AK49,areaCercaPuntiClassificaSquadra,3,FALSE),-2)),SUMIFS(Dati!$E$2:$E$761,Dati!$A$2:$A$761,$H49,Dati!$H$2:$H$761,$AK49)+SUMIFS(Dati!$L$2:$L$761,Dati!$H$2:$H$761,$H49,Dati!$A$2:$A$761,$AK49),"-")</f>
        <v/>
      </c>
      <c r="CZ49" s="22">
        <f>IF(AND($H49&lt;&gt;"",$AL49&lt;&gt;"",$H49&lt;&gt;$AL49,IFERROR(VLOOKUP($H49,areaCercaPuntiClassificaSquadra,3,FALSE),-1)=IFERROR(VLOOKUP($AL49,areaCercaPuntiClassificaSquadra,3,FALSE),-2)),SUMIFS(Dati!$E$2:$E$761,Dati!$A$2:$A$761,$H49,Dati!$H$2:$H$761,$AL49)+SUMIFS(Dati!$L$2:$L$761,Dati!$H$2:$H$761,$H49,Dati!$A$2:$A$761,$AL49),"-")</f>
        <v/>
      </c>
      <c r="DA49" s="22">
        <f>IF(AND($H49&lt;&gt;"",$AM49&lt;&gt;"",$H49&lt;&gt;$AM49,IFERROR(VLOOKUP($H49,areaCercaPuntiClassificaSquadra,3,FALSE),-1)=IFERROR(VLOOKUP($AM49,areaCercaPuntiClassificaSquadra,3,FALSE),-2)),SUMIFS(Dati!$E$2:$E$761,Dati!$A$2:$A$761,$H49,Dati!$H$2:$H$761,$AM49)+SUMIFS(Dati!$L$2:$L$761,Dati!$H$2:$H$761,$H49,Dati!$A$2:$A$761,$AM49),"-")</f>
        <v/>
      </c>
      <c r="DB49" s="22">
        <f>IF(AND($H49&lt;&gt;"",$AN49&lt;&gt;"",$H49&lt;&gt;$AN49,IFERROR(VLOOKUP($H49,areaCercaPuntiClassificaSquadra,3,FALSE),-1)=IFERROR(VLOOKUP($AN49,areaCercaPuntiClassificaSquadra,3,FALSE),-2)),SUMIFS(Dati!$E$2:$E$761,Dati!$A$2:$A$761,$H49,Dati!$H$2:$H$761,$AN49)+SUMIFS(Dati!$L$2:$L$761,Dati!$H$2:$H$761,$H49,Dati!$A$2:$A$761,$AN49),"-")</f>
        <v/>
      </c>
      <c r="DC49" s="22">
        <f>IF(AND($H49&lt;&gt;"",$AO49&lt;&gt;"",$H49&lt;&gt;$AO49,IFERROR(VLOOKUP($H49,areaCercaPuntiClassificaSquadra,3,FALSE),-1)=IFERROR(VLOOKUP($AO49,areaCercaPuntiClassificaSquadra,3,FALSE),-2)),SUMIFS(Dati!$E$2:$E$761,Dati!$A$2:$A$761,$H49,Dati!$H$2:$H$761,$AO49)+SUMIFS(Dati!$L$2:$L$761,Dati!$H$2:$H$761,$H49,Dati!$A$2:$A$761,$AO49),"-")</f>
        <v/>
      </c>
      <c r="DD49" s="22">
        <f>IF(AND($H49&lt;&gt;"",$AP49&lt;&gt;"",$H49&lt;&gt;$AP49,IFERROR(VLOOKUP($H49,areaCercaPuntiClassificaSquadra,3,FALSE),-1)=IFERROR(VLOOKUP($AP49,areaCercaPuntiClassificaSquadra,3,FALSE),-2)),SUMIFS(Dati!$E$2:$E$761,Dati!$A$2:$A$761,$H49,Dati!$H$2:$H$761,$AP49)+SUMIFS(Dati!$L$2:$L$761,Dati!$H$2:$H$761,$H49,Dati!$A$2:$A$761,$AP49),"-")</f>
        <v/>
      </c>
      <c r="DE49" s="22">
        <f>IF(AND($H49&lt;&gt;"",$AQ49&lt;&gt;"",$H49&lt;&gt;$AQ49,IFERROR(VLOOKUP($H49,areaCercaPuntiClassificaSquadra,3,FALSE),-1)=IFERROR(VLOOKUP($AQ49,areaCercaPuntiClassificaSquadra,3,FALSE),-2)),SUMIFS(Dati!$E$2:$E$761,Dati!$A$2:$A$761,$H49,Dati!$H$2:$H$761,$AQ49)+SUMIFS(Dati!$L$2:$L$761,Dati!$H$2:$H$761,$H49,Dati!$A$2:$A$761,$AQ49),"-")</f>
        <v/>
      </c>
      <c r="DF49" s="22">
        <f>IF(AND($H49&lt;&gt;"",$AR49&lt;&gt;"",$H49&lt;&gt;$AR49,IFERROR(VLOOKUP($H49,areaCercaPuntiClassificaSquadra,3,FALSE),-1)=IFERROR(VLOOKUP($AR49,areaCercaPuntiClassificaSquadra,3,FALSE),-2)),SUMIFS(Dati!$E$2:$E$761,Dati!$A$2:$A$761,$H49,Dati!$H$2:$H$761,$AR49)+SUMIFS(Dati!$L$2:$L$761,Dati!$H$2:$H$761,$H49,Dati!$A$2:$A$761,$AR49),"-")</f>
        <v/>
      </c>
      <c r="DH49" s="21">
        <f>$C49</f>
        <v/>
      </c>
      <c r="DI49" s="22">
        <f>IF(AND($H49&lt;&gt;"",$Y49&lt;&gt;"",$H49&lt;&gt;$Y49,IFERROR(VLOOKUP($H49,areaCercaPuntiClassificaSquadra,3,FALSE),-1)=IFERROR(VLOOKUP($Y49,areaCercaPuntiClassificaSquadra,3,FALSE),-2)),SUMIFS(Dati!$F$2:$F$761,Dati!$A$2:$A$761,$H49,Dati!$H$2:$H$761,$Y49)+SUMIFS(Dati!$M$2:$M$761,Dati!$H$2:$H$761,$H49,Dati!$A$2:$A$761,$Y49),"-")</f>
        <v/>
      </c>
      <c r="DJ49" s="22">
        <f>IF(AND($H49&lt;&gt;"",$Z49&lt;&gt;"",$H49&lt;&gt;$Z49,IFERROR(VLOOKUP($H49,areaCercaPuntiClassificaSquadra,3,FALSE),-1)=IFERROR(VLOOKUP($Z49,areaCercaPuntiClassificaSquadra,3,FALSE),-2)),SUMIFS(Dati!$F$2:$F$761,Dati!$A$2:$A$761,$H49,Dati!$H$2:$H$761,$Z49)+SUMIFS(Dati!$M$2:$M$761,Dati!$H$2:$H$761,$H49,Dati!$A$2:$A$761,$Z49),"-")</f>
        <v/>
      </c>
      <c r="DK49" s="22">
        <f>IF(AND($H49&lt;&gt;"",$AA49&lt;&gt;"",$H49&lt;&gt;$AA49,IFERROR(VLOOKUP($H49,areaCercaPuntiClassificaSquadra,3,FALSE),-1)=IFERROR(VLOOKUP($AA49,areaCercaPuntiClassificaSquadra,3,FALSE),-2)),SUMIFS(Dati!$F$2:$F$761,Dati!$A$2:$A$761,$H49,Dati!$H$2:$H$761,$AA49)+SUMIFS(Dati!$M$2:$M$761,Dati!$H$2:$H$761,$H49,Dati!$A$2:$A$761,$AA49),"-")</f>
        <v/>
      </c>
      <c r="DL49" s="22">
        <f>IF(AND($H49&lt;&gt;"",$AB49&lt;&gt;"",$H49&lt;&gt;$AB49,IFERROR(VLOOKUP($H49,areaCercaPuntiClassificaSquadra,3,FALSE),-1)=IFERROR(VLOOKUP($AB49,areaCercaPuntiClassificaSquadra,3,FALSE),-2)),SUMIFS(Dati!$F$2:$F$761,Dati!$A$2:$A$761,$H49,Dati!$H$2:$H$761,$AB49)+SUMIFS(Dati!$M$2:$M$761,Dati!$H$2:$H$761,$H49,Dati!$A$2:$A$761,$AB49),"-")</f>
        <v/>
      </c>
      <c r="DM49" s="22">
        <f>IF(AND($H49&lt;&gt;"",$AC49&lt;&gt;"",$H49&lt;&gt;$AC49,IFERROR(VLOOKUP($H49,areaCercaPuntiClassificaSquadra,3,FALSE),-1)=IFERROR(VLOOKUP($AC49,areaCercaPuntiClassificaSquadra,3,FALSE),-2)),SUMIFS(Dati!$F$2:$F$761,Dati!$A$2:$A$761,$H49,Dati!$H$2:$H$761,$AC49)+SUMIFS(Dati!$M$2:$M$761,Dati!$H$2:$H$761,$H49,Dati!$A$2:$A$761,$AC49),"-")</f>
        <v/>
      </c>
      <c r="DN49" s="22">
        <f>IF(AND($H49&lt;&gt;"",$AD49&lt;&gt;"",$H49&lt;&gt;$AD49,IFERROR(VLOOKUP($H49,areaCercaPuntiClassificaSquadra,3,FALSE),-1)=IFERROR(VLOOKUP($AD49,areaCercaPuntiClassificaSquadra,3,FALSE),-2)),SUMIFS(Dati!$F$2:$F$761,Dati!$A$2:$A$761,$H49,Dati!$H$2:$H$761,$AD49)+SUMIFS(Dati!$M$2:$M$761,Dati!$H$2:$H$761,$H49,Dati!$A$2:$A$761,$AD49),"-")</f>
        <v/>
      </c>
      <c r="DO49" s="22">
        <f>IF(AND($H49&lt;&gt;"",$AE49&lt;&gt;"",$H49&lt;&gt;$AE49,IFERROR(VLOOKUP($H49,areaCercaPuntiClassificaSquadra,3,FALSE),-1)=IFERROR(VLOOKUP($AE49,areaCercaPuntiClassificaSquadra,3,FALSE),-2)),SUMIFS(Dati!$F$2:$F$761,Dati!$A$2:$A$761,$H49,Dati!$H$2:$H$761,$AE49)+SUMIFS(Dati!$M$2:$M$761,Dati!$H$2:$H$761,$H49,Dati!$A$2:$A$761,$AE49),"-")</f>
        <v/>
      </c>
      <c r="DP49" s="22">
        <f>IF(AND($H49&lt;&gt;"",$AF49&lt;&gt;"",$H49&lt;&gt;$AF49,IFERROR(VLOOKUP($H49,areaCercaPuntiClassificaSquadra,3,FALSE),-1)=IFERROR(VLOOKUP($AF49,areaCercaPuntiClassificaSquadra,3,FALSE),-2)),SUMIFS(Dati!$F$2:$F$761,Dati!$A$2:$A$761,$H49,Dati!$H$2:$H$761,$AF49)+SUMIFS(Dati!$M$2:$M$761,Dati!$H$2:$H$761,$H49,Dati!$A$2:$A$761,$AF49),"-")</f>
        <v/>
      </c>
      <c r="DQ49" s="22">
        <f>IF(AND($H49&lt;&gt;"",$AG49&lt;&gt;"",$H49&lt;&gt;$AG49,IFERROR(VLOOKUP($H49,areaCercaPuntiClassificaSquadra,3,FALSE),-1)=IFERROR(VLOOKUP($AG49,areaCercaPuntiClassificaSquadra,3,FALSE),-2)),SUMIFS(Dati!$F$2:$F$761,Dati!$A$2:$A$761,$H49,Dati!$H$2:$H$761,$AG49)+SUMIFS(Dati!$M$2:$M$761,Dati!$H$2:$H$761,$H49,Dati!$A$2:$A$761,$AG49),"-")</f>
        <v/>
      </c>
      <c r="DR49" s="22">
        <f>IF(AND($H49&lt;&gt;"",$AH49&lt;&gt;"",$H49&lt;&gt;$AH49,IFERROR(VLOOKUP($H49,areaCercaPuntiClassificaSquadra,3,FALSE),-1)=IFERROR(VLOOKUP($AH49,areaCercaPuntiClassificaSquadra,3,FALSE),-2)),SUMIFS(Dati!$F$2:$F$761,Dati!$A$2:$A$761,$H49,Dati!$H$2:$H$761,$AH49)+SUMIFS(Dati!$M$2:$M$761,Dati!$H$2:$H$761,$H49,Dati!$A$2:$A$761,$AH49),"-")</f>
        <v/>
      </c>
      <c r="DS49" s="22">
        <f>IF(AND($H49&lt;&gt;"",$AI49&lt;&gt;"",$H49&lt;&gt;$AI49,IFERROR(VLOOKUP($H49,areaCercaPuntiClassificaSquadra,3,FALSE),-1)=IFERROR(VLOOKUP($AI49,areaCercaPuntiClassificaSquadra,3,FALSE),-2)),SUMIFS(Dati!$F$2:$F$761,Dati!$A$2:$A$761,$H49,Dati!$H$2:$H$761,$AI49)+SUMIFS(Dati!$M$2:$M$761,Dati!$H$2:$H$761,$H49,Dati!$A$2:$A$761,$AI49),"-")</f>
        <v/>
      </c>
      <c r="DT49" s="22">
        <f>IF(AND($H49&lt;&gt;"",$AJ49&lt;&gt;"",$H49&lt;&gt;$AJ49,IFERROR(VLOOKUP($H49,areaCercaPuntiClassificaSquadra,3,FALSE),-1)=IFERROR(VLOOKUP($AJ49,areaCercaPuntiClassificaSquadra,3,FALSE),-2)),SUMIFS(Dati!$F$2:$F$761,Dati!$A$2:$A$761,$H49,Dati!$H$2:$H$761,$AJ49)+SUMIFS(Dati!$M$2:$M$761,Dati!$H$2:$H$761,$H49,Dati!$A$2:$A$761,$AJ49),"-")</f>
        <v/>
      </c>
      <c r="DU49" s="22">
        <f>IF(AND($H49&lt;&gt;"",$AK49&lt;&gt;"",$H49&lt;&gt;$AK49,IFERROR(VLOOKUP($H49,areaCercaPuntiClassificaSquadra,3,FALSE),-1)=IFERROR(VLOOKUP($AK49,areaCercaPuntiClassificaSquadra,3,FALSE),-2)),SUMIFS(Dati!$F$2:$F$761,Dati!$A$2:$A$761,$H49,Dati!$H$2:$H$761,$AK49)+SUMIFS(Dati!$M$2:$M$761,Dati!$H$2:$H$761,$H49,Dati!$A$2:$A$761,$AK49),"-")</f>
        <v/>
      </c>
      <c r="DV49" s="22">
        <f>IF(AND($H49&lt;&gt;"",$AL49&lt;&gt;"",$H49&lt;&gt;$AL49,IFERROR(VLOOKUP($H49,areaCercaPuntiClassificaSquadra,3,FALSE),-1)=IFERROR(VLOOKUP($AL49,areaCercaPuntiClassificaSquadra,3,FALSE),-2)),SUMIFS(Dati!$F$2:$F$761,Dati!$A$2:$A$761,$H49,Dati!$H$2:$H$761,$AL49)+SUMIFS(Dati!$M$2:$M$761,Dati!$H$2:$H$761,$H49,Dati!$A$2:$A$761,$AL49),"-")</f>
        <v/>
      </c>
      <c r="DW49" s="22">
        <f>IF(AND($H49&lt;&gt;"",$AM49&lt;&gt;"",$H49&lt;&gt;$AM49,IFERROR(VLOOKUP($H49,areaCercaPuntiClassificaSquadra,3,FALSE),-1)=IFERROR(VLOOKUP($AM49,areaCercaPuntiClassificaSquadra,3,FALSE),-2)),SUMIFS(Dati!$F$2:$F$761,Dati!$A$2:$A$761,$H49,Dati!$H$2:$H$761,$AM49)+SUMIFS(Dati!$M$2:$M$761,Dati!$H$2:$H$761,$H49,Dati!$A$2:$A$761,$AM49),"-")</f>
        <v/>
      </c>
      <c r="DX49" s="22">
        <f>IF(AND($H49&lt;&gt;"",$AN49&lt;&gt;"",$H49&lt;&gt;$AN49,IFERROR(VLOOKUP($H49,areaCercaPuntiClassificaSquadra,3,FALSE),-1)=IFERROR(VLOOKUP($AN49,areaCercaPuntiClassificaSquadra,3,FALSE),-2)),SUMIFS(Dati!$F$2:$F$761,Dati!$A$2:$A$761,$H49,Dati!$H$2:$H$761,$AN49)+SUMIFS(Dati!$M$2:$M$761,Dati!$H$2:$H$761,$H49,Dati!$A$2:$A$761,$AN49),"-")</f>
        <v/>
      </c>
      <c r="DY49" s="22">
        <f>IF(AND($H49&lt;&gt;"",$AO49&lt;&gt;"",$H49&lt;&gt;$AO49,IFERROR(VLOOKUP($H49,areaCercaPuntiClassificaSquadra,3,FALSE),-1)=IFERROR(VLOOKUP($AO49,areaCercaPuntiClassificaSquadra,3,FALSE),-2)),SUMIFS(Dati!$F$2:$F$761,Dati!$A$2:$A$761,$H49,Dati!$H$2:$H$761,$AO49)+SUMIFS(Dati!$M$2:$M$761,Dati!$H$2:$H$761,$H49,Dati!$A$2:$A$761,$AO49),"-")</f>
        <v/>
      </c>
      <c r="DZ49" s="22">
        <f>IF(AND($H49&lt;&gt;"",$AP49&lt;&gt;"",$H49&lt;&gt;$AP49,IFERROR(VLOOKUP($H49,areaCercaPuntiClassificaSquadra,3,FALSE),-1)=IFERROR(VLOOKUP($AP49,areaCercaPuntiClassificaSquadra,3,FALSE),-2)),SUMIFS(Dati!$F$2:$F$761,Dati!$A$2:$A$761,$H49,Dati!$H$2:$H$761,$AP49)+SUMIFS(Dati!$M$2:$M$761,Dati!$H$2:$H$761,$H49,Dati!$A$2:$A$761,$AP49),"-")</f>
        <v/>
      </c>
      <c r="EA49" s="22">
        <f>IF(AND($H49&lt;&gt;"",$AQ49&lt;&gt;"",$H49&lt;&gt;$AQ49,IFERROR(VLOOKUP($H49,areaCercaPuntiClassificaSquadra,3,FALSE),-1)=IFERROR(VLOOKUP($AQ49,areaCercaPuntiClassificaSquadra,3,FALSE),-2)),SUMIFS(Dati!$F$2:$F$761,Dati!$A$2:$A$761,$H49,Dati!$H$2:$H$761,$AQ49)+SUMIFS(Dati!$M$2:$M$761,Dati!$H$2:$H$761,$H49,Dati!$A$2:$A$761,$AQ49),"-")</f>
        <v/>
      </c>
      <c r="EB49" s="22">
        <f>IF(AND($H49&lt;&gt;"",$AR49&lt;&gt;"",$H49&lt;&gt;$AR49,IFERROR(VLOOKUP($H49,areaCercaPuntiClassificaSquadra,3,FALSE),-1)=IFERROR(VLOOKUP($AR49,areaCercaPuntiClassificaSquadra,3,FALSE),-2)),SUMIFS(Dati!$F$2:$F$761,Dati!$A$2:$A$761,$H49,Dati!$H$2:$H$761,$AR49)+SUMIFS(Dati!$M$2:$M$761,Dati!$H$2:$H$761,$H49,Dati!$A$2:$A$761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inlineStr">
        <is>
          <t>Cavalli Celeri-Cavalliopoli CE</t>
        </is>
      </c>
      <c r="D50" s="14" t="n"/>
      <c r="E50" s="23" t="inlineStr">
        <is>
          <t>B</t>
        </is>
      </c>
      <c r="G50" s="24">
        <f>IF($C50="","",$E50&amp;(COUNTIFS(I$14:I$93,"&gt;"&amp;I50,E$14:E$93,"="&amp;E50,C$14:C$93,"&lt;&gt;")+COUNTIFS(I$14:I$93,"="&amp;I50,H$14:H$93,"&lt;="&amp;H50,E$14:E$93,"="&amp;E50,C$14:C$93,"&lt;&gt;")))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L50*constPuntiVittoria+M50*constPuntiSconfitta+N50*constPuntiForfait+IF(D50="",0,D50)</f>
        <v/>
      </c>
      <c r="K50" s="12">
        <f>SUM(L50:N50)</f>
        <v/>
      </c>
      <c r="L50" s="12">
        <f>IF($H50="",0,SUMIF(Dati!$A$2:$A$761,$H50,Dati!$B$2:$B$761)+SUMIF(Dati!$H$2:$H$761,$H50,Dati!$I$2:$I$761))</f>
        <v/>
      </c>
      <c r="M50" s="12">
        <f>IF($H50="",0,SUMIF(Dati!$A$2:$A$761,$H50,Dati!$D$2:$D$761)+SUMIF(Dati!$H$2:$H$761,$H50,Dati!$K$2:$K$761))</f>
        <v/>
      </c>
      <c r="N50" s="12">
        <f>IF($H50="",0,SUMIF(Dati!$A$2:$A$761,$H50,Dati!$C$2:$C$761)+SUMIF(Dati!$H$2:$H$761,$H50,Dati!$J$2:$J$761))</f>
        <v/>
      </c>
      <c r="O50" s="12">
        <f>IF($H50="",0,SUMIF(Dati!$A$2:$A$761,$H50,Dati!$E$2:$E$761)+SUMIF(Dati!$H$2:$H$761,$H50,Dati!$L$2:$L$761))</f>
        <v/>
      </c>
      <c r="P50" s="12">
        <f>IF($H50="",0,SUMIF(Dati!$A$2:$A$761,$H50,Dati!$F$2:$F$761)+SUMIF(Dati!$H$2:$H$761,$H50,Dati!$M$2:$M$761))</f>
        <v/>
      </c>
      <c r="Q50" s="12">
        <f>IF($H50="",0,SUMIF(Dati!$A$2:$A$761,$H50,Dati!$G$2:$G$761)+SUMIF(Dati!$H$2:$H$761,$H50,Dati!$N$2:$N$761))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IF(COUNTIFS($E$14:$E$93,$E50,$J$14:$J$93,$J50,$C$14:$C$93,"&lt;&gt;")&lt;=1,"-",SUM(AU50:BN50)&amp;"-"&amp;SUM(BQ50:CJ50))</f>
        <v/>
      </c>
      <c r="V50" s="18">
        <f>IF(COUNTIFS($E$14:$E$93,$E50,$J$14:$J$93,$J50,$C$14:$C$93,"&lt;&gt;",$ED$14:$ED$93,$ED50)&lt;=1,"-",IF(SUM(DI50:EB50)=0,0,ROUND(SUM(CM50:DF50)/SUM(DI50:EB50),3)))</f>
        <v/>
      </c>
      <c r="W50" s="18">
        <f>IF(COUNTIFS($E$14:$E$93,$E50,$J$14:$J$93,$J50,$C$14:$C$93,"&lt;&gt;",$ED$14:$ED$93,$ED50,$V$14:$V$93,$V50)&lt;=1,"-",IF(P50=0,0,ROUND(O50/P50,3)))</f>
        <v/>
      </c>
      <c r="X50" s="19">
        <f>IF($C50="","",$E50&amp;"#"&amp;COUNTIFS($E$14:$E50,$E50,$C$14:$C50,"&lt;&gt;"))</f>
        <v/>
      </c>
      <c r="Y50" s="20">
        <f>IFERROR(INDEX($H$14:$H$93,MATCH($E50&amp;"#1",$X$14:$X$93,0)),"")</f>
        <v/>
      </c>
      <c r="Z50" s="20">
        <f>IFERROR(INDEX($H$14:$H$93,MATCH($E50&amp;"#2",$X$14:$X$93,0)),"")</f>
        <v/>
      </c>
      <c r="AA50" s="20">
        <f>IFERROR(INDEX($H$14:$H$93,MATCH($E50&amp;"#3",$X$14:$X$93,0)),"")</f>
        <v/>
      </c>
      <c r="AB50" s="20">
        <f>IFERROR(INDEX($H$14:$H$93,MATCH($E50&amp;"#4",$X$14:$X$93,0)),"")</f>
        <v/>
      </c>
      <c r="AC50" s="20">
        <f>IFERROR(INDEX($H$14:$H$93,MATCH($E50&amp;"#5",$X$14:$X$93,0)),"")</f>
        <v/>
      </c>
      <c r="AD50" s="20">
        <f>IFERROR(INDEX($H$14:$H$93,MATCH($E50&amp;"#6",$X$14:$X$93,0)),"")</f>
        <v/>
      </c>
      <c r="AE50" s="20">
        <f>IFERROR(INDEX($H$14:$H$93,MATCH($E50&amp;"#7",$X$14:$X$93,0)),"")</f>
        <v/>
      </c>
      <c r="AF50" s="20">
        <f>IFERROR(INDEX($H$14:$H$93,MATCH($E50&amp;"#8",$X$14:$X$93,0)),"")</f>
        <v/>
      </c>
      <c r="AG50" s="20">
        <f>IFERROR(INDEX($H$14:$H$93,MATCH($E50&amp;"#9",$X$14:$X$93,0)),"")</f>
        <v/>
      </c>
      <c r="AH50" s="20">
        <f>IFERROR(INDEX($H$14:$H$93,MATCH($E50&amp;"#10",$X$14:$X$93,0)),"")</f>
        <v/>
      </c>
      <c r="AI50" s="20">
        <f>IFERROR(INDEX($H$14:$H$93,MATCH($E50&amp;"#11",$X$14:$X$93,0)),"")</f>
        <v/>
      </c>
      <c r="AJ50" s="20">
        <f>IFERROR(INDEX($H$14:$H$93,MATCH($E50&amp;"#12",$X$14:$X$93,0)),"")</f>
        <v/>
      </c>
      <c r="AK50" s="20">
        <f>IFERROR(INDEX($H$14:$H$93,MATCH($E50&amp;"#13",$X$14:$X$93,0)),"")</f>
        <v/>
      </c>
      <c r="AL50" s="20">
        <f>IFERROR(INDEX($H$14:$H$93,MATCH($E50&amp;"#14",$X$14:$X$93,0)),"")</f>
        <v/>
      </c>
      <c r="AM50" s="20">
        <f>IFERROR(INDEX($H$14:$H$93,MATCH($E50&amp;"#15",$X$14:$X$93,0)),"")</f>
        <v/>
      </c>
      <c r="AN50" s="20">
        <f>IFERROR(INDEX($H$14:$H$93,MATCH($E50&amp;"#16",$X$14:$X$93,0)),"")</f>
        <v/>
      </c>
      <c r="AO50" s="20">
        <f>IFERROR(INDEX($H$14:$H$93,MATCH($E50&amp;"#17",$X$14:$X$93,0)),"")</f>
        <v/>
      </c>
      <c r="AP50" s="20">
        <f>IFERROR(INDEX($H$14:$H$93,MATCH($E50&amp;"#18",$X$14:$X$93,0)),"")</f>
        <v/>
      </c>
      <c r="AQ50" s="20">
        <f>IFERROR(INDEX($H$14:$H$93,MATCH($E50&amp;"#19",$X$14:$X$93,0)),"")</f>
        <v/>
      </c>
      <c r="AR50" s="20">
        <f>IFERROR(INDEX($H$14:$H$93,MATCH($E50&amp;"#20",$X$14:$X$93,0)),"")</f>
        <v/>
      </c>
      <c r="AT50" s="21">
        <f>$C50</f>
        <v/>
      </c>
      <c r="AU50" s="22">
        <f>IF(AND($H50&lt;&gt;"",$Y50&lt;&gt;"",$H50&lt;&gt;$Y50,IFERROR(VLOOKUP($H50,areaCercaPuntiClassificaSquadra,3,FALSE),-1)=IFERROR(VLOOKUP($Y50,areaCercaPuntiClassificaSquadra,3,FALSE),-2)),SUMIFS(Dati!$B$2:$B$761,Dati!$A$2:$A$761,$H50,Dati!$H$2:$H$761,$Y50)+SUMIFS(Dati!$I$2:$I$761,Dati!$H$2:$H$761,$H50,Dati!$A$2:$A$761,$Y50),"-")</f>
        <v/>
      </c>
      <c r="AV50" s="22">
        <f>IF(AND($H50&lt;&gt;"",$Z50&lt;&gt;"",$H50&lt;&gt;$Z50,IFERROR(VLOOKUP($H50,areaCercaPuntiClassificaSquadra,3,FALSE),-1)=IFERROR(VLOOKUP($Z50,areaCercaPuntiClassificaSquadra,3,FALSE),-2)),SUMIFS(Dati!$B$2:$B$761,Dati!$A$2:$A$761,$H50,Dati!$H$2:$H$761,$Z50)+SUMIFS(Dati!$I$2:$I$761,Dati!$H$2:$H$761,$H50,Dati!$A$2:$A$761,$Z50),"-")</f>
        <v/>
      </c>
      <c r="AW50" s="22">
        <f>IF(AND($H50&lt;&gt;"",$AA50&lt;&gt;"",$H50&lt;&gt;$AA50,IFERROR(VLOOKUP($H50,areaCercaPuntiClassificaSquadra,3,FALSE),-1)=IFERROR(VLOOKUP($AA50,areaCercaPuntiClassificaSquadra,3,FALSE),-2)),SUMIFS(Dati!$B$2:$B$761,Dati!$A$2:$A$761,$H50,Dati!$H$2:$H$761,$AA50)+SUMIFS(Dati!$I$2:$I$761,Dati!$H$2:$H$761,$H50,Dati!$A$2:$A$761,$AA50),"-")</f>
        <v/>
      </c>
      <c r="AX50" s="22">
        <f>IF(AND($H50&lt;&gt;"",$AB50&lt;&gt;"",$H50&lt;&gt;$AB50,IFERROR(VLOOKUP($H50,areaCercaPuntiClassificaSquadra,3,FALSE),-1)=IFERROR(VLOOKUP($AB50,areaCercaPuntiClassificaSquadra,3,FALSE),-2)),SUMIFS(Dati!$B$2:$B$761,Dati!$A$2:$A$761,$H50,Dati!$H$2:$H$761,$AB50)+SUMIFS(Dati!$I$2:$I$761,Dati!$H$2:$H$761,$H50,Dati!$A$2:$A$761,$AB50),"-")</f>
        <v/>
      </c>
      <c r="AY50" s="22">
        <f>IF(AND($H50&lt;&gt;"",$AC50&lt;&gt;"",$H50&lt;&gt;$AC50,IFERROR(VLOOKUP($H50,areaCercaPuntiClassificaSquadra,3,FALSE),-1)=IFERROR(VLOOKUP($AC50,areaCercaPuntiClassificaSquadra,3,FALSE),-2)),SUMIFS(Dati!$B$2:$B$761,Dati!$A$2:$A$761,$H50,Dati!$H$2:$H$761,$AC50)+SUMIFS(Dati!$I$2:$I$761,Dati!$H$2:$H$761,$H50,Dati!$A$2:$A$761,$AC50),"-")</f>
        <v/>
      </c>
      <c r="AZ50" s="22">
        <f>IF(AND($H50&lt;&gt;"",$AD50&lt;&gt;"",$H50&lt;&gt;$AD50,IFERROR(VLOOKUP($H50,areaCercaPuntiClassificaSquadra,3,FALSE),-1)=IFERROR(VLOOKUP($AD50,areaCercaPuntiClassificaSquadra,3,FALSE),-2)),SUMIFS(Dati!$B$2:$B$761,Dati!$A$2:$A$761,$H50,Dati!$H$2:$H$761,$AD50)+SUMIFS(Dati!$I$2:$I$761,Dati!$H$2:$H$761,$H50,Dati!$A$2:$A$761,$AD50),"-")</f>
        <v/>
      </c>
      <c r="BA50" s="22">
        <f>IF(AND($H50&lt;&gt;"",$AE50&lt;&gt;"",$H50&lt;&gt;$AE50,IFERROR(VLOOKUP($H50,areaCercaPuntiClassificaSquadra,3,FALSE),-1)=IFERROR(VLOOKUP($AE50,areaCercaPuntiClassificaSquadra,3,FALSE),-2)),SUMIFS(Dati!$B$2:$B$761,Dati!$A$2:$A$761,$H50,Dati!$H$2:$H$761,$AE50)+SUMIFS(Dati!$I$2:$I$761,Dati!$H$2:$H$761,$H50,Dati!$A$2:$A$761,$AE50),"-")</f>
        <v/>
      </c>
      <c r="BB50" s="22">
        <f>IF(AND($H50&lt;&gt;"",$AF50&lt;&gt;"",$H50&lt;&gt;$AF50,IFERROR(VLOOKUP($H50,areaCercaPuntiClassificaSquadra,3,FALSE),-1)=IFERROR(VLOOKUP($AF50,areaCercaPuntiClassificaSquadra,3,FALSE),-2)),SUMIFS(Dati!$B$2:$B$761,Dati!$A$2:$A$761,$H50,Dati!$H$2:$H$761,$AF50)+SUMIFS(Dati!$I$2:$I$761,Dati!$H$2:$H$761,$H50,Dati!$A$2:$A$761,$AF50),"-")</f>
        <v/>
      </c>
      <c r="BC50" s="22">
        <f>IF(AND($H50&lt;&gt;"",$AG50&lt;&gt;"",$H50&lt;&gt;$AG50,IFERROR(VLOOKUP($H50,areaCercaPuntiClassificaSquadra,3,FALSE),-1)=IFERROR(VLOOKUP($AG50,areaCercaPuntiClassificaSquadra,3,FALSE),-2)),SUMIFS(Dati!$B$2:$B$761,Dati!$A$2:$A$761,$H50,Dati!$H$2:$H$761,$AG50)+SUMIFS(Dati!$I$2:$I$761,Dati!$H$2:$H$761,$H50,Dati!$A$2:$A$761,$AG50),"-")</f>
        <v/>
      </c>
      <c r="BD50" s="22">
        <f>IF(AND($H50&lt;&gt;"",$AH50&lt;&gt;"",$H50&lt;&gt;$AH50,IFERROR(VLOOKUP($H50,areaCercaPuntiClassificaSquadra,3,FALSE),-1)=IFERROR(VLOOKUP($AH50,areaCercaPuntiClassificaSquadra,3,FALSE),-2)),SUMIFS(Dati!$B$2:$B$761,Dati!$A$2:$A$761,$H50,Dati!$H$2:$H$761,$AH50)+SUMIFS(Dati!$I$2:$I$761,Dati!$H$2:$H$761,$H50,Dati!$A$2:$A$761,$AH50),"-")</f>
        <v/>
      </c>
      <c r="BE50" s="22">
        <f>IF(AND($H50&lt;&gt;"",$AI50&lt;&gt;"",$H50&lt;&gt;$AI50,IFERROR(VLOOKUP($H50,areaCercaPuntiClassificaSquadra,3,FALSE),-1)=IFERROR(VLOOKUP($AI50,areaCercaPuntiClassificaSquadra,3,FALSE),-2)),SUMIFS(Dati!$B$2:$B$761,Dati!$A$2:$A$761,$H50,Dati!$H$2:$H$761,$AI50)+SUMIFS(Dati!$I$2:$I$761,Dati!$H$2:$H$761,$H50,Dati!$A$2:$A$761,$AI50),"-")</f>
        <v/>
      </c>
      <c r="BF50" s="22">
        <f>IF(AND($H50&lt;&gt;"",$AJ50&lt;&gt;"",$H50&lt;&gt;$AJ50,IFERROR(VLOOKUP($H50,areaCercaPuntiClassificaSquadra,3,FALSE),-1)=IFERROR(VLOOKUP($AJ50,areaCercaPuntiClassificaSquadra,3,FALSE),-2)),SUMIFS(Dati!$B$2:$B$761,Dati!$A$2:$A$761,$H50,Dati!$H$2:$H$761,$AJ50)+SUMIFS(Dati!$I$2:$I$761,Dati!$H$2:$H$761,$H50,Dati!$A$2:$A$761,$AJ50),"-")</f>
        <v/>
      </c>
      <c r="BG50" s="22">
        <f>IF(AND($H50&lt;&gt;"",$AK50&lt;&gt;"",$H50&lt;&gt;$AK50,IFERROR(VLOOKUP($H50,areaCercaPuntiClassificaSquadra,3,FALSE),-1)=IFERROR(VLOOKUP($AK50,areaCercaPuntiClassificaSquadra,3,FALSE),-2)),SUMIFS(Dati!$B$2:$B$761,Dati!$A$2:$A$761,$H50,Dati!$H$2:$H$761,$AK50)+SUMIFS(Dati!$I$2:$I$761,Dati!$H$2:$H$761,$H50,Dati!$A$2:$A$761,$AK50),"-")</f>
        <v/>
      </c>
      <c r="BH50" s="22">
        <f>IF(AND($H50&lt;&gt;"",$AL50&lt;&gt;"",$H50&lt;&gt;$AL50,IFERROR(VLOOKUP($H50,areaCercaPuntiClassificaSquadra,3,FALSE),-1)=IFERROR(VLOOKUP($AL50,areaCercaPuntiClassificaSquadra,3,FALSE),-2)),SUMIFS(Dati!$B$2:$B$761,Dati!$A$2:$A$761,$H50,Dati!$H$2:$H$761,$AL50)+SUMIFS(Dati!$I$2:$I$761,Dati!$H$2:$H$761,$H50,Dati!$A$2:$A$761,$AL50),"-")</f>
        <v/>
      </c>
      <c r="BI50" s="22">
        <f>IF(AND($H50&lt;&gt;"",$AM50&lt;&gt;"",$H50&lt;&gt;$AM50,IFERROR(VLOOKUP($H50,areaCercaPuntiClassificaSquadra,3,FALSE),-1)=IFERROR(VLOOKUP($AM50,areaCercaPuntiClassificaSquadra,3,FALSE),-2)),SUMIFS(Dati!$B$2:$B$761,Dati!$A$2:$A$761,$H50,Dati!$H$2:$H$761,$AM50)+SUMIFS(Dati!$I$2:$I$761,Dati!$H$2:$H$761,$H50,Dati!$A$2:$A$761,$AM50),"-")</f>
        <v/>
      </c>
      <c r="BJ50" s="22">
        <f>IF(AND($H50&lt;&gt;"",$AN50&lt;&gt;"",$H50&lt;&gt;$AN50,IFERROR(VLOOKUP($H50,areaCercaPuntiClassificaSquadra,3,FALSE),-1)=IFERROR(VLOOKUP($AN50,areaCercaPuntiClassificaSquadra,3,FALSE),-2)),SUMIFS(Dati!$B$2:$B$761,Dati!$A$2:$A$761,$H50,Dati!$H$2:$H$761,$AN50)+SUMIFS(Dati!$I$2:$I$761,Dati!$H$2:$H$761,$H50,Dati!$A$2:$A$761,$AN50),"-")</f>
        <v/>
      </c>
      <c r="BK50" s="22">
        <f>IF(AND($H50&lt;&gt;"",$AO50&lt;&gt;"",$H50&lt;&gt;$AO50,IFERROR(VLOOKUP($H50,areaCercaPuntiClassificaSquadra,3,FALSE),-1)=IFERROR(VLOOKUP($AO50,areaCercaPuntiClassificaSquadra,3,FALSE),-2)),SUMIFS(Dati!$B$2:$B$761,Dati!$A$2:$A$761,$H50,Dati!$H$2:$H$761,$AO50)+SUMIFS(Dati!$I$2:$I$761,Dati!$H$2:$H$761,$H50,Dati!$A$2:$A$761,$AO50),"-")</f>
        <v/>
      </c>
      <c r="BL50" s="22">
        <f>IF(AND($H50&lt;&gt;"",$AP50&lt;&gt;"",$H50&lt;&gt;$AP50,IFERROR(VLOOKUP($H50,areaCercaPuntiClassificaSquadra,3,FALSE),-1)=IFERROR(VLOOKUP($AP50,areaCercaPuntiClassificaSquadra,3,FALSE),-2)),SUMIFS(Dati!$B$2:$B$761,Dati!$A$2:$A$761,$H50,Dati!$H$2:$H$761,$AP50)+SUMIFS(Dati!$I$2:$I$761,Dati!$H$2:$H$761,$H50,Dati!$A$2:$A$761,$AP50),"-")</f>
        <v/>
      </c>
      <c r="BM50" s="22">
        <f>IF(AND($H50&lt;&gt;"",$AQ50&lt;&gt;"",$H50&lt;&gt;$AQ50,IFERROR(VLOOKUP($H50,areaCercaPuntiClassificaSquadra,3,FALSE),-1)=IFERROR(VLOOKUP($AQ50,areaCercaPuntiClassificaSquadra,3,FALSE),-2)),SUMIFS(Dati!$B$2:$B$761,Dati!$A$2:$A$761,$H50,Dati!$H$2:$H$761,$AQ50)+SUMIFS(Dati!$I$2:$I$761,Dati!$H$2:$H$761,$H50,Dati!$A$2:$A$761,$AQ50),"-")</f>
        <v/>
      </c>
      <c r="BN50" s="22">
        <f>IF(AND($H50&lt;&gt;"",$AR50&lt;&gt;"",$H50&lt;&gt;$AR50,IFERROR(VLOOKUP($H50,areaCercaPuntiClassificaSquadra,3,FALSE),-1)=IFERROR(VLOOKUP($AR50,areaCercaPuntiClassificaSquadra,3,FALSE),-2)),SUMIFS(Dati!$B$2:$B$761,Dati!$A$2:$A$761,$H50,Dati!$H$2:$H$761,$AR50)+SUMIFS(Dati!$I$2:$I$761,Dati!$H$2:$H$761,$H50,Dati!$A$2:$A$761,$AR50),"-")</f>
        <v/>
      </c>
      <c r="BP50" s="21">
        <f>$C50</f>
        <v/>
      </c>
      <c r="BQ50" s="22">
        <f>IF(AND($H50&lt;&gt;"",$Y50&lt;&gt;"",$H50&lt;&gt;$Y50,IFERROR(VLOOKUP($H50,areaCercaPuntiClassificaSquadra,3,FALSE),-1)=IFERROR(VLOOKUP($Y50,areaCercaPuntiClassificaSquadra,3,FALSE),-2)),SUMIFS(Dati!$D$2:$D$761,Dati!$A$2:$A$761,$H50,Dati!$H$2:$H$761,$Y50)+SUMIFS(Dati!$K$2:$K$761,Dati!$H$2:$H$761,$H50,Dati!$A$2:$A$761,$Y50)+SUMIFS(Dati!$C$2:$C$761,Dati!$A$2:$A$761,$H50,Dati!$H$2:$H$761,$Y50)+SUMIFS(Dati!$J$2:$J$761,Dati!$H$2:$H$761,$H50,Dati!$A$2:$A$761,$Y50),"-")</f>
        <v/>
      </c>
      <c r="BR50" s="22">
        <f>IF(AND($H50&lt;&gt;"",$Z50&lt;&gt;"",$H50&lt;&gt;$Z50,IFERROR(VLOOKUP($H50,areaCercaPuntiClassificaSquadra,3,FALSE),-1)=IFERROR(VLOOKUP($Z50,areaCercaPuntiClassificaSquadra,3,FALSE),-2)),SUMIFS(Dati!$D$2:$D$761,Dati!$A$2:$A$761,$H50,Dati!$H$2:$H$761,$Z50)+SUMIFS(Dati!$K$2:$K$761,Dati!$H$2:$H$761,$H50,Dati!$A$2:$A$761,$Z50)+SUMIFS(Dati!$C$2:$C$761,Dati!$A$2:$A$761,$H50,Dati!$H$2:$H$761,$Z50)+SUMIFS(Dati!$J$2:$J$761,Dati!$H$2:$H$761,$H50,Dati!$A$2:$A$761,$Z50),"-")</f>
        <v/>
      </c>
      <c r="BS50" s="22">
        <f>IF(AND($H50&lt;&gt;"",$AA50&lt;&gt;"",$H50&lt;&gt;$AA50,IFERROR(VLOOKUP($H50,areaCercaPuntiClassificaSquadra,3,FALSE),-1)=IFERROR(VLOOKUP($AA50,areaCercaPuntiClassificaSquadra,3,FALSE),-2)),SUMIFS(Dati!$D$2:$D$761,Dati!$A$2:$A$761,$H50,Dati!$H$2:$H$761,$AA50)+SUMIFS(Dati!$K$2:$K$761,Dati!$H$2:$H$761,$H50,Dati!$A$2:$A$761,$AA50)+SUMIFS(Dati!$C$2:$C$761,Dati!$A$2:$A$761,$H50,Dati!$H$2:$H$761,$AA50)+SUMIFS(Dati!$J$2:$J$761,Dati!$H$2:$H$761,$H50,Dati!$A$2:$A$761,$AA50),"-")</f>
        <v/>
      </c>
      <c r="BT50" s="22">
        <f>IF(AND($H50&lt;&gt;"",$AB50&lt;&gt;"",$H50&lt;&gt;$AB50,IFERROR(VLOOKUP($H50,areaCercaPuntiClassificaSquadra,3,FALSE),-1)=IFERROR(VLOOKUP($AB50,areaCercaPuntiClassificaSquadra,3,FALSE),-2)),SUMIFS(Dati!$D$2:$D$761,Dati!$A$2:$A$761,$H50,Dati!$H$2:$H$761,$AB50)+SUMIFS(Dati!$K$2:$K$761,Dati!$H$2:$H$761,$H50,Dati!$A$2:$A$761,$AB50)+SUMIFS(Dati!$C$2:$C$761,Dati!$A$2:$A$761,$H50,Dati!$H$2:$H$761,$AB50)+SUMIFS(Dati!$J$2:$J$761,Dati!$H$2:$H$761,$H50,Dati!$A$2:$A$761,$AB50),"-")</f>
        <v/>
      </c>
      <c r="BU50" s="22">
        <f>IF(AND($H50&lt;&gt;"",$AC50&lt;&gt;"",$H50&lt;&gt;$AC50,IFERROR(VLOOKUP($H50,areaCercaPuntiClassificaSquadra,3,FALSE),-1)=IFERROR(VLOOKUP($AC50,areaCercaPuntiClassificaSquadra,3,FALSE),-2)),SUMIFS(Dati!$D$2:$D$761,Dati!$A$2:$A$761,$H50,Dati!$H$2:$H$761,$AC50)+SUMIFS(Dati!$K$2:$K$761,Dati!$H$2:$H$761,$H50,Dati!$A$2:$A$761,$AC50)+SUMIFS(Dati!$C$2:$C$761,Dati!$A$2:$A$761,$H50,Dati!$H$2:$H$761,$AC50)+SUMIFS(Dati!$J$2:$J$761,Dati!$H$2:$H$761,$H50,Dati!$A$2:$A$761,$AC50),"-")</f>
        <v/>
      </c>
      <c r="BV50" s="22">
        <f>IF(AND($H50&lt;&gt;"",$AD50&lt;&gt;"",$H50&lt;&gt;$AD50,IFERROR(VLOOKUP($H50,areaCercaPuntiClassificaSquadra,3,FALSE),-1)=IFERROR(VLOOKUP($AD50,areaCercaPuntiClassificaSquadra,3,FALSE),-2)),SUMIFS(Dati!$D$2:$D$761,Dati!$A$2:$A$761,$H50,Dati!$H$2:$H$761,$AD50)+SUMIFS(Dati!$K$2:$K$761,Dati!$H$2:$H$761,$H50,Dati!$A$2:$A$761,$AD50)+SUMIFS(Dati!$C$2:$C$761,Dati!$A$2:$A$761,$H50,Dati!$H$2:$H$761,$AD50)+SUMIFS(Dati!$J$2:$J$761,Dati!$H$2:$H$761,$H50,Dati!$A$2:$A$761,$AD50),"-")</f>
        <v/>
      </c>
      <c r="BW50" s="22">
        <f>IF(AND($H50&lt;&gt;"",$AE50&lt;&gt;"",$H50&lt;&gt;$AE50,IFERROR(VLOOKUP($H50,areaCercaPuntiClassificaSquadra,3,FALSE),-1)=IFERROR(VLOOKUP($AE50,areaCercaPuntiClassificaSquadra,3,FALSE),-2)),SUMIFS(Dati!$D$2:$D$761,Dati!$A$2:$A$761,$H50,Dati!$H$2:$H$761,$AE50)+SUMIFS(Dati!$K$2:$K$761,Dati!$H$2:$H$761,$H50,Dati!$A$2:$A$761,$AE50)+SUMIFS(Dati!$C$2:$C$761,Dati!$A$2:$A$761,$H50,Dati!$H$2:$H$761,$AE50)+SUMIFS(Dati!$J$2:$J$761,Dati!$H$2:$H$761,$H50,Dati!$A$2:$A$761,$AE50),"-")</f>
        <v/>
      </c>
      <c r="BX50" s="22">
        <f>IF(AND($H50&lt;&gt;"",$AF50&lt;&gt;"",$H50&lt;&gt;$AF50,IFERROR(VLOOKUP($H50,areaCercaPuntiClassificaSquadra,3,FALSE),-1)=IFERROR(VLOOKUP($AF50,areaCercaPuntiClassificaSquadra,3,FALSE),-2)),SUMIFS(Dati!$D$2:$D$761,Dati!$A$2:$A$761,$H50,Dati!$H$2:$H$761,$AF50)+SUMIFS(Dati!$K$2:$K$761,Dati!$H$2:$H$761,$H50,Dati!$A$2:$A$761,$AF50)+SUMIFS(Dati!$C$2:$C$761,Dati!$A$2:$A$761,$H50,Dati!$H$2:$H$761,$AF50)+SUMIFS(Dati!$J$2:$J$761,Dati!$H$2:$H$761,$H50,Dati!$A$2:$A$761,$AF50),"-")</f>
        <v/>
      </c>
      <c r="BY50" s="22">
        <f>IF(AND($H50&lt;&gt;"",$AG50&lt;&gt;"",$H50&lt;&gt;$AG50,IFERROR(VLOOKUP($H50,areaCercaPuntiClassificaSquadra,3,FALSE),-1)=IFERROR(VLOOKUP($AG50,areaCercaPuntiClassificaSquadra,3,FALSE),-2)),SUMIFS(Dati!$D$2:$D$761,Dati!$A$2:$A$761,$H50,Dati!$H$2:$H$761,$AG50)+SUMIFS(Dati!$K$2:$K$761,Dati!$H$2:$H$761,$H50,Dati!$A$2:$A$761,$AG50)+SUMIFS(Dati!$C$2:$C$761,Dati!$A$2:$A$761,$H50,Dati!$H$2:$H$761,$AG50)+SUMIFS(Dati!$J$2:$J$761,Dati!$H$2:$H$761,$H50,Dati!$A$2:$A$761,$AG50),"-")</f>
        <v/>
      </c>
      <c r="BZ50" s="22">
        <f>IF(AND($H50&lt;&gt;"",$AH50&lt;&gt;"",$H50&lt;&gt;$AH50,IFERROR(VLOOKUP($H50,areaCercaPuntiClassificaSquadra,3,FALSE),-1)=IFERROR(VLOOKUP($AH50,areaCercaPuntiClassificaSquadra,3,FALSE),-2)),SUMIFS(Dati!$D$2:$D$761,Dati!$A$2:$A$761,$H50,Dati!$H$2:$H$761,$AH50)+SUMIFS(Dati!$K$2:$K$761,Dati!$H$2:$H$761,$H50,Dati!$A$2:$A$761,$AH50)+SUMIFS(Dati!$C$2:$C$761,Dati!$A$2:$A$761,$H50,Dati!$H$2:$H$761,$AH50)+SUMIFS(Dati!$J$2:$J$761,Dati!$H$2:$H$761,$H50,Dati!$A$2:$A$761,$AH50),"-")</f>
        <v/>
      </c>
      <c r="CA50" s="22">
        <f>IF(AND($H50&lt;&gt;"",$AI50&lt;&gt;"",$H50&lt;&gt;$AI50,IFERROR(VLOOKUP($H50,areaCercaPuntiClassificaSquadra,3,FALSE),-1)=IFERROR(VLOOKUP($AI50,areaCercaPuntiClassificaSquadra,3,FALSE),-2)),SUMIFS(Dati!$D$2:$D$761,Dati!$A$2:$A$761,$H50,Dati!$H$2:$H$761,$AI50)+SUMIFS(Dati!$K$2:$K$761,Dati!$H$2:$H$761,$H50,Dati!$A$2:$A$761,$AI50)+SUMIFS(Dati!$C$2:$C$761,Dati!$A$2:$A$761,$H50,Dati!$H$2:$H$761,$AI50)+SUMIFS(Dati!$J$2:$J$761,Dati!$H$2:$H$761,$H50,Dati!$A$2:$A$761,$AI50),"-")</f>
        <v/>
      </c>
      <c r="CB50" s="22">
        <f>IF(AND($H50&lt;&gt;"",$AJ50&lt;&gt;"",$H50&lt;&gt;$AJ50,IFERROR(VLOOKUP($H50,areaCercaPuntiClassificaSquadra,3,FALSE),-1)=IFERROR(VLOOKUP($AJ50,areaCercaPuntiClassificaSquadra,3,FALSE),-2)),SUMIFS(Dati!$D$2:$D$761,Dati!$A$2:$A$761,$H50,Dati!$H$2:$H$761,$AJ50)+SUMIFS(Dati!$K$2:$K$761,Dati!$H$2:$H$761,$H50,Dati!$A$2:$A$761,$AJ50)+SUMIFS(Dati!$C$2:$C$761,Dati!$A$2:$A$761,$H50,Dati!$H$2:$H$761,$AJ50)+SUMIFS(Dati!$J$2:$J$761,Dati!$H$2:$H$761,$H50,Dati!$A$2:$A$761,$AJ50),"-")</f>
        <v/>
      </c>
      <c r="CC50" s="22">
        <f>IF(AND($H50&lt;&gt;"",$AK50&lt;&gt;"",$H50&lt;&gt;$AK50,IFERROR(VLOOKUP($H50,areaCercaPuntiClassificaSquadra,3,FALSE),-1)=IFERROR(VLOOKUP($AK50,areaCercaPuntiClassificaSquadra,3,FALSE),-2)),SUMIFS(Dati!$D$2:$D$761,Dati!$A$2:$A$761,$H50,Dati!$H$2:$H$761,$AK50)+SUMIFS(Dati!$K$2:$K$761,Dati!$H$2:$H$761,$H50,Dati!$A$2:$A$761,$AK50)+SUMIFS(Dati!$C$2:$C$761,Dati!$A$2:$A$761,$H50,Dati!$H$2:$H$761,$AK50)+SUMIFS(Dati!$J$2:$J$761,Dati!$H$2:$H$761,$H50,Dati!$A$2:$A$761,$AK50),"-")</f>
        <v/>
      </c>
      <c r="CD50" s="22">
        <f>IF(AND($H50&lt;&gt;"",$AL50&lt;&gt;"",$H50&lt;&gt;$AL50,IFERROR(VLOOKUP($H50,areaCercaPuntiClassificaSquadra,3,FALSE),-1)=IFERROR(VLOOKUP($AL50,areaCercaPuntiClassificaSquadra,3,FALSE),-2)),SUMIFS(Dati!$D$2:$D$761,Dati!$A$2:$A$761,$H50,Dati!$H$2:$H$761,$AL50)+SUMIFS(Dati!$K$2:$K$761,Dati!$H$2:$H$761,$H50,Dati!$A$2:$A$761,$AL50)+SUMIFS(Dati!$C$2:$C$761,Dati!$A$2:$A$761,$H50,Dati!$H$2:$H$761,$AL50)+SUMIFS(Dati!$J$2:$J$761,Dati!$H$2:$H$761,$H50,Dati!$A$2:$A$761,$AL50),"-")</f>
        <v/>
      </c>
      <c r="CE50" s="22">
        <f>IF(AND($H50&lt;&gt;"",$AM50&lt;&gt;"",$H50&lt;&gt;$AM50,IFERROR(VLOOKUP($H50,areaCercaPuntiClassificaSquadra,3,FALSE),-1)=IFERROR(VLOOKUP($AM50,areaCercaPuntiClassificaSquadra,3,FALSE),-2)),SUMIFS(Dati!$D$2:$D$761,Dati!$A$2:$A$761,$H50,Dati!$H$2:$H$761,$AM50)+SUMIFS(Dati!$K$2:$K$761,Dati!$H$2:$H$761,$H50,Dati!$A$2:$A$761,$AM50)+SUMIFS(Dati!$C$2:$C$761,Dati!$A$2:$A$761,$H50,Dati!$H$2:$H$761,$AM50)+SUMIFS(Dati!$J$2:$J$761,Dati!$H$2:$H$761,$H50,Dati!$A$2:$A$761,$AM50),"-")</f>
        <v/>
      </c>
      <c r="CF50" s="22">
        <f>IF(AND($H50&lt;&gt;"",$AN50&lt;&gt;"",$H50&lt;&gt;$AN50,IFERROR(VLOOKUP($H50,areaCercaPuntiClassificaSquadra,3,FALSE),-1)=IFERROR(VLOOKUP($AN50,areaCercaPuntiClassificaSquadra,3,FALSE),-2)),SUMIFS(Dati!$D$2:$D$761,Dati!$A$2:$A$761,$H50,Dati!$H$2:$H$761,$AN50)+SUMIFS(Dati!$K$2:$K$761,Dati!$H$2:$H$761,$H50,Dati!$A$2:$A$761,$AN50)+SUMIFS(Dati!$C$2:$C$761,Dati!$A$2:$A$761,$H50,Dati!$H$2:$H$761,$AN50)+SUMIFS(Dati!$J$2:$J$761,Dati!$H$2:$H$761,$H50,Dati!$A$2:$A$761,$AN50),"-")</f>
        <v/>
      </c>
      <c r="CG50" s="22">
        <f>IF(AND($H50&lt;&gt;"",$AO50&lt;&gt;"",$H50&lt;&gt;$AO50,IFERROR(VLOOKUP($H50,areaCercaPuntiClassificaSquadra,3,FALSE),-1)=IFERROR(VLOOKUP($AO50,areaCercaPuntiClassificaSquadra,3,FALSE),-2)),SUMIFS(Dati!$D$2:$D$761,Dati!$A$2:$A$761,$H50,Dati!$H$2:$H$761,$AO50)+SUMIFS(Dati!$K$2:$K$761,Dati!$H$2:$H$761,$H50,Dati!$A$2:$A$761,$AO50)+SUMIFS(Dati!$C$2:$C$761,Dati!$A$2:$A$761,$H50,Dati!$H$2:$H$761,$AO50)+SUMIFS(Dati!$J$2:$J$761,Dati!$H$2:$H$761,$H50,Dati!$A$2:$A$761,$AO50),"-")</f>
        <v/>
      </c>
      <c r="CH50" s="22">
        <f>IF(AND($H50&lt;&gt;"",$AP50&lt;&gt;"",$H50&lt;&gt;$AP50,IFERROR(VLOOKUP($H50,areaCercaPuntiClassificaSquadra,3,FALSE),-1)=IFERROR(VLOOKUP($AP50,areaCercaPuntiClassificaSquadra,3,FALSE),-2)),SUMIFS(Dati!$D$2:$D$761,Dati!$A$2:$A$761,$H50,Dati!$H$2:$H$761,$AP50)+SUMIFS(Dati!$K$2:$K$761,Dati!$H$2:$H$761,$H50,Dati!$A$2:$A$761,$AP50)+SUMIFS(Dati!$C$2:$C$761,Dati!$A$2:$A$761,$H50,Dati!$H$2:$H$761,$AP50)+SUMIFS(Dati!$J$2:$J$761,Dati!$H$2:$H$761,$H50,Dati!$A$2:$A$761,$AP50),"-")</f>
        <v/>
      </c>
      <c r="CI50" s="22">
        <f>IF(AND($H50&lt;&gt;"",$AQ50&lt;&gt;"",$H50&lt;&gt;$AQ50,IFERROR(VLOOKUP($H50,areaCercaPuntiClassificaSquadra,3,FALSE),-1)=IFERROR(VLOOKUP($AQ50,areaCercaPuntiClassificaSquadra,3,FALSE),-2)),SUMIFS(Dati!$D$2:$D$761,Dati!$A$2:$A$761,$H50,Dati!$H$2:$H$761,$AQ50)+SUMIFS(Dati!$K$2:$K$761,Dati!$H$2:$H$761,$H50,Dati!$A$2:$A$761,$AQ50)+SUMIFS(Dati!$C$2:$C$761,Dati!$A$2:$A$761,$H50,Dati!$H$2:$H$761,$AQ50)+SUMIFS(Dati!$J$2:$J$761,Dati!$H$2:$H$761,$H50,Dati!$A$2:$A$761,$AQ50),"-")</f>
        <v/>
      </c>
      <c r="CJ50" s="22">
        <f>IF(AND($H50&lt;&gt;"",$AR50&lt;&gt;"",$H50&lt;&gt;$AR50,IFERROR(VLOOKUP($H50,areaCercaPuntiClassificaSquadra,3,FALSE),-1)=IFERROR(VLOOKUP($AR50,areaCercaPuntiClassificaSquadra,3,FALSE),-2)),SUMIFS(Dati!$D$2:$D$761,Dati!$A$2:$A$761,$H50,Dati!$H$2:$H$761,$AR50)+SUMIFS(Dati!$K$2:$K$761,Dati!$H$2:$H$761,$H50,Dati!$A$2:$A$761,$AR50)+SUMIFS(Dati!$C$2:$C$761,Dati!$A$2:$A$761,$H50,Dati!$H$2:$H$761,$AR50)+SUMIFS(Dati!$J$2:$J$761,Dati!$H$2:$H$761,$H50,Dati!$A$2:$A$761,$AR50),"-")</f>
        <v/>
      </c>
      <c r="CL50" s="21">
        <f>$C50</f>
        <v/>
      </c>
      <c r="CM50" s="22">
        <f>IF(AND($H50&lt;&gt;"",$Y50&lt;&gt;"",$H50&lt;&gt;$Y50,IFERROR(VLOOKUP($H50,areaCercaPuntiClassificaSquadra,3,FALSE),-1)=IFERROR(VLOOKUP($Y50,areaCercaPuntiClassificaSquadra,3,FALSE),-2)),SUMIFS(Dati!$E$2:$E$761,Dati!$A$2:$A$761,$H50,Dati!$H$2:$H$761,$Y50)+SUMIFS(Dati!$L$2:$L$761,Dati!$H$2:$H$761,$H50,Dati!$A$2:$A$761,$Y50),"-")</f>
        <v/>
      </c>
      <c r="CN50" s="22">
        <f>IF(AND($H50&lt;&gt;"",$Z50&lt;&gt;"",$H50&lt;&gt;$Z50,IFERROR(VLOOKUP($H50,areaCercaPuntiClassificaSquadra,3,FALSE),-1)=IFERROR(VLOOKUP($Z50,areaCercaPuntiClassificaSquadra,3,FALSE),-2)),SUMIFS(Dati!$E$2:$E$761,Dati!$A$2:$A$761,$H50,Dati!$H$2:$H$761,$Z50)+SUMIFS(Dati!$L$2:$L$761,Dati!$H$2:$H$761,$H50,Dati!$A$2:$A$761,$Z50),"-")</f>
        <v/>
      </c>
      <c r="CO50" s="22">
        <f>IF(AND($H50&lt;&gt;"",$AA50&lt;&gt;"",$H50&lt;&gt;$AA50,IFERROR(VLOOKUP($H50,areaCercaPuntiClassificaSquadra,3,FALSE),-1)=IFERROR(VLOOKUP($AA50,areaCercaPuntiClassificaSquadra,3,FALSE),-2)),SUMIFS(Dati!$E$2:$E$761,Dati!$A$2:$A$761,$H50,Dati!$H$2:$H$761,$AA50)+SUMIFS(Dati!$L$2:$L$761,Dati!$H$2:$H$761,$H50,Dati!$A$2:$A$761,$AA50),"-")</f>
        <v/>
      </c>
      <c r="CP50" s="22">
        <f>IF(AND($H50&lt;&gt;"",$AB50&lt;&gt;"",$H50&lt;&gt;$AB50,IFERROR(VLOOKUP($H50,areaCercaPuntiClassificaSquadra,3,FALSE),-1)=IFERROR(VLOOKUP($AB50,areaCercaPuntiClassificaSquadra,3,FALSE),-2)),SUMIFS(Dati!$E$2:$E$761,Dati!$A$2:$A$761,$H50,Dati!$H$2:$H$761,$AB50)+SUMIFS(Dati!$L$2:$L$761,Dati!$H$2:$H$761,$H50,Dati!$A$2:$A$761,$AB50),"-")</f>
        <v/>
      </c>
      <c r="CQ50" s="22">
        <f>IF(AND($H50&lt;&gt;"",$AC50&lt;&gt;"",$H50&lt;&gt;$AC50,IFERROR(VLOOKUP($H50,areaCercaPuntiClassificaSquadra,3,FALSE),-1)=IFERROR(VLOOKUP($AC50,areaCercaPuntiClassificaSquadra,3,FALSE),-2)),SUMIFS(Dati!$E$2:$E$761,Dati!$A$2:$A$761,$H50,Dati!$H$2:$H$761,$AC50)+SUMIFS(Dati!$L$2:$L$761,Dati!$H$2:$H$761,$H50,Dati!$A$2:$A$761,$AC50),"-")</f>
        <v/>
      </c>
      <c r="CR50" s="22">
        <f>IF(AND($H50&lt;&gt;"",$AD50&lt;&gt;"",$H50&lt;&gt;$AD50,IFERROR(VLOOKUP($H50,areaCercaPuntiClassificaSquadra,3,FALSE),-1)=IFERROR(VLOOKUP($AD50,areaCercaPuntiClassificaSquadra,3,FALSE),-2)),SUMIFS(Dati!$E$2:$E$761,Dati!$A$2:$A$761,$H50,Dati!$H$2:$H$761,$AD50)+SUMIFS(Dati!$L$2:$L$761,Dati!$H$2:$H$761,$H50,Dati!$A$2:$A$761,$AD50),"-")</f>
        <v/>
      </c>
      <c r="CS50" s="22">
        <f>IF(AND($H50&lt;&gt;"",$AE50&lt;&gt;"",$H50&lt;&gt;$AE50,IFERROR(VLOOKUP($H50,areaCercaPuntiClassificaSquadra,3,FALSE),-1)=IFERROR(VLOOKUP($AE50,areaCercaPuntiClassificaSquadra,3,FALSE),-2)),SUMIFS(Dati!$E$2:$E$761,Dati!$A$2:$A$761,$H50,Dati!$H$2:$H$761,$AE50)+SUMIFS(Dati!$L$2:$L$761,Dati!$H$2:$H$761,$H50,Dati!$A$2:$A$761,$AE50),"-")</f>
        <v/>
      </c>
      <c r="CT50" s="22">
        <f>IF(AND($H50&lt;&gt;"",$AF50&lt;&gt;"",$H50&lt;&gt;$AF50,IFERROR(VLOOKUP($H50,areaCercaPuntiClassificaSquadra,3,FALSE),-1)=IFERROR(VLOOKUP($AF50,areaCercaPuntiClassificaSquadra,3,FALSE),-2)),SUMIFS(Dati!$E$2:$E$761,Dati!$A$2:$A$761,$H50,Dati!$H$2:$H$761,$AF50)+SUMIFS(Dati!$L$2:$L$761,Dati!$H$2:$H$761,$H50,Dati!$A$2:$A$761,$AF50),"-")</f>
        <v/>
      </c>
      <c r="CU50" s="22">
        <f>IF(AND($H50&lt;&gt;"",$AG50&lt;&gt;"",$H50&lt;&gt;$AG50,IFERROR(VLOOKUP($H50,areaCercaPuntiClassificaSquadra,3,FALSE),-1)=IFERROR(VLOOKUP($AG50,areaCercaPuntiClassificaSquadra,3,FALSE),-2)),SUMIFS(Dati!$E$2:$E$761,Dati!$A$2:$A$761,$H50,Dati!$H$2:$H$761,$AG50)+SUMIFS(Dati!$L$2:$L$761,Dati!$H$2:$H$761,$H50,Dati!$A$2:$A$761,$AG50),"-")</f>
        <v/>
      </c>
      <c r="CV50" s="22">
        <f>IF(AND($H50&lt;&gt;"",$AH50&lt;&gt;"",$H50&lt;&gt;$AH50,IFERROR(VLOOKUP($H50,areaCercaPuntiClassificaSquadra,3,FALSE),-1)=IFERROR(VLOOKUP($AH50,areaCercaPuntiClassificaSquadra,3,FALSE),-2)),SUMIFS(Dati!$E$2:$E$761,Dati!$A$2:$A$761,$H50,Dati!$H$2:$H$761,$AH50)+SUMIFS(Dati!$L$2:$L$761,Dati!$H$2:$H$761,$H50,Dati!$A$2:$A$761,$AH50),"-")</f>
        <v/>
      </c>
      <c r="CW50" s="22">
        <f>IF(AND($H50&lt;&gt;"",$AI50&lt;&gt;"",$H50&lt;&gt;$AI50,IFERROR(VLOOKUP($H50,areaCercaPuntiClassificaSquadra,3,FALSE),-1)=IFERROR(VLOOKUP($AI50,areaCercaPuntiClassificaSquadra,3,FALSE),-2)),SUMIFS(Dati!$E$2:$E$761,Dati!$A$2:$A$761,$H50,Dati!$H$2:$H$761,$AI50)+SUMIFS(Dati!$L$2:$L$761,Dati!$H$2:$H$761,$H50,Dati!$A$2:$A$761,$AI50),"-")</f>
        <v/>
      </c>
      <c r="CX50" s="22">
        <f>IF(AND($H50&lt;&gt;"",$AJ50&lt;&gt;"",$H50&lt;&gt;$AJ50,IFERROR(VLOOKUP($H50,areaCercaPuntiClassificaSquadra,3,FALSE),-1)=IFERROR(VLOOKUP($AJ50,areaCercaPuntiClassificaSquadra,3,FALSE),-2)),SUMIFS(Dati!$E$2:$E$761,Dati!$A$2:$A$761,$H50,Dati!$H$2:$H$761,$AJ50)+SUMIFS(Dati!$L$2:$L$761,Dati!$H$2:$H$761,$H50,Dati!$A$2:$A$761,$AJ50),"-")</f>
        <v/>
      </c>
      <c r="CY50" s="22">
        <f>IF(AND($H50&lt;&gt;"",$AK50&lt;&gt;"",$H50&lt;&gt;$AK50,IFERROR(VLOOKUP($H50,areaCercaPuntiClassificaSquadra,3,FALSE),-1)=IFERROR(VLOOKUP($AK50,areaCercaPuntiClassificaSquadra,3,FALSE),-2)),SUMIFS(Dati!$E$2:$E$761,Dati!$A$2:$A$761,$H50,Dati!$H$2:$H$761,$AK50)+SUMIFS(Dati!$L$2:$L$761,Dati!$H$2:$H$761,$H50,Dati!$A$2:$A$761,$AK50),"-")</f>
        <v/>
      </c>
      <c r="CZ50" s="22">
        <f>IF(AND($H50&lt;&gt;"",$AL50&lt;&gt;"",$H50&lt;&gt;$AL50,IFERROR(VLOOKUP($H50,areaCercaPuntiClassificaSquadra,3,FALSE),-1)=IFERROR(VLOOKUP($AL50,areaCercaPuntiClassificaSquadra,3,FALSE),-2)),SUMIFS(Dati!$E$2:$E$761,Dati!$A$2:$A$761,$H50,Dati!$H$2:$H$761,$AL50)+SUMIFS(Dati!$L$2:$L$761,Dati!$H$2:$H$761,$H50,Dati!$A$2:$A$761,$AL50),"-")</f>
        <v/>
      </c>
      <c r="DA50" s="22">
        <f>IF(AND($H50&lt;&gt;"",$AM50&lt;&gt;"",$H50&lt;&gt;$AM50,IFERROR(VLOOKUP($H50,areaCercaPuntiClassificaSquadra,3,FALSE),-1)=IFERROR(VLOOKUP($AM50,areaCercaPuntiClassificaSquadra,3,FALSE),-2)),SUMIFS(Dati!$E$2:$E$761,Dati!$A$2:$A$761,$H50,Dati!$H$2:$H$761,$AM50)+SUMIFS(Dati!$L$2:$L$761,Dati!$H$2:$H$761,$H50,Dati!$A$2:$A$761,$AM50),"-")</f>
        <v/>
      </c>
      <c r="DB50" s="22">
        <f>IF(AND($H50&lt;&gt;"",$AN50&lt;&gt;"",$H50&lt;&gt;$AN50,IFERROR(VLOOKUP($H50,areaCercaPuntiClassificaSquadra,3,FALSE),-1)=IFERROR(VLOOKUP($AN50,areaCercaPuntiClassificaSquadra,3,FALSE),-2)),SUMIFS(Dati!$E$2:$E$761,Dati!$A$2:$A$761,$H50,Dati!$H$2:$H$761,$AN50)+SUMIFS(Dati!$L$2:$L$761,Dati!$H$2:$H$761,$H50,Dati!$A$2:$A$761,$AN50),"-")</f>
        <v/>
      </c>
      <c r="DC50" s="22">
        <f>IF(AND($H50&lt;&gt;"",$AO50&lt;&gt;"",$H50&lt;&gt;$AO50,IFERROR(VLOOKUP($H50,areaCercaPuntiClassificaSquadra,3,FALSE),-1)=IFERROR(VLOOKUP($AO50,areaCercaPuntiClassificaSquadra,3,FALSE),-2)),SUMIFS(Dati!$E$2:$E$761,Dati!$A$2:$A$761,$H50,Dati!$H$2:$H$761,$AO50)+SUMIFS(Dati!$L$2:$L$761,Dati!$H$2:$H$761,$H50,Dati!$A$2:$A$761,$AO50),"-")</f>
        <v/>
      </c>
      <c r="DD50" s="22">
        <f>IF(AND($H50&lt;&gt;"",$AP50&lt;&gt;"",$H50&lt;&gt;$AP50,IFERROR(VLOOKUP($H50,areaCercaPuntiClassificaSquadra,3,FALSE),-1)=IFERROR(VLOOKUP($AP50,areaCercaPuntiClassificaSquadra,3,FALSE),-2)),SUMIFS(Dati!$E$2:$E$761,Dati!$A$2:$A$761,$H50,Dati!$H$2:$H$761,$AP50)+SUMIFS(Dati!$L$2:$L$761,Dati!$H$2:$H$761,$H50,Dati!$A$2:$A$761,$AP50),"-")</f>
        <v/>
      </c>
      <c r="DE50" s="22">
        <f>IF(AND($H50&lt;&gt;"",$AQ50&lt;&gt;"",$H50&lt;&gt;$AQ50,IFERROR(VLOOKUP($H50,areaCercaPuntiClassificaSquadra,3,FALSE),-1)=IFERROR(VLOOKUP($AQ50,areaCercaPuntiClassificaSquadra,3,FALSE),-2)),SUMIFS(Dati!$E$2:$E$761,Dati!$A$2:$A$761,$H50,Dati!$H$2:$H$761,$AQ50)+SUMIFS(Dati!$L$2:$L$761,Dati!$H$2:$H$761,$H50,Dati!$A$2:$A$761,$AQ50),"-")</f>
        <v/>
      </c>
      <c r="DF50" s="22">
        <f>IF(AND($H50&lt;&gt;"",$AR50&lt;&gt;"",$H50&lt;&gt;$AR50,IFERROR(VLOOKUP($H50,areaCercaPuntiClassificaSquadra,3,FALSE),-1)=IFERROR(VLOOKUP($AR50,areaCercaPuntiClassificaSquadra,3,FALSE),-2)),SUMIFS(Dati!$E$2:$E$761,Dati!$A$2:$A$761,$H50,Dati!$H$2:$H$761,$AR50)+SUMIFS(Dati!$L$2:$L$761,Dati!$H$2:$H$761,$H50,Dati!$A$2:$A$761,$AR50),"-")</f>
        <v/>
      </c>
      <c r="DH50" s="21">
        <f>$C50</f>
        <v/>
      </c>
      <c r="DI50" s="22">
        <f>IF(AND($H50&lt;&gt;"",$Y50&lt;&gt;"",$H50&lt;&gt;$Y50,IFERROR(VLOOKUP($H50,areaCercaPuntiClassificaSquadra,3,FALSE),-1)=IFERROR(VLOOKUP($Y50,areaCercaPuntiClassificaSquadra,3,FALSE),-2)),SUMIFS(Dati!$F$2:$F$761,Dati!$A$2:$A$761,$H50,Dati!$H$2:$H$761,$Y50)+SUMIFS(Dati!$M$2:$M$761,Dati!$H$2:$H$761,$H50,Dati!$A$2:$A$761,$Y50),"-")</f>
        <v/>
      </c>
      <c r="DJ50" s="22">
        <f>IF(AND($H50&lt;&gt;"",$Z50&lt;&gt;"",$H50&lt;&gt;$Z50,IFERROR(VLOOKUP($H50,areaCercaPuntiClassificaSquadra,3,FALSE),-1)=IFERROR(VLOOKUP($Z50,areaCercaPuntiClassificaSquadra,3,FALSE),-2)),SUMIFS(Dati!$F$2:$F$761,Dati!$A$2:$A$761,$H50,Dati!$H$2:$H$761,$Z50)+SUMIFS(Dati!$M$2:$M$761,Dati!$H$2:$H$761,$H50,Dati!$A$2:$A$761,$Z50),"-")</f>
        <v/>
      </c>
      <c r="DK50" s="22">
        <f>IF(AND($H50&lt;&gt;"",$AA50&lt;&gt;"",$H50&lt;&gt;$AA50,IFERROR(VLOOKUP($H50,areaCercaPuntiClassificaSquadra,3,FALSE),-1)=IFERROR(VLOOKUP($AA50,areaCercaPuntiClassificaSquadra,3,FALSE),-2)),SUMIFS(Dati!$F$2:$F$761,Dati!$A$2:$A$761,$H50,Dati!$H$2:$H$761,$AA50)+SUMIFS(Dati!$M$2:$M$761,Dati!$H$2:$H$761,$H50,Dati!$A$2:$A$761,$AA50),"-")</f>
        <v/>
      </c>
      <c r="DL50" s="22">
        <f>IF(AND($H50&lt;&gt;"",$AB50&lt;&gt;"",$H50&lt;&gt;$AB50,IFERROR(VLOOKUP($H50,areaCercaPuntiClassificaSquadra,3,FALSE),-1)=IFERROR(VLOOKUP($AB50,areaCercaPuntiClassificaSquadra,3,FALSE),-2)),SUMIFS(Dati!$F$2:$F$761,Dati!$A$2:$A$761,$H50,Dati!$H$2:$H$761,$AB50)+SUMIFS(Dati!$M$2:$M$761,Dati!$H$2:$H$761,$H50,Dati!$A$2:$A$761,$AB50),"-")</f>
        <v/>
      </c>
      <c r="DM50" s="22">
        <f>IF(AND($H50&lt;&gt;"",$AC50&lt;&gt;"",$H50&lt;&gt;$AC50,IFERROR(VLOOKUP($H50,areaCercaPuntiClassificaSquadra,3,FALSE),-1)=IFERROR(VLOOKUP($AC50,areaCercaPuntiClassificaSquadra,3,FALSE),-2)),SUMIFS(Dati!$F$2:$F$761,Dati!$A$2:$A$761,$H50,Dati!$H$2:$H$761,$AC50)+SUMIFS(Dati!$M$2:$M$761,Dati!$H$2:$H$761,$H50,Dati!$A$2:$A$761,$AC50),"-")</f>
        <v/>
      </c>
      <c r="DN50" s="22">
        <f>IF(AND($H50&lt;&gt;"",$AD50&lt;&gt;"",$H50&lt;&gt;$AD50,IFERROR(VLOOKUP($H50,areaCercaPuntiClassificaSquadra,3,FALSE),-1)=IFERROR(VLOOKUP($AD50,areaCercaPuntiClassificaSquadra,3,FALSE),-2)),SUMIFS(Dati!$F$2:$F$761,Dati!$A$2:$A$761,$H50,Dati!$H$2:$H$761,$AD50)+SUMIFS(Dati!$M$2:$M$761,Dati!$H$2:$H$761,$H50,Dati!$A$2:$A$761,$AD50),"-")</f>
        <v/>
      </c>
      <c r="DO50" s="22">
        <f>IF(AND($H50&lt;&gt;"",$AE50&lt;&gt;"",$H50&lt;&gt;$AE50,IFERROR(VLOOKUP($H50,areaCercaPuntiClassificaSquadra,3,FALSE),-1)=IFERROR(VLOOKUP($AE50,areaCercaPuntiClassificaSquadra,3,FALSE),-2)),SUMIFS(Dati!$F$2:$F$761,Dati!$A$2:$A$761,$H50,Dati!$H$2:$H$761,$AE50)+SUMIFS(Dati!$M$2:$M$761,Dati!$H$2:$H$761,$H50,Dati!$A$2:$A$761,$AE50),"-")</f>
        <v/>
      </c>
      <c r="DP50" s="22">
        <f>IF(AND($H50&lt;&gt;"",$AF50&lt;&gt;"",$H50&lt;&gt;$AF50,IFERROR(VLOOKUP($H50,areaCercaPuntiClassificaSquadra,3,FALSE),-1)=IFERROR(VLOOKUP($AF50,areaCercaPuntiClassificaSquadra,3,FALSE),-2)),SUMIFS(Dati!$F$2:$F$761,Dati!$A$2:$A$761,$H50,Dati!$H$2:$H$761,$AF50)+SUMIFS(Dati!$M$2:$M$761,Dati!$H$2:$H$761,$H50,Dati!$A$2:$A$761,$AF50),"-")</f>
        <v/>
      </c>
      <c r="DQ50" s="22">
        <f>IF(AND($H50&lt;&gt;"",$AG50&lt;&gt;"",$H50&lt;&gt;$AG50,IFERROR(VLOOKUP($H50,areaCercaPuntiClassificaSquadra,3,FALSE),-1)=IFERROR(VLOOKUP($AG50,areaCercaPuntiClassificaSquadra,3,FALSE),-2)),SUMIFS(Dati!$F$2:$F$761,Dati!$A$2:$A$761,$H50,Dati!$H$2:$H$761,$AG50)+SUMIFS(Dati!$M$2:$M$761,Dati!$H$2:$H$761,$H50,Dati!$A$2:$A$761,$AG50),"-")</f>
        <v/>
      </c>
      <c r="DR50" s="22">
        <f>IF(AND($H50&lt;&gt;"",$AH50&lt;&gt;"",$H50&lt;&gt;$AH50,IFERROR(VLOOKUP($H50,areaCercaPuntiClassificaSquadra,3,FALSE),-1)=IFERROR(VLOOKUP($AH50,areaCercaPuntiClassificaSquadra,3,FALSE),-2)),SUMIFS(Dati!$F$2:$F$761,Dati!$A$2:$A$761,$H50,Dati!$H$2:$H$761,$AH50)+SUMIFS(Dati!$M$2:$M$761,Dati!$H$2:$H$761,$H50,Dati!$A$2:$A$761,$AH50),"-")</f>
        <v/>
      </c>
      <c r="DS50" s="22">
        <f>IF(AND($H50&lt;&gt;"",$AI50&lt;&gt;"",$H50&lt;&gt;$AI50,IFERROR(VLOOKUP($H50,areaCercaPuntiClassificaSquadra,3,FALSE),-1)=IFERROR(VLOOKUP($AI50,areaCercaPuntiClassificaSquadra,3,FALSE),-2)),SUMIFS(Dati!$F$2:$F$761,Dati!$A$2:$A$761,$H50,Dati!$H$2:$H$761,$AI50)+SUMIFS(Dati!$M$2:$M$761,Dati!$H$2:$H$761,$H50,Dati!$A$2:$A$761,$AI50),"-")</f>
        <v/>
      </c>
      <c r="DT50" s="22">
        <f>IF(AND($H50&lt;&gt;"",$AJ50&lt;&gt;"",$H50&lt;&gt;$AJ50,IFERROR(VLOOKUP($H50,areaCercaPuntiClassificaSquadra,3,FALSE),-1)=IFERROR(VLOOKUP($AJ50,areaCercaPuntiClassificaSquadra,3,FALSE),-2)),SUMIFS(Dati!$F$2:$F$761,Dati!$A$2:$A$761,$H50,Dati!$H$2:$H$761,$AJ50)+SUMIFS(Dati!$M$2:$M$761,Dati!$H$2:$H$761,$H50,Dati!$A$2:$A$761,$AJ50),"-")</f>
        <v/>
      </c>
      <c r="DU50" s="22">
        <f>IF(AND($H50&lt;&gt;"",$AK50&lt;&gt;"",$H50&lt;&gt;$AK50,IFERROR(VLOOKUP($H50,areaCercaPuntiClassificaSquadra,3,FALSE),-1)=IFERROR(VLOOKUP($AK50,areaCercaPuntiClassificaSquadra,3,FALSE),-2)),SUMIFS(Dati!$F$2:$F$761,Dati!$A$2:$A$761,$H50,Dati!$H$2:$H$761,$AK50)+SUMIFS(Dati!$M$2:$M$761,Dati!$H$2:$H$761,$H50,Dati!$A$2:$A$761,$AK50),"-")</f>
        <v/>
      </c>
      <c r="DV50" s="22">
        <f>IF(AND($H50&lt;&gt;"",$AL50&lt;&gt;"",$H50&lt;&gt;$AL50,IFERROR(VLOOKUP($H50,areaCercaPuntiClassificaSquadra,3,FALSE),-1)=IFERROR(VLOOKUP($AL50,areaCercaPuntiClassificaSquadra,3,FALSE),-2)),SUMIFS(Dati!$F$2:$F$761,Dati!$A$2:$A$761,$H50,Dati!$H$2:$H$761,$AL50)+SUMIFS(Dati!$M$2:$M$761,Dati!$H$2:$H$761,$H50,Dati!$A$2:$A$761,$AL50),"-")</f>
        <v/>
      </c>
      <c r="DW50" s="22">
        <f>IF(AND($H50&lt;&gt;"",$AM50&lt;&gt;"",$H50&lt;&gt;$AM50,IFERROR(VLOOKUP($H50,areaCercaPuntiClassificaSquadra,3,FALSE),-1)=IFERROR(VLOOKUP($AM50,areaCercaPuntiClassificaSquadra,3,FALSE),-2)),SUMIFS(Dati!$F$2:$F$761,Dati!$A$2:$A$761,$H50,Dati!$H$2:$H$761,$AM50)+SUMIFS(Dati!$M$2:$M$761,Dati!$H$2:$H$761,$H50,Dati!$A$2:$A$761,$AM50),"-")</f>
        <v/>
      </c>
      <c r="DX50" s="22">
        <f>IF(AND($H50&lt;&gt;"",$AN50&lt;&gt;"",$H50&lt;&gt;$AN50,IFERROR(VLOOKUP($H50,areaCercaPuntiClassificaSquadra,3,FALSE),-1)=IFERROR(VLOOKUP($AN50,areaCercaPuntiClassificaSquadra,3,FALSE),-2)),SUMIFS(Dati!$F$2:$F$761,Dati!$A$2:$A$761,$H50,Dati!$H$2:$H$761,$AN50)+SUMIFS(Dati!$M$2:$M$761,Dati!$H$2:$H$761,$H50,Dati!$A$2:$A$761,$AN50),"-")</f>
        <v/>
      </c>
      <c r="DY50" s="22">
        <f>IF(AND($H50&lt;&gt;"",$AO50&lt;&gt;"",$H50&lt;&gt;$AO50,IFERROR(VLOOKUP($H50,areaCercaPuntiClassificaSquadra,3,FALSE),-1)=IFERROR(VLOOKUP($AO50,areaCercaPuntiClassificaSquadra,3,FALSE),-2)),SUMIFS(Dati!$F$2:$F$761,Dati!$A$2:$A$761,$H50,Dati!$H$2:$H$761,$AO50)+SUMIFS(Dati!$M$2:$M$761,Dati!$H$2:$H$761,$H50,Dati!$A$2:$A$761,$AO50),"-")</f>
        <v/>
      </c>
      <c r="DZ50" s="22">
        <f>IF(AND($H50&lt;&gt;"",$AP50&lt;&gt;"",$H50&lt;&gt;$AP50,IFERROR(VLOOKUP($H50,areaCercaPuntiClassificaSquadra,3,FALSE),-1)=IFERROR(VLOOKUP($AP50,areaCercaPuntiClassificaSquadra,3,FALSE),-2)),SUMIFS(Dati!$F$2:$F$761,Dati!$A$2:$A$761,$H50,Dati!$H$2:$H$761,$AP50)+SUMIFS(Dati!$M$2:$M$761,Dati!$H$2:$H$761,$H50,Dati!$A$2:$A$761,$AP50),"-")</f>
        <v/>
      </c>
      <c r="EA50" s="22">
        <f>IF(AND($H50&lt;&gt;"",$AQ50&lt;&gt;"",$H50&lt;&gt;$AQ50,IFERROR(VLOOKUP($H50,areaCercaPuntiClassificaSquadra,3,FALSE),-1)=IFERROR(VLOOKUP($AQ50,areaCercaPuntiClassificaSquadra,3,FALSE),-2)),SUMIFS(Dati!$F$2:$F$761,Dati!$A$2:$A$761,$H50,Dati!$H$2:$H$761,$AQ50)+SUMIFS(Dati!$M$2:$M$761,Dati!$H$2:$H$761,$H50,Dati!$A$2:$A$761,$AQ50),"-")</f>
        <v/>
      </c>
      <c r="EB50" s="22">
        <f>IF(AND($H50&lt;&gt;"",$AR50&lt;&gt;"",$H50&lt;&gt;$AR50,IFERROR(VLOOKUP($H50,areaCercaPuntiClassificaSquadra,3,FALSE),-1)=IFERROR(VLOOKUP($AR50,areaCercaPuntiClassificaSquadra,3,FALSE),-2)),SUMIFS(Dati!$F$2:$F$761,Dati!$A$2:$A$761,$H50,Dati!$H$2:$H$761,$AR50)+SUMIFS(Dati!$M$2:$M$761,Dati!$H$2:$H$761,$H50,Dati!$A$2:$A$761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inlineStr">
        <is>
          <t>Dromedari Docili-Dromedariopoli DI</t>
        </is>
      </c>
      <c r="D51" s="14" t="n"/>
      <c r="E51" s="23" t="inlineStr">
        <is>
          <t>B</t>
        </is>
      </c>
      <c r="G51" s="24">
        <f>IF($C51="","",$E51&amp;(COUNTIFS(I$14:I$93,"&gt;"&amp;I51,E$14:E$93,"="&amp;E51,C$14:C$93,"&lt;&gt;")+COUNTIFS(I$14:I$93,"="&amp;I51,H$14:H$93,"&lt;="&amp;H51,E$14:E$93,"="&amp;E51,C$14:C$93,"&lt;&gt;")))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L51*constPuntiVittoria+M51*constPuntiSconfitta+N51*constPuntiForfait+IF(D51="",0,D51)</f>
        <v/>
      </c>
      <c r="K51" s="12">
        <f>SUM(L51:N51)</f>
        <v/>
      </c>
      <c r="L51" s="12">
        <f>IF($H51="",0,SUMIF(Dati!$A$2:$A$761,$H51,Dati!$B$2:$B$761)+SUMIF(Dati!$H$2:$H$761,$H51,Dati!$I$2:$I$761))</f>
        <v/>
      </c>
      <c r="M51" s="12">
        <f>IF($H51="",0,SUMIF(Dati!$A$2:$A$761,$H51,Dati!$D$2:$D$761)+SUMIF(Dati!$H$2:$H$761,$H51,Dati!$K$2:$K$761))</f>
        <v/>
      </c>
      <c r="N51" s="12">
        <f>IF($H51="",0,SUMIF(Dati!$A$2:$A$761,$H51,Dati!$C$2:$C$761)+SUMIF(Dati!$H$2:$H$761,$H51,Dati!$J$2:$J$761))</f>
        <v/>
      </c>
      <c r="O51" s="12">
        <f>IF($H51="",0,SUMIF(Dati!$A$2:$A$761,$H51,Dati!$E$2:$E$761)+SUMIF(Dati!$H$2:$H$761,$H51,Dati!$L$2:$L$761))</f>
        <v/>
      </c>
      <c r="P51" s="12">
        <f>IF($H51="",0,SUMIF(Dati!$A$2:$A$761,$H51,Dati!$F$2:$F$761)+SUMIF(Dati!$H$2:$H$761,$H51,Dati!$M$2:$M$761))</f>
        <v/>
      </c>
      <c r="Q51" s="12">
        <f>IF($H51="",0,SUMIF(Dati!$A$2:$A$761,$H51,Dati!$G$2:$G$761)+SUMIF(Dati!$H$2:$H$761,$H51,Dati!$N$2:$N$761))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IF(COUNTIFS($E$14:$E$93,$E51,$J$14:$J$93,$J51,$C$14:$C$93,"&lt;&gt;")&lt;=1,"-",SUM(AU51:BN51)&amp;"-"&amp;SUM(BQ51:CJ51))</f>
        <v/>
      </c>
      <c r="V51" s="18">
        <f>IF(COUNTIFS($E$14:$E$93,$E51,$J$14:$J$93,$J51,$C$14:$C$93,"&lt;&gt;",$ED$14:$ED$93,$ED51)&lt;=1,"-",IF(SUM(DI51:EB51)=0,0,ROUND(SUM(CM51:DF51)/SUM(DI51:EB51),3)))</f>
        <v/>
      </c>
      <c r="W51" s="18">
        <f>IF(COUNTIFS($E$14:$E$93,$E51,$J$14:$J$93,$J51,$C$14:$C$93,"&lt;&gt;",$ED$14:$ED$93,$ED51,$V$14:$V$93,$V51)&lt;=1,"-",IF(P51=0,0,ROUND(O51/P51,3)))</f>
        <v/>
      </c>
      <c r="X51" s="19">
        <f>IF($C51="","",$E51&amp;"#"&amp;COUNTIFS($E$14:$E51,$E51,$C$14:$C51,"&lt;&gt;"))</f>
        <v/>
      </c>
      <c r="Y51" s="20">
        <f>IFERROR(INDEX($H$14:$H$93,MATCH($E51&amp;"#1",$X$14:$X$93,0)),"")</f>
        <v/>
      </c>
      <c r="Z51" s="20">
        <f>IFERROR(INDEX($H$14:$H$93,MATCH($E51&amp;"#2",$X$14:$X$93,0)),"")</f>
        <v/>
      </c>
      <c r="AA51" s="20">
        <f>IFERROR(INDEX($H$14:$H$93,MATCH($E51&amp;"#3",$X$14:$X$93,0)),"")</f>
        <v/>
      </c>
      <c r="AB51" s="20">
        <f>IFERROR(INDEX($H$14:$H$93,MATCH($E51&amp;"#4",$X$14:$X$93,0)),"")</f>
        <v/>
      </c>
      <c r="AC51" s="20">
        <f>IFERROR(INDEX($H$14:$H$93,MATCH($E51&amp;"#5",$X$14:$X$93,0)),"")</f>
        <v/>
      </c>
      <c r="AD51" s="20">
        <f>IFERROR(INDEX($H$14:$H$93,MATCH($E51&amp;"#6",$X$14:$X$93,0)),"")</f>
        <v/>
      </c>
      <c r="AE51" s="20">
        <f>IFERROR(INDEX($H$14:$H$93,MATCH($E51&amp;"#7",$X$14:$X$93,0)),"")</f>
        <v/>
      </c>
      <c r="AF51" s="20">
        <f>IFERROR(INDEX($H$14:$H$93,MATCH($E51&amp;"#8",$X$14:$X$93,0)),"")</f>
        <v/>
      </c>
      <c r="AG51" s="20">
        <f>IFERROR(INDEX($H$14:$H$93,MATCH($E51&amp;"#9",$X$14:$X$93,0)),"")</f>
        <v/>
      </c>
      <c r="AH51" s="20">
        <f>IFERROR(INDEX($H$14:$H$93,MATCH($E51&amp;"#10",$X$14:$X$93,0)),"")</f>
        <v/>
      </c>
      <c r="AI51" s="20">
        <f>IFERROR(INDEX($H$14:$H$93,MATCH($E51&amp;"#11",$X$14:$X$93,0)),"")</f>
        <v/>
      </c>
      <c r="AJ51" s="20">
        <f>IFERROR(INDEX($H$14:$H$93,MATCH($E51&amp;"#12",$X$14:$X$93,0)),"")</f>
        <v/>
      </c>
      <c r="AK51" s="20">
        <f>IFERROR(INDEX($H$14:$H$93,MATCH($E51&amp;"#13",$X$14:$X$93,0)),"")</f>
        <v/>
      </c>
      <c r="AL51" s="20">
        <f>IFERROR(INDEX($H$14:$H$93,MATCH($E51&amp;"#14",$X$14:$X$93,0)),"")</f>
        <v/>
      </c>
      <c r="AM51" s="20">
        <f>IFERROR(INDEX($H$14:$H$93,MATCH($E51&amp;"#15",$X$14:$X$93,0)),"")</f>
        <v/>
      </c>
      <c r="AN51" s="20">
        <f>IFERROR(INDEX($H$14:$H$93,MATCH($E51&amp;"#16",$X$14:$X$93,0)),"")</f>
        <v/>
      </c>
      <c r="AO51" s="20">
        <f>IFERROR(INDEX($H$14:$H$93,MATCH($E51&amp;"#17",$X$14:$X$93,0)),"")</f>
        <v/>
      </c>
      <c r="AP51" s="20">
        <f>IFERROR(INDEX($H$14:$H$93,MATCH($E51&amp;"#18",$X$14:$X$93,0)),"")</f>
        <v/>
      </c>
      <c r="AQ51" s="20">
        <f>IFERROR(INDEX($H$14:$H$93,MATCH($E51&amp;"#19",$X$14:$X$93,0)),"")</f>
        <v/>
      </c>
      <c r="AR51" s="20">
        <f>IFERROR(INDEX($H$14:$H$93,MATCH($E51&amp;"#20",$X$14:$X$93,0)),"")</f>
        <v/>
      </c>
      <c r="AT51" s="21">
        <f>$C51</f>
        <v/>
      </c>
      <c r="AU51" s="22">
        <f>IF(AND($H51&lt;&gt;"",$Y51&lt;&gt;"",$H51&lt;&gt;$Y51,IFERROR(VLOOKUP($H51,areaCercaPuntiClassificaSquadra,3,FALSE),-1)=IFERROR(VLOOKUP($Y51,areaCercaPuntiClassificaSquadra,3,FALSE),-2)),SUMIFS(Dati!$B$2:$B$761,Dati!$A$2:$A$761,$H51,Dati!$H$2:$H$761,$Y51)+SUMIFS(Dati!$I$2:$I$761,Dati!$H$2:$H$761,$H51,Dati!$A$2:$A$761,$Y51),"-")</f>
        <v/>
      </c>
      <c r="AV51" s="22">
        <f>IF(AND($H51&lt;&gt;"",$Z51&lt;&gt;"",$H51&lt;&gt;$Z51,IFERROR(VLOOKUP($H51,areaCercaPuntiClassificaSquadra,3,FALSE),-1)=IFERROR(VLOOKUP($Z51,areaCercaPuntiClassificaSquadra,3,FALSE),-2)),SUMIFS(Dati!$B$2:$B$761,Dati!$A$2:$A$761,$H51,Dati!$H$2:$H$761,$Z51)+SUMIFS(Dati!$I$2:$I$761,Dati!$H$2:$H$761,$H51,Dati!$A$2:$A$761,$Z51),"-")</f>
        <v/>
      </c>
      <c r="AW51" s="22">
        <f>IF(AND($H51&lt;&gt;"",$AA51&lt;&gt;"",$H51&lt;&gt;$AA51,IFERROR(VLOOKUP($H51,areaCercaPuntiClassificaSquadra,3,FALSE),-1)=IFERROR(VLOOKUP($AA51,areaCercaPuntiClassificaSquadra,3,FALSE),-2)),SUMIFS(Dati!$B$2:$B$761,Dati!$A$2:$A$761,$H51,Dati!$H$2:$H$761,$AA51)+SUMIFS(Dati!$I$2:$I$761,Dati!$H$2:$H$761,$H51,Dati!$A$2:$A$761,$AA51),"-")</f>
        <v/>
      </c>
      <c r="AX51" s="22">
        <f>IF(AND($H51&lt;&gt;"",$AB51&lt;&gt;"",$H51&lt;&gt;$AB51,IFERROR(VLOOKUP($H51,areaCercaPuntiClassificaSquadra,3,FALSE),-1)=IFERROR(VLOOKUP($AB51,areaCercaPuntiClassificaSquadra,3,FALSE),-2)),SUMIFS(Dati!$B$2:$B$761,Dati!$A$2:$A$761,$H51,Dati!$H$2:$H$761,$AB51)+SUMIFS(Dati!$I$2:$I$761,Dati!$H$2:$H$761,$H51,Dati!$A$2:$A$761,$AB51),"-")</f>
        <v/>
      </c>
      <c r="AY51" s="22">
        <f>IF(AND($H51&lt;&gt;"",$AC51&lt;&gt;"",$H51&lt;&gt;$AC51,IFERROR(VLOOKUP($H51,areaCercaPuntiClassificaSquadra,3,FALSE),-1)=IFERROR(VLOOKUP($AC51,areaCercaPuntiClassificaSquadra,3,FALSE),-2)),SUMIFS(Dati!$B$2:$B$761,Dati!$A$2:$A$761,$H51,Dati!$H$2:$H$761,$AC51)+SUMIFS(Dati!$I$2:$I$761,Dati!$H$2:$H$761,$H51,Dati!$A$2:$A$761,$AC51),"-")</f>
        <v/>
      </c>
      <c r="AZ51" s="22">
        <f>IF(AND($H51&lt;&gt;"",$AD51&lt;&gt;"",$H51&lt;&gt;$AD51,IFERROR(VLOOKUP($H51,areaCercaPuntiClassificaSquadra,3,FALSE),-1)=IFERROR(VLOOKUP($AD51,areaCercaPuntiClassificaSquadra,3,FALSE),-2)),SUMIFS(Dati!$B$2:$B$761,Dati!$A$2:$A$761,$H51,Dati!$H$2:$H$761,$AD51)+SUMIFS(Dati!$I$2:$I$761,Dati!$H$2:$H$761,$H51,Dati!$A$2:$A$761,$AD51),"-")</f>
        <v/>
      </c>
      <c r="BA51" s="22">
        <f>IF(AND($H51&lt;&gt;"",$AE51&lt;&gt;"",$H51&lt;&gt;$AE51,IFERROR(VLOOKUP($H51,areaCercaPuntiClassificaSquadra,3,FALSE),-1)=IFERROR(VLOOKUP($AE51,areaCercaPuntiClassificaSquadra,3,FALSE),-2)),SUMIFS(Dati!$B$2:$B$761,Dati!$A$2:$A$761,$H51,Dati!$H$2:$H$761,$AE51)+SUMIFS(Dati!$I$2:$I$761,Dati!$H$2:$H$761,$H51,Dati!$A$2:$A$761,$AE51),"-")</f>
        <v/>
      </c>
      <c r="BB51" s="22">
        <f>IF(AND($H51&lt;&gt;"",$AF51&lt;&gt;"",$H51&lt;&gt;$AF51,IFERROR(VLOOKUP($H51,areaCercaPuntiClassificaSquadra,3,FALSE),-1)=IFERROR(VLOOKUP($AF51,areaCercaPuntiClassificaSquadra,3,FALSE),-2)),SUMIFS(Dati!$B$2:$B$761,Dati!$A$2:$A$761,$H51,Dati!$H$2:$H$761,$AF51)+SUMIFS(Dati!$I$2:$I$761,Dati!$H$2:$H$761,$H51,Dati!$A$2:$A$761,$AF51),"-")</f>
        <v/>
      </c>
      <c r="BC51" s="22">
        <f>IF(AND($H51&lt;&gt;"",$AG51&lt;&gt;"",$H51&lt;&gt;$AG51,IFERROR(VLOOKUP($H51,areaCercaPuntiClassificaSquadra,3,FALSE),-1)=IFERROR(VLOOKUP($AG51,areaCercaPuntiClassificaSquadra,3,FALSE),-2)),SUMIFS(Dati!$B$2:$B$761,Dati!$A$2:$A$761,$H51,Dati!$H$2:$H$761,$AG51)+SUMIFS(Dati!$I$2:$I$761,Dati!$H$2:$H$761,$H51,Dati!$A$2:$A$761,$AG51),"-")</f>
        <v/>
      </c>
      <c r="BD51" s="22">
        <f>IF(AND($H51&lt;&gt;"",$AH51&lt;&gt;"",$H51&lt;&gt;$AH51,IFERROR(VLOOKUP($H51,areaCercaPuntiClassificaSquadra,3,FALSE),-1)=IFERROR(VLOOKUP($AH51,areaCercaPuntiClassificaSquadra,3,FALSE),-2)),SUMIFS(Dati!$B$2:$B$761,Dati!$A$2:$A$761,$H51,Dati!$H$2:$H$761,$AH51)+SUMIFS(Dati!$I$2:$I$761,Dati!$H$2:$H$761,$H51,Dati!$A$2:$A$761,$AH51),"-")</f>
        <v/>
      </c>
      <c r="BE51" s="22">
        <f>IF(AND($H51&lt;&gt;"",$AI51&lt;&gt;"",$H51&lt;&gt;$AI51,IFERROR(VLOOKUP($H51,areaCercaPuntiClassificaSquadra,3,FALSE),-1)=IFERROR(VLOOKUP($AI51,areaCercaPuntiClassificaSquadra,3,FALSE),-2)),SUMIFS(Dati!$B$2:$B$761,Dati!$A$2:$A$761,$H51,Dati!$H$2:$H$761,$AI51)+SUMIFS(Dati!$I$2:$I$761,Dati!$H$2:$H$761,$H51,Dati!$A$2:$A$761,$AI51),"-")</f>
        <v/>
      </c>
      <c r="BF51" s="22">
        <f>IF(AND($H51&lt;&gt;"",$AJ51&lt;&gt;"",$H51&lt;&gt;$AJ51,IFERROR(VLOOKUP($H51,areaCercaPuntiClassificaSquadra,3,FALSE),-1)=IFERROR(VLOOKUP($AJ51,areaCercaPuntiClassificaSquadra,3,FALSE),-2)),SUMIFS(Dati!$B$2:$B$761,Dati!$A$2:$A$761,$H51,Dati!$H$2:$H$761,$AJ51)+SUMIFS(Dati!$I$2:$I$761,Dati!$H$2:$H$761,$H51,Dati!$A$2:$A$761,$AJ51),"-")</f>
        <v/>
      </c>
      <c r="BG51" s="22">
        <f>IF(AND($H51&lt;&gt;"",$AK51&lt;&gt;"",$H51&lt;&gt;$AK51,IFERROR(VLOOKUP($H51,areaCercaPuntiClassificaSquadra,3,FALSE),-1)=IFERROR(VLOOKUP($AK51,areaCercaPuntiClassificaSquadra,3,FALSE),-2)),SUMIFS(Dati!$B$2:$B$761,Dati!$A$2:$A$761,$H51,Dati!$H$2:$H$761,$AK51)+SUMIFS(Dati!$I$2:$I$761,Dati!$H$2:$H$761,$H51,Dati!$A$2:$A$761,$AK51),"-")</f>
        <v/>
      </c>
      <c r="BH51" s="22">
        <f>IF(AND($H51&lt;&gt;"",$AL51&lt;&gt;"",$H51&lt;&gt;$AL51,IFERROR(VLOOKUP($H51,areaCercaPuntiClassificaSquadra,3,FALSE),-1)=IFERROR(VLOOKUP($AL51,areaCercaPuntiClassificaSquadra,3,FALSE),-2)),SUMIFS(Dati!$B$2:$B$761,Dati!$A$2:$A$761,$H51,Dati!$H$2:$H$761,$AL51)+SUMIFS(Dati!$I$2:$I$761,Dati!$H$2:$H$761,$H51,Dati!$A$2:$A$761,$AL51),"-")</f>
        <v/>
      </c>
      <c r="BI51" s="22">
        <f>IF(AND($H51&lt;&gt;"",$AM51&lt;&gt;"",$H51&lt;&gt;$AM51,IFERROR(VLOOKUP($H51,areaCercaPuntiClassificaSquadra,3,FALSE),-1)=IFERROR(VLOOKUP($AM51,areaCercaPuntiClassificaSquadra,3,FALSE),-2)),SUMIFS(Dati!$B$2:$B$761,Dati!$A$2:$A$761,$H51,Dati!$H$2:$H$761,$AM51)+SUMIFS(Dati!$I$2:$I$761,Dati!$H$2:$H$761,$H51,Dati!$A$2:$A$761,$AM51),"-")</f>
        <v/>
      </c>
      <c r="BJ51" s="22">
        <f>IF(AND($H51&lt;&gt;"",$AN51&lt;&gt;"",$H51&lt;&gt;$AN51,IFERROR(VLOOKUP($H51,areaCercaPuntiClassificaSquadra,3,FALSE),-1)=IFERROR(VLOOKUP($AN51,areaCercaPuntiClassificaSquadra,3,FALSE),-2)),SUMIFS(Dati!$B$2:$B$761,Dati!$A$2:$A$761,$H51,Dati!$H$2:$H$761,$AN51)+SUMIFS(Dati!$I$2:$I$761,Dati!$H$2:$H$761,$H51,Dati!$A$2:$A$761,$AN51),"-")</f>
        <v/>
      </c>
      <c r="BK51" s="22">
        <f>IF(AND($H51&lt;&gt;"",$AO51&lt;&gt;"",$H51&lt;&gt;$AO51,IFERROR(VLOOKUP($H51,areaCercaPuntiClassificaSquadra,3,FALSE),-1)=IFERROR(VLOOKUP($AO51,areaCercaPuntiClassificaSquadra,3,FALSE),-2)),SUMIFS(Dati!$B$2:$B$761,Dati!$A$2:$A$761,$H51,Dati!$H$2:$H$761,$AO51)+SUMIFS(Dati!$I$2:$I$761,Dati!$H$2:$H$761,$H51,Dati!$A$2:$A$761,$AO51),"-")</f>
        <v/>
      </c>
      <c r="BL51" s="22">
        <f>IF(AND($H51&lt;&gt;"",$AP51&lt;&gt;"",$H51&lt;&gt;$AP51,IFERROR(VLOOKUP($H51,areaCercaPuntiClassificaSquadra,3,FALSE),-1)=IFERROR(VLOOKUP($AP51,areaCercaPuntiClassificaSquadra,3,FALSE),-2)),SUMIFS(Dati!$B$2:$B$761,Dati!$A$2:$A$761,$H51,Dati!$H$2:$H$761,$AP51)+SUMIFS(Dati!$I$2:$I$761,Dati!$H$2:$H$761,$H51,Dati!$A$2:$A$761,$AP51),"-")</f>
        <v/>
      </c>
      <c r="BM51" s="22">
        <f>IF(AND($H51&lt;&gt;"",$AQ51&lt;&gt;"",$H51&lt;&gt;$AQ51,IFERROR(VLOOKUP($H51,areaCercaPuntiClassificaSquadra,3,FALSE),-1)=IFERROR(VLOOKUP($AQ51,areaCercaPuntiClassificaSquadra,3,FALSE),-2)),SUMIFS(Dati!$B$2:$B$761,Dati!$A$2:$A$761,$H51,Dati!$H$2:$H$761,$AQ51)+SUMIFS(Dati!$I$2:$I$761,Dati!$H$2:$H$761,$H51,Dati!$A$2:$A$761,$AQ51),"-")</f>
        <v/>
      </c>
      <c r="BN51" s="22">
        <f>IF(AND($H51&lt;&gt;"",$AR51&lt;&gt;"",$H51&lt;&gt;$AR51,IFERROR(VLOOKUP($H51,areaCercaPuntiClassificaSquadra,3,FALSE),-1)=IFERROR(VLOOKUP($AR51,areaCercaPuntiClassificaSquadra,3,FALSE),-2)),SUMIFS(Dati!$B$2:$B$761,Dati!$A$2:$A$761,$H51,Dati!$H$2:$H$761,$AR51)+SUMIFS(Dati!$I$2:$I$761,Dati!$H$2:$H$761,$H51,Dati!$A$2:$A$761,$AR51),"-")</f>
        <v/>
      </c>
      <c r="BP51" s="21">
        <f>$C51</f>
        <v/>
      </c>
      <c r="BQ51" s="22">
        <f>IF(AND($H51&lt;&gt;"",$Y51&lt;&gt;"",$H51&lt;&gt;$Y51,IFERROR(VLOOKUP($H51,areaCercaPuntiClassificaSquadra,3,FALSE),-1)=IFERROR(VLOOKUP($Y51,areaCercaPuntiClassificaSquadra,3,FALSE),-2)),SUMIFS(Dati!$D$2:$D$761,Dati!$A$2:$A$761,$H51,Dati!$H$2:$H$761,$Y51)+SUMIFS(Dati!$K$2:$K$761,Dati!$H$2:$H$761,$H51,Dati!$A$2:$A$761,$Y51)+SUMIFS(Dati!$C$2:$C$761,Dati!$A$2:$A$761,$H51,Dati!$H$2:$H$761,$Y51)+SUMIFS(Dati!$J$2:$J$761,Dati!$H$2:$H$761,$H51,Dati!$A$2:$A$761,$Y51),"-")</f>
        <v/>
      </c>
      <c r="BR51" s="22">
        <f>IF(AND($H51&lt;&gt;"",$Z51&lt;&gt;"",$H51&lt;&gt;$Z51,IFERROR(VLOOKUP($H51,areaCercaPuntiClassificaSquadra,3,FALSE),-1)=IFERROR(VLOOKUP($Z51,areaCercaPuntiClassificaSquadra,3,FALSE),-2)),SUMIFS(Dati!$D$2:$D$761,Dati!$A$2:$A$761,$H51,Dati!$H$2:$H$761,$Z51)+SUMIFS(Dati!$K$2:$K$761,Dati!$H$2:$H$761,$H51,Dati!$A$2:$A$761,$Z51)+SUMIFS(Dati!$C$2:$C$761,Dati!$A$2:$A$761,$H51,Dati!$H$2:$H$761,$Z51)+SUMIFS(Dati!$J$2:$J$761,Dati!$H$2:$H$761,$H51,Dati!$A$2:$A$761,$Z51),"-")</f>
        <v/>
      </c>
      <c r="BS51" s="22">
        <f>IF(AND($H51&lt;&gt;"",$AA51&lt;&gt;"",$H51&lt;&gt;$AA51,IFERROR(VLOOKUP($H51,areaCercaPuntiClassificaSquadra,3,FALSE),-1)=IFERROR(VLOOKUP($AA51,areaCercaPuntiClassificaSquadra,3,FALSE),-2)),SUMIFS(Dati!$D$2:$D$761,Dati!$A$2:$A$761,$H51,Dati!$H$2:$H$761,$AA51)+SUMIFS(Dati!$K$2:$K$761,Dati!$H$2:$H$761,$H51,Dati!$A$2:$A$761,$AA51)+SUMIFS(Dati!$C$2:$C$761,Dati!$A$2:$A$761,$H51,Dati!$H$2:$H$761,$AA51)+SUMIFS(Dati!$J$2:$J$761,Dati!$H$2:$H$761,$H51,Dati!$A$2:$A$761,$AA51),"-")</f>
        <v/>
      </c>
      <c r="BT51" s="22">
        <f>IF(AND($H51&lt;&gt;"",$AB51&lt;&gt;"",$H51&lt;&gt;$AB51,IFERROR(VLOOKUP($H51,areaCercaPuntiClassificaSquadra,3,FALSE),-1)=IFERROR(VLOOKUP($AB51,areaCercaPuntiClassificaSquadra,3,FALSE),-2)),SUMIFS(Dati!$D$2:$D$761,Dati!$A$2:$A$761,$H51,Dati!$H$2:$H$761,$AB51)+SUMIFS(Dati!$K$2:$K$761,Dati!$H$2:$H$761,$H51,Dati!$A$2:$A$761,$AB51)+SUMIFS(Dati!$C$2:$C$761,Dati!$A$2:$A$761,$H51,Dati!$H$2:$H$761,$AB51)+SUMIFS(Dati!$J$2:$J$761,Dati!$H$2:$H$761,$H51,Dati!$A$2:$A$761,$AB51),"-")</f>
        <v/>
      </c>
      <c r="BU51" s="22">
        <f>IF(AND($H51&lt;&gt;"",$AC51&lt;&gt;"",$H51&lt;&gt;$AC51,IFERROR(VLOOKUP($H51,areaCercaPuntiClassificaSquadra,3,FALSE),-1)=IFERROR(VLOOKUP($AC51,areaCercaPuntiClassificaSquadra,3,FALSE),-2)),SUMIFS(Dati!$D$2:$D$761,Dati!$A$2:$A$761,$H51,Dati!$H$2:$H$761,$AC51)+SUMIFS(Dati!$K$2:$K$761,Dati!$H$2:$H$761,$H51,Dati!$A$2:$A$761,$AC51)+SUMIFS(Dati!$C$2:$C$761,Dati!$A$2:$A$761,$H51,Dati!$H$2:$H$761,$AC51)+SUMIFS(Dati!$J$2:$J$761,Dati!$H$2:$H$761,$H51,Dati!$A$2:$A$761,$AC51),"-")</f>
        <v/>
      </c>
      <c r="BV51" s="22">
        <f>IF(AND($H51&lt;&gt;"",$AD51&lt;&gt;"",$H51&lt;&gt;$AD51,IFERROR(VLOOKUP($H51,areaCercaPuntiClassificaSquadra,3,FALSE),-1)=IFERROR(VLOOKUP($AD51,areaCercaPuntiClassificaSquadra,3,FALSE),-2)),SUMIFS(Dati!$D$2:$D$761,Dati!$A$2:$A$761,$H51,Dati!$H$2:$H$761,$AD51)+SUMIFS(Dati!$K$2:$K$761,Dati!$H$2:$H$761,$H51,Dati!$A$2:$A$761,$AD51)+SUMIFS(Dati!$C$2:$C$761,Dati!$A$2:$A$761,$H51,Dati!$H$2:$H$761,$AD51)+SUMIFS(Dati!$J$2:$J$761,Dati!$H$2:$H$761,$H51,Dati!$A$2:$A$761,$AD51),"-")</f>
        <v/>
      </c>
      <c r="BW51" s="22">
        <f>IF(AND($H51&lt;&gt;"",$AE51&lt;&gt;"",$H51&lt;&gt;$AE51,IFERROR(VLOOKUP($H51,areaCercaPuntiClassificaSquadra,3,FALSE),-1)=IFERROR(VLOOKUP($AE51,areaCercaPuntiClassificaSquadra,3,FALSE),-2)),SUMIFS(Dati!$D$2:$D$761,Dati!$A$2:$A$761,$H51,Dati!$H$2:$H$761,$AE51)+SUMIFS(Dati!$K$2:$K$761,Dati!$H$2:$H$761,$H51,Dati!$A$2:$A$761,$AE51)+SUMIFS(Dati!$C$2:$C$761,Dati!$A$2:$A$761,$H51,Dati!$H$2:$H$761,$AE51)+SUMIFS(Dati!$J$2:$J$761,Dati!$H$2:$H$761,$H51,Dati!$A$2:$A$761,$AE51),"-")</f>
        <v/>
      </c>
      <c r="BX51" s="22">
        <f>IF(AND($H51&lt;&gt;"",$AF51&lt;&gt;"",$H51&lt;&gt;$AF51,IFERROR(VLOOKUP($H51,areaCercaPuntiClassificaSquadra,3,FALSE),-1)=IFERROR(VLOOKUP($AF51,areaCercaPuntiClassificaSquadra,3,FALSE),-2)),SUMIFS(Dati!$D$2:$D$761,Dati!$A$2:$A$761,$H51,Dati!$H$2:$H$761,$AF51)+SUMIFS(Dati!$K$2:$K$761,Dati!$H$2:$H$761,$H51,Dati!$A$2:$A$761,$AF51)+SUMIFS(Dati!$C$2:$C$761,Dati!$A$2:$A$761,$H51,Dati!$H$2:$H$761,$AF51)+SUMIFS(Dati!$J$2:$J$761,Dati!$H$2:$H$761,$H51,Dati!$A$2:$A$761,$AF51),"-")</f>
        <v/>
      </c>
      <c r="BY51" s="22">
        <f>IF(AND($H51&lt;&gt;"",$AG51&lt;&gt;"",$H51&lt;&gt;$AG51,IFERROR(VLOOKUP($H51,areaCercaPuntiClassificaSquadra,3,FALSE),-1)=IFERROR(VLOOKUP($AG51,areaCercaPuntiClassificaSquadra,3,FALSE),-2)),SUMIFS(Dati!$D$2:$D$761,Dati!$A$2:$A$761,$H51,Dati!$H$2:$H$761,$AG51)+SUMIFS(Dati!$K$2:$K$761,Dati!$H$2:$H$761,$H51,Dati!$A$2:$A$761,$AG51)+SUMIFS(Dati!$C$2:$C$761,Dati!$A$2:$A$761,$H51,Dati!$H$2:$H$761,$AG51)+SUMIFS(Dati!$J$2:$J$761,Dati!$H$2:$H$761,$H51,Dati!$A$2:$A$761,$AG51),"-")</f>
        <v/>
      </c>
      <c r="BZ51" s="22">
        <f>IF(AND($H51&lt;&gt;"",$AH51&lt;&gt;"",$H51&lt;&gt;$AH51,IFERROR(VLOOKUP($H51,areaCercaPuntiClassificaSquadra,3,FALSE),-1)=IFERROR(VLOOKUP($AH51,areaCercaPuntiClassificaSquadra,3,FALSE),-2)),SUMIFS(Dati!$D$2:$D$761,Dati!$A$2:$A$761,$H51,Dati!$H$2:$H$761,$AH51)+SUMIFS(Dati!$K$2:$K$761,Dati!$H$2:$H$761,$H51,Dati!$A$2:$A$761,$AH51)+SUMIFS(Dati!$C$2:$C$761,Dati!$A$2:$A$761,$H51,Dati!$H$2:$H$761,$AH51)+SUMIFS(Dati!$J$2:$J$761,Dati!$H$2:$H$761,$H51,Dati!$A$2:$A$761,$AH51),"-")</f>
        <v/>
      </c>
      <c r="CA51" s="22">
        <f>IF(AND($H51&lt;&gt;"",$AI51&lt;&gt;"",$H51&lt;&gt;$AI51,IFERROR(VLOOKUP($H51,areaCercaPuntiClassificaSquadra,3,FALSE),-1)=IFERROR(VLOOKUP($AI51,areaCercaPuntiClassificaSquadra,3,FALSE),-2)),SUMIFS(Dati!$D$2:$D$761,Dati!$A$2:$A$761,$H51,Dati!$H$2:$H$761,$AI51)+SUMIFS(Dati!$K$2:$K$761,Dati!$H$2:$H$761,$H51,Dati!$A$2:$A$761,$AI51)+SUMIFS(Dati!$C$2:$C$761,Dati!$A$2:$A$761,$H51,Dati!$H$2:$H$761,$AI51)+SUMIFS(Dati!$J$2:$J$761,Dati!$H$2:$H$761,$H51,Dati!$A$2:$A$761,$AI51),"-")</f>
        <v/>
      </c>
      <c r="CB51" s="22">
        <f>IF(AND($H51&lt;&gt;"",$AJ51&lt;&gt;"",$H51&lt;&gt;$AJ51,IFERROR(VLOOKUP($H51,areaCercaPuntiClassificaSquadra,3,FALSE),-1)=IFERROR(VLOOKUP($AJ51,areaCercaPuntiClassificaSquadra,3,FALSE),-2)),SUMIFS(Dati!$D$2:$D$761,Dati!$A$2:$A$761,$H51,Dati!$H$2:$H$761,$AJ51)+SUMIFS(Dati!$K$2:$K$761,Dati!$H$2:$H$761,$H51,Dati!$A$2:$A$761,$AJ51)+SUMIFS(Dati!$C$2:$C$761,Dati!$A$2:$A$761,$H51,Dati!$H$2:$H$761,$AJ51)+SUMIFS(Dati!$J$2:$J$761,Dati!$H$2:$H$761,$H51,Dati!$A$2:$A$761,$AJ51),"-")</f>
        <v/>
      </c>
      <c r="CC51" s="22">
        <f>IF(AND($H51&lt;&gt;"",$AK51&lt;&gt;"",$H51&lt;&gt;$AK51,IFERROR(VLOOKUP($H51,areaCercaPuntiClassificaSquadra,3,FALSE),-1)=IFERROR(VLOOKUP($AK51,areaCercaPuntiClassificaSquadra,3,FALSE),-2)),SUMIFS(Dati!$D$2:$D$761,Dati!$A$2:$A$761,$H51,Dati!$H$2:$H$761,$AK51)+SUMIFS(Dati!$K$2:$K$761,Dati!$H$2:$H$761,$H51,Dati!$A$2:$A$761,$AK51)+SUMIFS(Dati!$C$2:$C$761,Dati!$A$2:$A$761,$H51,Dati!$H$2:$H$761,$AK51)+SUMIFS(Dati!$J$2:$J$761,Dati!$H$2:$H$761,$H51,Dati!$A$2:$A$761,$AK51),"-")</f>
        <v/>
      </c>
      <c r="CD51" s="22">
        <f>IF(AND($H51&lt;&gt;"",$AL51&lt;&gt;"",$H51&lt;&gt;$AL51,IFERROR(VLOOKUP($H51,areaCercaPuntiClassificaSquadra,3,FALSE),-1)=IFERROR(VLOOKUP($AL51,areaCercaPuntiClassificaSquadra,3,FALSE),-2)),SUMIFS(Dati!$D$2:$D$761,Dati!$A$2:$A$761,$H51,Dati!$H$2:$H$761,$AL51)+SUMIFS(Dati!$K$2:$K$761,Dati!$H$2:$H$761,$H51,Dati!$A$2:$A$761,$AL51)+SUMIFS(Dati!$C$2:$C$761,Dati!$A$2:$A$761,$H51,Dati!$H$2:$H$761,$AL51)+SUMIFS(Dati!$J$2:$J$761,Dati!$H$2:$H$761,$H51,Dati!$A$2:$A$761,$AL51),"-")</f>
        <v/>
      </c>
      <c r="CE51" s="22">
        <f>IF(AND($H51&lt;&gt;"",$AM51&lt;&gt;"",$H51&lt;&gt;$AM51,IFERROR(VLOOKUP($H51,areaCercaPuntiClassificaSquadra,3,FALSE),-1)=IFERROR(VLOOKUP($AM51,areaCercaPuntiClassificaSquadra,3,FALSE),-2)),SUMIFS(Dati!$D$2:$D$761,Dati!$A$2:$A$761,$H51,Dati!$H$2:$H$761,$AM51)+SUMIFS(Dati!$K$2:$K$761,Dati!$H$2:$H$761,$H51,Dati!$A$2:$A$761,$AM51)+SUMIFS(Dati!$C$2:$C$761,Dati!$A$2:$A$761,$H51,Dati!$H$2:$H$761,$AM51)+SUMIFS(Dati!$J$2:$J$761,Dati!$H$2:$H$761,$H51,Dati!$A$2:$A$761,$AM51),"-")</f>
        <v/>
      </c>
      <c r="CF51" s="22">
        <f>IF(AND($H51&lt;&gt;"",$AN51&lt;&gt;"",$H51&lt;&gt;$AN51,IFERROR(VLOOKUP($H51,areaCercaPuntiClassificaSquadra,3,FALSE),-1)=IFERROR(VLOOKUP($AN51,areaCercaPuntiClassificaSquadra,3,FALSE),-2)),SUMIFS(Dati!$D$2:$D$761,Dati!$A$2:$A$761,$H51,Dati!$H$2:$H$761,$AN51)+SUMIFS(Dati!$K$2:$K$761,Dati!$H$2:$H$761,$H51,Dati!$A$2:$A$761,$AN51)+SUMIFS(Dati!$C$2:$C$761,Dati!$A$2:$A$761,$H51,Dati!$H$2:$H$761,$AN51)+SUMIFS(Dati!$J$2:$J$761,Dati!$H$2:$H$761,$H51,Dati!$A$2:$A$761,$AN51),"-")</f>
        <v/>
      </c>
      <c r="CG51" s="22">
        <f>IF(AND($H51&lt;&gt;"",$AO51&lt;&gt;"",$H51&lt;&gt;$AO51,IFERROR(VLOOKUP($H51,areaCercaPuntiClassificaSquadra,3,FALSE),-1)=IFERROR(VLOOKUP($AO51,areaCercaPuntiClassificaSquadra,3,FALSE),-2)),SUMIFS(Dati!$D$2:$D$761,Dati!$A$2:$A$761,$H51,Dati!$H$2:$H$761,$AO51)+SUMIFS(Dati!$K$2:$K$761,Dati!$H$2:$H$761,$H51,Dati!$A$2:$A$761,$AO51)+SUMIFS(Dati!$C$2:$C$761,Dati!$A$2:$A$761,$H51,Dati!$H$2:$H$761,$AO51)+SUMIFS(Dati!$J$2:$J$761,Dati!$H$2:$H$761,$H51,Dati!$A$2:$A$761,$AO51),"-")</f>
        <v/>
      </c>
      <c r="CH51" s="22">
        <f>IF(AND($H51&lt;&gt;"",$AP51&lt;&gt;"",$H51&lt;&gt;$AP51,IFERROR(VLOOKUP($H51,areaCercaPuntiClassificaSquadra,3,FALSE),-1)=IFERROR(VLOOKUP($AP51,areaCercaPuntiClassificaSquadra,3,FALSE),-2)),SUMIFS(Dati!$D$2:$D$761,Dati!$A$2:$A$761,$H51,Dati!$H$2:$H$761,$AP51)+SUMIFS(Dati!$K$2:$K$761,Dati!$H$2:$H$761,$H51,Dati!$A$2:$A$761,$AP51)+SUMIFS(Dati!$C$2:$C$761,Dati!$A$2:$A$761,$H51,Dati!$H$2:$H$761,$AP51)+SUMIFS(Dati!$J$2:$J$761,Dati!$H$2:$H$761,$H51,Dati!$A$2:$A$761,$AP51),"-")</f>
        <v/>
      </c>
      <c r="CI51" s="22">
        <f>IF(AND($H51&lt;&gt;"",$AQ51&lt;&gt;"",$H51&lt;&gt;$AQ51,IFERROR(VLOOKUP($H51,areaCercaPuntiClassificaSquadra,3,FALSE),-1)=IFERROR(VLOOKUP($AQ51,areaCercaPuntiClassificaSquadra,3,FALSE),-2)),SUMIFS(Dati!$D$2:$D$761,Dati!$A$2:$A$761,$H51,Dati!$H$2:$H$761,$AQ51)+SUMIFS(Dati!$K$2:$K$761,Dati!$H$2:$H$761,$H51,Dati!$A$2:$A$761,$AQ51)+SUMIFS(Dati!$C$2:$C$761,Dati!$A$2:$A$761,$H51,Dati!$H$2:$H$761,$AQ51)+SUMIFS(Dati!$J$2:$J$761,Dati!$H$2:$H$761,$H51,Dati!$A$2:$A$761,$AQ51),"-")</f>
        <v/>
      </c>
      <c r="CJ51" s="22">
        <f>IF(AND($H51&lt;&gt;"",$AR51&lt;&gt;"",$H51&lt;&gt;$AR51,IFERROR(VLOOKUP($H51,areaCercaPuntiClassificaSquadra,3,FALSE),-1)=IFERROR(VLOOKUP($AR51,areaCercaPuntiClassificaSquadra,3,FALSE),-2)),SUMIFS(Dati!$D$2:$D$761,Dati!$A$2:$A$761,$H51,Dati!$H$2:$H$761,$AR51)+SUMIFS(Dati!$K$2:$K$761,Dati!$H$2:$H$761,$H51,Dati!$A$2:$A$761,$AR51)+SUMIFS(Dati!$C$2:$C$761,Dati!$A$2:$A$761,$H51,Dati!$H$2:$H$761,$AR51)+SUMIFS(Dati!$J$2:$J$761,Dati!$H$2:$H$761,$H51,Dati!$A$2:$A$761,$AR51),"-")</f>
        <v/>
      </c>
      <c r="CL51" s="21">
        <f>$C51</f>
        <v/>
      </c>
      <c r="CM51" s="22">
        <f>IF(AND($H51&lt;&gt;"",$Y51&lt;&gt;"",$H51&lt;&gt;$Y51,IFERROR(VLOOKUP($H51,areaCercaPuntiClassificaSquadra,3,FALSE),-1)=IFERROR(VLOOKUP($Y51,areaCercaPuntiClassificaSquadra,3,FALSE),-2)),SUMIFS(Dati!$E$2:$E$761,Dati!$A$2:$A$761,$H51,Dati!$H$2:$H$761,$Y51)+SUMIFS(Dati!$L$2:$L$761,Dati!$H$2:$H$761,$H51,Dati!$A$2:$A$761,$Y51),"-")</f>
        <v/>
      </c>
      <c r="CN51" s="22">
        <f>IF(AND($H51&lt;&gt;"",$Z51&lt;&gt;"",$H51&lt;&gt;$Z51,IFERROR(VLOOKUP($H51,areaCercaPuntiClassificaSquadra,3,FALSE),-1)=IFERROR(VLOOKUP($Z51,areaCercaPuntiClassificaSquadra,3,FALSE),-2)),SUMIFS(Dati!$E$2:$E$761,Dati!$A$2:$A$761,$H51,Dati!$H$2:$H$761,$Z51)+SUMIFS(Dati!$L$2:$L$761,Dati!$H$2:$H$761,$H51,Dati!$A$2:$A$761,$Z51),"-")</f>
        <v/>
      </c>
      <c r="CO51" s="22">
        <f>IF(AND($H51&lt;&gt;"",$AA51&lt;&gt;"",$H51&lt;&gt;$AA51,IFERROR(VLOOKUP($H51,areaCercaPuntiClassificaSquadra,3,FALSE),-1)=IFERROR(VLOOKUP($AA51,areaCercaPuntiClassificaSquadra,3,FALSE),-2)),SUMIFS(Dati!$E$2:$E$761,Dati!$A$2:$A$761,$H51,Dati!$H$2:$H$761,$AA51)+SUMIFS(Dati!$L$2:$L$761,Dati!$H$2:$H$761,$H51,Dati!$A$2:$A$761,$AA51),"-")</f>
        <v/>
      </c>
      <c r="CP51" s="22">
        <f>IF(AND($H51&lt;&gt;"",$AB51&lt;&gt;"",$H51&lt;&gt;$AB51,IFERROR(VLOOKUP($H51,areaCercaPuntiClassificaSquadra,3,FALSE),-1)=IFERROR(VLOOKUP($AB51,areaCercaPuntiClassificaSquadra,3,FALSE),-2)),SUMIFS(Dati!$E$2:$E$761,Dati!$A$2:$A$761,$H51,Dati!$H$2:$H$761,$AB51)+SUMIFS(Dati!$L$2:$L$761,Dati!$H$2:$H$761,$H51,Dati!$A$2:$A$761,$AB51),"-")</f>
        <v/>
      </c>
      <c r="CQ51" s="22">
        <f>IF(AND($H51&lt;&gt;"",$AC51&lt;&gt;"",$H51&lt;&gt;$AC51,IFERROR(VLOOKUP($H51,areaCercaPuntiClassificaSquadra,3,FALSE),-1)=IFERROR(VLOOKUP($AC51,areaCercaPuntiClassificaSquadra,3,FALSE),-2)),SUMIFS(Dati!$E$2:$E$761,Dati!$A$2:$A$761,$H51,Dati!$H$2:$H$761,$AC51)+SUMIFS(Dati!$L$2:$L$761,Dati!$H$2:$H$761,$H51,Dati!$A$2:$A$761,$AC51),"-")</f>
        <v/>
      </c>
      <c r="CR51" s="22">
        <f>IF(AND($H51&lt;&gt;"",$AD51&lt;&gt;"",$H51&lt;&gt;$AD51,IFERROR(VLOOKUP($H51,areaCercaPuntiClassificaSquadra,3,FALSE),-1)=IFERROR(VLOOKUP($AD51,areaCercaPuntiClassificaSquadra,3,FALSE),-2)),SUMIFS(Dati!$E$2:$E$761,Dati!$A$2:$A$761,$H51,Dati!$H$2:$H$761,$AD51)+SUMIFS(Dati!$L$2:$L$761,Dati!$H$2:$H$761,$H51,Dati!$A$2:$A$761,$AD51),"-")</f>
        <v/>
      </c>
      <c r="CS51" s="22">
        <f>IF(AND($H51&lt;&gt;"",$AE51&lt;&gt;"",$H51&lt;&gt;$AE51,IFERROR(VLOOKUP($H51,areaCercaPuntiClassificaSquadra,3,FALSE),-1)=IFERROR(VLOOKUP($AE51,areaCercaPuntiClassificaSquadra,3,FALSE),-2)),SUMIFS(Dati!$E$2:$E$761,Dati!$A$2:$A$761,$H51,Dati!$H$2:$H$761,$AE51)+SUMIFS(Dati!$L$2:$L$761,Dati!$H$2:$H$761,$H51,Dati!$A$2:$A$761,$AE51),"-")</f>
        <v/>
      </c>
      <c r="CT51" s="22">
        <f>IF(AND($H51&lt;&gt;"",$AF51&lt;&gt;"",$H51&lt;&gt;$AF51,IFERROR(VLOOKUP($H51,areaCercaPuntiClassificaSquadra,3,FALSE),-1)=IFERROR(VLOOKUP($AF51,areaCercaPuntiClassificaSquadra,3,FALSE),-2)),SUMIFS(Dati!$E$2:$E$761,Dati!$A$2:$A$761,$H51,Dati!$H$2:$H$761,$AF51)+SUMIFS(Dati!$L$2:$L$761,Dati!$H$2:$H$761,$H51,Dati!$A$2:$A$761,$AF51),"-")</f>
        <v/>
      </c>
      <c r="CU51" s="22">
        <f>IF(AND($H51&lt;&gt;"",$AG51&lt;&gt;"",$H51&lt;&gt;$AG51,IFERROR(VLOOKUP($H51,areaCercaPuntiClassificaSquadra,3,FALSE),-1)=IFERROR(VLOOKUP($AG51,areaCercaPuntiClassificaSquadra,3,FALSE),-2)),SUMIFS(Dati!$E$2:$E$761,Dati!$A$2:$A$761,$H51,Dati!$H$2:$H$761,$AG51)+SUMIFS(Dati!$L$2:$L$761,Dati!$H$2:$H$761,$H51,Dati!$A$2:$A$761,$AG51),"-")</f>
        <v/>
      </c>
      <c r="CV51" s="22">
        <f>IF(AND($H51&lt;&gt;"",$AH51&lt;&gt;"",$H51&lt;&gt;$AH51,IFERROR(VLOOKUP($H51,areaCercaPuntiClassificaSquadra,3,FALSE),-1)=IFERROR(VLOOKUP($AH51,areaCercaPuntiClassificaSquadra,3,FALSE),-2)),SUMIFS(Dati!$E$2:$E$761,Dati!$A$2:$A$761,$H51,Dati!$H$2:$H$761,$AH51)+SUMIFS(Dati!$L$2:$L$761,Dati!$H$2:$H$761,$H51,Dati!$A$2:$A$761,$AH51),"-")</f>
        <v/>
      </c>
      <c r="CW51" s="22">
        <f>IF(AND($H51&lt;&gt;"",$AI51&lt;&gt;"",$H51&lt;&gt;$AI51,IFERROR(VLOOKUP($H51,areaCercaPuntiClassificaSquadra,3,FALSE),-1)=IFERROR(VLOOKUP($AI51,areaCercaPuntiClassificaSquadra,3,FALSE),-2)),SUMIFS(Dati!$E$2:$E$761,Dati!$A$2:$A$761,$H51,Dati!$H$2:$H$761,$AI51)+SUMIFS(Dati!$L$2:$L$761,Dati!$H$2:$H$761,$H51,Dati!$A$2:$A$761,$AI51),"-")</f>
        <v/>
      </c>
      <c r="CX51" s="22">
        <f>IF(AND($H51&lt;&gt;"",$AJ51&lt;&gt;"",$H51&lt;&gt;$AJ51,IFERROR(VLOOKUP($H51,areaCercaPuntiClassificaSquadra,3,FALSE),-1)=IFERROR(VLOOKUP($AJ51,areaCercaPuntiClassificaSquadra,3,FALSE),-2)),SUMIFS(Dati!$E$2:$E$761,Dati!$A$2:$A$761,$H51,Dati!$H$2:$H$761,$AJ51)+SUMIFS(Dati!$L$2:$L$761,Dati!$H$2:$H$761,$H51,Dati!$A$2:$A$761,$AJ51),"-")</f>
        <v/>
      </c>
      <c r="CY51" s="22">
        <f>IF(AND($H51&lt;&gt;"",$AK51&lt;&gt;"",$H51&lt;&gt;$AK51,IFERROR(VLOOKUP($H51,areaCercaPuntiClassificaSquadra,3,FALSE),-1)=IFERROR(VLOOKUP($AK51,areaCercaPuntiClassificaSquadra,3,FALSE),-2)),SUMIFS(Dati!$E$2:$E$761,Dati!$A$2:$A$761,$H51,Dati!$H$2:$H$761,$AK51)+SUMIFS(Dati!$L$2:$L$761,Dati!$H$2:$H$761,$H51,Dati!$A$2:$A$761,$AK51),"-")</f>
        <v/>
      </c>
      <c r="CZ51" s="22">
        <f>IF(AND($H51&lt;&gt;"",$AL51&lt;&gt;"",$H51&lt;&gt;$AL51,IFERROR(VLOOKUP($H51,areaCercaPuntiClassificaSquadra,3,FALSE),-1)=IFERROR(VLOOKUP($AL51,areaCercaPuntiClassificaSquadra,3,FALSE),-2)),SUMIFS(Dati!$E$2:$E$761,Dati!$A$2:$A$761,$H51,Dati!$H$2:$H$761,$AL51)+SUMIFS(Dati!$L$2:$L$761,Dati!$H$2:$H$761,$H51,Dati!$A$2:$A$761,$AL51),"-")</f>
        <v/>
      </c>
      <c r="DA51" s="22">
        <f>IF(AND($H51&lt;&gt;"",$AM51&lt;&gt;"",$H51&lt;&gt;$AM51,IFERROR(VLOOKUP($H51,areaCercaPuntiClassificaSquadra,3,FALSE),-1)=IFERROR(VLOOKUP($AM51,areaCercaPuntiClassificaSquadra,3,FALSE),-2)),SUMIFS(Dati!$E$2:$E$761,Dati!$A$2:$A$761,$H51,Dati!$H$2:$H$761,$AM51)+SUMIFS(Dati!$L$2:$L$761,Dati!$H$2:$H$761,$H51,Dati!$A$2:$A$761,$AM51),"-")</f>
        <v/>
      </c>
      <c r="DB51" s="22">
        <f>IF(AND($H51&lt;&gt;"",$AN51&lt;&gt;"",$H51&lt;&gt;$AN51,IFERROR(VLOOKUP($H51,areaCercaPuntiClassificaSquadra,3,FALSE),-1)=IFERROR(VLOOKUP($AN51,areaCercaPuntiClassificaSquadra,3,FALSE),-2)),SUMIFS(Dati!$E$2:$E$761,Dati!$A$2:$A$761,$H51,Dati!$H$2:$H$761,$AN51)+SUMIFS(Dati!$L$2:$L$761,Dati!$H$2:$H$761,$H51,Dati!$A$2:$A$761,$AN51),"-")</f>
        <v/>
      </c>
      <c r="DC51" s="22">
        <f>IF(AND($H51&lt;&gt;"",$AO51&lt;&gt;"",$H51&lt;&gt;$AO51,IFERROR(VLOOKUP($H51,areaCercaPuntiClassificaSquadra,3,FALSE),-1)=IFERROR(VLOOKUP($AO51,areaCercaPuntiClassificaSquadra,3,FALSE),-2)),SUMIFS(Dati!$E$2:$E$761,Dati!$A$2:$A$761,$H51,Dati!$H$2:$H$761,$AO51)+SUMIFS(Dati!$L$2:$L$761,Dati!$H$2:$H$761,$H51,Dati!$A$2:$A$761,$AO51),"-")</f>
        <v/>
      </c>
      <c r="DD51" s="22">
        <f>IF(AND($H51&lt;&gt;"",$AP51&lt;&gt;"",$H51&lt;&gt;$AP51,IFERROR(VLOOKUP($H51,areaCercaPuntiClassificaSquadra,3,FALSE),-1)=IFERROR(VLOOKUP($AP51,areaCercaPuntiClassificaSquadra,3,FALSE),-2)),SUMIFS(Dati!$E$2:$E$761,Dati!$A$2:$A$761,$H51,Dati!$H$2:$H$761,$AP51)+SUMIFS(Dati!$L$2:$L$761,Dati!$H$2:$H$761,$H51,Dati!$A$2:$A$761,$AP51),"-")</f>
        <v/>
      </c>
      <c r="DE51" s="22">
        <f>IF(AND($H51&lt;&gt;"",$AQ51&lt;&gt;"",$H51&lt;&gt;$AQ51,IFERROR(VLOOKUP($H51,areaCercaPuntiClassificaSquadra,3,FALSE),-1)=IFERROR(VLOOKUP($AQ51,areaCercaPuntiClassificaSquadra,3,FALSE),-2)),SUMIFS(Dati!$E$2:$E$761,Dati!$A$2:$A$761,$H51,Dati!$H$2:$H$761,$AQ51)+SUMIFS(Dati!$L$2:$L$761,Dati!$H$2:$H$761,$H51,Dati!$A$2:$A$761,$AQ51),"-")</f>
        <v/>
      </c>
      <c r="DF51" s="22">
        <f>IF(AND($H51&lt;&gt;"",$AR51&lt;&gt;"",$H51&lt;&gt;$AR51,IFERROR(VLOOKUP($H51,areaCercaPuntiClassificaSquadra,3,FALSE),-1)=IFERROR(VLOOKUP($AR51,areaCercaPuntiClassificaSquadra,3,FALSE),-2)),SUMIFS(Dati!$E$2:$E$761,Dati!$A$2:$A$761,$H51,Dati!$H$2:$H$761,$AR51)+SUMIFS(Dati!$L$2:$L$761,Dati!$H$2:$H$761,$H51,Dati!$A$2:$A$761,$AR51),"-")</f>
        <v/>
      </c>
      <c r="DH51" s="21">
        <f>$C51</f>
        <v/>
      </c>
      <c r="DI51" s="22">
        <f>IF(AND($H51&lt;&gt;"",$Y51&lt;&gt;"",$H51&lt;&gt;$Y51,IFERROR(VLOOKUP($H51,areaCercaPuntiClassificaSquadra,3,FALSE),-1)=IFERROR(VLOOKUP($Y51,areaCercaPuntiClassificaSquadra,3,FALSE),-2)),SUMIFS(Dati!$F$2:$F$761,Dati!$A$2:$A$761,$H51,Dati!$H$2:$H$761,$Y51)+SUMIFS(Dati!$M$2:$M$761,Dati!$H$2:$H$761,$H51,Dati!$A$2:$A$761,$Y51),"-")</f>
        <v/>
      </c>
      <c r="DJ51" s="22">
        <f>IF(AND($H51&lt;&gt;"",$Z51&lt;&gt;"",$H51&lt;&gt;$Z51,IFERROR(VLOOKUP($H51,areaCercaPuntiClassificaSquadra,3,FALSE),-1)=IFERROR(VLOOKUP($Z51,areaCercaPuntiClassificaSquadra,3,FALSE),-2)),SUMIFS(Dati!$F$2:$F$761,Dati!$A$2:$A$761,$H51,Dati!$H$2:$H$761,$Z51)+SUMIFS(Dati!$M$2:$M$761,Dati!$H$2:$H$761,$H51,Dati!$A$2:$A$761,$Z51),"-")</f>
        <v/>
      </c>
      <c r="DK51" s="22">
        <f>IF(AND($H51&lt;&gt;"",$AA51&lt;&gt;"",$H51&lt;&gt;$AA51,IFERROR(VLOOKUP($H51,areaCercaPuntiClassificaSquadra,3,FALSE),-1)=IFERROR(VLOOKUP($AA51,areaCercaPuntiClassificaSquadra,3,FALSE),-2)),SUMIFS(Dati!$F$2:$F$761,Dati!$A$2:$A$761,$H51,Dati!$H$2:$H$761,$AA51)+SUMIFS(Dati!$M$2:$M$761,Dati!$H$2:$H$761,$H51,Dati!$A$2:$A$761,$AA51),"-")</f>
        <v/>
      </c>
      <c r="DL51" s="22">
        <f>IF(AND($H51&lt;&gt;"",$AB51&lt;&gt;"",$H51&lt;&gt;$AB51,IFERROR(VLOOKUP($H51,areaCercaPuntiClassificaSquadra,3,FALSE),-1)=IFERROR(VLOOKUP($AB51,areaCercaPuntiClassificaSquadra,3,FALSE),-2)),SUMIFS(Dati!$F$2:$F$761,Dati!$A$2:$A$761,$H51,Dati!$H$2:$H$761,$AB51)+SUMIFS(Dati!$M$2:$M$761,Dati!$H$2:$H$761,$H51,Dati!$A$2:$A$761,$AB51),"-")</f>
        <v/>
      </c>
      <c r="DM51" s="22">
        <f>IF(AND($H51&lt;&gt;"",$AC51&lt;&gt;"",$H51&lt;&gt;$AC51,IFERROR(VLOOKUP($H51,areaCercaPuntiClassificaSquadra,3,FALSE),-1)=IFERROR(VLOOKUP($AC51,areaCercaPuntiClassificaSquadra,3,FALSE),-2)),SUMIFS(Dati!$F$2:$F$761,Dati!$A$2:$A$761,$H51,Dati!$H$2:$H$761,$AC51)+SUMIFS(Dati!$M$2:$M$761,Dati!$H$2:$H$761,$H51,Dati!$A$2:$A$761,$AC51),"-")</f>
        <v/>
      </c>
      <c r="DN51" s="22">
        <f>IF(AND($H51&lt;&gt;"",$AD51&lt;&gt;"",$H51&lt;&gt;$AD51,IFERROR(VLOOKUP($H51,areaCercaPuntiClassificaSquadra,3,FALSE),-1)=IFERROR(VLOOKUP($AD51,areaCercaPuntiClassificaSquadra,3,FALSE),-2)),SUMIFS(Dati!$F$2:$F$761,Dati!$A$2:$A$761,$H51,Dati!$H$2:$H$761,$AD51)+SUMIFS(Dati!$M$2:$M$761,Dati!$H$2:$H$761,$H51,Dati!$A$2:$A$761,$AD51),"-")</f>
        <v/>
      </c>
      <c r="DO51" s="22">
        <f>IF(AND($H51&lt;&gt;"",$AE51&lt;&gt;"",$H51&lt;&gt;$AE51,IFERROR(VLOOKUP($H51,areaCercaPuntiClassificaSquadra,3,FALSE),-1)=IFERROR(VLOOKUP($AE51,areaCercaPuntiClassificaSquadra,3,FALSE),-2)),SUMIFS(Dati!$F$2:$F$761,Dati!$A$2:$A$761,$H51,Dati!$H$2:$H$761,$AE51)+SUMIFS(Dati!$M$2:$M$761,Dati!$H$2:$H$761,$H51,Dati!$A$2:$A$761,$AE51),"-")</f>
        <v/>
      </c>
      <c r="DP51" s="22">
        <f>IF(AND($H51&lt;&gt;"",$AF51&lt;&gt;"",$H51&lt;&gt;$AF51,IFERROR(VLOOKUP($H51,areaCercaPuntiClassificaSquadra,3,FALSE),-1)=IFERROR(VLOOKUP($AF51,areaCercaPuntiClassificaSquadra,3,FALSE),-2)),SUMIFS(Dati!$F$2:$F$761,Dati!$A$2:$A$761,$H51,Dati!$H$2:$H$761,$AF51)+SUMIFS(Dati!$M$2:$M$761,Dati!$H$2:$H$761,$H51,Dati!$A$2:$A$761,$AF51),"-")</f>
        <v/>
      </c>
      <c r="DQ51" s="22">
        <f>IF(AND($H51&lt;&gt;"",$AG51&lt;&gt;"",$H51&lt;&gt;$AG51,IFERROR(VLOOKUP($H51,areaCercaPuntiClassificaSquadra,3,FALSE),-1)=IFERROR(VLOOKUP($AG51,areaCercaPuntiClassificaSquadra,3,FALSE),-2)),SUMIFS(Dati!$F$2:$F$761,Dati!$A$2:$A$761,$H51,Dati!$H$2:$H$761,$AG51)+SUMIFS(Dati!$M$2:$M$761,Dati!$H$2:$H$761,$H51,Dati!$A$2:$A$761,$AG51),"-")</f>
        <v/>
      </c>
      <c r="DR51" s="22">
        <f>IF(AND($H51&lt;&gt;"",$AH51&lt;&gt;"",$H51&lt;&gt;$AH51,IFERROR(VLOOKUP($H51,areaCercaPuntiClassificaSquadra,3,FALSE),-1)=IFERROR(VLOOKUP($AH51,areaCercaPuntiClassificaSquadra,3,FALSE),-2)),SUMIFS(Dati!$F$2:$F$761,Dati!$A$2:$A$761,$H51,Dati!$H$2:$H$761,$AH51)+SUMIFS(Dati!$M$2:$M$761,Dati!$H$2:$H$761,$H51,Dati!$A$2:$A$761,$AH51),"-")</f>
        <v/>
      </c>
      <c r="DS51" s="22">
        <f>IF(AND($H51&lt;&gt;"",$AI51&lt;&gt;"",$H51&lt;&gt;$AI51,IFERROR(VLOOKUP($H51,areaCercaPuntiClassificaSquadra,3,FALSE),-1)=IFERROR(VLOOKUP($AI51,areaCercaPuntiClassificaSquadra,3,FALSE),-2)),SUMIFS(Dati!$F$2:$F$761,Dati!$A$2:$A$761,$H51,Dati!$H$2:$H$761,$AI51)+SUMIFS(Dati!$M$2:$M$761,Dati!$H$2:$H$761,$H51,Dati!$A$2:$A$761,$AI51),"-")</f>
        <v/>
      </c>
      <c r="DT51" s="22">
        <f>IF(AND($H51&lt;&gt;"",$AJ51&lt;&gt;"",$H51&lt;&gt;$AJ51,IFERROR(VLOOKUP($H51,areaCercaPuntiClassificaSquadra,3,FALSE),-1)=IFERROR(VLOOKUP($AJ51,areaCercaPuntiClassificaSquadra,3,FALSE),-2)),SUMIFS(Dati!$F$2:$F$761,Dati!$A$2:$A$761,$H51,Dati!$H$2:$H$761,$AJ51)+SUMIFS(Dati!$M$2:$M$761,Dati!$H$2:$H$761,$H51,Dati!$A$2:$A$761,$AJ51),"-")</f>
        <v/>
      </c>
      <c r="DU51" s="22">
        <f>IF(AND($H51&lt;&gt;"",$AK51&lt;&gt;"",$H51&lt;&gt;$AK51,IFERROR(VLOOKUP($H51,areaCercaPuntiClassificaSquadra,3,FALSE),-1)=IFERROR(VLOOKUP($AK51,areaCercaPuntiClassificaSquadra,3,FALSE),-2)),SUMIFS(Dati!$F$2:$F$761,Dati!$A$2:$A$761,$H51,Dati!$H$2:$H$761,$AK51)+SUMIFS(Dati!$M$2:$M$761,Dati!$H$2:$H$761,$H51,Dati!$A$2:$A$761,$AK51),"-")</f>
        <v/>
      </c>
      <c r="DV51" s="22">
        <f>IF(AND($H51&lt;&gt;"",$AL51&lt;&gt;"",$H51&lt;&gt;$AL51,IFERROR(VLOOKUP($H51,areaCercaPuntiClassificaSquadra,3,FALSE),-1)=IFERROR(VLOOKUP($AL51,areaCercaPuntiClassificaSquadra,3,FALSE),-2)),SUMIFS(Dati!$F$2:$F$761,Dati!$A$2:$A$761,$H51,Dati!$H$2:$H$761,$AL51)+SUMIFS(Dati!$M$2:$M$761,Dati!$H$2:$H$761,$H51,Dati!$A$2:$A$761,$AL51),"-")</f>
        <v/>
      </c>
      <c r="DW51" s="22">
        <f>IF(AND($H51&lt;&gt;"",$AM51&lt;&gt;"",$H51&lt;&gt;$AM51,IFERROR(VLOOKUP($H51,areaCercaPuntiClassificaSquadra,3,FALSE),-1)=IFERROR(VLOOKUP($AM51,areaCercaPuntiClassificaSquadra,3,FALSE),-2)),SUMIFS(Dati!$F$2:$F$761,Dati!$A$2:$A$761,$H51,Dati!$H$2:$H$761,$AM51)+SUMIFS(Dati!$M$2:$M$761,Dati!$H$2:$H$761,$H51,Dati!$A$2:$A$761,$AM51),"-")</f>
        <v/>
      </c>
      <c r="DX51" s="22">
        <f>IF(AND($H51&lt;&gt;"",$AN51&lt;&gt;"",$H51&lt;&gt;$AN51,IFERROR(VLOOKUP($H51,areaCercaPuntiClassificaSquadra,3,FALSE),-1)=IFERROR(VLOOKUP($AN51,areaCercaPuntiClassificaSquadra,3,FALSE),-2)),SUMIFS(Dati!$F$2:$F$761,Dati!$A$2:$A$761,$H51,Dati!$H$2:$H$761,$AN51)+SUMIFS(Dati!$M$2:$M$761,Dati!$H$2:$H$761,$H51,Dati!$A$2:$A$761,$AN51),"-")</f>
        <v/>
      </c>
      <c r="DY51" s="22">
        <f>IF(AND($H51&lt;&gt;"",$AO51&lt;&gt;"",$H51&lt;&gt;$AO51,IFERROR(VLOOKUP($H51,areaCercaPuntiClassificaSquadra,3,FALSE),-1)=IFERROR(VLOOKUP($AO51,areaCercaPuntiClassificaSquadra,3,FALSE),-2)),SUMIFS(Dati!$F$2:$F$761,Dati!$A$2:$A$761,$H51,Dati!$H$2:$H$761,$AO51)+SUMIFS(Dati!$M$2:$M$761,Dati!$H$2:$H$761,$H51,Dati!$A$2:$A$761,$AO51),"-")</f>
        <v/>
      </c>
      <c r="DZ51" s="22">
        <f>IF(AND($H51&lt;&gt;"",$AP51&lt;&gt;"",$H51&lt;&gt;$AP51,IFERROR(VLOOKUP($H51,areaCercaPuntiClassificaSquadra,3,FALSE),-1)=IFERROR(VLOOKUP($AP51,areaCercaPuntiClassificaSquadra,3,FALSE),-2)),SUMIFS(Dati!$F$2:$F$761,Dati!$A$2:$A$761,$H51,Dati!$H$2:$H$761,$AP51)+SUMIFS(Dati!$M$2:$M$761,Dati!$H$2:$H$761,$H51,Dati!$A$2:$A$761,$AP51),"-")</f>
        <v/>
      </c>
      <c r="EA51" s="22">
        <f>IF(AND($H51&lt;&gt;"",$AQ51&lt;&gt;"",$H51&lt;&gt;$AQ51,IFERROR(VLOOKUP($H51,areaCercaPuntiClassificaSquadra,3,FALSE),-1)=IFERROR(VLOOKUP($AQ51,areaCercaPuntiClassificaSquadra,3,FALSE),-2)),SUMIFS(Dati!$F$2:$F$761,Dati!$A$2:$A$761,$H51,Dati!$H$2:$H$761,$AQ51)+SUMIFS(Dati!$M$2:$M$761,Dati!$H$2:$H$761,$H51,Dati!$A$2:$A$761,$AQ51),"-")</f>
        <v/>
      </c>
      <c r="EB51" s="22">
        <f>IF(AND($H51&lt;&gt;"",$AR51&lt;&gt;"",$H51&lt;&gt;$AR51,IFERROR(VLOOKUP($H51,areaCercaPuntiClassificaSquadra,3,FALSE),-1)=IFERROR(VLOOKUP($AR51,areaCercaPuntiClassificaSquadra,3,FALSE),-2)),SUMIFS(Dati!$F$2:$F$761,Dati!$A$2:$A$761,$H51,Dati!$H$2:$H$761,$AR51)+SUMIFS(Dati!$M$2:$M$761,Dati!$H$2:$H$761,$H51,Dati!$A$2:$A$761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inlineStr">
        <is>
          <t>Echidne Eleganti-Echidneopoli EO</t>
        </is>
      </c>
      <c r="D52" s="14" t="n"/>
      <c r="E52" s="23" t="inlineStr">
        <is>
          <t>B</t>
        </is>
      </c>
      <c r="G52" s="24">
        <f>IF($C52="","",$E52&amp;(COUNTIFS(I$14:I$93,"&gt;"&amp;I52,E$14:E$93,"="&amp;E52,C$14:C$93,"&lt;&gt;")+COUNTIFS(I$14:I$93,"="&amp;I52,H$14:H$93,"&lt;="&amp;H52,E$14:E$93,"="&amp;E52,C$14:C$93,"&lt;&gt;")))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L52*constPuntiVittoria+M52*constPuntiSconfitta+N52*constPuntiForfait+IF(D52="",0,D52)</f>
        <v/>
      </c>
      <c r="K52" s="12">
        <f>SUM(L52:N52)</f>
        <v/>
      </c>
      <c r="L52" s="12">
        <f>IF($H52="",0,SUMIF(Dati!$A$2:$A$761,$H52,Dati!$B$2:$B$761)+SUMIF(Dati!$H$2:$H$761,$H52,Dati!$I$2:$I$761))</f>
        <v/>
      </c>
      <c r="M52" s="12">
        <f>IF($H52="",0,SUMIF(Dati!$A$2:$A$761,$H52,Dati!$D$2:$D$761)+SUMIF(Dati!$H$2:$H$761,$H52,Dati!$K$2:$K$761))</f>
        <v/>
      </c>
      <c r="N52" s="12">
        <f>IF($H52="",0,SUMIF(Dati!$A$2:$A$761,$H52,Dati!$C$2:$C$761)+SUMIF(Dati!$H$2:$H$761,$H52,Dati!$J$2:$J$761))</f>
        <v/>
      </c>
      <c r="O52" s="12">
        <f>IF($H52="",0,SUMIF(Dati!$A$2:$A$761,$H52,Dati!$E$2:$E$761)+SUMIF(Dati!$H$2:$H$761,$H52,Dati!$L$2:$L$761))</f>
        <v/>
      </c>
      <c r="P52" s="12">
        <f>IF($H52="",0,SUMIF(Dati!$A$2:$A$761,$H52,Dati!$F$2:$F$761)+SUMIF(Dati!$H$2:$H$761,$H52,Dati!$M$2:$M$761))</f>
        <v/>
      </c>
      <c r="Q52" s="12">
        <f>IF($H52="",0,SUMIF(Dati!$A$2:$A$761,$H52,Dati!$G$2:$G$761)+SUMIF(Dati!$H$2:$H$761,$H52,Dati!$N$2:$N$761))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IF(COUNTIFS($E$14:$E$93,$E52,$J$14:$J$93,$J52,$C$14:$C$93,"&lt;&gt;")&lt;=1,"-",SUM(AU52:BN52)&amp;"-"&amp;SUM(BQ52:CJ52))</f>
        <v/>
      </c>
      <c r="V52" s="18">
        <f>IF(COUNTIFS($E$14:$E$93,$E52,$J$14:$J$93,$J52,$C$14:$C$93,"&lt;&gt;",$ED$14:$ED$93,$ED52)&lt;=1,"-",IF(SUM(DI52:EB52)=0,0,ROUND(SUM(CM52:DF52)/SUM(DI52:EB52),3)))</f>
        <v/>
      </c>
      <c r="W52" s="18">
        <f>IF(COUNTIFS($E$14:$E$93,$E52,$J$14:$J$93,$J52,$C$14:$C$93,"&lt;&gt;",$ED$14:$ED$93,$ED52,$V$14:$V$93,$V52)&lt;=1,"-",IF(P52=0,0,ROUND(O52/P52,3)))</f>
        <v/>
      </c>
      <c r="X52" s="19">
        <f>IF($C52="","",$E52&amp;"#"&amp;COUNTIFS($E$14:$E52,$E52,$C$14:$C52,"&lt;&gt;"))</f>
        <v/>
      </c>
      <c r="Y52" s="20">
        <f>IFERROR(INDEX($H$14:$H$93,MATCH($E52&amp;"#1",$X$14:$X$93,0)),"")</f>
        <v/>
      </c>
      <c r="Z52" s="20">
        <f>IFERROR(INDEX($H$14:$H$93,MATCH($E52&amp;"#2",$X$14:$X$93,0)),"")</f>
        <v/>
      </c>
      <c r="AA52" s="20">
        <f>IFERROR(INDEX($H$14:$H$93,MATCH($E52&amp;"#3",$X$14:$X$93,0)),"")</f>
        <v/>
      </c>
      <c r="AB52" s="20">
        <f>IFERROR(INDEX($H$14:$H$93,MATCH($E52&amp;"#4",$X$14:$X$93,0)),"")</f>
        <v/>
      </c>
      <c r="AC52" s="20">
        <f>IFERROR(INDEX($H$14:$H$93,MATCH($E52&amp;"#5",$X$14:$X$93,0)),"")</f>
        <v/>
      </c>
      <c r="AD52" s="20">
        <f>IFERROR(INDEX($H$14:$H$93,MATCH($E52&amp;"#6",$X$14:$X$93,0)),"")</f>
        <v/>
      </c>
      <c r="AE52" s="20">
        <f>IFERROR(INDEX($H$14:$H$93,MATCH($E52&amp;"#7",$X$14:$X$93,0)),"")</f>
        <v/>
      </c>
      <c r="AF52" s="20">
        <f>IFERROR(INDEX($H$14:$H$93,MATCH($E52&amp;"#8",$X$14:$X$93,0)),"")</f>
        <v/>
      </c>
      <c r="AG52" s="20">
        <f>IFERROR(INDEX($H$14:$H$93,MATCH($E52&amp;"#9",$X$14:$X$93,0)),"")</f>
        <v/>
      </c>
      <c r="AH52" s="20">
        <f>IFERROR(INDEX($H$14:$H$93,MATCH($E52&amp;"#10",$X$14:$X$93,0)),"")</f>
        <v/>
      </c>
      <c r="AI52" s="20">
        <f>IFERROR(INDEX($H$14:$H$93,MATCH($E52&amp;"#11",$X$14:$X$93,0)),"")</f>
        <v/>
      </c>
      <c r="AJ52" s="20">
        <f>IFERROR(INDEX($H$14:$H$93,MATCH($E52&amp;"#12",$X$14:$X$93,0)),"")</f>
        <v/>
      </c>
      <c r="AK52" s="20">
        <f>IFERROR(INDEX($H$14:$H$93,MATCH($E52&amp;"#13",$X$14:$X$93,0)),"")</f>
        <v/>
      </c>
      <c r="AL52" s="20">
        <f>IFERROR(INDEX($H$14:$H$93,MATCH($E52&amp;"#14",$X$14:$X$93,0)),"")</f>
        <v/>
      </c>
      <c r="AM52" s="20">
        <f>IFERROR(INDEX($H$14:$H$93,MATCH($E52&amp;"#15",$X$14:$X$93,0)),"")</f>
        <v/>
      </c>
      <c r="AN52" s="20">
        <f>IFERROR(INDEX($H$14:$H$93,MATCH($E52&amp;"#16",$X$14:$X$93,0)),"")</f>
        <v/>
      </c>
      <c r="AO52" s="20">
        <f>IFERROR(INDEX($H$14:$H$93,MATCH($E52&amp;"#17",$X$14:$X$93,0)),"")</f>
        <v/>
      </c>
      <c r="AP52" s="20">
        <f>IFERROR(INDEX($H$14:$H$93,MATCH($E52&amp;"#18",$X$14:$X$93,0)),"")</f>
        <v/>
      </c>
      <c r="AQ52" s="20">
        <f>IFERROR(INDEX($H$14:$H$93,MATCH($E52&amp;"#19",$X$14:$X$93,0)),"")</f>
        <v/>
      </c>
      <c r="AR52" s="20">
        <f>IFERROR(INDEX($H$14:$H$93,MATCH($E52&amp;"#20",$X$14:$X$93,0)),"")</f>
        <v/>
      </c>
      <c r="AT52" s="21">
        <f>$C52</f>
        <v/>
      </c>
      <c r="AU52" s="22">
        <f>IF(AND($H52&lt;&gt;"",$Y52&lt;&gt;"",$H52&lt;&gt;$Y52,IFERROR(VLOOKUP($H52,areaCercaPuntiClassificaSquadra,3,FALSE),-1)=IFERROR(VLOOKUP($Y52,areaCercaPuntiClassificaSquadra,3,FALSE),-2)),SUMIFS(Dati!$B$2:$B$761,Dati!$A$2:$A$761,$H52,Dati!$H$2:$H$761,$Y52)+SUMIFS(Dati!$I$2:$I$761,Dati!$H$2:$H$761,$H52,Dati!$A$2:$A$761,$Y52),"-")</f>
        <v/>
      </c>
      <c r="AV52" s="22">
        <f>IF(AND($H52&lt;&gt;"",$Z52&lt;&gt;"",$H52&lt;&gt;$Z52,IFERROR(VLOOKUP($H52,areaCercaPuntiClassificaSquadra,3,FALSE),-1)=IFERROR(VLOOKUP($Z52,areaCercaPuntiClassificaSquadra,3,FALSE),-2)),SUMIFS(Dati!$B$2:$B$761,Dati!$A$2:$A$761,$H52,Dati!$H$2:$H$761,$Z52)+SUMIFS(Dati!$I$2:$I$761,Dati!$H$2:$H$761,$H52,Dati!$A$2:$A$761,$Z52),"-")</f>
        <v/>
      </c>
      <c r="AW52" s="22">
        <f>IF(AND($H52&lt;&gt;"",$AA52&lt;&gt;"",$H52&lt;&gt;$AA52,IFERROR(VLOOKUP($H52,areaCercaPuntiClassificaSquadra,3,FALSE),-1)=IFERROR(VLOOKUP($AA52,areaCercaPuntiClassificaSquadra,3,FALSE),-2)),SUMIFS(Dati!$B$2:$B$761,Dati!$A$2:$A$761,$H52,Dati!$H$2:$H$761,$AA52)+SUMIFS(Dati!$I$2:$I$761,Dati!$H$2:$H$761,$H52,Dati!$A$2:$A$761,$AA52),"-")</f>
        <v/>
      </c>
      <c r="AX52" s="22">
        <f>IF(AND($H52&lt;&gt;"",$AB52&lt;&gt;"",$H52&lt;&gt;$AB52,IFERROR(VLOOKUP($H52,areaCercaPuntiClassificaSquadra,3,FALSE),-1)=IFERROR(VLOOKUP($AB52,areaCercaPuntiClassificaSquadra,3,FALSE),-2)),SUMIFS(Dati!$B$2:$B$761,Dati!$A$2:$A$761,$H52,Dati!$H$2:$H$761,$AB52)+SUMIFS(Dati!$I$2:$I$761,Dati!$H$2:$H$761,$H52,Dati!$A$2:$A$761,$AB52),"-")</f>
        <v/>
      </c>
      <c r="AY52" s="22">
        <f>IF(AND($H52&lt;&gt;"",$AC52&lt;&gt;"",$H52&lt;&gt;$AC52,IFERROR(VLOOKUP($H52,areaCercaPuntiClassificaSquadra,3,FALSE),-1)=IFERROR(VLOOKUP($AC52,areaCercaPuntiClassificaSquadra,3,FALSE),-2)),SUMIFS(Dati!$B$2:$B$761,Dati!$A$2:$A$761,$H52,Dati!$H$2:$H$761,$AC52)+SUMIFS(Dati!$I$2:$I$761,Dati!$H$2:$H$761,$H52,Dati!$A$2:$A$761,$AC52),"-")</f>
        <v/>
      </c>
      <c r="AZ52" s="22">
        <f>IF(AND($H52&lt;&gt;"",$AD52&lt;&gt;"",$H52&lt;&gt;$AD52,IFERROR(VLOOKUP($H52,areaCercaPuntiClassificaSquadra,3,FALSE),-1)=IFERROR(VLOOKUP($AD52,areaCercaPuntiClassificaSquadra,3,FALSE),-2)),SUMIFS(Dati!$B$2:$B$761,Dati!$A$2:$A$761,$H52,Dati!$H$2:$H$761,$AD52)+SUMIFS(Dati!$I$2:$I$761,Dati!$H$2:$H$761,$H52,Dati!$A$2:$A$761,$AD52),"-")</f>
        <v/>
      </c>
      <c r="BA52" s="22">
        <f>IF(AND($H52&lt;&gt;"",$AE52&lt;&gt;"",$H52&lt;&gt;$AE52,IFERROR(VLOOKUP($H52,areaCercaPuntiClassificaSquadra,3,FALSE),-1)=IFERROR(VLOOKUP($AE52,areaCercaPuntiClassificaSquadra,3,FALSE),-2)),SUMIFS(Dati!$B$2:$B$761,Dati!$A$2:$A$761,$H52,Dati!$H$2:$H$761,$AE52)+SUMIFS(Dati!$I$2:$I$761,Dati!$H$2:$H$761,$H52,Dati!$A$2:$A$761,$AE52),"-")</f>
        <v/>
      </c>
      <c r="BB52" s="22">
        <f>IF(AND($H52&lt;&gt;"",$AF52&lt;&gt;"",$H52&lt;&gt;$AF52,IFERROR(VLOOKUP($H52,areaCercaPuntiClassificaSquadra,3,FALSE),-1)=IFERROR(VLOOKUP($AF52,areaCercaPuntiClassificaSquadra,3,FALSE),-2)),SUMIFS(Dati!$B$2:$B$761,Dati!$A$2:$A$761,$H52,Dati!$H$2:$H$761,$AF52)+SUMIFS(Dati!$I$2:$I$761,Dati!$H$2:$H$761,$H52,Dati!$A$2:$A$761,$AF52),"-")</f>
        <v/>
      </c>
      <c r="BC52" s="22">
        <f>IF(AND($H52&lt;&gt;"",$AG52&lt;&gt;"",$H52&lt;&gt;$AG52,IFERROR(VLOOKUP($H52,areaCercaPuntiClassificaSquadra,3,FALSE),-1)=IFERROR(VLOOKUP($AG52,areaCercaPuntiClassificaSquadra,3,FALSE),-2)),SUMIFS(Dati!$B$2:$B$761,Dati!$A$2:$A$761,$H52,Dati!$H$2:$H$761,$AG52)+SUMIFS(Dati!$I$2:$I$761,Dati!$H$2:$H$761,$H52,Dati!$A$2:$A$761,$AG52),"-")</f>
        <v/>
      </c>
      <c r="BD52" s="22">
        <f>IF(AND($H52&lt;&gt;"",$AH52&lt;&gt;"",$H52&lt;&gt;$AH52,IFERROR(VLOOKUP($H52,areaCercaPuntiClassificaSquadra,3,FALSE),-1)=IFERROR(VLOOKUP($AH52,areaCercaPuntiClassificaSquadra,3,FALSE),-2)),SUMIFS(Dati!$B$2:$B$761,Dati!$A$2:$A$761,$H52,Dati!$H$2:$H$761,$AH52)+SUMIFS(Dati!$I$2:$I$761,Dati!$H$2:$H$761,$H52,Dati!$A$2:$A$761,$AH52),"-")</f>
        <v/>
      </c>
      <c r="BE52" s="22">
        <f>IF(AND($H52&lt;&gt;"",$AI52&lt;&gt;"",$H52&lt;&gt;$AI52,IFERROR(VLOOKUP($H52,areaCercaPuntiClassificaSquadra,3,FALSE),-1)=IFERROR(VLOOKUP($AI52,areaCercaPuntiClassificaSquadra,3,FALSE),-2)),SUMIFS(Dati!$B$2:$B$761,Dati!$A$2:$A$761,$H52,Dati!$H$2:$H$761,$AI52)+SUMIFS(Dati!$I$2:$I$761,Dati!$H$2:$H$761,$H52,Dati!$A$2:$A$761,$AI52),"-")</f>
        <v/>
      </c>
      <c r="BF52" s="22">
        <f>IF(AND($H52&lt;&gt;"",$AJ52&lt;&gt;"",$H52&lt;&gt;$AJ52,IFERROR(VLOOKUP($H52,areaCercaPuntiClassificaSquadra,3,FALSE),-1)=IFERROR(VLOOKUP($AJ52,areaCercaPuntiClassificaSquadra,3,FALSE),-2)),SUMIFS(Dati!$B$2:$B$761,Dati!$A$2:$A$761,$H52,Dati!$H$2:$H$761,$AJ52)+SUMIFS(Dati!$I$2:$I$761,Dati!$H$2:$H$761,$H52,Dati!$A$2:$A$761,$AJ52),"-")</f>
        <v/>
      </c>
      <c r="BG52" s="22">
        <f>IF(AND($H52&lt;&gt;"",$AK52&lt;&gt;"",$H52&lt;&gt;$AK52,IFERROR(VLOOKUP($H52,areaCercaPuntiClassificaSquadra,3,FALSE),-1)=IFERROR(VLOOKUP($AK52,areaCercaPuntiClassificaSquadra,3,FALSE),-2)),SUMIFS(Dati!$B$2:$B$761,Dati!$A$2:$A$761,$H52,Dati!$H$2:$H$761,$AK52)+SUMIFS(Dati!$I$2:$I$761,Dati!$H$2:$H$761,$H52,Dati!$A$2:$A$761,$AK52),"-")</f>
        <v/>
      </c>
      <c r="BH52" s="22">
        <f>IF(AND($H52&lt;&gt;"",$AL52&lt;&gt;"",$H52&lt;&gt;$AL52,IFERROR(VLOOKUP($H52,areaCercaPuntiClassificaSquadra,3,FALSE),-1)=IFERROR(VLOOKUP($AL52,areaCercaPuntiClassificaSquadra,3,FALSE),-2)),SUMIFS(Dati!$B$2:$B$761,Dati!$A$2:$A$761,$H52,Dati!$H$2:$H$761,$AL52)+SUMIFS(Dati!$I$2:$I$761,Dati!$H$2:$H$761,$H52,Dati!$A$2:$A$761,$AL52),"-")</f>
        <v/>
      </c>
      <c r="BI52" s="22">
        <f>IF(AND($H52&lt;&gt;"",$AM52&lt;&gt;"",$H52&lt;&gt;$AM52,IFERROR(VLOOKUP($H52,areaCercaPuntiClassificaSquadra,3,FALSE),-1)=IFERROR(VLOOKUP($AM52,areaCercaPuntiClassificaSquadra,3,FALSE),-2)),SUMIFS(Dati!$B$2:$B$761,Dati!$A$2:$A$761,$H52,Dati!$H$2:$H$761,$AM52)+SUMIFS(Dati!$I$2:$I$761,Dati!$H$2:$H$761,$H52,Dati!$A$2:$A$761,$AM52),"-")</f>
        <v/>
      </c>
      <c r="BJ52" s="22">
        <f>IF(AND($H52&lt;&gt;"",$AN52&lt;&gt;"",$H52&lt;&gt;$AN52,IFERROR(VLOOKUP($H52,areaCercaPuntiClassificaSquadra,3,FALSE),-1)=IFERROR(VLOOKUP($AN52,areaCercaPuntiClassificaSquadra,3,FALSE),-2)),SUMIFS(Dati!$B$2:$B$761,Dati!$A$2:$A$761,$H52,Dati!$H$2:$H$761,$AN52)+SUMIFS(Dati!$I$2:$I$761,Dati!$H$2:$H$761,$H52,Dati!$A$2:$A$761,$AN52),"-")</f>
        <v/>
      </c>
      <c r="BK52" s="22">
        <f>IF(AND($H52&lt;&gt;"",$AO52&lt;&gt;"",$H52&lt;&gt;$AO52,IFERROR(VLOOKUP($H52,areaCercaPuntiClassificaSquadra,3,FALSE),-1)=IFERROR(VLOOKUP($AO52,areaCercaPuntiClassificaSquadra,3,FALSE),-2)),SUMIFS(Dati!$B$2:$B$761,Dati!$A$2:$A$761,$H52,Dati!$H$2:$H$761,$AO52)+SUMIFS(Dati!$I$2:$I$761,Dati!$H$2:$H$761,$H52,Dati!$A$2:$A$761,$AO52),"-")</f>
        <v/>
      </c>
      <c r="BL52" s="22">
        <f>IF(AND($H52&lt;&gt;"",$AP52&lt;&gt;"",$H52&lt;&gt;$AP52,IFERROR(VLOOKUP($H52,areaCercaPuntiClassificaSquadra,3,FALSE),-1)=IFERROR(VLOOKUP($AP52,areaCercaPuntiClassificaSquadra,3,FALSE),-2)),SUMIFS(Dati!$B$2:$B$761,Dati!$A$2:$A$761,$H52,Dati!$H$2:$H$761,$AP52)+SUMIFS(Dati!$I$2:$I$761,Dati!$H$2:$H$761,$H52,Dati!$A$2:$A$761,$AP52),"-")</f>
        <v/>
      </c>
      <c r="BM52" s="22">
        <f>IF(AND($H52&lt;&gt;"",$AQ52&lt;&gt;"",$H52&lt;&gt;$AQ52,IFERROR(VLOOKUP($H52,areaCercaPuntiClassificaSquadra,3,FALSE),-1)=IFERROR(VLOOKUP($AQ52,areaCercaPuntiClassificaSquadra,3,FALSE),-2)),SUMIFS(Dati!$B$2:$B$761,Dati!$A$2:$A$761,$H52,Dati!$H$2:$H$761,$AQ52)+SUMIFS(Dati!$I$2:$I$761,Dati!$H$2:$H$761,$H52,Dati!$A$2:$A$761,$AQ52),"-")</f>
        <v/>
      </c>
      <c r="BN52" s="22">
        <f>IF(AND($H52&lt;&gt;"",$AR52&lt;&gt;"",$H52&lt;&gt;$AR52,IFERROR(VLOOKUP($H52,areaCercaPuntiClassificaSquadra,3,FALSE),-1)=IFERROR(VLOOKUP($AR52,areaCercaPuntiClassificaSquadra,3,FALSE),-2)),SUMIFS(Dati!$B$2:$B$761,Dati!$A$2:$A$761,$H52,Dati!$H$2:$H$761,$AR52)+SUMIFS(Dati!$I$2:$I$761,Dati!$H$2:$H$761,$H52,Dati!$A$2:$A$761,$AR52),"-")</f>
        <v/>
      </c>
      <c r="BP52" s="21">
        <f>$C52</f>
        <v/>
      </c>
      <c r="BQ52" s="22">
        <f>IF(AND($H52&lt;&gt;"",$Y52&lt;&gt;"",$H52&lt;&gt;$Y52,IFERROR(VLOOKUP($H52,areaCercaPuntiClassificaSquadra,3,FALSE),-1)=IFERROR(VLOOKUP($Y52,areaCercaPuntiClassificaSquadra,3,FALSE),-2)),SUMIFS(Dati!$D$2:$D$761,Dati!$A$2:$A$761,$H52,Dati!$H$2:$H$761,$Y52)+SUMIFS(Dati!$K$2:$K$761,Dati!$H$2:$H$761,$H52,Dati!$A$2:$A$761,$Y52)+SUMIFS(Dati!$C$2:$C$761,Dati!$A$2:$A$761,$H52,Dati!$H$2:$H$761,$Y52)+SUMIFS(Dati!$J$2:$J$761,Dati!$H$2:$H$761,$H52,Dati!$A$2:$A$761,$Y52),"-")</f>
        <v/>
      </c>
      <c r="BR52" s="22">
        <f>IF(AND($H52&lt;&gt;"",$Z52&lt;&gt;"",$H52&lt;&gt;$Z52,IFERROR(VLOOKUP($H52,areaCercaPuntiClassificaSquadra,3,FALSE),-1)=IFERROR(VLOOKUP($Z52,areaCercaPuntiClassificaSquadra,3,FALSE),-2)),SUMIFS(Dati!$D$2:$D$761,Dati!$A$2:$A$761,$H52,Dati!$H$2:$H$761,$Z52)+SUMIFS(Dati!$K$2:$K$761,Dati!$H$2:$H$761,$H52,Dati!$A$2:$A$761,$Z52)+SUMIFS(Dati!$C$2:$C$761,Dati!$A$2:$A$761,$H52,Dati!$H$2:$H$761,$Z52)+SUMIFS(Dati!$J$2:$J$761,Dati!$H$2:$H$761,$H52,Dati!$A$2:$A$761,$Z52),"-")</f>
        <v/>
      </c>
      <c r="BS52" s="22">
        <f>IF(AND($H52&lt;&gt;"",$AA52&lt;&gt;"",$H52&lt;&gt;$AA52,IFERROR(VLOOKUP($H52,areaCercaPuntiClassificaSquadra,3,FALSE),-1)=IFERROR(VLOOKUP($AA52,areaCercaPuntiClassificaSquadra,3,FALSE),-2)),SUMIFS(Dati!$D$2:$D$761,Dati!$A$2:$A$761,$H52,Dati!$H$2:$H$761,$AA52)+SUMIFS(Dati!$K$2:$K$761,Dati!$H$2:$H$761,$H52,Dati!$A$2:$A$761,$AA52)+SUMIFS(Dati!$C$2:$C$761,Dati!$A$2:$A$761,$H52,Dati!$H$2:$H$761,$AA52)+SUMIFS(Dati!$J$2:$J$761,Dati!$H$2:$H$761,$H52,Dati!$A$2:$A$761,$AA52),"-")</f>
        <v/>
      </c>
      <c r="BT52" s="22">
        <f>IF(AND($H52&lt;&gt;"",$AB52&lt;&gt;"",$H52&lt;&gt;$AB52,IFERROR(VLOOKUP($H52,areaCercaPuntiClassificaSquadra,3,FALSE),-1)=IFERROR(VLOOKUP($AB52,areaCercaPuntiClassificaSquadra,3,FALSE),-2)),SUMIFS(Dati!$D$2:$D$761,Dati!$A$2:$A$761,$H52,Dati!$H$2:$H$761,$AB52)+SUMIFS(Dati!$K$2:$K$761,Dati!$H$2:$H$761,$H52,Dati!$A$2:$A$761,$AB52)+SUMIFS(Dati!$C$2:$C$761,Dati!$A$2:$A$761,$H52,Dati!$H$2:$H$761,$AB52)+SUMIFS(Dati!$J$2:$J$761,Dati!$H$2:$H$761,$H52,Dati!$A$2:$A$761,$AB52),"-")</f>
        <v/>
      </c>
      <c r="BU52" s="22">
        <f>IF(AND($H52&lt;&gt;"",$AC52&lt;&gt;"",$H52&lt;&gt;$AC52,IFERROR(VLOOKUP($H52,areaCercaPuntiClassificaSquadra,3,FALSE),-1)=IFERROR(VLOOKUP($AC52,areaCercaPuntiClassificaSquadra,3,FALSE),-2)),SUMIFS(Dati!$D$2:$D$761,Dati!$A$2:$A$761,$H52,Dati!$H$2:$H$761,$AC52)+SUMIFS(Dati!$K$2:$K$761,Dati!$H$2:$H$761,$H52,Dati!$A$2:$A$761,$AC52)+SUMIFS(Dati!$C$2:$C$761,Dati!$A$2:$A$761,$H52,Dati!$H$2:$H$761,$AC52)+SUMIFS(Dati!$J$2:$J$761,Dati!$H$2:$H$761,$H52,Dati!$A$2:$A$761,$AC52),"-")</f>
        <v/>
      </c>
      <c r="BV52" s="22">
        <f>IF(AND($H52&lt;&gt;"",$AD52&lt;&gt;"",$H52&lt;&gt;$AD52,IFERROR(VLOOKUP($H52,areaCercaPuntiClassificaSquadra,3,FALSE),-1)=IFERROR(VLOOKUP($AD52,areaCercaPuntiClassificaSquadra,3,FALSE),-2)),SUMIFS(Dati!$D$2:$D$761,Dati!$A$2:$A$761,$H52,Dati!$H$2:$H$761,$AD52)+SUMIFS(Dati!$K$2:$K$761,Dati!$H$2:$H$761,$H52,Dati!$A$2:$A$761,$AD52)+SUMIFS(Dati!$C$2:$C$761,Dati!$A$2:$A$761,$H52,Dati!$H$2:$H$761,$AD52)+SUMIFS(Dati!$J$2:$J$761,Dati!$H$2:$H$761,$H52,Dati!$A$2:$A$761,$AD52),"-")</f>
        <v/>
      </c>
      <c r="BW52" s="22">
        <f>IF(AND($H52&lt;&gt;"",$AE52&lt;&gt;"",$H52&lt;&gt;$AE52,IFERROR(VLOOKUP($H52,areaCercaPuntiClassificaSquadra,3,FALSE),-1)=IFERROR(VLOOKUP($AE52,areaCercaPuntiClassificaSquadra,3,FALSE),-2)),SUMIFS(Dati!$D$2:$D$761,Dati!$A$2:$A$761,$H52,Dati!$H$2:$H$761,$AE52)+SUMIFS(Dati!$K$2:$K$761,Dati!$H$2:$H$761,$H52,Dati!$A$2:$A$761,$AE52)+SUMIFS(Dati!$C$2:$C$761,Dati!$A$2:$A$761,$H52,Dati!$H$2:$H$761,$AE52)+SUMIFS(Dati!$J$2:$J$761,Dati!$H$2:$H$761,$H52,Dati!$A$2:$A$761,$AE52),"-")</f>
        <v/>
      </c>
      <c r="BX52" s="22">
        <f>IF(AND($H52&lt;&gt;"",$AF52&lt;&gt;"",$H52&lt;&gt;$AF52,IFERROR(VLOOKUP($H52,areaCercaPuntiClassificaSquadra,3,FALSE),-1)=IFERROR(VLOOKUP($AF52,areaCercaPuntiClassificaSquadra,3,FALSE),-2)),SUMIFS(Dati!$D$2:$D$761,Dati!$A$2:$A$761,$H52,Dati!$H$2:$H$761,$AF52)+SUMIFS(Dati!$K$2:$K$761,Dati!$H$2:$H$761,$H52,Dati!$A$2:$A$761,$AF52)+SUMIFS(Dati!$C$2:$C$761,Dati!$A$2:$A$761,$H52,Dati!$H$2:$H$761,$AF52)+SUMIFS(Dati!$J$2:$J$761,Dati!$H$2:$H$761,$H52,Dati!$A$2:$A$761,$AF52),"-")</f>
        <v/>
      </c>
      <c r="BY52" s="22">
        <f>IF(AND($H52&lt;&gt;"",$AG52&lt;&gt;"",$H52&lt;&gt;$AG52,IFERROR(VLOOKUP($H52,areaCercaPuntiClassificaSquadra,3,FALSE),-1)=IFERROR(VLOOKUP($AG52,areaCercaPuntiClassificaSquadra,3,FALSE),-2)),SUMIFS(Dati!$D$2:$D$761,Dati!$A$2:$A$761,$H52,Dati!$H$2:$H$761,$AG52)+SUMIFS(Dati!$K$2:$K$761,Dati!$H$2:$H$761,$H52,Dati!$A$2:$A$761,$AG52)+SUMIFS(Dati!$C$2:$C$761,Dati!$A$2:$A$761,$H52,Dati!$H$2:$H$761,$AG52)+SUMIFS(Dati!$J$2:$J$761,Dati!$H$2:$H$761,$H52,Dati!$A$2:$A$761,$AG52),"-")</f>
        <v/>
      </c>
      <c r="BZ52" s="22">
        <f>IF(AND($H52&lt;&gt;"",$AH52&lt;&gt;"",$H52&lt;&gt;$AH52,IFERROR(VLOOKUP($H52,areaCercaPuntiClassificaSquadra,3,FALSE),-1)=IFERROR(VLOOKUP($AH52,areaCercaPuntiClassificaSquadra,3,FALSE),-2)),SUMIFS(Dati!$D$2:$D$761,Dati!$A$2:$A$761,$H52,Dati!$H$2:$H$761,$AH52)+SUMIFS(Dati!$K$2:$K$761,Dati!$H$2:$H$761,$H52,Dati!$A$2:$A$761,$AH52)+SUMIFS(Dati!$C$2:$C$761,Dati!$A$2:$A$761,$H52,Dati!$H$2:$H$761,$AH52)+SUMIFS(Dati!$J$2:$J$761,Dati!$H$2:$H$761,$H52,Dati!$A$2:$A$761,$AH52),"-")</f>
        <v/>
      </c>
      <c r="CA52" s="22">
        <f>IF(AND($H52&lt;&gt;"",$AI52&lt;&gt;"",$H52&lt;&gt;$AI52,IFERROR(VLOOKUP($H52,areaCercaPuntiClassificaSquadra,3,FALSE),-1)=IFERROR(VLOOKUP($AI52,areaCercaPuntiClassificaSquadra,3,FALSE),-2)),SUMIFS(Dati!$D$2:$D$761,Dati!$A$2:$A$761,$H52,Dati!$H$2:$H$761,$AI52)+SUMIFS(Dati!$K$2:$K$761,Dati!$H$2:$H$761,$H52,Dati!$A$2:$A$761,$AI52)+SUMIFS(Dati!$C$2:$C$761,Dati!$A$2:$A$761,$H52,Dati!$H$2:$H$761,$AI52)+SUMIFS(Dati!$J$2:$J$761,Dati!$H$2:$H$761,$H52,Dati!$A$2:$A$761,$AI52),"-")</f>
        <v/>
      </c>
      <c r="CB52" s="22">
        <f>IF(AND($H52&lt;&gt;"",$AJ52&lt;&gt;"",$H52&lt;&gt;$AJ52,IFERROR(VLOOKUP($H52,areaCercaPuntiClassificaSquadra,3,FALSE),-1)=IFERROR(VLOOKUP($AJ52,areaCercaPuntiClassificaSquadra,3,FALSE),-2)),SUMIFS(Dati!$D$2:$D$761,Dati!$A$2:$A$761,$H52,Dati!$H$2:$H$761,$AJ52)+SUMIFS(Dati!$K$2:$K$761,Dati!$H$2:$H$761,$H52,Dati!$A$2:$A$761,$AJ52)+SUMIFS(Dati!$C$2:$C$761,Dati!$A$2:$A$761,$H52,Dati!$H$2:$H$761,$AJ52)+SUMIFS(Dati!$J$2:$J$761,Dati!$H$2:$H$761,$H52,Dati!$A$2:$A$761,$AJ52),"-")</f>
        <v/>
      </c>
      <c r="CC52" s="22">
        <f>IF(AND($H52&lt;&gt;"",$AK52&lt;&gt;"",$H52&lt;&gt;$AK52,IFERROR(VLOOKUP($H52,areaCercaPuntiClassificaSquadra,3,FALSE),-1)=IFERROR(VLOOKUP($AK52,areaCercaPuntiClassificaSquadra,3,FALSE),-2)),SUMIFS(Dati!$D$2:$D$761,Dati!$A$2:$A$761,$H52,Dati!$H$2:$H$761,$AK52)+SUMIFS(Dati!$K$2:$K$761,Dati!$H$2:$H$761,$H52,Dati!$A$2:$A$761,$AK52)+SUMIFS(Dati!$C$2:$C$761,Dati!$A$2:$A$761,$H52,Dati!$H$2:$H$761,$AK52)+SUMIFS(Dati!$J$2:$J$761,Dati!$H$2:$H$761,$H52,Dati!$A$2:$A$761,$AK52),"-")</f>
        <v/>
      </c>
      <c r="CD52" s="22">
        <f>IF(AND($H52&lt;&gt;"",$AL52&lt;&gt;"",$H52&lt;&gt;$AL52,IFERROR(VLOOKUP($H52,areaCercaPuntiClassificaSquadra,3,FALSE),-1)=IFERROR(VLOOKUP($AL52,areaCercaPuntiClassificaSquadra,3,FALSE),-2)),SUMIFS(Dati!$D$2:$D$761,Dati!$A$2:$A$761,$H52,Dati!$H$2:$H$761,$AL52)+SUMIFS(Dati!$K$2:$K$761,Dati!$H$2:$H$761,$H52,Dati!$A$2:$A$761,$AL52)+SUMIFS(Dati!$C$2:$C$761,Dati!$A$2:$A$761,$H52,Dati!$H$2:$H$761,$AL52)+SUMIFS(Dati!$J$2:$J$761,Dati!$H$2:$H$761,$H52,Dati!$A$2:$A$761,$AL52),"-")</f>
        <v/>
      </c>
      <c r="CE52" s="22">
        <f>IF(AND($H52&lt;&gt;"",$AM52&lt;&gt;"",$H52&lt;&gt;$AM52,IFERROR(VLOOKUP($H52,areaCercaPuntiClassificaSquadra,3,FALSE),-1)=IFERROR(VLOOKUP($AM52,areaCercaPuntiClassificaSquadra,3,FALSE),-2)),SUMIFS(Dati!$D$2:$D$761,Dati!$A$2:$A$761,$H52,Dati!$H$2:$H$761,$AM52)+SUMIFS(Dati!$K$2:$K$761,Dati!$H$2:$H$761,$H52,Dati!$A$2:$A$761,$AM52)+SUMIFS(Dati!$C$2:$C$761,Dati!$A$2:$A$761,$H52,Dati!$H$2:$H$761,$AM52)+SUMIFS(Dati!$J$2:$J$761,Dati!$H$2:$H$761,$H52,Dati!$A$2:$A$761,$AM52),"-")</f>
        <v/>
      </c>
      <c r="CF52" s="22">
        <f>IF(AND($H52&lt;&gt;"",$AN52&lt;&gt;"",$H52&lt;&gt;$AN52,IFERROR(VLOOKUP($H52,areaCercaPuntiClassificaSquadra,3,FALSE),-1)=IFERROR(VLOOKUP($AN52,areaCercaPuntiClassificaSquadra,3,FALSE),-2)),SUMIFS(Dati!$D$2:$D$761,Dati!$A$2:$A$761,$H52,Dati!$H$2:$H$761,$AN52)+SUMIFS(Dati!$K$2:$K$761,Dati!$H$2:$H$761,$H52,Dati!$A$2:$A$761,$AN52)+SUMIFS(Dati!$C$2:$C$761,Dati!$A$2:$A$761,$H52,Dati!$H$2:$H$761,$AN52)+SUMIFS(Dati!$J$2:$J$761,Dati!$H$2:$H$761,$H52,Dati!$A$2:$A$761,$AN52),"-")</f>
        <v/>
      </c>
      <c r="CG52" s="22">
        <f>IF(AND($H52&lt;&gt;"",$AO52&lt;&gt;"",$H52&lt;&gt;$AO52,IFERROR(VLOOKUP($H52,areaCercaPuntiClassificaSquadra,3,FALSE),-1)=IFERROR(VLOOKUP($AO52,areaCercaPuntiClassificaSquadra,3,FALSE),-2)),SUMIFS(Dati!$D$2:$D$761,Dati!$A$2:$A$761,$H52,Dati!$H$2:$H$761,$AO52)+SUMIFS(Dati!$K$2:$K$761,Dati!$H$2:$H$761,$H52,Dati!$A$2:$A$761,$AO52)+SUMIFS(Dati!$C$2:$C$761,Dati!$A$2:$A$761,$H52,Dati!$H$2:$H$761,$AO52)+SUMIFS(Dati!$J$2:$J$761,Dati!$H$2:$H$761,$H52,Dati!$A$2:$A$761,$AO52),"-")</f>
        <v/>
      </c>
      <c r="CH52" s="22">
        <f>IF(AND($H52&lt;&gt;"",$AP52&lt;&gt;"",$H52&lt;&gt;$AP52,IFERROR(VLOOKUP($H52,areaCercaPuntiClassificaSquadra,3,FALSE),-1)=IFERROR(VLOOKUP($AP52,areaCercaPuntiClassificaSquadra,3,FALSE),-2)),SUMIFS(Dati!$D$2:$D$761,Dati!$A$2:$A$761,$H52,Dati!$H$2:$H$761,$AP52)+SUMIFS(Dati!$K$2:$K$761,Dati!$H$2:$H$761,$H52,Dati!$A$2:$A$761,$AP52)+SUMIFS(Dati!$C$2:$C$761,Dati!$A$2:$A$761,$H52,Dati!$H$2:$H$761,$AP52)+SUMIFS(Dati!$J$2:$J$761,Dati!$H$2:$H$761,$H52,Dati!$A$2:$A$761,$AP52),"-")</f>
        <v/>
      </c>
      <c r="CI52" s="22">
        <f>IF(AND($H52&lt;&gt;"",$AQ52&lt;&gt;"",$H52&lt;&gt;$AQ52,IFERROR(VLOOKUP($H52,areaCercaPuntiClassificaSquadra,3,FALSE),-1)=IFERROR(VLOOKUP($AQ52,areaCercaPuntiClassificaSquadra,3,FALSE),-2)),SUMIFS(Dati!$D$2:$D$761,Dati!$A$2:$A$761,$H52,Dati!$H$2:$H$761,$AQ52)+SUMIFS(Dati!$K$2:$K$761,Dati!$H$2:$H$761,$H52,Dati!$A$2:$A$761,$AQ52)+SUMIFS(Dati!$C$2:$C$761,Dati!$A$2:$A$761,$H52,Dati!$H$2:$H$761,$AQ52)+SUMIFS(Dati!$J$2:$J$761,Dati!$H$2:$H$761,$H52,Dati!$A$2:$A$761,$AQ52),"-")</f>
        <v/>
      </c>
      <c r="CJ52" s="22">
        <f>IF(AND($H52&lt;&gt;"",$AR52&lt;&gt;"",$H52&lt;&gt;$AR52,IFERROR(VLOOKUP($H52,areaCercaPuntiClassificaSquadra,3,FALSE),-1)=IFERROR(VLOOKUP($AR52,areaCercaPuntiClassificaSquadra,3,FALSE),-2)),SUMIFS(Dati!$D$2:$D$761,Dati!$A$2:$A$761,$H52,Dati!$H$2:$H$761,$AR52)+SUMIFS(Dati!$K$2:$K$761,Dati!$H$2:$H$761,$H52,Dati!$A$2:$A$761,$AR52)+SUMIFS(Dati!$C$2:$C$761,Dati!$A$2:$A$761,$H52,Dati!$H$2:$H$761,$AR52)+SUMIFS(Dati!$J$2:$J$761,Dati!$H$2:$H$761,$H52,Dati!$A$2:$A$761,$AR52),"-")</f>
        <v/>
      </c>
      <c r="CL52" s="21">
        <f>$C52</f>
        <v/>
      </c>
      <c r="CM52" s="22">
        <f>IF(AND($H52&lt;&gt;"",$Y52&lt;&gt;"",$H52&lt;&gt;$Y52,IFERROR(VLOOKUP($H52,areaCercaPuntiClassificaSquadra,3,FALSE),-1)=IFERROR(VLOOKUP($Y52,areaCercaPuntiClassificaSquadra,3,FALSE),-2)),SUMIFS(Dati!$E$2:$E$761,Dati!$A$2:$A$761,$H52,Dati!$H$2:$H$761,$Y52)+SUMIFS(Dati!$L$2:$L$761,Dati!$H$2:$H$761,$H52,Dati!$A$2:$A$761,$Y52),"-")</f>
        <v/>
      </c>
      <c r="CN52" s="22">
        <f>IF(AND($H52&lt;&gt;"",$Z52&lt;&gt;"",$H52&lt;&gt;$Z52,IFERROR(VLOOKUP($H52,areaCercaPuntiClassificaSquadra,3,FALSE),-1)=IFERROR(VLOOKUP($Z52,areaCercaPuntiClassificaSquadra,3,FALSE),-2)),SUMIFS(Dati!$E$2:$E$761,Dati!$A$2:$A$761,$H52,Dati!$H$2:$H$761,$Z52)+SUMIFS(Dati!$L$2:$L$761,Dati!$H$2:$H$761,$H52,Dati!$A$2:$A$761,$Z52),"-")</f>
        <v/>
      </c>
      <c r="CO52" s="22">
        <f>IF(AND($H52&lt;&gt;"",$AA52&lt;&gt;"",$H52&lt;&gt;$AA52,IFERROR(VLOOKUP($H52,areaCercaPuntiClassificaSquadra,3,FALSE),-1)=IFERROR(VLOOKUP($AA52,areaCercaPuntiClassificaSquadra,3,FALSE),-2)),SUMIFS(Dati!$E$2:$E$761,Dati!$A$2:$A$761,$H52,Dati!$H$2:$H$761,$AA52)+SUMIFS(Dati!$L$2:$L$761,Dati!$H$2:$H$761,$H52,Dati!$A$2:$A$761,$AA52),"-")</f>
        <v/>
      </c>
      <c r="CP52" s="22">
        <f>IF(AND($H52&lt;&gt;"",$AB52&lt;&gt;"",$H52&lt;&gt;$AB52,IFERROR(VLOOKUP($H52,areaCercaPuntiClassificaSquadra,3,FALSE),-1)=IFERROR(VLOOKUP($AB52,areaCercaPuntiClassificaSquadra,3,FALSE),-2)),SUMIFS(Dati!$E$2:$E$761,Dati!$A$2:$A$761,$H52,Dati!$H$2:$H$761,$AB52)+SUMIFS(Dati!$L$2:$L$761,Dati!$H$2:$H$761,$H52,Dati!$A$2:$A$761,$AB52),"-")</f>
        <v/>
      </c>
      <c r="CQ52" s="22">
        <f>IF(AND($H52&lt;&gt;"",$AC52&lt;&gt;"",$H52&lt;&gt;$AC52,IFERROR(VLOOKUP($H52,areaCercaPuntiClassificaSquadra,3,FALSE),-1)=IFERROR(VLOOKUP($AC52,areaCercaPuntiClassificaSquadra,3,FALSE),-2)),SUMIFS(Dati!$E$2:$E$761,Dati!$A$2:$A$761,$H52,Dati!$H$2:$H$761,$AC52)+SUMIFS(Dati!$L$2:$L$761,Dati!$H$2:$H$761,$H52,Dati!$A$2:$A$761,$AC52),"-")</f>
        <v/>
      </c>
      <c r="CR52" s="22">
        <f>IF(AND($H52&lt;&gt;"",$AD52&lt;&gt;"",$H52&lt;&gt;$AD52,IFERROR(VLOOKUP($H52,areaCercaPuntiClassificaSquadra,3,FALSE),-1)=IFERROR(VLOOKUP($AD52,areaCercaPuntiClassificaSquadra,3,FALSE),-2)),SUMIFS(Dati!$E$2:$E$761,Dati!$A$2:$A$761,$H52,Dati!$H$2:$H$761,$AD52)+SUMIFS(Dati!$L$2:$L$761,Dati!$H$2:$H$761,$H52,Dati!$A$2:$A$761,$AD52),"-")</f>
        <v/>
      </c>
      <c r="CS52" s="22">
        <f>IF(AND($H52&lt;&gt;"",$AE52&lt;&gt;"",$H52&lt;&gt;$AE52,IFERROR(VLOOKUP($H52,areaCercaPuntiClassificaSquadra,3,FALSE),-1)=IFERROR(VLOOKUP($AE52,areaCercaPuntiClassificaSquadra,3,FALSE),-2)),SUMIFS(Dati!$E$2:$E$761,Dati!$A$2:$A$761,$H52,Dati!$H$2:$H$761,$AE52)+SUMIFS(Dati!$L$2:$L$761,Dati!$H$2:$H$761,$H52,Dati!$A$2:$A$761,$AE52),"-")</f>
        <v/>
      </c>
      <c r="CT52" s="22">
        <f>IF(AND($H52&lt;&gt;"",$AF52&lt;&gt;"",$H52&lt;&gt;$AF52,IFERROR(VLOOKUP($H52,areaCercaPuntiClassificaSquadra,3,FALSE),-1)=IFERROR(VLOOKUP($AF52,areaCercaPuntiClassificaSquadra,3,FALSE),-2)),SUMIFS(Dati!$E$2:$E$761,Dati!$A$2:$A$761,$H52,Dati!$H$2:$H$761,$AF52)+SUMIFS(Dati!$L$2:$L$761,Dati!$H$2:$H$761,$H52,Dati!$A$2:$A$761,$AF52),"-")</f>
        <v/>
      </c>
      <c r="CU52" s="22">
        <f>IF(AND($H52&lt;&gt;"",$AG52&lt;&gt;"",$H52&lt;&gt;$AG52,IFERROR(VLOOKUP($H52,areaCercaPuntiClassificaSquadra,3,FALSE),-1)=IFERROR(VLOOKUP($AG52,areaCercaPuntiClassificaSquadra,3,FALSE),-2)),SUMIFS(Dati!$E$2:$E$761,Dati!$A$2:$A$761,$H52,Dati!$H$2:$H$761,$AG52)+SUMIFS(Dati!$L$2:$L$761,Dati!$H$2:$H$761,$H52,Dati!$A$2:$A$761,$AG52),"-")</f>
        <v/>
      </c>
      <c r="CV52" s="22">
        <f>IF(AND($H52&lt;&gt;"",$AH52&lt;&gt;"",$H52&lt;&gt;$AH52,IFERROR(VLOOKUP($H52,areaCercaPuntiClassificaSquadra,3,FALSE),-1)=IFERROR(VLOOKUP($AH52,areaCercaPuntiClassificaSquadra,3,FALSE),-2)),SUMIFS(Dati!$E$2:$E$761,Dati!$A$2:$A$761,$H52,Dati!$H$2:$H$761,$AH52)+SUMIFS(Dati!$L$2:$L$761,Dati!$H$2:$H$761,$H52,Dati!$A$2:$A$761,$AH52),"-")</f>
        <v/>
      </c>
      <c r="CW52" s="22">
        <f>IF(AND($H52&lt;&gt;"",$AI52&lt;&gt;"",$H52&lt;&gt;$AI52,IFERROR(VLOOKUP($H52,areaCercaPuntiClassificaSquadra,3,FALSE),-1)=IFERROR(VLOOKUP($AI52,areaCercaPuntiClassificaSquadra,3,FALSE),-2)),SUMIFS(Dati!$E$2:$E$761,Dati!$A$2:$A$761,$H52,Dati!$H$2:$H$761,$AI52)+SUMIFS(Dati!$L$2:$L$761,Dati!$H$2:$H$761,$H52,Dati!$A$2:$A$761,$AI52),"-")</f>
        <v/>
      </c>
      <c r="CX52" s="22">
        <f>IF(AND($H52&lt;&gt;"",$AJ52&lt;&gt;"",$H52&lt;&gt;$AJ52,IFERROR(VLOOKUP($H52,areaCercaPuntiClassificaSquadra,3,FALSE),-1)=IFERROR(VLOOKUP($AJ52,areaCercaPuntiClassificaSquadra,3,FALSE),-2)),SUMIFS(Dati!$E$2:$E$761,Dati!$A$2:$A$761,$H52,Dati!$H$2:$H$761,$AJ52)+SUMIFS(Dati!$L$2:$L$761,Dati!$H$2:$H$761,$H52,Dati!$A$2:$A$761,$AJ52),"-")</f>
        <v/>
      </c>
      <c r="CY52" s="22">
        <f>IF(AND($H52&lt;&gt;"",$AK52&lt;&gt;"",$H52&lt;&gt;$AK52,IFERROR(VLOOKUP($H52,areaCercaPuntiClassificaSquadra,3,FALSE),-1)=IFERROR(VLOOKUP($AK52,areaCercaPuntiClassificaSquadra,3,FALSE),-2)),SUMIFS(Dati!$E$2:$E$761,Dati!$A$2:$A$761,$H52,Dati!$H$2:$H$761,$AK52)+SUMIFS(Dati!$L$2:$L$761,Dati!$H$2:$H$761,$H52,Dati!$A$2:$A$761,$AK52),"-")</f>
        <v/>
      </c>
      <c r="CZ52" s="22">
        <f>IF(AND($H52&lt;&gt;"",$AL52&lt;&gt;"",$H52&lt;&gt;$AL52,IFERROR(VLOOKUP($H52,areaCercaPuntiClassificaSquadra,3,FALSE),-1)=IFERROR(VLOOKUP($AL52,areaCercaPuntiClassificaSquadra,3,FALSE),-2)),SUMIFS(Dati!$E$2:$E$761,Dati!$A$2:$A$761,$H52,Dati!$H$2:$H$761,$AL52)+SUMIFS(Dati!$L$2:$L$761,Dati!$H$2:$H$761,$H52,Dati!$A$2:$A$761,$AL52),"-")</f>
        <v/>
      </c>
      <c r="DA52" s="22">
        <f>IF(AND($H52&lt;&gt;"",$AM52&lt;&gt;"",$H52&lt;&gt;$AM52,IFERROR(VLOOKUP($H52,areaCercaPuntiClassificaSquadra,3,FALSE),-1)=IFERROR(VLOOKUP($AM52,areaCercaPuntiClassificaSquadra,3,FALSE),-2)),SUMIFS(Dati!$E$2:$E$761,Dati!$A$2:$A$761,$H52,Dati!$H$2:$H$761,$AM52)+SUMIFS(Dati!$L$2:$L$761,Dati!$H$2:$H$761,$H52,Dati!$A$2:$A$761,$AM52),"-")</f>
        <v/>
      </c>
      <c r="DB52" s="22">
        <f>IF(AND($H52&lt;&gt;"",$AN52&lt;&gt;"",$H52&lt;&gt;$AN52,IFERROR(VLOOKUP($H52,areaCercaPuntiClassificaSquadra,3,FALSE),-1)=IFERROR(VLOOKUP($AN52,areaCercaPuntiClassificaSquadra,3,FALSE),-2)),SUMIFS(Dati!$E$2:$E$761,Dati!$A$2:$A$761,$H52,Dati!$H$2:$H$761,$AN52)+SUMIFS(Dati!$L$2:$L$761,Dati!$H$2:$H$761,$H52,Dati!$A$2:$A$761,$AN52),"-")</f>
        <v/>
      </c>
      <c r="DC52" s="22">
        <f>IF(AND($H52&lt;&gt;"",$AO52&lt;&gt;"",$H52&lt;&gt;$AO52,IFERROR(VLOOKUP($H52,areaCercaPuntiClassificaSquadra,3,FALSE),-1)=IFERROR(VLOOKUP($AO52,areaCercaPuntiClassificaSquadra,3,FALSE),-2)),SUMIFS(Dati!$E$2:$E$761,Dati!$A$2:$A$761,$H52,Dati!$H$2:$H$761,$AO52)+SUMIFS(Dati!$L$2:$L$761,Dati!$H$2:$H$761,$H52,Dati!$A$2:$A$761,$AO52),"-")</f>
        <v/>
      </c>
      <c r="DD52" s="22">
        <f>IF(AND($H52&lt;&gt;"",$AP52&lt;&gt;"",$H52&lt;&gt;$AP52,IFERROR(VLOOKUP($H52,areaCercaPuntiClassificaSquadra,3,FALSE),-1)=IFERROR(VLOOKUP($AP52,areaCercaPuntiClassificaSquadra,3,FALSE),-2)),SUMIFS(Dati!$E$2:$E$761,Dati!$A$2:$A$761,$H52,Dati!$H$2:$H$761,$AP52)+SUMIFS(Dati!$L$2:$L$761,Dati!$H$2:$H$761,$H52,Dati!$A$2:$A$761,$AP52),"-")</f>
        <v/>
      </c>
      <c r="DE52" s="22">
        <f>IF(AND($H52&lt;&gt;"",$AQ52&lt;&gt;"",$H52&lt;&gt;$AQ52,IFERROR(VLOOKUP($H52,areaCercaPuntiClassificaSquadra,3,FALSE),-1)=IFERROR(VLOOKUP($AQ52,areaCercaPuntiClassificaSquadra,3,FALSE),-2)),SUMIFS(Dati!$E$2:$E$761,Dati!$A$2:$A$761,$H52,Dati!$H$2:$H$761,$AQ52)+SUMIFS(Dati!$L$2:$L$761,Dati!$H$2:$H$761,$H52,Dati!$A$2:$A$761,$AQ52),"-")</f>
        <v/>
      </c>
      <c r="DF52" s="22">
        <f>IF(AND($H52&lt;&gt;"",$AR52&lt;&gt;"",$H52&lt;&gt;$AR52,IFERROR(VLOOKUP($H52,areaCercaPuntiClassificaSquadra,3,FALSE),-1)=IFERROR(VLOOKUP($AR52,areaCercaPuntiClassificaSquadra,3,FALSE),-2)),SUMIFS(Dati!$E$2:$E$761,Dati!$A$2:$A$761,$H52,Dati!$H$2:$H$761,$AR52)+SUMIFS(Dati!$L$2:$L$761,Dati!$H$2:$H$761,$H52,Dati!$A$2:$A$761,$AR52),"-")</f>
        <v/>
      </c>
      <c r="DH52" s="21">
        <f>$C52</f>
        <v/>
      </c>
      <c r="DI52" s="22">
        <f>IF(AND($H52&lt;&gt;"",$Y52&lt;&gt;"",$H52&lt;&gt;$Y52,IFERROR(VLOOKUP($H52,areaCercaPuntiClassificaSquadra,3,FALSE),-1)=IFERROR(VLOOKUP($Y52,areaCercaPuntiClassificaSquadra,3,FALSE),-2)),SUMIFS(Dati!$F$2:$F$761,Dati!$A$2:$A$761,$H52,Dati!$H$2:$H$761,$Y52)+SUMIFS(Dati!$M$2:$M$761,Dati!$H$2:$H$761,$H52,Dati!$A$2:$A$761,$Y52),"-")</f>
        <v/>
      </c>
      <c r="DJ52" s="22">
        <f>IF(AND($H52&lt;&gt;"",$Z52&lt;&gt;"",$H52&lt;&gt;$Z52,IFERROR(VLOOKUP($H52,areaCercaPuntiClassificaSquadra,3,FALSE),-1)=IFERROR(VLOOKUP($Z52,areaCercaPuntiClassificaSquadra,3,FALSE),-2)),SUMIFS(Dati!$F$2:$F$761,Dati!$A$2:$A$761,$H52,Dati!$H$2:$H$761,$Z52)+SUMIFS(Dati!$M$2:$M$761,Dati!$H$2:$H$761,$H52,Dati!$A$2:$A$761,$Z52),"-")</f>
        <v/>
      </c>
      <c r="DK52" s="22">
        <f>IF(AND($H52&lt;&gt;"",$AA52&lt;&gt;"",$H52&lt;&gt;$AA52,IFERROR(VLOOKUP($H52,areaCercaPuntiClassificaSquadra,3,FALSE),-1)=IFERROR(VLOOKUP($AA52,areaCercaPuntiClassificaSquadra,3,FALSE),-2)),SUMIFS(Dati!$F$2:$F$761,Dati!$A$2:$A$761,$H52,Dati!$H$2:$H$761,$AA52)+SUMIFS(Dati!$M$2:$M$761,Dati!$H$2:$H$761,$H52,Dati!$A$2:$A$761,$AA52),"-")</f>
        <v/>
      </c>
      <c r="DL52" s="22">
        <f>IF(AND($H52&lt;&gt;"",$AB52&lt;&gt;"",$H52&lt;&gt;$AB52,IFERROR(VLOOKUP($H52,areaCercaPuntiClassificaSquadra,3,FALSE),-1)=IFERROR(VLOOKUP($AB52,areaCercaPuntiClassificaSquadra,3,FALSE),-2)),SUMIFS(Dati!$F$2:$F$761,Dati!$A$2:$A$761,$H52,Dati!$H$2:$H$761,$AB52)+SUMIFS(Dati!$M$2:$M$761,Dati!$H$2:$H$761,$H52,Dati!$A$2:$A$761,$AB52),"-")</f>
        <v/>
      </c>
      <c r="DM52" s="22">
        <f>IF(AND($H52&lt;&gt;"",$AC52&lt;&gt;"",$H52&lt;&gt;$AC52,IFERROR(VLOOKUP($H52,areaCercaPuntiClassificaSquadra,3,FALSE),-1)=IFERROR(VLOOKUP($AC52,areaCercaPuntiClassificaSquadra,3,FALSE),-2)),SUMIFS(Dati!$F$2:$F$761,Dati!$A$2:$A$761,$H52,Dati!$H$2:$H$761,$AC52)+SUMIFS(Dati!$M$2:$M$761,Dati!$H$2:$H$761,$H52,Dati!$A$2:$A$761,$AC52),"-")</f>
        <v/>
      </c>
      <c r="DN52" s="22">
        <f>IF(AND($H52&lt;&gt;"",$AD52&lt;&gt;"",$H52&lt;&gt;$AD52,IFERROR(VLOOKUP($H52,areaCercaPuntiClassificaSquadra,3,FALSE),-1)=IFERROR(VLOOKUP($AD52,areaCercaPuntiClassificaSquadra,3,FALSE),-2)),SUMIFS(Dati!$F$2:$F$761,Dati!$A$2:$A$761,$H52,Dati!$H$2:$H$761,$AD52)+SUMIFS(Dati!$M$2:$M$761,Dati!$H$2:$H$761,$H52,Dati!$A$2:$A$761,$AD52),"-")</f>
        <v/>
      </c>
      <c r="DO52" s="22">
        <f>IF(AND($H52&lt;&gt;"",$AE52&lt;&gt;"",$H52&lt;&gt;$AE52,IFERROR(VLOOKUP($H52,areaCercaPuntiClassificaSquadra,3,FALSE),-1)=IFERROR(VLOOKUP($AE52,areaCercaPuntiClassificaSquadra,3,FALSE),-2)),SUMIFS(Dati!$F$2:$F$761,Dati!$A$2:$A$761,$H52,Dati!$H$2:$H$761,$AE52)+SUMIFS(Dati!$M$2:$M$761,Dati!$H$2:$H$761,$H52,Dati!$A$2:$A$761,$AE52),"-")</f>
        <v/>
      </c>
      <c r="DP52" s="22">
        <f>IF(AND($H52&lt;&gt;"",$AF52&lt;&gt;"",$H52&lt;&gt;$AF52,IFERROR(VLOOKUP($H52,areaCercaPuntiClassificaSquadra,3,FALSE),-1)=IFERROR(VLOOKUP($AF52,areaCercaPuntiClassificaSquadra,3,FALSE),-2)),SUMIFS(Dati!$F$2:$F$761,Dati!$A$2:$A$761,$H52,Dati!$H$2:$H$761,$AF52)+SUMIFS(Dati!$M$2:$M$761,Dati!$H$2:$H$761,$H52,Dati!$A$2:$A$761,$AF52),"-")</f>
        <v/>
      </c>
      <c r="DQ52" s="22">
        <f>IF(AND($H52&lt;&gt;"",$AG52&lt;&gt;"",$H52&lt;&gt;$AG52,IFERROR(VLOOKUP($H52,areaCercaPuntiClassificaSquadra,3,FALSE),-1)=IFERROR(VLOOKUP($AG52,areaCercaPuntiClassificaSquadra,3,FALSE),-2)),SUMIFS(Dati!$F$2:$F$761,Dati!$A$2:$A$761,$H52,Dati!$H$2:$H$761,$AG52)+SUMIFS(Dati!$M$2:$M$761,Dati!$H$2:$H$761,$H52,Dati!$A$2:$A$761,$AG52),"-")</f>
        <v/>
      </c>
      <c r="DR52" s="22">
        <f>IF(AND($H52&lt;&gt;"",$AH52&lt;&gt;"",$H52&lt;&gt;$AH52,IFERROR(VLOOKUP($H52,areaCercaPuntiClassificaSquadra,3,FALSE),-1)=IFERROR(VLOOKUP($AH52,areaCercaPuntiClassificaSquadra,3,FALSE),-2)),SUMIFS(Dati!$F$2:$F$761,Dati!$A$2:$A$761,$H52,Dati!$H$2:$H$761,$AH52)+SUMIFS(Dati!$M$2:$M$761,Dati!$H$2:$H$761,$H52,Dati!$A$2:$A$761,$AH52),"-")</f>
        <v/>
      </c>
      <c r="DS52" s="22">
        <f>IF(AND($H52&lt;&gt;"",$AI52&lt;&gt;"",$H52&lt;&gt;$AI52,IFERROR(VLOOKUP($H52,areaCercaPuntiClassificaSquadra,3,FALSE),-1)=IFERROR(VLOOKUP($AI52,areaCercaPuntiClassificaSquadra,3,FALSE),-2)),SUMIFS(Dati!$F$2:$F$761,Dati!$A$2:$A$761,$H52,Dati!$H$2:$H$761,$AI52)+SUMIFS(Dati!$M$2:$M$761,Dati!$H$2:$H$761,$H52,Dati!$A$2:$A$761,$AI52),"-")</f>
        <v/>
      </c>
      <c r="DT52" s="22">
        <f>IF(AND($H52&lt;&gt;"",$AJ52&lt;&gt;"",$H52&lt;&gt;$AJ52,IFERROR(VLOOKUP($H52,areaCercaPuntiClassificaSquadra,3,FALSE),-1)=IFERROR(VLOOKUP($AJ52,areaCercaPuntiClassificaSquadra,3,FALSE),-2)),SUMIFS(Dati!$F$2:$F$761,Dati!$A$2:$A$761,$H52,Dati!$H$2:$H$761,$AJ52)+SUMIFS(Dati!$M$2:$M$761,Dati!$H$2:$H$761,$H52,Dati!$A$2:$A$761,$AJ52),"-")</f>
        <v/>
      </c>
      <c r="DU52" s="22">
        <f>IF(AND($H52&lt;&gt;"",$AK52&lt;&gt;"",$H52&lt;&gt;$AK52,IFERROR(VLOOKUP($H52,areaCercaPuntiClassificaSquadra,3,FALSE),-1)=IFERROR(VLOOKUP($AK52,areaCercaPuntiClassificaSquadra,3,FALSE),-2)),SUMIFS(Dati!$F$2:$F$761,Dati!$A$2:$A$761,$H52,Dati!$H$2:$H$761,$AK52)+SUMIFS(Dati!$M$2:$M$761,Dati!$H$2:$H$761,$H52,Dati!$A$2:$A$761,$AK52),"-")</f>
        <v/>
      </c>
      <c r="DV52" s="22">
        <f>IF(AND($H52&lt;&gt;"",$AL52&lt;&gt;"",$H52&lt;&gt;$AL52,IFERROR(VLOOKUP($H52,areaCercaPuntiClassificaSquadra,3,FALSE),-1)=IFERROR(VLOOKUP($AL52,areaCercaPuntiClassificaSquadra,3,FALSE),-2)),SUMIFS(Dati!$F$2:$F$761,Dati!$A$2:$A$761,$H52,Dati!$H$2:$H$761,$AL52)+SUMIFS(Dati!$M$2:$M$761,Dati!$H$2:$H$761,$H52,Dati!$A$2:$A$761,$AL52),"-")</f>
        <v/>
      </c>
      <c r="DW52" s="22">
        <f>IF(AND($H52&lt;&gt;"",$AM52&lt;&gt;"",$H52&lt;&gt;$AM52,IFERROR(VLOOKUP($H52,areaCercaPuntiClassificaSquadra,3,FALSE),-1)=IFERROR(VLOOKUP($AM52,areaCercaPuntiClassificaSquadra,3,FALSE),-2)),SUMIFS(Dati!$F$2:$F$761,Dati!$A$2:$A$761,$H52,Dati!$H$2:$H$761,$AM52)+SUMIFS(Dati!$M$2:$M$761,Dati!$H$2:$H$761,$H52,Dati!$A$2:$A$761,$AM52),"-")</f>
        <v/>
      </c>
      <c r="DX52" s="22">
        <f>IF(AND($H52&lt;&gt;"",$AN52&lt;&gt;"",$H52&lt;&gt;$AN52,IFERROR(VLOOKUP($H52,areaCercaPuntiClassificaSquadra,3,FALSE),-1)=IFERROR(VLOOKUP($AN52,areaCercaPuntiClassificaSquadra,3,FALSE),-2)),SUMIFS(Dati!$F$2:$F$761,Dati!$A$2:$A$761,$H52,Dati!$H$2:$H$761,$AN52)+SUMIFS(Dati!$M$2:$M$761,Dati!$H$2:$H$761,$H52,Dati!$A$2:$A$761,$AN52),"-")</f>
        <v/>
      </c>
      <c r="DY52" s="22">
        <f>IF(AND($H52&lt;&gt;"",$AO52&lt;&gt;"",$H52&lt;&gt;$AO52,IFERROR(VLOOKUP($H52,areaCercaPuntiClassificaSquadra,3,FALSE),-1)=IFERROR(VLOOKUP($AO52,areaCercaPuntiClassificaSquadra,3,FALSE),-2)),SUMIFS(Dati!$F$2:$F$761,Dati!$A$2:$A$761,$H52,Dati!$H$2:$H$761,$AO52)+SUMIFS(Dati!$M$2:$M$761,Dati!$H$2:$H$761,$H52,Dati!$A$2:$A$761,$AO52),"-")</f>
        <v/>
      </c>
      <c r="DZ52" s="22">
        <f>IF(AND($H52&lt;&gt;"",$AP52&lt;&gt;"",$H52&lt;&gt;$AP52,IFERROR(VLOOKUP($H52,areaCercaPuntiClassificaSquadra,3,FALSE),-1)=IFERROR(VLOOKUP($AP52,areaCercaPuntiClassificaSquadra,3,FALSE),-2)),SUMIFS(Dati!$F$2:$F$761,Dati!$A$2:$A$761,$H52,Dati!$H$2:$H$761,$AP52)+SUMIFS(Dati!$M$2:$M$761,Dati!$H$2:$H$761,$H52,Dati!$A$2:$A$761,$AP52),"-")</f>
        <v/>
      </c>
      <c r="EA52" s="22">
        <f>IF(AND($H52&lt;&gt;"",$AQ52&lt;&gt;"",$H52&lt;&gt;$AQ52,IFERROR(VLOOKUP($H52,areaCercaPuntiClassificaSquadra,3,FALSE),-1)=IFERROR(VLOOKUP($AQ52,areaCercaPuntiClassificaSquadra,3,FALSE),-2)),SUMIFS(Dati!$F$2:$F$761,Dati!$A$2:$A$761,$H52,Dati!$H$2:$H$761,$AQ52)+SUMIFS(Dati!$M$2:$M$761,Dati!$H$2:$H$761,$H52,Dati!$A$2:$A$761,$AQ52),"-")</f>
        <v/>
      </c>
      <c r="EB52" s="22">
        <f>IF(AND($H52&lt;&gt;"",$AR52&lt;&gt;"",$H52&lt;&gt;$AR52,IFERROR(VLOOKUP($H52,areaCercaPuntiClassificaSquadra,3,FALSE),-1)=IFERROR(VLOOKUP($AR52,areaCercaPuntiClassificaSquadra,3,FALSE),-2)),SUMIFS(Dati!$F$2:$F$761,Dati!$A$2:$A$761,$H52,Dati!$H$2:$H$761,$AR52)+SUMIFS(Dati!$M$2:$M$761,Dati!$H$2:$H$761,$H52,Dati!$A$2:$A$761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inlineStr">
        <is>
          <t>Foche Feroci-Focheopoli FU</t>
        </is>
      </c>
      <c r="D53" s="14" t="n"/>
      <c r="E53" s="23" t="inlineStr">
        <is>
          <t>B</t>
        </is>
      </c>
      <c r="G53" s="24">
        <f>IF($C53="","",$E53&amp;(COUNTIFS(I$14:I$93,"&gt;"&amp;I53,E$14:E$93,"="&amp;E53,C$14:C$93,"&lt;&gt;")+COUNTIFS(I$14:I$93,"="&amp;I53,H$14:H$93,"&lt;="&amp;H53,E$14:E$93,"="&amp;E53,C$14:C$93,"&lt;&gt;")))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L53*constPuntiVittoria+M53*constPuntiSconfitta+N53*constPuntiForfait+IF(D53="",0,D53)</f>
        <v/>
      </c>
      <c r="K53" s="12">
        <f>SUM(L53:N53)</f>
        <v/>
      </c>
      <c r="L53" s="12">
        <f>IF($H53="",0,SUMIF(Dati!$A$2:$A$761,$H53,Dati!$B$2:$B$761)+SUMIF(Dati!$H$2:$H$761,$H53,Dati!$I$2:$I$761))</f>
        <v/>
      </c>
      <c r="M53" s="12">
        <f>IF($H53="",0,SUMIF(Dati!$A$2:$A$761,$H53,Dati!$D$2:$D$761)+SUMIF(Dati!$H$2:$H$761,$H53,Dati!$K$2:$K$761))</f>
        <v/>
      </c>
      <c r="N53" s="12">
        <f>IF($H53="",0,SUMIF(Dati!$A$2:$A$761,$H53,Dati!$C$2:$C$761)+SUMIF(Dati!$H$2:$H$761,$H53,Dati!$J$2:$J$761))</f>
        <v/>
      </c>
      <c r="O53" s="12">
        <f>IF($H53="",0,SUMIF(Dati!$A$2:$A$761,$H53,Dati!$E$2:$E$761)+SUMIF(Dati!$H$2:$H$761,$H53,Dati!$L$2:$L$761))</f>
        <v/>
      </c>
      <c r="P53" s="12">
        <f>IF($H53="",0,SUMIF(Dati!$A$2:$A$761,$H53,Dati!$F$2:$F$761)+SUMIF(Dati!$H$2:$H$761,$H53,Dati!$M$2:$M$761))</f>
        <v/>
      </c>
      <c r="Q53" s="12">
        <f>IF($H53="",0,SUMIF(Dati!$A$2:$A$761,$H53,Dati!$G$2:$G$761)+SUMIF(Dati!$H$2:$H$761,$H53,Dati!$N$2:$N$761))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IF(COUNTIFS($E$14:$E$93,$E53,$J$14:$J$93,$J53,$C$14:$C$93,"&lt;&gt;")&lt;=1,"-",SUM(AU53:BN53)&amp;"-"&amp;SUM(BQ53:CJ53))</f>
        <v/>
      </c>
      <c r="V53" s="18">
        <f>IF(COUNTIFS($E$14:$E$93,$E53,$J$14:$J$93,$J53,$C$14:$C$93,"&lt;&gt;",$ED$14:$ED$93,$ED53)&lt;=1,"-",IF(SUM(DI53:EB53)=0,0,ROUND(SUM(CM53:DF53)/SUM(DI53:EB53),3)))</f>
        <v/>
      </c>
      <c r="W53" s="18">
        <f>IF(COUNTIFS($E$14:$E$93,$E53,$J$14:$J$93,$J53,$C$14:$C$93,"&lt;&gt;",$ED$14:$ED$93,$ED53,$V$14:$V$93,$V53)&lt;=1,"-",IF(P53=0,0,ROUND(O53/P53,3)))</f>
        <v/>
      </c>
      <c r="X53" s="19">
        <f>IF($C53="","",$E53&amp;"#"&amp;COUNTIFS($E$14:$E53,$E53,$C$14:$C53,"&lt;&gt;"))</f>
        <v/>
      </c>
      <c r="Y53" s="20">
        <f>IFERROR(INDEX($H$14:$H$93,MATCH($E53&amp;"#1",$X$14:$X$93,0)),"")</f>
        <v/>
      </c>
      <c r="Z53" s="20">
        <f>IFERROR(INDEX($H$14:$H$93,MATCH($E53&amp;"#2",$X$14:$X$93,0)),"")</f>
        <v/>
      </c>
      <c r="AA53" s="20">
        <f>IFERROR(INDEX($H$14:$H$93,MATCH($E53&amp;"#3",$X$14:$X$93,0)),"")</f>
        <v/>
      </c>
      <c r="AB53" s="20">
        <f>IFERROR(INDEX($H$14:$H$93,MATCH($E53&amp;"#4",$X$14:$X$93,0)),"")</f>
        <v/>
      </c>
      <c r="AC53" s="20">
        <f>IFERROR(INDEX($H$14:$H$93,MATCH($E53&amp;"#5",$X$14:$X$93,0)),"")</f>
        <v/>
      </c>
      <c r="AD53" s="20">
        <f>IFERROR(INDEX($H$14:$H$93,MATCH($E53&amp;"#6",$X$14:$X$93,0)),"")</f>
        <v/>
      </c>
      <c r="AE53" s="20">
        <f>IFERROR(INDEX($H$14:$H$93,MATCH($E53&amp;"#7",$X$14:$X$93,0)),"")</f>
        <v/>
      </c>
      <c r="AF53" s="20">
        <f>IFERROR(INDEX($H$14:$H$93,MATCH($E53&amp;"#8",$X$14:$X$93,0)),"")</f>
        <v/>
      </c>
      <c r="AG53" s="20">
        <f>IFERROR(INDEX($H$14:$H$93,MATCH($E53&amp;"#9",$X$14:$X$93,0)),"")</f>
        <v/>
      </c>
      <c r="AH53" s="20">
        <f>IFERROR(INDEX($H$14:$H$93,MATCH($E53&amp;"#10",$X$14:$X$93,0)),"")</f>
        <v/>
      </c>
      <c r="AI53" s="20">
        <f>IFERROR(INDEX($H$14:$H$93,MATCH($E53&amp;"#11",$X$14:$X$93,0)),"")</f>
        <v/>
      </c>
      <c r="AJ53" s="20">
        <f>IFERROR(INDEX($H$14:$H$93,MATCH($E53&amp;"#12",$X$14:$X$93,0)),"")</f>
        <v/>
      </c>
      <c r="AK53" s="20">
        <f>IFERROR(INDEX($H$14:$H$93,MATCH($E53&amp;"#13",$X$14:$X$93,0)),"")</f>
        <v/>
      </c>
      <c r="AL53" s="20">
        <f>IFERROR(INDEX($H$14:$H$93,MATCH($E53&amp;"#14",$X$14:$X$93,0)),"")</f>
        <v/>
      </c>
      <c r="AM53" s="20">
        <f>IFERROR(INDEX($H$14:$H$93,MATCH($E53&amp;"#15",$X$14:$X$93,0)),"")</f>
        <v/>
      </c>
      <c r="AN53" s="20">
        <f>IFERROR(INDEX($H$14:$H$93,MATCH($E53&amp;"#16",$X$14:$X$93,0)),"")</f>
        <v/>
      </c>
      <c r="AO53" s="20">
        <f>IFERROR(INDEX($H$14:$H$93,MATCH($E53&amp;"#17",$X$14:$X$93,0)),"")</f>
        <v/>
      </c>
      <c r="AP53" s="20">
        <f>IFERROR(INDEX($H$14:$H$93,MATCH($E53&amp;"#18",$X$14:$X$93,0)),"")</f>
        <v/>
      </c>
      <c r="AQ53" s="20">
        <f>IFERROR(INDEX($H$14:$H$93,MATCH($E53&amp;"#19",$X$14:$X$93,0)),"")</f>
        <v/>
      </c>
      <c r="AR53" s="20">
        <f>IFERROR(INDEX($H$14:$H$93,MATCH($E53&amp;"#20",$X$14:$X$93,0)),"")</f>
        <v/>
      </c>
      <c r="AT53" s="21">
        <f>$C53</f>
        <v/>
      </c>
      <c r="AU53" s="22">
        <f>IF(AND($H53&lt;&gt;"",$Y53&lt;&gt;"",$H53&lt;&gt;$Y53,IFERROR(VLOOKUP($H53,areaCercaPuntiClassificaSquadra,3,FALSE),-1)=IFERROR(VLOOKUP($Y53,areaCercaPuntiClassificaSquadra,3,FALSE),-2)),SUMIFS(Dati!$B$2:$B$761,Dati!$A$2:$A$761,$H53,Dati!$H$2:$H$761,$Y53)+SUMIFS(Dati!$I$2:$I$761,Dati!$H$2:$H$761,$H53,Dati!$A$2:$A$761,$Y53),"-")</f>
        <v/>
      </c>
      <c r="AV53" s="22">
        <f>IF(AND($H53&lt;&gt;"",$Z53&lt;&gt;"",$H53&lt;&gt;$Z53,IFERROR(VLOOKUP($H53,areaCercaPuntiClassificaSquadra,3,FALSE),-1)=IFERROR(VLOOKUP($Z53,areaCercaPuntiClassificaSquadra,3,FALSE),-2)),SUMIFS(Dati!$B$2:$B$761,Dati!$A$2:$A$761,$H53,Dati!$H$2:$H$761,$Z53)+SUMIFS(Dati!$I$2:$I$761,Dati!$H$2:$H$761,$H53,Dati!$A$2:$A$761,$Z53),"-")</f>
        <v/>
      </c>
      <c r="AW53" s="22">
        <f>IF(AND($H53&lt;&gt;"",$AA53&lt;&gt;"",$H53&lt;&gt;$AA53,IFERROR(VLOOKUP($H53,areaCercaPuntiClassificaSquadra,3,FALSE),-1)=IFERROR(VLOOKUP($AA53,areaCercaPuntiClassificaSquadra,3,FALSE),-2)),SUMIFS(Dati!$B$2:$B$761,Dati!$A$2:$A$761,$H53,Dati!$H$2:$H$761,$AA53)+SUMIFS(Dati!$I$2:$I$761,Dati!$H$2:$H$761,$H53,Dati!$A$2:$A$761,$AA53),"-")</f>
        <v/>
      </c>
      <c r="AX53" s="22">
        <f>IF(AND($H53&lt;&gt;"",$AB53&lt;&gt;"",$H53&lt;&gt;$AB53,IFERROR(VLOOKUP($H53,areaCercaPuntiClassificaSquadra,3,FALSE),-1)=IFERROR(VLOOKUP($AB53,areaCercaPuntiClassificaSquadra,3,FALSE),-2)),SUMIFS(Dati!$B$2:$B$761,Dati!$A$2:$A$761,$H53,Dati!$H$2:$H$761,$AB53)+SUMIFS(Dati!$I$2:$I$761,Dati!$H$2:$H$761,$H53,Dati!$A$2:$A$761,$AB53),"-")</f>
        <v/>
      </c>
      <c r="AY53" s="22">
        <f>IF(AND($H53&lt;&gt;"",$AC53&lt;&gt;"",$H53&lt;&gt;$AC53,IFERROR(VLOOKUP($H53,areaCercaPuntiClassificaSquadra,3,FALSE),-1)=IFERROR(VLOOKUP($AC53,areaCercaPuntiClassificaSquadra,3,FALSE),-2)),SUMIFS(Dati!$B$2:$B$761,Dati!$A$2:$A$761,$H53,Dati!$H$2:$H$761,$AC53)+SUMIFS(Dati!$I$2:$I$761,Dati!$H$2:$H$761,$H53,Dati!$A$2:$A$761,$AC53),"-")</f>
        <v/>
      </c>
      <c r="AZ53" s="22">
        <f>IF(AND($H53&lt;&gt;"",$AD53&lt;&gt;"",$H53&lt;&gt;$AD53,IFERROR(VLOOKUP($H53,areaCercaPuntiClassificaSquadra,3,FALSE),-1)=IFERROR(VLOOKUP($AD53,areaCercaPuntiClassificaSquadra,3,FALSE),-2)),SUMIFS(Dati!$B$2:$B$761,Dati!$A$2:$A$761,$H53,Dati!$H$2:$H$761,$AD53)+SUMIFS(Dati!$I$2:$I$761,Dati!$H$2:$H$761,$H53,Dati!$A$2:$A$761,$AD53),"-")</f>
        <v/>
      </c>
      <c r="BA53" s="22">
        <f>IF(AND($H53&lt;&gt;"",$AE53&lt;&gt;"",$H53&lt;&gt;$AE53,IFERROR(VLOOKUP($H53,areaCercaPuntiClassificaSquadra,3,FALSE),-1)=IFERROR(VLOOKUP($AE53,areaCercaPuntiClassificaSquadra,3,FALSE),-2)),SUMIFS(Dati!$B$2:$B$761,Dati!$A$2:$A$761,$H53,Dati!$H$2:$H$761,$AE53)+SUMIFS(Dati!$I$2:$I$761,Dati!$H$2:$H$761,$H53,Dati!$A$2:$A$761,$AE53),"-")</f>
        <v/>
      </c>
      <c r="BB53" s="22">
        <f>IF(AND($H53&lt;&gt;"",$AF53&lt;&gt;"",$H53&lt;&gt;$AF53,IFERROR(VLOOKUP($H53,areaCercaPuntiClassificaSquadra,3,FALSE),-1)=IFERROR(VLOOKUP($AF53,areaCercaPuntiClassificaSquadra,3,FALSE),-2)),SUMIFS(Dati!$B$2:$B$761,Dati!$A$2:$A$761,$H53,Dati!$H$2:$H$761,$AF53)+SUMIFS(Dati!$I$2:$I$761,Dati!$H$2:$H$761,$H53,Dati!$A$2:$A$761,$AF53),"-")</f>
        <v/>
      </c>
      <c r="BC53" s="22">
        <f>IF(AND($H53&lt;&gt;"",$AG53&lt;&gt;"",$H53&lt;&gt;$AG53,IFERROR(VLOOKUP($H53,areaCercaPuntiClassificaSquadra,3,FALSE),-1)=IFERROR(VLOOKUP($AG53,areaCercaPuntiClassificaSquadra,3,FALSE),-2)),SUMIFS(Dati!$B$2:$B$761,Dati!$A$2:$A$761,$H53,Dati!$H$2:$H$761,$AG53)+SUMIFS(Dati!$I$2:$I$761,Dati!$H$2:$H$761,$H53,Dati!$A$2:$A$761,$AG53),"-")</f>
        <v/>
      </c>
      <c r="BD53" s="22">
        <f>IF(AND($H53&lt;&gt;"",$AH53&lt;&gt;"",$H53&lt;&gt;$AH53,IFERROR(VLOOKUP($H53,areaCercaPuntiClassificaSquadra,3,FALSE),-1)=IFERROR(VLOOKUP($AH53,areaCercaPuntiClassificaSquadra,3,FALSE),-2)),SUMIFS(Dati!$B$2:$B$761,Dati!$A$2:$A$761,$H53,Dati!$H$2:$H$761,$AH53)+SUMIFS(Dati!$I$2:$I$761,Dati!$H$2:$H$761,$H53,Dati!$A$2:$A$761,$AH53),"-")</f>
        <v/>
      </c>
      <c r="BE53" s="22">
        <f>IF(AND($H53&lt;&gt;"",$AI53&lt;&gt;"",$H53&lt;&gt;$AI53,IFERROR(VLOOKUP($H53,areaCercaPuntiClassificaSquadra,3,FALSE),-1)=IFERROR(VLOOKUP($AI53,areaCercaPuntiClassificaSquadra,3,FALSE),-2)),SUMIFS(Dati!$B$2:$B$761,Dati!$A$2:$A$761,$H53,Dati!$H$2:$H$761,$AI53)+SUMIFS(Dati!$I$2:$I$761,Dati!$H$2:$H$761,$H53,Dati!$A$2:$A$761,$AI53),"-")</f>
        <v/>
      </c>
      <c r="BF53" s="22">
        <f>IF(AND($H53&lt;&gt;"",$AJ53&lt;&gt;"",$H53&lt;&gt;$AJ53,IFERROR(VLOOKUP($H53,areaCercaPuntiClassificaSquadra,3,FALSE),-1)=IFERROR(VLOOKUP($AJ53,areaCercaPuntiClassificaSquadra,3,FALSE),-2)),SUMIFS(Dati!$B$2:$B$761,Dati!$A$2:$A$761,$H53,Dati!$H$2:$H$761,$AJ53)+SUMIFS(Dati!$I$2:$I$761,Dati!$H$2:$H$761,$H53,Dati!$A$2:$A$761,$AJ53),"-")</f>
        <v/>
      </c>
      <c r="BG53" s="22">
        <f>IF(AND($H53&lt;&gt;"",$AK53&lt;&gt;"",$H53&lt;&gt;$AK53,IFERROR(VLOOKUP($H53,areaCercaPuntiClassificaSquadra,3,FALSE),-1)=IFERROR(VLOOKUP($AK53,areaCercaPuntiClassificaSquadra,3,FALSE),-2)),SUMIFS(Dati!$B$2:$B$761,Dati!$A$2:$A$761,$H53,Dati!$H$2:$H$761,$AK53)+SUMIFS(Dati!$I$2:$I$761,Dati!$H$2:$H$761,$H53,Dati!$A$2:$A$761,$AK53),"-")</f>
        <v/>
      </c>
      <c r="BH53" s="22">
        <f>IF(AND($H53&lt;&gt;"",$AL53&lt;&gt;"",$H53&lt;&gt;$AL53,IFERROR(VLOOKUP($H53,areaCercaPuntiClassificaSquadra,3,FALSE),-1)=IFERROR(VLOOKUP($AL53,areaCercaPuntiClassificaSquadra,3,FALSE),-2)),SUMIFS(Dati!$B$2:$B$761,Dati!$A$2:$A$761,$H53,Dati!$H$2:$H$761,$AL53)+SUMIFS(Dati!$I$2:$I$761,Dati!$H$2:$H$761,$H53,Dati!$A$2:$A$761,$AL53),"-")</f>
        <v/>
      </c>
      <c r="BI53" s="22">
        <f>IF(AND($H53&lt;&gt;"",$AM53&lt;&gt;"",$H53&lt;&gt;$AM53,IFERROR(VLOOKUP($H53,areaCercaPuntiClassificaSquadra,3,FALSE),-1)=IFERROR(VLOOKUP($AM53,areaCercaPuntiClassificaSquadra,3,FALSE),-2)),SUMIFS(Dati!$B$2:$B$761,Dati!$A$2:$A$761,$H53,Dati!$H$2:$H$761,$AM53)+SUMIFS(Dati!$I$2:$I$761,Dati!$H$2:$H$761,$H53,Dati!$A$2:$A$761,$AM53),"-")</f>
        <v/>
      </c>
      <c r="BJ53" s="22">
        <f>IF(AND($H53&lt;&gt;"",$AN53&lt;&gt;"",$H53&lt;&gt;$AN53,IFERROR(VLOOKUP($H53,areaCercaPuntiClassificaSquadra,3,FALSE),-1)=IFERROR(VLOOKUP($AN53,areaCercaPuntiClassificaSquadra,3,FALSE),-2)),SUMIFS(Dati!$B$2:$B$761,Dati!$A$2:$A$761,$H53,Dati!$H$2:$H$761,$AN53)+SUMIFS(Dati!$I$2:$I$761,Dati!$H$2:$H$761,$H53,Dati!$A$2:$A$761,$AN53),"-")</f>
        <v/>
      </c>
      <c r="BK53" s="22">
        <f>IF(AND($H53&lt;&gt;"",$AO53&lt;&gt;"",$H53&lt;&gt;$AO53,IFERROR(VLOOKUP($H53,areaCercaPuntiClassificaSquadra,3,FALSE),-1)=IFERROR(VLOOKUP($AO53,areaCercaPuntiClassificaSquadra,3,FALSE),-2)),SUMIFS(Dati!$B$2:$B$761,Dati!$A$2:$A$761,$H53,Dati!$H$2:$H$761,$AO53)+SUMIFS(Dati!$I$2:$I$761,Dati!$H$2:$H$761,$H53,Dati!$A$2:$A$761,$AO53),"-")</f>
        <v/>
      </c>
      <c r="BL53" s="22">
        <f>IF(AND($H53&lt;&gt;"",$AP53&lt;&gt;"",$H53&lt;&gt;$AP53,IFERROR(VLOOKUP($H53,areaCercaPuntiClassificaSquadra,3,FALSE),-1)=IFERROR(VLOOKUP($AP53,areaCercaPuntiClassificaSquadra,3,FALSE),-2)),SUMIFS(Dati!$B$2:$B$761,Dati!$A$2:$A$761,$H53,Dati!$H$2:$H$761,$AP53)+SUMIFS(Dati!$I$2:$I$761,Dati!$H$2:$H$761,$H53,Dati!$A$2:$A$761,$AP53),"-")</f>
        <v/>
      </c>
      <c r="BM53" s="22">
        <f>IF(AND($H53&lt;&gt;"",$AQ53&lt;&gt;"",$H53&lt;&gt;$AQ53,IFERROR(VLOOKUP($H53,areaCercaPuntiClassificaSquadra,3,FALSE),-1)=IFERROR(VLOOKUP($AQ53,areaCercaPuntiClassificaSquadra,3,FALSE),-2)),SUMIFS(Dati!$B$2:$B$761,Dati!$A$2:$A$761,$H53,Dati!$H$2:$H$761,$AQ53)+SUMIFS(Dati!$I$2:$I$761,Dati!$H$2:$H$761,$H53,Dati!$A$2:$A$761,$AQ53),"-")</f>
        <v/>
      </c>
      <c r="BN53" s="22">
        <f>IF(AND($H53&lt;&gt;"",$AR53&lt;&gt;"",$H53&lt;&gt;$AR53,IFERROR(VLOOKUP($H53,areaCercaPuntiClassificaSquadra,3,FALSE),-1)=IFERROR(VLOOKUP($AR53,areaCercaPuntiClassificaSquadra,3,FALSE),-2)),SUMIFS(Dati!$B$2:$B$761,Dati!$A$2:$A$761,$H53,Dati!$H$2:$H$761,$AR53)+SUMIFS(Dati!$I$2:$I$761,Dati!$H$2:$H$761,$H53,Dati!$A$2:$A$761,$AR53),"-")</f>
        <v/>
      </c>
      <c r="BP53" s="21">
        <f>$C53</f>
        <v/>
      </c>
      <c r="BQ53" s="22">
        <f>IF(AND($H53&lt;&gt;"",$Y53&lt;&gt;"",$H53&lt;&gt;$Y53,IFERROR(VLOOKUP($H53,areaCercaPuntiClassificaSquadra,3,FALSE),-1)=IFERROR(VLOOKUP($Y53,areaCercaPuntiClassificaSquadra,3,FALSE),-2)),SUMIFS(Dati!$D$2:$D$761,Dati!$A$2:$A$761,$H53,Dati!$H$2:$H$761,$Y53)+SUMIFS(Dati!$K$2:$K$761,Dati!$H$2:$H$761,$H53,Dati!$A$2:$A$761,$Y53)+SUMIFS(Dati!$C$2:$C$761,Dati!$A$2:$A$761,$H53,Dati!$H$2:$H$761,$Y53)+SUMIFS(Dati!$J$2:$J$761,Dati!$H$2:$H$761,$H53,Dati!$A$2:$A$761,$Y53),"-")</f>
        <v/>
      </c>
      <c r="BR53" s="22">
        <f>IF(AND($H53&lt;&gt;"",$Z53&lt;&gt;"",$H53&lt;&gt;$Z53,IFERROR(VLOOKUP($H53,areaCercaPuntiClassificaSquadra,3,FALSE),-1)=IFERROR(VLOOKUP($Z53,areaCercaPuntiClassificaSquadra,3,FALSE),-2)),SUMIFS(Dati!$D$2:$D$761,Dati!$A$2:$A$761,$H53,Dati!$H$2:$H$761,$Z53)+SUMIFS(Dati!$K$2:$K$761,Dati!$H$2:$H$761,$H53,Dati!$A$2:$A$761,$Z53)+SUMIFS(Dati!$C$2:$C$761,Dati!$A$2:$A$761,$H53,Dati!$H$2:$H$761,$Z53)+SUMIFS(Dati!$J$2:$J$761,Dati!$H$2:$H$761,$H53,Dati!$A$2:$A$761,$Z53),"-")</f>
        <v/>
      </c>
      <c r="BS53" s="22">
        <f>IF(AND($H53&lt;&gt;"",$AA53&lt;&gt;"",$H53&lt;&gt;$AA53,IFERROR(VLOOKUP($H53,areaCercaPuntiClassificaSquadra,3,FALSE),-1)=IFERROR(VLOOKUP($AA53,areaCercaPuntiClassificaSquadra,3,FALSE),-2)),SUMIFS(Dati!$D$2:$D$761,Dati!$A$2:$A$761,$H53,Dati!$H$2:$H$761,$AA53)+SUMIFS(Dati!$K$2:$K$761,Dati!$H$2:$H$761,$H53,Dati!$A$2:$A$761,$AA53)+SUMIFS(Dati!$C$2:$C$761,Dati!$A$2:$A$761,$H53,Dati!$H$2:$H$761,$AA53)+SUMIFS(Dati!$J$2:$J$761,Dati!$H$2:$H$761,$H53,Dati!$A$2:$A$761,$AA53),"-")</f>
        <v/>
      </c>
      <c r="BT53" s="22">
        <f>IF(AND($H53&lt;&gt;"",$AB53&lt;&gt;"",$H53&lt;&gt;$AB53,IFERROR(VLOOKUP($H53,areaCercaPuntiClassificaSquadra,3,FALSE),-1)=IFERROR(VLOOKUP($AB53,areaCercaPuntiClassificaSquadra,3,FALSE),-2)),SUMIFS(Dati!$D$2:$D$761,Dati!$A$2:$A$761,$H53,Dati!$H$2:$H$761,$AB53)+SUMIFS(Dati!$K$2:$K$761,Dati!$H$2:$H$761,$H53,Dati!$A$2:$A$761,$AB53)+SUMIFS(Dati!$C$2:$C$761,Dati!$A$2:$A$761,$H53,Dati!$H$2:$H$761,$AB53)+SUMIFS(Dati!$J$2:$J$761,Dati!$H$2:$H$761,$H53,Dati!$A$2:$A$761,$AB53),"-")</f>
        <v/>
      </c>
      <c r="BU53" s="22">
        <f>IF(AND($H53&lt;&gt;"",$AC53&lt;&gt;"",$H53&lt;&gt;$AC53,IFERROR(VLOOKUP($H53,areaCercaPuntiClassificaSquadra,3,FALSE),-1)=IFERROR(VLOOKUP($AC53,areaCercaPuntiClassificaSquadra,3,FALSE),-2)),SUMIFS(Dati!$D$2:$D$761,Dati!$A$2:$A$761,$H53,Dati!$H$2:$H$761,$AC53)+SUMIFS(Dati!$K$2:$K$761,Dati!$H$2:$H$761,$H53,Dati!$A$2:$A$761,$AC53)+SUMIFS(Dati!$C$2:$C$761,Dati!$A$2:$A$761,$H53,Dati!$H$2:$H$761,$AC53)+SUMIFS(Dati!$J$2:$J$761,Dati!$H$2:$H$761,$H53,Dati!$A$2:$A$761,$AC53),"-")</f>
        <v/>
      </c>
      <c r="BV53" s="22">
        <f>IF(AND($H53&lt;&gt;"",$AD53&lt;&gt;"",$H53&lt;&gt;$AD53,IFERROR(VLOOKUP($H53,areaCercaPuntiClassificaSquadra,3,FALSE),-1)=IFERROR(VLOOKUP($AD53,areaCercaPuntiClassificaSquadra,3,FALSE),-2)),SUMIFS(Dati!$D$2:$D$761,Dati!$A$2:$A$761,$H53,Dati!$H$2:$H$761,$AD53)+SUMIFS(Dati!$K$2:$K$761,Dati!$H$2:$H$761,$H53,Dati!$A$2:$A$761,$AD53)+SUMIFS(Dati!$C$2:$C$761,Dati!$A$2:$A$761,$H53,Dati!$H$2:$H$761,$AD53)+SUMIFS(Dati!$J$2:$J$761,Dati!$H$2:$H$761,$H53,Dati!$A$2:$A$761,$AD53),"-")</f>
        <v/>
      </c>
      <c r="BW53" s="22">
        <f>IF(AND($H53&lt;&gt;"",$AE53&lt;&gt;"",$H53&lt;&gt;$AE53,IFERROR(VLOOKUP($H53,areaCercaPuntiClassificaSquadra,3,FALSE),-1)=IFERROR(VLOOKUP($AE53,areaCercaPuntiClassificaSquadra,3,FALSE),-2)),SUMIFS(Dati!$D$2:$D$761,Dati!$A$2:$A$761,$H53,Dati!$H$2:$H$761,$AE53)+SUMIFS(Dati!$K$2:$K$761,Dati!$H$2:$H$761,$H53,Dati!$A$2:$A$761,$AE53)+SUMIFS(Dati!$C$2:$C$761,Dati!$A$2:$A$761,$H53,Dati!$H$2:$H$761,$AE53)+SUMIFS(Dati!$J$2:$J$761,Dati!$H$2:$H$761,$H53,Dati!$A$2:$A$761,$AE53),"-")</f>
        <v/>
      </c>
      <c r="BX53" s="22">
        <f>IF(AND($H53&lt;&gt;"",$AF53&lt;&gt;"",$H53&lt;&gt;$AF53,IFERROR(VLOOKUP($H53,areaCercaPuntiClassificaSquadra,3,FALSE),-1)=IFERROR(VLOOKUP($AF53,areaCercaPuntiClassificaSquadra,3,FALSE),-2)),SUMIFS(Dati!$D$2:$D$761,Dati!$A$2:$A$761,$H53,Dati!$H$2:$H$761,$AF53)+SUMIFS(Dati!$K$2:$K$761,Dati!$H$2:$H$761,$H53,Dati!$A$2:$A$761,$AF53)+SUMIFS(Dati!$C$2:$C$761,Dati!$A$2:$A$761,$H53,Dati!$H$2:$H$761,$AF53)+SUMIFS(Dati!$J$2:$J$761,Dati!$H$2:$H$761,$H53,Dati!$A$2:$A$761,$AF53),"-")</f>
        <v/>
      </c>
      <c r="BY53" s="22">
        <f>IF(AND($H53&lt;&gt;"",$AG53&lt;&gt;"",$H53&lt;&gt;$AG53,IFERROR(VLOOKUP($H53,areaCercaPuntiClassificaSquadra,3,FALSE),-1)=IFERROR(VLOOKUP($AG53,areaCercaPuntiClassificaSquadra,3,FALSE),-2)),SUMIFS(Dati!$D$2:$D$761,Dati!$A$2:$A$761,$H53,Dati!$H$2:$H$761,$AG53)+SUMIFS(Dati!$K$2:$K$761,Dati!$H$2:$H$761,$H53,Dati!$A$2:$A$761,$AG53)+SUMIFS(Dati!$C$2:$C$761,Dati!$A$2:$A$761,$H53,Dati!$H$2:$H$761,$AG53)+SUMIFS(Dati!$J$2:$J$761,Dati!$H$2:$H$761,$H53,Dati!$A$2:$A$761,$AG53),"-")</f>
        <v/>
      </c>
      <c r="BZ53" s="22">
        <f>IF(AND($H53&lt;&gt;"",$AH53&lt;&gt;"",$H53&lt;&gt;$AH53,IFERROR(VLOOKUP($H53,areaCercaPuntiClassificaSquadra,3,FALSE),-1)=IFERROR(VLOOKUP($AH53,areaCercaPuntiClassificaSquadra,3,FALSE),-2)),SUMIFS(Dati!$D$2:$D$761,Dati!$A$2:$A$761,$H53,Dati!$H$2:$H$761,$AH53)+SUMIFS(Dati!$K$2:$K$761,Dati!$H$2:$H$761,$H53,Dati!$A$2:$A$761,$AH53)+SUMIFS(Dati!$C$2:$C$761,Dati!$A$2:$A$761,$H53,Dati!$H$2:$H$761,$AH53)+SUMIFS(Dati!$J$2:$J$761,Dati!$H$2:$H$761,$H53,Dati!$A$2:$A$761,$AH53),"-")</f>
        <v/>
      </c>
      <c r="CA53" s="22">
        <f>IF(AND($H53&lt;&gt;"",$AI53&lt;&gt;"",$H53&lt;&gt;$AI53,IFERROR(VLOOKUP($H53,areaCercaPuntiClassificaSquadra,3,FALSE),-1)=IFERROR(VLOOKUP($AI53,areaCercaPuntiClassificaSquadra,3,FALSE),-2)),SUMIFS(Dati!$D$2:$D$761,Dati!$A$2:$A$761,$H53,Dati!$H$2:$H$761,$AI53)+SUMIFS(Dati!$K$2:$K$761,Dati!$H$2:$H$761,$H53,Dati!$A$2:$A$761,$AI53)+SUMIFS(Dati!$C$2:$C$761,Dati!$A$2:$A$761,$H53,Dati!$H$2:$H$761,$AI53)+SUMIFS(Dati!$J$2:$J$761,Dati!$H$2:$H$761,$H53,Dati!$A$2:$A$761,$AI53),"-")</f>
        <v/>
      </c>
      <c r="CB53" s="22">
        <f>IF(AND($H53&lt;&gt;"",$AJ53&lt;&gt;"",$H53&lt;&gt;$AJ53,IFERROR(VLOOKUP($H53,areaCercaPuntiClassificaSquadra,3,FALSE),-1)=IFERROR(VLOOKUP($AJ53,areaCercaPuntiClassificaSquadra,3,FALSE),-2)),SUMIFS(Dati!$D$2:$D$761,Dati!$A$2:$A$761,$H53,Dati!$H$2:$H$761,$AJ53)+SUMIFS(Dati!$K$2:$K$761,Dati!$H$2:$H$761,$H53,Dati!$A$2:$A$761,$AJ53)+SUMIFS(Dati!$C$2:$C$761,Dati!$A$2:$A$761,$H53,Dati!$H$2:$H$761,$AJ53)+SUMIFS(Dati!$J$2:$J$761,Dati!$H$2:$H$761,$H53,Dati!$A$2:$A$761,$AJ53),"-")</f>
        <v/>
      </c>
      <c r="CC53" s="22">
        <f>IF(AND($H53&lt;&gt;"",$AK53&lt;&gt;"",$H53&lt;&gt;$AK53,IFERROR(VLOOKUP($H53,areaCercaPuntiClassificaSquadra,3,FALSE),-1)=IFERROR(VLOOKUP($AK53,areaCercaPuntiClassificaSquadra,3,FALSE),-2)),SUMIFS(Dati!$D$2:$D$761,Dati!$A$2:$A$761,$H53,Dati!$H$2:$H$761,$AK53)+SUMIFS(Dati!$K$2:$K$761,Dati!$H$2:$H$761,$H53,Dati!$A$2:$A$761,$AK53)+SUMIFS(Dati!$C$2:$C$761,Dati!$A$2:$A$761,$H53,Dati!$H$2:$H$761,$AK53)+SUMIFS(Dati!$J$2:$J$761,Dati!$H$2:$H$761,$H53,Dati!$A$2:$A$761,$AK53),"-")</f>
        <v/>
      </c>
      <c r="CD53" s="22">
        <f>IF(AND($H53&lt;&gt;"",$AL53&lt;&gt;"",$H53&lt;&gt;$AL53,IFERROR(VLOOKUP($H53,areaCercaPuntiClassificaSquadra,3,FALSE),-1)=IFERROR(VLOOKUP($AL53,areaCercaPuntiClassificaSquadra,3,FALSE),-2)),SUMIFS(Dati!$D$2:$D$761,Dati!$A$2:$A$761,$H53,Dati!$H$2:$H$761,$AL53)+SUMIFS(Dati!$K$2:$K$761,Dati!$H$2:$H$761,$H53,Dati!$A$2:$A$761,$AL53)+SUMIFS(Dati!$C$2:$C$761,Dati!$A$2:$A$761,$H53,Dati!$H$2:$H$761,$AL53)+SUMIFS(Dati!$J$2:$J$761,Dati!$H$2:$H$761,$H53,Dati!$A$2:$A$761,$AL53),"-")</f>
        <v/>
      </c>
      <c r="CE53" s="22">
        <f>IF(AND($H53&lt;&gt;"",$AM53&lt;&gt;"",$H53&lt;&gt;$AM53,IFERROR(VLOOKUP($H53,areaCercaPuntiClassificaSquadra,3,FALSE),-1)=IFERROR(VLOOKUP($AM53,areaCercaPuntiClassificaSquadra,3,FALSE),-2)),SUMIFS(Dati!$D$2:$D$761,Dati!$A$2:$A$761,$H53,Dati!$H$2:$H$761,$AM53)+SUMIFS(Dati!$K$2:$K$761,Dati!$H$2:$H$761,$H53,Dati!$A$2:$A$761,$AM53)+SUMIFS(Dati!$C$2:$C$761,Dati!$A$2:$A$761,$H53,Dati!$H$2:$H$761,$AM53)+SUMIFS(Dati!$J$2:$J$761,Dati!$H$2:$H$761,$H53,Dati!$A$2:$A$761,$AM53),"-")</f>
        <v/>
      </c>
      <c r="CF53" s="22">
        <f>IF(AND($H53&lt;&gt;"",$AN53&lt;&gt;"",$H53&lt;&gt;$AN53,IFERROR(VLOOKUP($H53,areaCercaPuntiClassificaSquadra,3,FALSE),-1)=IFERROR(VLOOKUP($AN53,areaCercaPuntiClassificaSquadra,3,FALSE),-2)),SUMIFS(Dati!$D$2:$D$761,Dati!$A$2:$A$761,$H53,Dati!$H$2:$H$761,$AN53)+SUMIFS(Dati!$K$2:$K$761,Dati!$H$2:$H$761,$H53,Dati!$A$2:$A$761,$AN53)+SUMIFS(Dati!$C$2:$C$761,Dati!$A$2:$A$761,$H53,Dati!$H$2:$H$761,$AN53)+SUMIFS(Dati!$J$2:$J$761,Dati!$H$2:$H$761,$H53,Dati!$A$2:$A$761,$AN53),"-")</f>
        <v/>
      </c>
      <c r="CG53" s="22">
        <f>IF(AND($H53&lt;&gt;"",$AO53&lt;&gt;"",$H53&lt;&gt;$AO53,IFERROR(VLOOKUP($H53,areaCercaPuntiClassificaSquadra,3,FALSE),-1)=IFERROR(VLOOKUP($AO53,areaCercaPuntiClassificaSquadra,3,FALSE),-2)),SUMIFS(Dati!$D$2:$D$761,Dati!$A$2:$A$761,$H53,Dati!$H$2:$H$761,$AO53)+SUMIFS(Dati!$K$2:$K$761,Dati!$H$2:$H$761,$H53,Dati!$A$2:$A$761,$AO53)+SUMIFS(Dati!$C$2:$C$761,Dati!$A$2:$A$761,$H53,Dati!$H$2:$H$761,$AO53)+SUMIFS(Dati!$J$2:$J$761,Dati!$H$2:$H$761,$H53,Dati!$A$2:$A$761,$AO53),"-")</f>
        <v/>
      </c>
      <c r="CH53" s="22">
        <f>IF(AND($H53&lt;&gt;"",$AP53&lt;&gt;"",$H53&lt;&gt;$AP53,IFERROR(VLOOKUP($H53,areaCercaPuntiClassificaSquadra,3,FALSE),-1)=IFERROR(VLOOKUP($AP53,areaCercaPuntiClassificaSquadra,3,FALSE),-2)),SUMIFS(Dati!$D$2:$D$761,Dati!$A$2:$A$761,$H53,Dati!$H$2:$H$761,$AP53)+SUMIFS(Dati!$K$2:$K$761,Dati!$H$2:$H$761,$H53,Dati!$A$2:$A$761,$AP53)+SUMIFS(Dati!$C$2:$C$761,Dati!$A$2:$A$761,$H53,Dati!$H$2:$H$761,$AP53)+SUMIFS(Dati!$J$2:$J$761,Dati!$H$2:$H$761,$H53,Dati!$A$2:$A$761,$AP53),"-")</f>
        <v/>
      </c>
      <c r="CI53" s="22">
        <f>IF(AND($H53&lt;&gt;"",$AQ53&lt;&gt;"",$H53&lt;&gt;$AQ53,IFERROR(VLOOKUP($H53,areaCercaPuntiClassificaSquadra,3,FALSE),-1)=IFERROR(VLOOKUP($AQ53,areaCercaPuntiClassificaSquadra,3,FALSE),-2)),SUMIFS(Dati!$D$2:$D$761,Dati!$A$2:$A$761,$H53,Dati!$H$2:$H$761,$AQ53)+SUMIFS(Dati!$K$2:$K$761,Dati!$H$2:$H$761,$H53,Dati!$A$2:$A$761,$AQ53)+SUMIFS(Dati!$C$2:$C$761,Dati!$A$2:$A$761,$H53,Dati!$H$2:$H$761,$AQ53)+SUMIFS(Dati!$J$2:$J$761,Dati!$H$2:$H$761,$H53,Dati!$A$2:$A$761,$AQ53),"-")</f>
        <v/>
      </c>
      <c r="CJ53" s="22">
        <f>IF(AND($H53&lt;&gt;"",$AR53&lt;&gt;"",$H53&lt;&gt;$AR53,IFERROR(VLOOKUP($H53,areaCercaPuntiClassificaSquadra,3,FALSE),-1)=IFERROR(VLOOKUP($AR53,areaCercaPuntiClassificaSquadra,3,FALSE),-2)),SUMIFS(Dati!$D$2:$D$761,Dati!$A$2:$A$761,$H53,Dati!$H$2:$H$761,$AR53)+SUMIFS(Dati!$K$2:$K$761,Dati!$H$2:$H$761,$H53,Dati!$A$2:$A$761,$AR53)+SUMIFS(Dati!$C$2:$C$761,Dati!$A$2:$A$761,$H53,Dati!$H$2:$H$761,$AR53)+SUMIFS(Dati!$J$2:$J$761,Dati!$H$2:$H$761,$H53,Dati!$A$2:$A$761,$AR53),"-")</f>
        <v/>
      </c>
      <c r="CL53" s="21">
        <f>$C53</f>
        <v/>
      </c>
      <c r="CM53" s="22">
        <f>IF(AND($H53&lt;&gt;"",$Y53&lt;&gt;"",$H53&lt;&gt;$Y53,IFERROR(VLOOKUP($H53,areaCercaPuntiClassificaSquadra,3,FALSE),-1)=IFERROR(VLOOKUP($Y53,areaCercaPuntiClassificaSquadra,3,FALSE),-2)),SUMIFS(Dati!$E$2:$E$761,Dati!$A$2:$A$761,$H53,Dati!$H$2:$H$761,$Y53)+SUMIFS(Dati!$L$2:$L$761,Dati!$H$2:$H$761,$H53,Dati!$A$2:$A$761,$Y53),"-")</f>
        <v/>
      </c>
      <c r="CN53" s="22">
        <f>IF(AND($H53&lt;&gt;"",$Z53&lt;&gt;"",$H53&lt;&gt;$Z53,IFERROR(VLOOKUP($H53,areaCercaPuntiClassificaSquadra,3,FALSE),-1)=IFERROR(VLOOKUP($Z53,areaCercaPuntiClassificaSquadra,3,FALSE),-2)),SUMIFS(Dati!$E$2:$E$761,Dati!$A$2:$A$761,$H53,Dati!$H$2:$H$761,$Z53)+SUMIFS(Dati!$L$2:$L$761,Dati!$H$2:$H$761,$H53,Dati!$A$2:$A$761,$Z53),"-")</f>
        <v/>
      </c>
      <c r="CO53" s="22">
        <f>IF(AND($H53&lt;&gt;"",$AA53&lt;&gt;"",$H53&lt;&gt;$AA53,IFERROR(VLOOKUP($H53,areaCercaPuntiClassificaSquadra,3,FALSE),-1)=IFERROR(VLOOKUP($AA53,areaCercaPuntiClassificaSquadra,3,FALSE),-2)),SUMIFS(Dati!$E$2:$E$761,Dati!$A$2:$A$761,$H53,Dati!$H$2:$H$761,$AA53)+SUMIFS(Dati!$L$2:$L$761,Dati!$H$2:$H$761,$H53,Dati!$A$2:$A$761,$AA53),"-")</f>
        <v/>
      </c>
      <c r="CP53" s="22">
        <f>IF(AND($H53&lt;&gt;"",$AB53&lt;&gt;"",$H53&lt;&gt;$AB53,IFERROR(VLOOKUP($H53,areaCercaPuntiClassificaSquadra,3,FALSE),-1)=IFERROR(VLOOKUP($AB53,areaCercaPuntiClassificaSquadra,3,FALSE),-2)),SUMIFS(Dati!$E$2:$E$761,Dati!$A$2:$A$761,$H53,Dati!$H$2:$H$761,$AB53)+SUMIFS(Dati!$L$2:$L$761,Dati!$H$2:$H$761,$H53,Dati!$A$2:$A$761,$AB53),"-")</f>
        <v/>
      </c>
      <c r="CQ53" s="22">
        <f>IF(AND($H53&lt;&gt;"",$AC53&lt;&gt;"",$H53&lt;&gt;$AC53,IFERROR(VLOOKUP($H53,areaCercaPuntiClassificaSquadra,3,FALSE),-1)=IFERROR(VLOOKUP($AC53,areaCercaPuntiClassificaSquadra,3,FALSE),-2)),SUMIFS(Dati!$E$2:$E$761,Dati!$A$2:$A$761,$H53,Dati!$H$2:$H$761,$AC53)+SUMIFS(Dati!$L$2:$L$761,Dati!$H$2:$H$761,$H53,Dati!$A$2:$A$761,$AC53),"-")</f>
        <v/>
      </c>
      <c r="CR53" s="22">
        <f>IF(AND($H53&lt;&gt;"",$AD53&lt;&gt;"",$H53&lt;&gt;$AD53,IFERROR(VLOOKUP($H53,areaCercaPuntiClassificaSquadra,3,FALSE),-1)=IFERROR(VLOOKUP($AD53,areaCercaPuntiClassificaSquadra,3,FALSE),-2)),SUMIFS(Dati!$E$2:$E$761,Dati!$A$2:$A$761,$H53,Dati!$H$2:$H$761,$AD53)+SUMIFS(Dati!$L$2:$L$761,Dati!$H$2:$H$761,$H53,Dati!$A$2:$A$761,$AD53),"-")</f>
        <v/>
      </c>
      <c r="CS53" s="22">
        <f>IF(AND($H53&lt;&gt;"",$AE53&lt;&gt;"",$H53&lt;&gt;$AE53,IFERROR(VLOOKUP($H53,areaCercaPuntiClassificaSquadra,3,FALSE),-1)=IFERROR(VLOOKUP($AE53,areaCercaPuntiClassificaSquadra,3,FALSE),-2)),SUMIFS(Dati!$E$2:$E$761,Dati!$A$2:$A$761,$H53,Dati!$H$2:$H$761,$AE53)+SUMIFS(Dati!$L$2:$L$761,Dati!$H$2:$H$761,$H53,Dati!$A$2:$A$761,$AE53),"-")</f>
        <v/>
      </c>
      <c r="CT53" s="22">
        <f>IF(AND($H53&lt;&gt;"",$AF53&lt;&gt;"",$H53&lt;&gt;$AF53,IFERROR(VLOOKUP($H53,areaCercaPuntiClassificaSquadra,3,FALSE),-1)=IFERROR(VLOOKUP($AF53,areaCercaPuntiClassificaSquadra,3,FALSE),-2)),SUMIFS(Dati!$E$2:$E$761,Dati!$A$2:$A$761,$H53,Dati!$H$2:$H$761,$AF53)+SUMIFS(Dati!$L$2:$L$761,Dati!$H$2:$H$761,$H53,Dati!$A$2:$A$761,$AF53),"-")</f>
        <v/>
      </c>
      <c r="CU53" s="22">
        <f>IF(AND($H53&lt;&gt;"",$AG53&lt;&gt;"",$H53&lt;&gt;$AG53,IFERROR(VLOOKUP($H53,areaCercaPuntiClassificaSquadra,3,FALSE),-1)=IFERROR(VLOOKUP($AG53,areaCercaPuntiClassificaSquadra,3,FALSE),-2)),SUMIFS(Dati!$E$2:$E$761,Dati!$A$2:$A$761,$H53,Dati!$H$2:$H$761,$AG53)+SUMIFS(Dati!$L$2:$L$761,Dati!$H$2:$H$761,$H53,Dati!$A$2:$A$761,$AG53),"-")</f>
        <v/>
      </c>
      <c r="CV53" s="22">
        <f>IF(AND($H53&lt;&gt;"",$AH53&lt;&gt;"",$H53&lt;&gt;$AH53,IFERROR(VLOOKUP($H53,areaCercaPuntiClassificaSquadra,3,FALSE),-1)=IFERROR(VLOOKUP($AH53,areaCercaPuntiClassificaSquadra,3,FALSE),-2)),SUMIFS(Dati!$E$2:$E$761,Dati!$A$2:$A$761,$H53,Dati!$H$2:$H$761,$AH53)+SUMIFS(Dati!$L$2:$L$761,Dati!$H$2:$H$761,$H53,Dati!$A$2:$A$761,$AH53),"-")</f>
        <v/>
      </c>
      <c r="CW53" s="22">
        <f>IF(AND($H53&lt;&gt;"",$AI53&lt;&gt;"",$H53&lt;&gt;$AI53,IFERROR(VLOOKUP($H53,areaCercaPuntiClassificaSquadra,3,FALSE),-1)=IFERROR(VLOOKUP($AI53,areaCercaPuntiClassificaSquadra,3,FALSE),-2)),SUMIFS(Dati!$E$2:$E$761,Dati!$A$2:$A$761,$H53,Dati!$H$2:$H$761,$AI53)+SUMIFS(Dati!$L$2:$L$761,Dati!$H$2:$H$761,$H53,Dati!$A$2:$A$761,$AI53),"-")</f>
        <v/>
      </c>
      <c r="CX53" s="22">
        <f>IF(AND($H53&lt;&gt;"",$AJ53&lt;&gt;"",$H53&lt;&gt;$AJ53,IFERROR(VLOOKUP($H53,areaCercaPuntiClassificaSquadra,3,FALSE),-1)=IFERROR(VLOOKUP($AJ53,areaCercaPuntiClassificaSquadra,3,FALSE),-2)),SUMIFS(Dati!$E$2:$E$761,Dati!$A$2:$A$761,$H53,Dati!$H$2:$H$761,$AJ53)+SUMIFS(Dati!$L$2:$L$761,Dati!$H$2:$H$761,$H53,Dati!$A$2:$A$761,$AJ53),"-")</f>
        <v/>
      </c>
      <c r="CY53" s="22">
        <f>IF(AND($H53&lt;&gt;"",$AK53&lt;&gt;"",$H53&lt;&gt;$AK53,IFERROR(VLOOKUP($H53,areaCercaPuntiClassificaSquadra,3,FALSE),-1)=IFERROR(VLOOKUP($AK53,areaCercaPuntiClassificaSquadra,3,FALSE),-2)),SUMIFS(Dati!$E$2:$E$761,Dati!$A$2:$A$761,$H53,Dati!$H$2:$H$761,$AK53)+SUMIFS(Dati!$L$2:$L$761,Dati!$H$2:$H$761,$H53,Dati!$A$2:$A$761,$AK53),"-")</f>
        <v/>
      </c>
      <c r="CZ53" s="22">
        <f>IF(AND($H53&lt;&gt;"",$AL53&lt;&gt;"",$H53&lt;&gt;$AL53,IFERROR(VLOOKUP($H53,areaCercaPuntiClassificaSquadra,3,FALSE),-1)=IFERROR(VLOOKUP($AL53,areaCercaPuntiClassificaSquadra,3,FALSE),-2)),SUMIFS(Dati!$E$2:$E$761,Dati!$A$2:$A$761,$H53,Dati!$H$2:$H$761,$AL53)+SUMIFS(Dati!$L$2:$L$761,Dati!$H$2:$H$761,$H53,Dati!$A$2:$A$761,$AL53),"-")</f>
        <v/>
      </c>
      <c r="DA53" s="22">
        <f>IF(AND($H53&lt;&gt;"",$AM53&lt;&gt;"",$H53&lt;&gt;$AM53,IFERROR(VLOOKUP($H53,areaCercaPuntiClassificaSquadra,3,FALSE),-1)=IFERROR(VLOOKUP($AM53,areaCercaPuntiClassificaSquadra,3,FALSE),-2)),SUMIFS(Dati!$E$2:$E$761,Dati!$A$2:$A$761,$H53,Dati!$H$2:$H$761,$AM53)+SUMIFS(Dati!$L$2:$L$761,Dati!$H$2:$H$761,$H53,Dati!$A$2:$A$761,$AM53),"-")</f>
        <v/>
      </c>
      <c r="DB53" s="22">
        <f>IF(AND($H53&lt;&gt;"",$AN53&lt;&gt;"",$H53&lt;&gt;$AN53,IFERROR(VLOOKUP($H53,areaCercaPuntiClassificaSquadra,3,FALSE),-1)=IFERROR(VLOOKUP($AN53,areaCercaPuntiClassificaSquadra,3,FALSE),-2)),SUMIFS(Dati!$E$2:$E$761,Dati!$A$2:$A$761,$H53,Dati!$H$2:$H$761,$AN53)+SUMIFS(Dati!$L$2:$L$761,Dati!$H$2:$H$761,$H53,Dati!$A$2:$A$761,$AN53),"-")</f>
        <v/>
      </c>
      <c r="DC53" s="22">
        <f>IF(AND($H53&lt;&gt;"",$AO53&lt;&gt;"",$H53&lt;&gt;$AO53,IFERROR(VLOOKUP($H53,areaCercaPuntiClassificaSquadra,3,FALSE),-1)=IFERROR(VLOOKUP($AO53,areaCercaPuntiClassificaSquadra,3,FALSE),-2)),SUMIFS(Dati!$E$2:$E$761,Dati!$A$2:$A$761,$H53,Dati!$H$2:$H$761,$AO53)+SUMIFS(Dati!$L$2:$L$761,Dati!$H$2:$H$761,$H53,Dati!$A$2:$A$761,$AO53),"-")</f>
        <v/>
      </c>
      <c r="DD53" s="22">
        <f>IF(AND($H53&lt;&gt;"",$AP53&lt;&gt;"",$H53&lt;&gt;$AP53,IFERROR(VLOOKUP($H53,areaCercaPuntiClassificaSquadra,3,FALSE),-1)=IFERROR(VLOOKUP($AP53,areaCercaPuntiClassificaSquadra,3,FALSE),-2)),SUMIFS(Dati!$E$2:$E$761,Dati!$A$2:$A$761,$H53,Dati!$H$2:$H$761,$AP53)+SUMIFS(Dati!$L$2:$L$761,Dati!$H$2:$H$761,$H53,Dati!$A$2:$A$761,$AP53),"-")</f>
        <v/>
      </c>
      <c r="DE53" s="22">
        <f>IF(AND($H53&lt;&gt;"",$AQ53&lt;&gt;"",$H53&lt;&gt;$AQ53,IFERROR(VLOOKUP($H53,areaCercaPuntiClassificaSquadra,3,FALSE),-1)=IFERROR(VLOOKUP($AQ53,areaCercaPuntiClassificaSquadra,3,FALSE),-2)),SUMIFS(Dati!$E$2:$E$761,Dati!$A$2:$A$761,$H53,Dati!$H$2:$H$761,$AQ53)+SUMIFS(Dati!$L$2:$L$761,Dati!$H$2:$H$761,$H53,Dati!$A$2:$A$761,$AQ53),"-")</f>
        <v/>
      </c>
      <c r="DF53" s="22">
        <f>IF(AND($H53&lt;&gt;"",$AR53&lt;&gt;"",$H53&lt;&gt;$AR53,IFERROR(VLOOKUP($H53,areaCercaPuntiClassificaSquadra,3,FALSE),-1)=IFERROR(VLOOKUP($AR53,areaCercaPuntiClassificaSquadra,3,FALSE),-2)),SUMIFS(Dati!$E$2:$E$761,Dati!$A$2:$A$761,$H53,Dati!$H$2:$H$761,$AR53)+SUMIFS(Dati!$L$2:$L$761,Dati!$H$2:$H$761,$H53,Dati!$A$2:$A$761,$AR53),"-")</f>
        <v/>
      </c>
      <c r="DH53" s="21">
        <f>$C53</f>
        <v/>
      </c>
      <c r="DI53" s="22">
        <f>IF(AND($H53&lt;&gt;"",$Y53&lt;&gt;"",$H53&lt;&gt;$Y53,IFERROR(VLOOKUP($H53,areaCercaPuntiClassificaSquadra,3,FALSE),-1)=IFERROR(VLOOKUP($Y53,areaCercaPuntiClassificaSquadra,3,FALSE),-2)),SUMIFS(Dati!$F$2:$F$761,Dati!$A$2:$A$761,$H53,Dati!$H$2:$H$761,$Y53)+SUMIFS(Dati!$M$2:$M$761,Dati!$H$2:$H$761,$H53,Dati!$A$2:$A$761,$Y53),"-")</f>
        <v/>
      </c>
      <c r="DJ53" s="22">
        <f>IF(AND($H53&lt;&gt;"",$Z53&lt;&gt;"",$H53&lt;&gt;$Z53,IFERROR(VLOOKUP($H53,areaCercaPuntiClassificaSquadra,3,FALSE),-1)=IFERROR(VLOOKUP($Z53,areaCercaPuntiClassificaSquadra,3,FALSE),-2)),SUMIFS(Dati!$F$2:$F$761,Dati!$A$2:$A$761,$H53,Dati!$H$2:$H$761,$Z53)+SUMIFS(Dati!$M$2:$M$761,Dati!$H$2:$H$761,$H53,Dati!$A$2:$A$761,$Z53),"-")</f>
        <v/>
      </c>
      <c r="DK53" s="22">
        <f>IF(AND($H53&lt;&gt;"",$AA53&lt;&gt;"",$H53&lt;&gt;$AA53,IFERROR(VLOOKUP($H53,areaCercaPuntiClassificaSquadra,3,FALSE),-1)=IFERROR(VLOOKUP($AA53,areaCercaPuntiClassificaSquadra,3,FALSE),-2)),SUMIFS(Dati!$F$2:$F$761,Dati!$A$2:$A$761,$H53,Dati!$H$2:$H$761,$AA53)+SUMIFS(Dati!$M$2:$M$761,Dati!$H$2:$H$761,$H53,Dati!$A$2:$A$761,$AA53),"-")</f>
        <v/>
      </c>
      <c r="DL53" s="22">
        <f>IF(AND($H53&lt;&gt;"",$AB53&lt;&gt;"",$H53&lt;&gt;$AB53,IFERROR(VLOOKUP($H53,areaCercaPuntiClassificaSquadra,3,FALSE),-1)=IFERROR(VLOOKUP($AB53,areaCercaPuntiClassificaSquadra,3,FALSE),-2)),SUMIFS(Dati!$F$2:$F$761,Dati!$A$2:$A$761,$H53,Dati!$H$2:$H$761,$AB53)+SUMIFS(Dati!$M$2:$M$761,Dati!$H$2:$H$761,$H53,Dati!$A$2:$A$761,$AB53),"-")</f>
        <v/>
      </c>
      <c r="DM53" s="22">
        <f>IF(AND($H53&lt;&gt;"",$AC53&lt;&gt;"",$H53&lt;&gt;$AC53,IFERROR(VLOOKUP($H53,areaCercaPuntiClassificaSquadra,3,FALSE),-1)=IFERROR(VLOOKUP($AC53,areaCercaPuntiClassificaSquadra,3,FALSE),-2)),SUMIFS(Dati!$F$2:$F$761,Dati!$A$2:$A$761,$H53,Dati!$H$2:$H$761,$AC53)+SUMIFS(Dati!$M$2:$M$761,Dati!$H$2:$H$761,$H53,Dati!$A$2:$A$761,$AC53),"-")</f>
        <v/>
      </c>
      <c r="DN53" s="22">
        <f>IF(AND($H53&lt;&gt;"",$AD53&lt;&gt;"",$H53&lt;&gt;$AD53,IFERROR(VLOOKUP($H53,areaCercaPuntiClassificaSquadra,3,FALSE),-1)=IFERROR(VLOOKUP($AD53,areaCercaPuntiClassificaSquadra,3,FALSE),-2)),SUMIFS(Dati!$F$2:$F$761,Dati!$A$2:$A$761,$H53,Dati!$H$2:$H$761,$AD53)+SUMIFS(Dati!$M$2:$M$761,Dati!$H$2:$H$761,$H53,Dati!$A$2:$A$761,$AD53),"-")</f>
        <v/>
      </c>
      <c r="DO53" s="22">
        <f>IF(AND($H53&lt;&gt;"",$AE53&lt;&gt;"",$H53&lt;&gt;$AE53,IFERROR(VLOOKUP($H53,areaCercaPuntiClassificaSquadra,3,FALSE),-1)=IFERROR(VLOOKUP($AE53,areaCercaPuntiClassificaSquadra,3,FALSE),-2)),SUMIFS(Dati!$F$2:$F$761,Dati!$A$2:$A$761,$H53,Dati!$H$2:$H$761,$AE53)+SUMIFS(Dati!$M$2:$M$761,Dati!$H$2:$H$761,$H53,Dati!$A$2:$A$761,$AE53),"-")</f>
        <v/>
      </c>
      <c r="DP53" s="22">
        <f>IF(AND($H53&lt;&gt;"",$AF53&lt;&gt;"",$H53&lt;&gt;$AF53,IFERROR(VLOOKUP($H53,areaCercaPuntiClassificaSquadra,3,FALSE),-1)=IFERROR(VLOOKUP($AF53,areaCercaPuntiClassificaSquadra,3,FALSE),-2)),SUMIFS(Dati!$F$2:$F$761,Dati!$A$2:$A$761,$H53,Dati!$H$2:$H$761,$AF53)+SUMIFS(Dati!$M$2:$M$761,Dati!$H$2:$H$761,$H53,Dati!$A$2:$A$761,$AF53),"-")</f>
        <v/>
      </c>
      <c r="DQ53" s="22">
        <f>IF(AND($H53&lt;&gt;"",$AG53&lt;&gt;"",$H53&lt;&gt;$AG53,IFERROR(VLOOKUP($H53,areaCercaPuntiClassificaSquadra,3,FALSE),-1)=IFERROR(VLOOKUP($AG53,areaCercaPuntiClassificaSquadra,3,FALSE),-2)),SUMIFS(Dati!$F$2:$F$761,Dati!$A$2:$A$761,$H53,Dati!$H$2:$H$761,$AG53)+SUMIFS(Dati!$M$2:$M$761,Dati!$H$2:$H$761,$H53,Dati!$A$2:$A$761,$AG53),"-")</f>
        <v/>
      </c>
      <c r="DR53" s="22">
        <f>IF(AND($H53&lt;&gt;"",$AH53&lt;&gt;"",$H53&lt;&gt;$AH53,IFERROR(VLOOKUP($H53,areaCercaPuntiClassificaSquadra,3,FALSE),-1)=IFERROR(VLOOKUP($AH53,areaCercaPuntiClassificaSquadra,3,FALSE),-2)),SUMIFS(Dati!$F$2:$F$761,Dati!$A$2:$A$761,$H53,Dati!$H$2:$H$761,$AH53)+SUMIFS(Dati!$M$2:$M$761,Dati!$H$2:$H$761,$H53,Dati!$A$2:$A$761,$AH53),"-")</f>
        <v/>
      </c>
      <c r="DS53" s="22">
        <f>IF(AND($H53&lt;&gt;"",$AI53&lt;&gt;"",$H53&lt;&gt;$AI53,IFERROR(VLOOKUP($H53,areaCercaPuntiClassificaSquadra,3,FALSE),-1)=IFERROR(VLOOKUP($AI53,areaCercaPuntiClassificaSquadra,3,FALSE),-2)),SUMIFS(Dati!$F$2:$F$761,Dati!$A$2:$A$761,$H53,Dati!$H$2:$H$761,$AI53)+SUMIFS(Dati!$M$2:$M$761,Dati!$H$2:$H$761,$H53,Dati!$A$2:$A$761,$AI53),"-")</f>
        <v/>
      </c>
      <c r="DT53" s="22">
        <f>IF(AND($H53&lt;&gt;"",$AJ53&lt;&gt;"",$H53&lt;&gt;$AJ53,IFERROR(VLOOKUP($H53,areaCercaPuntiClassificaSquadra,3,FALSE),-1)=IFERROR(VLOOKUP($AJ53,areaCercaPuntiClassificaSquadra,3,FALSE),-2)),SUMIFS(Dati!$F$2:$F$761,Dati!$A$2:$A$761,$H53,Dati!$H$2:$H$761,$AJ53)+SUMIFS(Dati!$M$2:$M$761,Dati!$H$2:$H$761,$H53,Dati!$A$2:$A$761,$AJ53),"-")</f>
        <v/>
      </c>
      <c r="DU53" s="22">
        <f>IF(AND($H53&lt;&gt;"",$AK53&lt;&gt;"",$H53&lt;&gt;$AK53,IFERROR(VLOOKUP($H53,areaCercaPuntiClassificaSquadra,3,FALSE),-1)=IFERROR(VLOOKUP($AK53,areaCercaPuntiClassificaSquadra,3,FALSE),-2)),SUMIFS(Dati!$F$2:$F$761,Dati!$A$2:$A$761,$H53,Dati!$H$2:$H$761,$AK53)+SUMIFS(Dati!$M$2:$M$761,Dati!$H$2:$H$761,$H53,Dati!$A$2:$A$761,$AK53),"-")</f>
        <v/>
      </c>
      <c r="DV53" s="22">
        <f>IF(AND($H53&lt;&gt;"",$AL53&lt;&gt;"",$H53&lt;&gt;$AL53,IFERROR(VLOOKUP($H53,areaCercaPuntiClassificaSquadra,3,FALSE),-1)=IFERROR(VLOOKUP($AL53,areaCercaPuntiClassificaSquadra,3,FALSE),-2)),SUMIFS(Dati!$F$2:$F$761,Dati!$A$2:$A$761,$H53,Dati!$H$2:$H$761,$AL53)+SUMIFS(Dati!$M$2:$M$761,Dati!$H$2:$H$761,$H53,Dati!$A$2:$A$761,$AL53),"-")</f>
        <v/>
      </c>
      <c r="DW53" s="22">
        <f>IF(AND($H53&lt;&gt;"",$AM53&lt;&gt;"",$H53&lt;&gt;$AM53,IFERROR(VLOOKUP($H53,areaCercaPuntiClassificaSquadra,3,FALSE),-1)=IFERROR(VLOOKUP($AM53,areaCercaPuntiClassificaSquadra,3,FALSE),-2)),SUMIFS(Dati!$F$2:$F$761,Dati!$A$2:$A$761,$H53,Dati!$H$2:$H$761,$AM53)+SUMIFS(Dati!$M$2:$M$761,Dati!$H$2:$H$761,$H53,Dati!$A$2:$A$761,$AM53),"-")</f>
        <v/>
      </c>
      <c r="DX53" s="22">
        <f>IF(AND($H53&lt;&gt;"",$AN53&lt;&gt;"",$H53&lt;&gt;$AN53,IFERROR(VLOOKUP($H53,areaCercaPuntiClassificaSquadra,3,FALSE),-1)=IFERROR(VLOOKUP($AN53,areaCercaPuntiClassificaSquadra,3,FALSE),-2)),SUMIFS(Dati!$F$2:$F$761,Dati!$A$2:$A$761,$H53,Dati!$H$2:$H$761,$AN53)+SUMIFS(Dati!$M$2:$M$761,Dati!$H$2:$H$761,$H53,Dati!$A$2:$A$761,$AN53),"-")</f>
        <v/>
      </c>
      <c r="DY53" s="22">
        <f>IF(AND($H53&lt;&gt;"",$AO53&lt;&gt;"",$H53&lt;&gt;$AO53,IFERROR(VLOOKUP($H53,areaCercaPuntiClassificaSquadra,3,FALSE),-1)=IFERROR(VLOOKUP($AO53,areaCercaPuntiClassificaSquadra,3,FALSE),-2)),SUMIFS(Dati!$F$2:$F$761,Dati!$A$2:$A$761,$H53,Dati!$H$2:$H$761,$AO53)+SUMIFS(Dati!$M$2:$M$761,Dati!$H$2:$H$761,$H53,Dati!$A$2:$A$761,$AO53),"-")</f>
        <v/>
      </c>
      <c r="DZ53" s="22">
        <f>IF(AND($H53&lt;&gt;"",$AP53&lt;&gt;"",$H53&lt;&gt;$AP53,IFERROR(VLOOKUP($H53,areaCercaPuntiClassificaSquadra,3,FALSE),-1)=IFERROR(VLOOKUP($AP53,areaCercaPuntiClassificaSquadra,3,FALSE),-2)),SUMIFS(Dati!$F$2:$F$761,Dati!$A$2:$A$761,$H53,Dati!$H$2:$H$761,$AP53)+SUMIFS(Dati!$M$2:$M$761,Dati!$H$2:$H$761,$H53,Dati!$A$2:$A$761,$AP53),"-")</f>
        <v/>
      </c>
      <c r="EA53" s="22">
        <f>IF(AND($H53&lt;&gt;"",$AQ53&lt;&gt;"",$H53&lt;&gt;$AQ53,IFERROR(VLOOKUP($H53,areaCercaPuntiClassificaSquadra,3,FALSE),-1)=IFERROR(VLOOKUP($AQ53,areaCercaPuntiClassificaSquadra,3,FALSE),-2)),SUMIFS(Dati!$F$2:$F$761,Dati!$A$2:$A$761,$H53,Dati!$H$2:$H$761,$AQ53)+SUMIFS(Dati!$M$2:$M$761,Dati!$H$2:$H$761,$H53,Dati!$A$2:$A$761,$AQ53),"-")</f>
        <v/>
      </c>
      <c r="EB53" s="22">
        <f>IF(AND($H53&lt;&gt;"",$AR53&lt;&gt;"",$H53&lt;&gt;$AR53,IFERROR(VLOOKUP($H53,areaCercaPuntiClassificaSquadra,3,FALSE),-1)=IFERROR(VLOOKUP($AR53,areaCercaPuntiClassificaSquadra,3,FALSE),-2)),SUMIFS(Dati!$F$2:$F$761,Dati!$A$2:$A$761,$H53,Dati!$H$2:$H$761,$AR53)+SUMIFS(Dati!$M$2:$M$761,Dati!$H$2:$H$761,$H53,Dati!$A$2:$A$761,$AR53),"-")</f>
        <v/>
      </c>
      <c r="ED53" s="22">
        <f>IF($C53="","",SUM(AU53:BN53))</f>
        <v/>
      </c>
    </row>
    <row r="54">
      <c r="B54" s="12" t="inlineStr">
        <is>
          <t>C01</t>
        </is>
      </c>
      <c r="C54" s="13" t="inlineStr">
        <is>
          <t>Gheppi Gentili-Gheppiopoli GA</t>
        </is>
      </c>
      <c r="D54" s="14" t="n"/>
      <c r="E54" s="25" t="inlineStr">
        <is>
          <t>C</t>
        </is>
      </c>
      <c r="G54" s="26">
        <f>IF($C54="","",$E54&amp;(COUNTIFS(I$14:I$93,"&gt;"&amp;I54,E$14:E$93,"="&amp;E54,C$14:C$93,"&lt;&gt;")+COUNTIFS(I$14:I$93,"="&amp;I54,H$14:H$93,"&lt;="&amp;H54,E$14:E$93,"="&amp;E54,C$14:C$93,"&lt;&gt;")))</f>
        <v/>
      </c>
      <c r="H54" s="17">
        <f>IF($C54="","",IFERROR(LEFT($C54,FIND("-",$C54)-1),$C54))</f>
        <v/>
      </c>
      <c r="I54" s="12">
        <f>TEXT(1000000000+J54,"|0000000000|")&amp;TEXT(SUM(AU54:BN54),"0000000000|")&amp;IF(SUM(DI54:EB54)=0,"0000000000|",TEXT(ROUND(SUM(CM54:DF54)/SUM(DI54:EB54),4)*100000,"0000000000|"))&amp;IF(P54=0,"0000000000|",TEXT(ROUND(O54/P54,4)*100000,"0000000000|"))</f>
        <v/>
      </c>
      <c r="J54" s="26">
        <f>L54*constPuntiVittoria+M54*constPuntiSconfitta+N54*constPuntiForfait+IF(D54="",0,D54)</f>
        <v/>
      </c>
      <c r="K54" s="12">
        <f>SUM(L54:N54)</f>
        <v/>
      </c>
      <c r="L54" s="12">
        <f>IF($H54="",0,SUMIF(Dati!$A$2:$A$761,$H54,Dati!$B$2:$B$761)+SUMIF(Dati!$H$2:$H$761,$H54,Dati!$I$2:$I$761))</f>
        <v/>
      </c>
      <c r="M54" s="12">
        <f>IF($H54="",0,SUMIF(Dati!$A$2:$A$761,$H54,Dati!$D$2:$D$761)+SUMIF(Dati!$H$2:$H$761,$H54,Dati!$K$2:$K$761))</f>
        <v/>
      </c>
      <c r="N54" s="12">
        <f>IF($H54="",0,SUMIF(Dati!$A$2:$A$761,$H54,Dati!$C$2:$C$761)+SUMIF(Dati!$H$2:$H$761,$H54,Dati!$J$2:$J$761))</f>
        <v/>
      </c>
      <c r="O54" s="12">
        <f>IF($H54="",0,SUMIF(Dati!$A$2:$A$761,$H54,Dati!$E$2:$E$761)+SUMIF(Dati!$H$2:$H$761,$H54,Dati!$L$2:$L$761))</f>
        <v/>
      </c>
      <c r="P54" s="12">
        <f>IF($H54="",0,SUMIF(Dati!$A$2:$A$761,$H54,Dati!$F$2:$F$761)+SUMIF(Dati!$H$2:$H$761,$H54,Dati!$M$2:$M$761))</f>
        <v/>
      </c>
      <c r="Q54" s="12">
        <f>IF($H54="",0,SUMIF(Dati!$A$2:$A$761,$H54,Dati!$G$2:$G$761)+SUMIF(Dati!$H$2:$H$761,$H54,Dati!$N$2:$N$761))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IF(COUNTIFS($E$14:$E$93,$E54,$J$14:$J$93,$J54,$C$14:$C$93,"&lt;&gt;")&lt;=1,"-",SUM(AU54:BN54)&amp;"-"&amp;SUM(BQ54:CJ54))</f>
        <v/>
      </c>
      <c r="V54" s="18">
        <f>IF(COUNTIFS($E$14:$E$93,$E54,$J$14:$J$93,$J54,$C$14:$C$93,"&lt;&gt;",$ED$14:$ED$93,$ED54)&lt;=1,"-",IF(SUM(DI54:EB54)=0,0,ROUND(SUM(CM54:DF54)/SUM(DI54:EB54),3)))</f>
        <v/>
      </c>
      <c r="W54" s="18">
        <f>IF(COUNTIFS($E$14:$E$93,$E54,$J$14:$J$93,$J54,$C$14:$C$93,"&lt;&gt;",$ED$14:$ED$93,$ED54,$V$14:$V$93,$V54)&lt;=1,"-",IF(P54=0,0,ROUND(O54/P54,3)))</f>
        <v/>
      </c>
      <c r="X54" s="19">
        <f>IF($C54="","",$E54&amp;"#"&amp;COUNTIFS($E$14:$E54,$E54,$C$14:$C54,"&lt;&gt;"))</f>
        <v/>
      </c>
      <c r="Y54" s="20">
        <f>IFERROR(INDEX($H$14:$H$93,MATCH($E54&amp;"#1",$X$14:$X$93,0)),"")</f>
        <v/>
      </c>
      <c r="Z54" s="20">
        <f>IFERROR(INDEX($H$14:$H$93,MATCH($E54&amp;"#2",$X$14:$X$93,0)),"")</f>
        <v/>
      </c>
      <c r="AA54" s="20">
        <f>IFERROR(INDEX($H$14:$H$93,MATCH($E54&amp;"#3",$X$14:$X$93,0)),"")</f>
        <v/>
      </c>
      <c r="AB54" s="20">
        <f>IFERROR(INDEX($H$14:$H$93,MATCH($E54&amp;"#4",$X$14:$X$93,0)),"")</f>
        <v/>
      </c>
      <c r="AC54" s="20">
        <f>IFERROR(INDEX($H$14:$H$93,MATCH($E54&amp;"#5",$X$14:$X$93,0)),"")</f>
        <v/>
      </c>
      <c r="AD54" s="20">
        <f>IFERROR(INDEX($H$14:$H$93,MATCH($E54&amp;"#6",$X$14:$X$93,0)),"")</f>
        <v/>
      </c>
      <c r="AE54" s="20">
        <f>IFERROR(INDEX($H$14:$H$93,MATCH($E54&amp;"#7",$X$14:$X$93,0)),"")</f>
        <v/>
      </c>
      <c r="AF54" s="20">
        <f>IFERROR(INDEX($H$14:$H$93,MATCH($E54&amp;"#8",$X$14:$X$93,0)),"")</f>
        <v/>
      </c>
      <c r="AG54" s="20">
        <f>IFERROR(INDEX($H$14:$H$93,MATCH($E54&amp;"#9",$X$14:$X$93,0)),"")</f>
        <v/>
      </c>
      <c r="AH54" s="20">
        <f>IFERROR(INDEX($H$14:$H$93,MATCH($E54&amp;"#10",$X$14:$X$93,0)),"")</f>
        <v/>
      </c>
      <c r="AI54" s="20">
        <f>IFERROR(INDEX($H$14:$H$93,MATCH($E54&amp;"#11",$X$14:$X$93,0)),"")</f>
        <v/>
      </c>
      <c r="AJ54" s="20">
        <f>IFERROR(INDEX($H$14:$H$93,MATCH($E54&amp;"#12",$X$14:$X$93,0)),"")</f>
        <v/>
      </c>
      <c r="AK54" s="20">
        <f>IFERROR(INDEX($H$14:$H$93,MATCH($E54&amp;"#13",$X$14:$X$93,0)),"")</f>
        <v/>
      </c>
      <c r="AL54" s="20">
        <f>IFERROR(INDEX($H$14:$H$93,MATCH($E54&amp;"#14",$X$14:$X$93,0)),"")</f>
        <v/>
      </c>
      <c r="AM54" s="20">
        <f>IFERROR(INDEX($H$14:$H$93,MATCH($E54&amp;"#15",$X$14:$X$93,0)),"")</f>
        <v/>
      </c>
      <c r="AN54" s="20">
        <f>IFERROR(INDEX($H$14:$H$93,MATCH($E54&amp;"#16",$X$14:$X$93,0)),"")</f>
        <v/>
      </c>
      <c r="AO54" s="20">
        <f>IFERROR(INDEX($H$14:$H$93,MATCH($E54&amp;"#17",$X$14:$X$93,0)),"")</f>
        <v/>
      </c>
      <c r="AP54" s="20">
        <f>IFERROR(INDEX($H$14:$H$93,MATCH($E54&amp;"#18",$X$14:$X$93,0)),"")</f>
        <v/>
      </c>
      <c r="AQ54" s="20">
        <f>IFERROR(INDEX($H$14:$H$93,MATCH($E54&amp;"#19",$X$14:$X$93,0)),"")</f>
        <v/>
      </c>
      <c r="AR54" s="20">
        <f>IFERROR(INDEX($H$14:$H$93,MATCH($E54&amp;"#20",$X$14:$X$93,0)),"")</f>
        <v/>
      </c>
      <c r="AT54" s="21">
        <f>$C54</f>
        <v/>
      </c>
      <c r="AU54" s="22">
        <f>IF(AND($H54&lt;&gt;"",$Y54&lt;&gt;"",$H54&lt;&gt;$Y54,IFERROR(VLOOKUP($H54,areaCercaPuntiClassificaSquadra,3,FALSE),-1)=IFERROR(VLOOKUP($Y54,areaCercaPuntiClassificaSquadra,3,FALSE),-2)),SUMIFS(Dati!$B$2:$B$761,Dati!$A$2:$A$761,$H54,Dati!$H$2:$H$761,$Y54)+SUMIFS(Dati!$I$2:$I$761,Dati!$H$2:$H$761,$H54,Dati!$A$2:$A$761,$Y54),"-")</f>
        <v/>
      </c>
      <c r="AV54" s="22">
        <f>IF(AND($H54&lt;&gt;"",$Z54&lt;&gt;"",$H54&lt;&gt;$Z54,IFERROR(VLOOKUP($H54,areaCercaPuntiClassificaSquadra,3,FALSE),-1)=IFERROR(VLOOKUP($Z54,areaCercaPuntiClassificaSquadra,3,FALSE),-2)),SUMIFS(Dati!$B$2:$B$761,Dati!$A$2:$A$761,$H54,Dati!$H$2:$H$761,$Z54)+SUMIFS(Dati!$I$2:$I$761,Dati!$H$2:$H$761,$H54,Dati!$A$2:$A$761,$Z54),"-")</f>
        <v/>
      </c>
      <c r="AW54" s="22">
        <f>IF(AND($H54&lt;&gt;"",$AA54&lt;&gt;"",$H54&lt;&gt;$AA54,IFERROR(VLOOKUP($H54,areaCercaPuntiClassificaSquadra,3,FALSE),-1)=IFERROR(VLOOKUP($AA54,areaCercaPuntiClassificaSquadra,3,FALSE),-2)),SUMIFS(Dati!$B$2:$B$761,Dati!$A$2:$A$761,$H54,Dati!$H$2:$H$761,$AA54)+SUMIFS(Dati!$I$2:$I$761,Dati!$H$2:$H$761,$H54,Dati!$A$2:$A$761,$AA54),"-")</f>
        <v/>
      </c>
      <c r="AX54" s="22">
        <f>IF(AND($H54&lt;&gt;"",$AB54&lt;&gt;"",$H54&lt;&gt;$AB54,IFERROR(VLOOKUP($H54,areaCercaPuntiClassificaSquadra,3,FALSE),-1)=IFERROR(VLOOKUP($AB54,areaCercaPuntiClassificaSquadra,3,FALSE),-2)),SUMIFS(Dati!$B$2:$B$761,Dati!$A$2:$A$761,$H54,Dati!$H$2:$H$761,$AB54)+SUMIFS(Dati!$I$2:$I$761,Dati!$H$2:$H$761,$H54,Dati!$A$2:$A$761,$AB54),"-")</f>
        <v/>
      </c>
      <c r="AY54" s="22">
        <f>IF(AND($H54&lt;&gt;"",$AC54&lt;&gt;"",$H54&lt;&gt;$AC54,IFERROR(VLOOKUP($H54,areaCercaPuntiClassificaSquadra,3,FALSE),-1)=IFERROR(VLOOKUP($AC54,areaCercaPuntiClassificaSquadra,3,FALSE),-2)),SUMIFS(Dati!$B$2:$B$761,Dati!$A$2:$A$761,$H54,Dati!$H$2:$H$761,$AC54)+SUMIFS(Dati!$I$2:$I$761,Dati!$H$2:$H$761,$H54,Dati!$A$2:$A$761,$AC54),"-")</f>
        <v/>
      </c>
      <c r="AZ54" s="22">
        <f>IF(AND($H54&lt;&gt;"",$AD54&lt;&gt;"",$H54&lt;&gt;$AD54,IFERROR(VLOOKUP($H54,areaCercaPuntiClassificaSquadra,3,FALSE),-1)=IFERROR(VLOOKUP($AD54,areaCercaPuntiClassificaSquadra,3,FALSE),-2)),SUMIFS(Dati!$B$2:$B$761,Dati!$A$2:$A$761,$H54,Dati!$H$2:$H$761,$AD54)+SUMIFS(Dati!$I$2:$I$761,Dati!$H$2:$H$761,$H54,Dati!$A$2:$A$761,$AD54),"-")</f>
        <v/>
      </c>
      <c r="BA54" s="22">
        <f>IF(AND($H54&lt;&gt;"",$AE54&lt;&gt;"",$H54&lt;&gt;$AE54,IFERROR(VLOOKUP($H54,areaCercaPuntiClassificaSquadra,3,FALSE),-1)=IFERROR(VLOOKUP($AE54,areaCercaPuntiClassificaSquadra,3,FALSE),-2)),SUMIFS(Dati!$B$2:$B$761,Dati!$A$2:$A$761,$H54,Dati!$H$2:$H$761,$AE54)+SUMIFS(Dati!$I$2:$I$761,Dati!$H$2:$H$761,$H54,Dati!$A$2:$A$761,$AE54),"-")</f>
        <v/>
      </c>
      <c r="BB54" s="22">
        <f>IF(AND($H54&lt;&gt;"",$AF54&lt;&gt;"",$H54&lt;&gt;$AF54,IFERROR(VLOOKUP($H54,areaCercaPuntiClassificaSquadra,3,FALSE),-1)=IFERROR(VLOOKUP($AF54,areaCercaPuntiClassificaSquadra,3,FALSE),-2)),SUMIFS(Dati!$B$2:$B$761,Dati!$A$2:$A$761,$H54,Dati!$H$2:$H$761,$AF54)+SUMIFS(Dati!$I$2:$I$761,Dati!$H$2:$H$761,$H54,Dati!$A$2:$A$761,$AF54),"-")</f>
        <v/>
      </c>
      <c r="BC54" s="22">
        <f>IF(AND($H54&lt;&gt;"",$AG54&lt;&gt;"",$H54&lt;&gt;$AG54,IFERROR(VLOOKUP($H54,areaCercaPuntiClassificaSquadra,3,FALSE),-1)=IFERROR(VLOOKUP($AG54,areaCercaPuntiClassificaSquadra,3,FALSE),-2)),SUMIFS(Dati!$B$2:$B$761,Dati!$A$2:$A$761,$H54,Dati!$H$2:$H$761,$AG54)+SUMIFS(Dati!$I$2:$I$761,Dati!$H$2:$H$761,$H54,Dati!$A$2:$A$761,$AG54),"-")</f>
        <v/>
      </c>
      <c r="BD54" s="22">
        <f>IF(AND($H54&lt;&gt;"",$AH54&lt;&gt;"",$H54&lt;&gt;$AH54,IFERROR(VLOOKUP($H54,areaCercaPuntiClassificaSquadra,3,FALSE),-1)=IFERROR(VLOOKUP($AH54,areaCercaPuntiClassificaSquadra,3,FALSE),-2)),SUMIFS(Dati!$B$2:$B$761,Dati!$A$2:$A$761,$H54,Dati!$H$2:$H$761,$AH54)+SUMIFS(Dati!$I$2:$I$761,Dati!$H$2:$H$761,$H54,Dati!$A$2:$A$761,$AH54),"-")</f>
        <v/>
      </c>
      <c r="BE54" s="22">
        <f>IF(AND($H54&lt;&gt;"",$AI54&lt;&gt;"",$H54&lt;&gt;$AI54,IFERROR(VLOOKUP($H54,areaCercaPuntiClassificaSquadra,3,FALSE),-1)=IFERROR(VLOOKUP($AI54,areaCercaPuntiClassificaSquadra,3,FALSE),-2)),SUMIFS(Dati!$B$2:$B$761,Dati!$A$2:$A$761,$H54,Dati!$H$2:$H$761,$AI54)+SUMIFS(Dati!$I$2:$I$761,Dati!$H$2:$H$761,$H54,Dati!$A$2:$A$761,$AI54),"-")</f>
        <v/>
      </c>
      <c r="BF54" s="22">
        <f>IF(AND($H54&lt;&gt;"",$AJ54&lt;&gt;"",$H54&lt;&gt;$AJ54,IFERROR(VLOOKUP($H54,areaCercaPuntiClassificaSquadra,3,FALSE),-1)=IFERROR(VLOOKUP($AJ54,areaCercaPuntiClassificaSquadra,3,FALSE),-2)),SUMIFS(Dati!$B$2:$B$761,Dati!$A$2:$A$761,$H54,Dati!$H$2:$H$761,$AJ54)+SUMIFS(Dati!$I$2:$I$761,Dati!$H$2:$H$761,$H54,Dati!$A$2:$A$761,$AJ54),"-")</f>
        <v/>
      </c>
      <c r="BG54" s="22">
        <f>IF(AND($H54&lt;&gt;"",$AK54&lt;&gt;"",$H54&lt;&gt;$AK54,IFERROR(VLOOKUP($H54,areaCercaPuntiClassificaSquadra,3,FALSE),-1)=IFERROR(VLOOKUP($AK54,areaCercaPuntiClassificaSquadra,3,FALSE),-2)),SUMIFS(Dati!$B$2:$B$761,Dati!$A$2:$A$761,$H54,Dati!$H$2:$H$761,$AK54)+SUMIFS(Dati!$I$2:$I$761,Dati!$H$2:$H$761,$H54,Dati!$A$2:$A$761,$AK54),"-")</f>
        <v/>
      </c>
      <c r="BH54" s="22">
        <f>IF(AND($H54&lt;&gt;"",$AL54&lt;&gt;"",$H54&lt;&gt;$AL54,IFERROR(VLOOKUP($H54,areaCercaPuntiClassificaSquadra,3,FALSE),-1)=IFERROR(VLOOKUP($AL54,areaCercaPuntiClassificaSquadra,3,FALSE),-2)),SUMIFS(Dati!$B$2:$B$761,Dati!$A$2:$A$761,$H54,Dati!$H$2:$H$761,$AL54)+SUMIFS(Dati!$I$2:$I$761,Dati!$H$2:$H$761,$H54,Dati!$A$2:$A$761,$AL54),"-")</f>
        <v/>
      </c>
      <c r="BI54" s="22">
        <f>IF(AND($H54&lt;&gt;"",$AM54&lt;&gt;"",$H54&lt;&gt;$AM54,IFERROR(VLOOKUP($H54,areaCercaPuntiClassificaSquadra,3,FALSE),-1)=IFERROR(VLOOKUP($AM54,areaCercaPuntiClassificaSquadra,3,FALSE),-2)),SUMIFS(Dati!$B$2:$B$761,Dati!$A$2:$A$761,$H54,Dati!$H$2:$H$761,$AM54)+SUMIFS(Dati!$I$2:$I$761,Dati!$H$2:$H$761,$H54,Dati!$A$2:$A$761,$AM54),"-")</f>
        <v/>
      </c>
      <c r="BJ54" s="22">
        <f>IF(AND($H54&lt;&gt;"",$AN54&lt;&gt;"",$H54&lt;&gt;$AN54,IFERROR(VLOOKUP($H54,areaCercaPuntiClassificaSquadra,3,FALSE),-1)=IFERROR(VLOOKUP($AN54,areaCercaPuntiClassificaSquadra,3,FALSE),-2)),SUMIFS(Dati!$B$2:$B$761,Dati!$A$2:$A$761,$H54,Dati!$H$2:$H$761,$AN54)+SUMIFS(Dati!$I$2:$I$761,Dati!$H$2:$H$761,$H54,Dati!$A$2:$A$761,$AN54),"-")</f>
        <v/>
      </c>
      <c r="BK54" s="22">
        <f>IF(AND($H54&lt;&gt;"",$AO54&lt;&gt;"",$H54&lt;&gt;$AO54,IFERROR(VLOOKUP($H54,areaCercaPuntiClassificaSquadra,3,FALSE),-1)=IFERROR(VLOOKUP($AO54,areaCercaPuntiClassificaSquadra,3,FALSE),-2)),SUMIFS(Dati!$B$2:$B$761,Dati!$A$2:$A$761,$H54,Dati!$H$2:$H$761,$AO54)+SUMIFS(Dati!$I$2:$I$761,Dati!$H$2:$H$761,$H54,Dati!$A$2:$A$761,$AO54),"-")</f>
        <v/>
      </c>
      <c r="BL54" s="22">
        <f>IF(AND($H54&lt;&gt;"",$AP54&lt;&gt;"",$H54&lt;&gt;$AP54,IFERROR(VLOOKUP($H54,areaCercaPuntiClassificaSquadra,3,FALSE),-1)=IFERROR(VLOOKUP($AP54,areaCercaPuntiClassificaSquadra,3,FALSE),-2)),SUMIFS(Dati!$B$2:$B$761,Dati!$A$2:$A$761,$H54,Dati!$H$2:$H$761,$AP54)+SUMIFS(Dati!$I$2:$I$761,Dati!$H$2:$H$761,$H54,Dati!$A$2:$A$761,$AP54),"-")</f>
        <v/>
      </c>
      <c r="BM54" s="22">
        <f>IF(AND($H54&lt;&gt;"",$AQ54&lt;&gt;"",$H54&lt;&gt;$AQ54,IFERROR(VLOOKUP($H54,areaCercaPuntiClassificaSquadra,3,FALSE),-1)=IFERROR(VLOOKUP($AQ54,areaCercaPuntiClassificaSquadra,3,FALSE),-2)),SUMIFS(Dati!$B$2:$B$761,Dati!$A$2:$A$761,$H54,Dati!$H$2:$H$761,$AQ54)+SUMIFS(Dati!$I$2:$I$761,Dati!$H$2:$H$761,$H54,Dati!$A$2:$A$761,$AQ54),"-")</f>
        <v/>
      </c>
      <c r="BN54" s="22">
        <f>IF(AND($H54&lt;&gt;"",$AR54&lt;&gt;"",$H54&lt;&gt;$AR54,IFERROR(VLOOKUP($H54,areaCercaPuntiClassificaSquadra,3,FALSE),-1)=IFERROR(VLOOKUP($AR54,areaCercaPuntiClassificaSquadra,3,FALSE),-2)),SUMIFS(Dati!$B$2:$B$761,Dati!$A$2:$A$761,$H54,Dati!$H$2:$H$761,$AR54)+SUMIFS(Dati!$I$2:$I$761,Dati!$H$2:$H$761,$H54,Dati!$A$2:$A$761,$AR54),"-")</f>
        <v/>
      </c>
      <c r="BP54" s="21">
        <f>$C54</f>
        <v/>
      </c>
      <c r="BQ54" s="22">
        <f>IF(AND($H54&lt;&gt;"",$Y54&lt;&gt;"",$H54&lt;&gt;$Y54,IFERROR(VLOOKUP($H54,areaCercaPuntiClassificaSquadra,3,FALSE),-1)=IFERROR(VLOOKUP($Y54,areaCercaPuntiClassificaSquadra,3,FALSE),-2)),SUMIFS(Dati!$D$2:$D$761,Dati!$A$2:$A$761,$H54,Dati!$H$2:$H$761,$Y54)+SUMIFS(Dati!$K$2:$K$761,Dati!$H$2:$H$761,$H54,Dati!$A$2:$A$761,$Y54)+SUMIFS(Dati!$C$2:$C$761,Dati!$A$2:$A$761,$H54,Dati!$H$2:$H$761,$Y54)+SUMIFS(Dati!$J$2:$J$761,Dati!$H$2:$H$761,$H54,Dati!$A$2:$A$761,$Y54),"-")</f>
        <v/>
      </c>
      <c r="BR54" s="22">
        <f>IF(AND($H54&lt;&gt;"",$Z54&lt;&gt;"",$H54&lt;&gt;$Z54,IFERROR(VLOOKUP($H54,areaCercaPuntiClassificaSquadra,3,FALSE),-1)=IFERROR(VLOOKUP($Z54,areaCercaPuntiClassificaSquadra,3,FALSE),-2)),SUMIFS(Dati!$D$2:$D$761,Dati!$A$2:$A$761,$H54,Dati!$H$2:$H$761,$Z54)+SUMIFS(Dati!$K$2:$K$761,Dati!$H$2:$H$761,$H54,Dati!$A$2:$A$761,$Z54)+SUMIFS(Dati!$C$2:$C$761,Dati!$A$2:$A$761,$H54,Dati!$H$2:$H$761,$Z54)+SUMIFS(Dati!$J$2:$J$761,Dati!$H$2:$H$761,$H54,Dati!$A$2:$A$761,$Z54),"-")</f>
        <v/>
      </c>
      <c r="BS54" s="22">
        <f>IF(AND($H54&lt;&gt;"",$AA54&lt;&gt;"",$H54&lt;&gt;$AA54,IFERROR(VLOOKUP($H54,areaCercaPuntiClassificaSquadra,3,FALSE),-1)=IFERROR(VLOOKUP($AA54,areaCercaPuntiClassificaSquadra,3,FALSE),-2)),SUMIFS(Dati!$D$2:$D$761,Dati!$A$2:$A$761,$H54,Dati!$H$2:$H$761,$AA54)+SUMIFS(Dati!$K$2:$K$761,Dati!$H$2:$H$761,$H54,Dati!$A$2:$A$761,$AA54)+SUMIFS(Dati!$C$2:$C$761,Dati!$A$2:$A$761,$H54,Dati!$H$2:$H$761,$AA54)+SUMIFS(Dati!$J$2:$J$761,Dati!$H$2:$H$761,$H54,Dati!$A$2:$A$761,$AA54),"-")</f>
        <v/>
      </c>
      <c r="BT54" s="22">
        <f>IF(AND($H54&lt;&gt;"",$AB54&lt;&gt;"",$H54&lt;&gt;$AB54,IFERROR(VLOOKUP($H54,areaCercaPuntiClassificaSquadra,3,FALSE),-1)=IFERROR(VLOOKUP($AB54,areaCercaPuntiClassificaSquadra,3,FALSE),-2)),SUMIFS(Dati!$D$2:$D$761,Dati!$A$2:$A$761,$H54,Dati!$H$2:$H$761,$AB54)+SUMIFS(Dati!$K$2:$K$761,Dati!$H$2:$H$761,$H54,Dati!$A$2:$A$761,$AB54)+SUMIFS(Dati!$C$2:$C$761,Dati!$A$2:$A$761,$H54,Dati!$H$2:$H$761,$AB54)+SUMIFS(Dati!$J$2:$J$761,Dati!$H$2:$H$761,$H54,Dati!$A$2:$A$761,$AB54),"-")</f>
        <v/>
      </c>
      <c r="BU54" s="22">
        <f>IF(AND($H54&lt;&gt;"",$AC54&lt;&gt;"",$H54&lt;&gt;$AC54,IFERROR(VLOOKUP($H54,areaCercaPuntiClassificaSquadra,3,FALSE),-1)=IFERROR(VLOOKUP($AC54,areaCercaPuntiClassificaSquadra,3,FALSE),-2)),SUMIFS(Dati!$D$2:$D$761,Dati!$A$2:$A$761,$H54,Dati!$H$2:$H$761,$AC54)+SUMIFS(Dati!$K$2:$K$761,Dati!$H$2:$H$761,$H54,Dati!$A$2:$A$761,$AC54)+SUMIFS(Dati!$C$2:$C$761,Dati!$A$2:$A$761,$H54,Dati!$H$2:$H$761,$AC54)+SUMIFS(Dati!$J$2:$J$761,Dati!$H$2:$H$761,$H54,Dati!$A$2:$A$761,$AC54),"-")</f>
        <v/>
      </c>
      <c r="BV54" s="22">
        <f>IF(AND($H54&lt;&gt;"",$AD54&lt;&gt;"",$H54&lt;&gt;$AD54,IFERROR(VLOOKUP($H54,areaCercaPuntiClassificaSquadra,3,FALSE),-1)=IFERROR(VLOOKUP($AD54,areaCercaPuntiClassificaSquadra,3,FALSE),-2)),SUMIFS(Dati!$D$2:$D$761,Dati!$A$2:$A$761,$H54,Dati!$H$2:$H$761,$AD54)+SUMIFS(Dati!$K$2:$K$761,Dati!$H$2:$H$761,$H54,Dati!$A$2:$A$761,$AD54)+SUMIFS(Dati!$C$2:$C$761,Dati!$A$2:$A$761,$H54,Dati!$H$2:$H$761,$AD54)+SUMIFS(Dati!$J$2:$J$761,Dati!$H$2:$H$761,$H54,Dati!$A$2:$A$761,$AD54),"-")</f>
        <v/>
      </c>
      <c r="BW54" s="22">
        <f>IF(AND($H54&lt;&gt;"",$AE54&lt;&gt;"",$H54&lt;&gt;$AE54,IFERROR(VLOOKUP($H54,areaCercaPuntiClassificaSquadra,3,FALSE),-1)=IFERROR(VLOOKUP($AE54,areaCercaPuntiClassificaSquadra,3,FALSE),-2)),SUMIFS(Dati!$D$2:$D$761,Dati!$A$2:$A$761,$H54,Dati!$H$2:$H$761,$AE54)+SUMIFS(Dati!$K$2:$K$761,Dati!$H$2:$H$761,$H54,Dati!$A$2:$A$761,$AE54)+SUMIFS(Dati!$C$2:$C$761,Dati!$A$2:$A$761,$H54,Dati!$H$2:$H$761,$AE54)+SUMIFS(Dati!$J$2:$J$761,Dati!$H$2:$H$761,$H54,Dati!$A$2:$A$761,$AE54),"-")</f>
        <v/>
      </c>
      <c r="BX54" s="22">
        <f>IF(AND($H54&lt;&gt;"",$AF54&lt;&gt;"",$H54&lt;&gt;$AF54,IFERROR(VLOOKUP($H54,areaCercaPuntiClassificaSquadra,3,FALSE),-1)=IFERROR(VLOOKUP($AF54,areaCercaPuntiClassificaSquadra,3,FALSE),-2)),SUMIFS(Dati!$D$2:$D$761,Dati!$A$2:$A$761,$H54,Dati!$H$2:$H$761,$AF54)+SUMIFS(Dati!$K$2:$K$761,Dati!$H$2:$H$761,$H54,Dati!$A$2:$A$761,$AF54)+SUMIFS(Dati!$C$2:$C$761,Dati!$A$2:$A$761,$H54,Dati!$H$2:$H$761,$AF54)+SUMIFS(Dati!$J$2:$J$761,Dati!$H$2:$H$761,$H54,Dati!$A$2:$A$761,$AF54),"-")</f>
        <v/>
      </c>
      <c r="BY54" s="22">
        <f>IF(AND($H54&lt;&gt;"",$AG54&lt;&gt;"",$H54&lt;&gt;$AG54,IFERROR(VLOOKUP($H54,areaCercaPuntiClassificaSquadra,3,FALSE),-1)=IFERROR(VLOOKUP($AG54,areaCercaPuntiClassificaSquadra,3,FALSE),-2)),SUMIFS(Dati!$D$2:$D$761,Dati!$A$2:$A$761,$H54,Dati!$H$2:$H$761,$AG54)+SUMIFS(Dati!$K$2:$K$761,Dati!$H$2:$H$761,$H54,Dati!$A$2:$A$761,$AG54)+SUMIFS(Dati!$C$2:$C$761,Dati!$A$2:$A$761,$H54,Dati!$H$2:$H$761,$AG54)+SUMIFS(Dati!$J$2:$J$761,Dati!$H$2:$H$761,$H54,Dati!$A$2:$A$761,$AG54),"-")</f>
        <v/>
      </c>
      <c r="BZ54" s="22">
        <f>IF(AND($H54&lt;&gt;"",$AH54&lt;&gt;"",$H54&lt;&gt;$AH54,IFERROR(VLOOKUP($H54,areaCercaPuntiClassificaSquadra,3,FALSE),-1)=IFERROR(VLOOKUP($AH54,areaCercaPuntiClassificaSquadra,3,FALSE),-2)),SUMIFS(Dati!$D$2:$D$761,Dati!$A$2:$A$761,$H54,Dati!$H$2:$H$761,$AH54)+SUMIFS(Dati!$K$2:$K$761,Dati!$H$2:$H$761,$H54,Dati!$A$2:$A$761,$AH54)+SUMIFS(Dati!$C$2:$C$761,Dati!$A$2:$A$761,$H54,Dati!$H$2:$H$761,$AH54)+SUMIFS(Dati!$J$2:$J$761,Dati!$H$2:$H$761,$H54,Dati!$A$2:$A$761,$AH54),"-")</f>
        <v/>
      </c>
      <c r="CA54" s="22">
        <f>IF(AND($H54&lt;&gt;"",$AI54&lt;&gt;"",$H54&lt;&gt;$AI54,IFERROR(VLOOKUP($H54,areaCercaPuntiClassificaSquadra,3,FALSE),-1)=IFERROR(VLOOKUP($AI54,areaCercaPuntiClassificaSquadra,3,FALSE),-2)),SUMIFS(Dati!$D$2:$D$761,Dati!$A$2:$A$761,$H54,Dati!$H$2:$H$761,$AI54)+SUMIFS(Dati!$K$2:$K$761,Dati!$H$2:$H$761,$H54,Dati!$A$2:$A$761,$AI54)+SUMIFS(Dati!$C$2:$C$761,Dati!$A$2:$A$761,$H54,Dati!$H$2:$H$761,$AI54)+SUMIFS(Dati!$J$2:$J$761,Dati!$H$2:$H$761,$H54,Dati!$A$2:$A$761,$AI54),"-")</f>
        <v/>
      </c>
      <c r="CB54" s="22">
        <f>IF(AND($H54&lt;&gt;"",$AJ54&lt;&gt;"",$H54&lt;&gt;$AJ54,IFERROR(VLOOKUP($H54,areaCercaPuntiClassificaSquadra,3,FALSE),-1)=IFERROR(VLOOKUP($AJ54,areaCercaPuntiClassificaSquadra,3,FALSE),-2)),SUMIFS(Dati!$D$2:$D$761,Dati!$A$2:$A$761,$H54,Dati!$H$2:$H$761,$AJ54)+SUMIFS(Dati!$K$2:$K$761,Dati!$H$2:$H$761,$H54,Dati!$A$2:$A$761,$AJ54)+SUMIFS(Dati!$C$2:$C$761,Dati!$A$2:$A$761,$H54,Dati!$H$2:$H$761,$AJ54)+SUMIFS(Dati!$J$2:$J$761,Dati!$H$2:$H$761,$H54,Dati!$A$2:$A$761,$AJ54),"-")</f>
        <v/>
      </c>
      <c r="CC54" s="22">
        <f>IF(AND($H54&lt;&gt;"",$AK54&lt;&gt;"",$H54&lt;&gt;$AK54,IFERROR(VLOOKUP($H54,areaCercaPuntiClassificaSquadra,3,FALSE),-1)=IFERROR(VLOOKUP($AK54,areaCercaPuntiClassificaSquadra,3,FALSE),-2)),SUMIFS(Dati!$D$2:$D$761,Dati!$A$2:$A$761,$H54,Dati!$H$2:$H$761,$AK54)+SUMIFS(Dati!$K$2:$K$761,Dati!$H$2:$H$761,$H54,Dati!$A$2:$A$761,$AK54)+SUMIFS(Dati!$C$2:$C$761,Dati!$A$2:$A$761,$H54,Dati!$H$2:$H$761,$AK54)+SUMIFS(Dati!$J$2:$J$761,Dati!$H$2:$H$761,$H54,Dati!$A$2:$A$761,$AK54),"-")</f>
        <v/>
      </c>
      <c r="CD54" s="22">
        <f>IF(AND($H54&lt;&gt;"",$AL54&lt;&gt;"",$H54&lt;&gt;$AL54,IFERROR(VLOOKUP($H54,areaCercaPuntiClassificaSquadra,3,FALSE),-1)=IFERROR(VLOOKUP($AL54,areaCercaPuntiClassificaSquadra,3,FALSE),-2)),SUMIFS(Dati!$D$2:$D$761,Dati!$A$2:$A$761,$H54,Dati!$H$2:$H$761,$AL54)+SUMIFS(Dati!$K$2:$K$761,Dati!$H$2:$H$761,$H54,Dati!$A$2:$A$761,$AL54)+SUMIFS(Dati!$C$2:$C$761,Dati!$A$2:$A$761,$H54,Dati!$H$2:$H$761,$AL54)+SUMIFS(Dati!$J$2:$J$761,Dati!$H$2:$H$761,$H54,Dati!$A$2:$A$761,$AL54),"-")</f>
        <v/>
      </c>
      <c r="CE54" s="22">
        <f>IF(AND($H54&lt;&gt;"",$AM54&lt;&gt;"",$H54&lt;&gt;$AM54,IFERROR(VLOOKUP($H54,areaCercaPuntiClassificaSquadra,3,FALSE),-1)=IFERROR(VLOOKUP($AM54,areaCercaPuntiClassificaSquadra,3,FALSE),-2)),SUMIFS(Dati!$D$2:$D$761,Dati!$A$2:$A$761,$H54,Dati!$H$2:$H$761,$AM54)+SUMIFS(Dati!$K$2:$K$761,Dati!$H$2:$H$761,$H54,Dati!$A$2:$A$761,$AM54)+SUMIFS(Dati!$C$2:$C$761,Dati!$A$2:$A$761,$H54,Dati!$H$2:$H$761,$AM54)+SUMIFS(Dati!$J$2:$J$761,Dati!$H$2:$H$761,$H54,Dati!$A$2:$A$761,$AM54),"-")</f>
        <v/>
      </c>
      <c r="CF54" s="22">
        <f>IF(AND($H54&lt;&gt;"",$AN54&lt;&gt;"",$H54&lt;&gt;$AN54,IFERROR(VLOOKUP($H54,areaCercaPuntiClassificaSquadra,3,FALSE),-1)=IFERROR(VLOOKUP($AN54,areaCercaPuntiClassificaSquadra,3,FALSE),-2)),SUMIFS(Dati!$D$2:$D$761,Dati!$A$2:$A$761,$H54,Dati!$H$2:$H$761,$AN54)+SUMIFS(Dati!$K$2:$K$761,Dati!$H$2:$H$761,$H54,Dati!$A$2:$A$761,$AN54)+SUMIFS(Dati!$C$2:$C$761,Dati!$A$2:$A$761,$H54,Dati!$H$2:$H$761,$AN54)+SUMIFS(Dati!$J$2:$J$761,Dati!$H$2:$H$761,$H54,Dati!$A$2:$A$761,$AN54),"-")</f>
        <v/>
      </c>
      <c r="CG54" s="22">
        <f>IF(AND($H54&lt;&gt;"",$AO54&lt;&gt;"",$H54&lt;&gt;$AO54,IFERROR(VLOOKUP($H54,areaCercaPuntiClassificaSquadra,3,FALSE),-1)=IFERROR(VLOOKUP($AO54,areaCercaPuntiClassificaSquadra,3,FALSE),-2)),SUMIFS(Dati!$D$2:$D$761,Dati!$A$2:$A$761,$H54,Dati!$H$2:$H$761,$AO54)+SUMIFS(Dati!$K$2:$K$761,Dati!$H$2:$H$761,$H54,Dati!$A$2:$A$761,$AO54)+SUMIFS(Dati!$C$2:$C$761,Dati!$A$2:$A$761,$H54,Dati!$H$2:$H$761,$AO54)+SUMIFS(Dati!$J$2:$J$761,Dati!$H$2:$H$761,$H54,Dati!$A$2:$A$761,$AO54),"-")</f>
        <v/>
      </c>
      <c r="CH54" s="22">
        <f>IF(AND($H54&lt;&gt;"",$AP54&lt;&gt;"",$H54&lt;&gt;$AP54,IFERROR(VLOOKUP($H54,areaCercaPuntiClassificaSquadra,3,FALSE),-1)=IFERROR(VLOOKUP($AP54,areaCercaPuntiClassificaSquadra,3,FALSE),-2)),SUMIFS(Dati!$D$2:$D$761,Dati!$A$2:$A$761,$H54,Dati!$H$2:$H$761,$AP54)+SUMIFS(Dati!$K$2:$K$761,Dati!$H$2:$H$761,$H54,Dati!$A$2:$A$761,$AP54)+SUMIFS(Dati!$C$2:$C$761,Dati!$A$2:$A$761,$H54,Dati!$H$2:$H$761,$AP54)+SUMIFS(Dati!$J$2:$J$761,Dati!$H$2:$H$761,$H54,Dati!$A$2:$A$761,$AP54),"-")</f>
        <v/>
      </c>
      <c r="CI54" s="22">
        <f>IF(AND($H54&lt;&gt;"",$AQ54&lt;&gt;"",$H54&lt;&gt;$AQ54,IFERROR(VLOOKUP($H54,areaCercaPuntiClassificaSquadra,3,FALSE),-1)=IFERROR(VLOOKUP($AQ54,areaCercaPuntiClassificaSquadra,3,FALSE),-2)),SUMIFS(Dati!$D$2:$D$761,Dati!$A$2:$A$761,$H54,Dati!$H$2:$H$761,$AQ54)+SUMIFS(Dati!$K$2:$K$761,Dati!$H$2:$H$761,$H54,Dati!$A$2:$A$761,$AQ54)+SUMIFS(Dati!$C$2:$C$761,Dati!$A$2:$A$761,$H54,Dati!$H$2:$H$761,$AQ54)+SUMIFS(Dati!$J$2:$J$761,Dati!$H$2:$H$761,$H54,Dati!$A$2:$A$761,$AQ54),"-")</f>
        <v/>
      </c>
      <c r="CJ54" s="22">
        <f>IF(AND($H54&lt;&gt;"",$AR54&lt;&gt;"",$H54&lt;&gt;$AR54,IFERROR(VLOOKUP($H54,areaCercaPuntiClassificaSquadra,3,FALSE),-1)=IFERROR(VLOOKUP($AR54,areaCercaPuntiClassificaSquadra,3,FALSE),-2)),SUMIFS(Dati!$D$2:$D$761,Dati!$A$2:$A$761,$H54,Dati!$H$2:$H$761,$AR54)+SUMIFS(Dati!$K$2:$K$761,Dati!$H$2:$H$761,$H54,Dati!$A$2:$A$761,$AR54)+SUMIFS(Dati!$C$2:$C$761,Dati!$A$2:$A$761,$H54,Dati!$H$2:$H$761,$AR54)+SUMIFS(Dati!$J$2:$J$761,Dati!$H$2:$H$761,$H54,Dati!$A$2:$A$761,$AR54),"-")</f>
        <v/>
      </c>
      <c r="CL54" s="21">
        <f>$C54</f>
        <v/>
      </c>
      <c r="CM54" s="22">
        <f>IF(AND($H54&lt;&gt;"",$Y54&lt;&gt;"",$H54&lt;&gt;$Y54,IFERROR(VLOOKUP($H54,areaCercaPuntiClassificaSquadra,3,FALSE),-1)=IFERROR(VLOOKUP($Y54,areaCercaPuntiClassificaSquadra,3,FALSE),-2)),SUMIFS(Dati!$E$2:$E$761,Dati!$A$2:$A$761,$H54,Dati!$H$2:$H$761,$Y54)+SUMIFS(Dati!$L$2:$L$761,Dati!$H$2:$H$761,$H54,Dati!$A$2:$A$761,$Y54),"-")</f>
        <v/>
      </c>
      <c r="CN54" s="22">
        <f>IF(AND($H54&lt;&gt;"",$Z54&lt;&gt;"",$H54&lt;&gt;$Z54,IFERROR(VLOOKUP($H54,areaCercaPuntiClassificaSquadra,3,FALSE),-1)=IFERROR(VLOOKUP($Z54,areaCercaPuntiClassificaSquadra,3,FALSE),-2)),SUMIFS(Dati!$E$2:$E$761,Dati!$A$2:$A$761,$H54,Dati!$H$2:$H$761,$Z54)+SUMIFS(Dati!$L$2:$L$761,Dati!$H$2:$H$761,$H54,Dati!$A$2:$A$761,$Z54),"-")</f>
        <v/>
      </c>
      <c r="CO54" s="22">
        <f>IF(AND($H54&lt;&gt;"",$AA54&lt;&gt;"",$H54&lt;&gt;$AA54,IFERROR(VLOOKUP($H54,areaCercaPuntiClassificaSquadra,3,FALSE),-1)=IFERROR(VLOOKUP($AA54,areaCercaPuntiClassificaSquadra,3,FALSE),-2)),SUMIFS(Dati!$E$2:$E$761,Dati!$A$2:$A$761,$H54,Dati!$H$2:$H$761,$AA54)+SUMIFS(Dati!$L$2:$L$761,Dati!$H$2:$H$761,$H54,Dati!$A$2:$A$761,$AA54),"-")</f>
        <v/>
      </c>
      <c r="CP54" s="22">
        <f>IF(AND($H54&lt;&gt;"",$AB54&lt;&gt;"",$H54&lt;&gt;$AB54,IFERROR(VLOOKUP($H54,areaCercaPuntiClassificaSquadra,3,FALSE),-1)=IFERROR(VLOOKUP($AB54,areaCercaPuntiClassificaSquadra,3,FALSE),-2)),SUMIFS(Dati!$E$2:$E$761,Dati!$A$2:$A$761,$H54,Dati!$H$2:$H$761,$AB54)+SUMIFS(Dati!$L$2:$L$761,Dati!$H$2:$H$761,$H54,Dati!$A$2:$A$761,$AB54),"-")</f>
        <v/>
      </c>
      <c r="CQ54" s="22">
        <f>IF(AND($H54&lt;&gt;"",$AC54&lt;&gt;"",$H54&lt;&gt;$AC54,IFERROR(VLOOKUP($H54,areaCercaPuntiClassificaSquadra,3,FALSE),-1)=IFERROR(VLOOKUP($AC54,areaCercaPuntiClassificaSquadra,3,FALSE),-2)),SUMIFS(Dati!$E$2:$E$761,Dati!$A$2:$A$761,$H54,Dati!$H$2:$H$761,$AC54)+SUMIFS(Dati!$L$2:$L$761,Dati!$H$2:$H$761,$H54,Dati!$A$2:$A$761,$AC54),"-")</f>
        <v/>
      </c>
      <c r="CR54" s="22">
        <f>IF(AND($H54&lt;&gt;"",$AD54&lt;&gt;"",$H54&lt;&gt;$AD54,IFERROR(VLOOKUP($H54,areaCercaPuntiClassificaSquadra,3,FALSE),-1)=IFERROR(VLOOKUP($AD54,areaCercaPuntiClassificaSquadra,3,FALSE),-2)),SUMIFS(Dati!$E$2:$E$761,Dati!$A$2:$A$761,$H54,Dati!$H$2:$H$761,$AD54)+SUMIFS(Dati!$L$2:$L$761,Dati!$H$2:$H$761,$H54,Dati!$A$2:$A$761,$AD54),"-")</f>
        <v/>
      </c>
      <c r="CS54" s="22">
        <f>IF(AND($H54&lt;&gt;"",$AE54&lt;&gt;"",$H54&lt;&gt;$AE54,IFERROR(VLOOKUP($H54,areaCercaPuntiClassificaSquadra,3,FALSE),-1)=IFERROR(VLOOKUP($AE54,areaCercaPuntiClassificaSquadra,3,FALSE),-2)),SUMIFS(Dati!$E$2:$E$761,Dati!$A$2:$A$761,$H54,Dati!$H$2:$H$761,$AE54)+SUMIFS(Dati!$L$2:$L$761,Dati!$H$2:$H$761,$H54,Dati!$A$2:$A$761,$AE54),"-")</f>
        <v/>
      </c>
      <c r="CT54" s="22">
        <f>IF(AND($H54&lt;&gt;"",$AF54&lt;&gt;"",$H54&lt;&gt;$AF54,IFERROR(VLOOKUP($H54,areaCercaPuntiClassificaSquadra,3,FALSE),-1)=IFERROR(VLOOKUP($AF54,areaCercaPuntiClassificaSquadra,3,FALSE),-2)),SUMIFS(Dati!$E$2:$E$761,Dati!$A$2:$A$761,$H54,Dati!$H$2:$H$761,$AF54)+SUMIFS(Dati!$L$2:$L$761,Dati!$H$2:$H$761,$H54,Dati!$A$2:$A$761,$AF54),"-")</f>
        <v/>
      </c>
      <c r="CU54" s="22">
        <f>IF(AND($H54&lt;&gt;"",$AG54&lt;&gt;"",$H54&lt;&gt;$AG54,IFERROR(VLOOKUP($H54,areaCercaPuntiClassificaSquadra,3,FALSE),-1)=IFERROR(VLOOKUP($AG54,areaCercaPuntiClassificaSquadra,3,FALSE),-2)),SUMIFS(Dati!$E$2:$E$761,Dati!$A$2:$A$761,$H54,Dati!$H$2:$H$761,$AG54)+SUMIFS(Dati!$L$2:$L$761,Dati!$H$2:$H$761,$H54,Dati!$A$2:$A$761,$AG54),"-")</f>
        <v/>
      </c>
      <c r="CV54" s="22">
        <f>IF(AND($H54&lt;&gt;"",$AH54&lt;&gt;"",$H54&lt;&gt;$AH54,IFERROR(VLOOKUP($H54,areaCercaPuntiClassificaSquadra,3,FALSE),-1)=IFERROR(VLOOKUP($AH54,areaCercaPuntiClassificaSquadra,3,FALSE),-2)),SUMIFS(Dati!$E$2:$E$761,Dati!$A$2:$A$761,$H54,Dati!$H$2:$H$761,$AH54)+SUMIFS(Dati!$L$2:$L$761,Dati!$H$2:$H$761,$H54,Dati!$A$2:$A$761,$AH54),"-")</f>
        <v/>
      </c>
      <c r="CW54" s="22">
        <f>IF(AND($H54&lt;&gt;"",$AI54&lt;&gt;"",$H54&lt;&gt;$AI54,IFERROR(VLOOKUP($H54,areaCercaPuntiClassificaSquadra,3,FALSE),-1)=IFERROR(VLOOKUP($AI54,areaCercaPuntiClassificaSquadra,3,FALSE),-2)),SUMIFS(Dati!$E$2:$E$761,Dati!$A$2:$A$761,$H54,Dati!$H$2:$H$761,$AI54)+SUMIFS(Dati!$L$2:$L$761,Dati!$H$2:$H$761,$H54,Dati!$A$2:$A$761,$AI54),"-")</f>
        <v/>
      </c>
      <c r="CX54" s="22">
        <f>IF(AND($H54&lt;&gt;"",$AJ54&lt;&gt;"",$H54&lt;&gt;$AJ54,IFERROR(VLOOKUP($H54,areaCercaPuntiClassificaSquadra,3,FALSE),-1)=IFERROR(VLOOKUP($AJ54,areaCercaPuntiClassificaSquadra,3,FALSE),-2)),SUMIFS(Dati!$E$2:$E$761,Dati!$A$2:$A$761,$H54,Dati!$H$2:$H$761,$AJ54)+SUMIFS(Dati!$L$2:$L$761,Dati!$H$2:$H$761,$H54,Dati!$A$2:$A$761,$AJ54),"-")</f>
        <v/>
      </c>
      <c r="CY54" s="22">
        <f>IF(AND($H54&lt;&gt;"",$AK54&lt;&gt;"",$H54&lt;&gt;$AK54,IFERROR(VLOOKUP($H54,areaCercaPuntiClassificaSquadra,3,FALSE),-1)=IFERROR(VLOOKUP($AK54,areaCercaPuntiClassificaSquadra,3,FALSE),-2)),SUMIFS(Dati!$E$2:$E$761,Dati!$A$2:$A$761,$H54,Dati!$H$2:$H$761,$AK54)+SUMIFS(Dati!$L$2:$L$761,Dati!$H$2:$H$761,$H54,Dati!$A$2:$A$761,$AK54),"-")</f>
        <v/>
      </c>
      <c r="CZ54" s="22">
        <f>IF(AND($H54&lt;&gt;"",$AL54&lt;&gt;"",$H54&lt;&gt;$AL54,IFERROR(VLOOKUP($H54,areaCercaPuntiClassificaSquadra,3,FALSE),-1)=IFERROR(VLOOKUP($AL54,areaCercaPuntiClassificaSquadra,3,FALSE),-2)),SUMIFS(Dati!$E$2:$E$761,Dati!$A$2:$A$761,$H54,Dati!$H$2:$H$761,$AL54)+SUMIFS(Dati!$L$2:$L$761,Dati!$H$2:$H$761,$H54,Dati!$A$2:$A$761,$AL54),"-")</f>
        <v/>
      </c>
      <c r="DA54" s="22">
        <f>IF(AND($H54&lt;&gt;"",$AM54&lt;&gt;"",$H54&lt;&gt;$AM54,IFERROR(VLOOKUP($H54,areaCercaPuntiClassificaSquadra,3,FALSE),-1)=IFERROR(VLOOKUP($AM54,areaCercaPuntiClassificaSquadra,3,FALSE),-2)),SUMIFS(Dati!$E$2:$E$761,Dati!$A$2:$A$761,$H54,Dati!$H$2:$H$761,$AM54)+SUMIFS(Dati!$L$2:$L$761,Dati!$H$2:$H$761,$H54,Dati!$A$2:$A$761,$AM54),"-")</f>
        <v/>
      </c>
      <c r="DB54" s="22">
        <f>IF(AND($H54&lt;&gt;"",$AN54&lt;&gt;"",$H54&lt;&gt;$AN54,IFERROR(VLOOKUP($H54,areaCercaPuntiClassificaSquadra,3,FALSE),-1)=IFERROR(VLOOKUP($AN54,areaCercaPuntiClassificaSquadra,3,FALSE),-2)),SUMIFS(Dati!$E$2:$E$761,Dati!$A$2:$A$761,$H54,Dati!$H$2:$H$761,$AN54)+SUMIFS(Dati!$L$2:$L$761,Dati!$H$2:$H$761,$H54,Dati!$A$2:$A$761,$AN54),"-")</f>
        <v/>
      </c>
      <c r="DC54" s="22">
        <f>IF(AND($H54&lt;&gt;"",$AO54&lt;&gt;"",$H54&lt;&gt;$AO54,IFERROR(VLOOKUP($H54,areaCercaPuntiClassificaSquadra,3,FALSE),-1)=IFERROR(VLOOKUP($AO54,areaCercaPuntiClassificaSquadra,3,FALSE),-2)),SUMIFS(Dati!$E$2:$E$761,Dati!$A$2:$A$761,$H54,Dati!$H$2:$H$761,$AO54)+SUMIFS(Dati!$L$2:$L$761,Dati!$H$2:$H$761,$H54,Dati!$A$2:$A$761,$AO54),"-")</f>
        <v/>
      </c>
      <c r="DD54" s="22">
        <f>IF(AND($H54&lt;&gt;"",$AP54&lt;&gt;"",$H54&lt;&gt;$AP54,IFERROR(VLOOKUP($H54,areaCercaPuntiClassificaSquadra,3,FALSE),-1)=IFERROR(VLOOKUP($AP54,areaCercaPuntiClassificaSquadra,3,FALSE),-2)),SUMIFS(Dati!$E$2:$E$761,Dati!$A$2:$A$761,$H54,Dati!$H$2:$H$761,$AP54)+SUMIFS(Dati!$L$2:$L$761,Dati!$H$2:$H$761,$H54,Dati!$A$2:$A$761,$AP54),"-")</f>
        <v/>
      </c>
      <c r="DE54" s="22">
        <f>IF(AND($H54&lt;&gt;"",$AQ54&lt;&gt;"",$H54&lt;&gt;$AQ54,IFERROR(VLOOKUP($H54,areaCercaPuntiClassificaSquadra,3,FALSE),-1)=IFERROR(VLOOKUP($AQ54,areaCercaPuntiClassificaSquadra,3,FALSE),-2)),SUMIFS(Dati!$E$2:$E$761,Dati!$A$2:$A$761,$H54,Dati!$H$2:$H$761,$AQ54)+SUMIFS(Dati!$L$2:$L$761,Dati!$H$2:$H$761,$H54,Dati!$A$2:$A$761,$AQ54),"-")</f>
        <v/>
      </c>
      <c r="DF54" s="22">
        <f>IF(AND($H54&lt;&gt;"",$AR54&lt;&gt;"",$H54&lt;&gt;$AR54,IFERROR(VLOOKUP($H54,areaCercaPuntiClassificaSquadra,3,FALSE),-1)=IFERROR(VLOOKUP($AR54,areaCercaPuntiClassificaSquadra,3,FALSE),-2)),SUMIFS(Dati!$E$2:$E$761,Dati!$A$2:$A$761,$H54,Dati!$H$2:$H$761,$AR54)+SUMIFS(Dati!$L$2:$L$761,Dati!$H$2:$H$761,$H54,Dati!$A$2:$A$761,$AR54),"-")</f>
        <v/>
      </c>
      <c r="DH54" s="21">
        <f>$C54</f>
        <v/>
      </c>
      <c r="DI54" s="22">
        <f>IF(AND($H54&lt;&gt;"",$Y54&lt;&gt;"",$H54&lt;&gt;$Y54,IFERROR(VLOOKUP($H54,areaCercaPuntiClassificaSquadra,3,FALSE),-1)=IFERROR(VLOOKUP($Y54,areaCercaPuntiClassificaSquadra,3,FALSE),-2)),SUMIFS(Dati!$F$2:$F$761,Dati!$A$2:$A$761,$H54,Dati!$H$2:$H$761,$Y54)+SUMIFS(Dati!$M$2:$M$761,Dati!$H$2:$H$761,$H54,Dati!$A$2:$A$761,$Y54),"-")</f>
        <v/>
      </c>
      <c r="DJ54" s="22">
        <f>IF(AND($H54&lt;&gt;"",$Z54&lt;&gt;"",$H54&lt;&gt;$Z54,IFERROR(VLOOKUP($H54,areaCercaPuntiClassificaSquadra,3,FALSE),-1)=IFERROR(VLOOKUP($Z54,areaCercaPuntiClassificaSquadra,3,FALSE),-2)),SUMIFS(Dati!$F$2:$F$761,Dati!$A$2:$A$761,$H54,Dati!$H$2:$H$761,$Z54)+SUMIFS(Dati!$M$2:$M$761,Dati!$H$2:$H$761,$H54,Dati!$A$2:$A$761,$Z54),"-")</f>
        <v/>
      </c>
      <c r="DK54" s="22">
        <f>IF(AND($H54&lt;&gt;"",$AA54&lt;&gt;"",$H54&lt;&gt;$AA54,IFERROR(VLOOKUP($H54,areaCercaPuntiClassificaSquadra,3,FALSE),-1)=IFERROR(VLOOKUP($AA54,areaCercaPuntiClassificaSquadra,3,FALSE),-2)),SUMIFS(Dati!$F$2:$F$761,Dati!$A$2:$A$761,$H54,Dati!$H$2:$H$761,$AA54)+SUMIFS(Dati!$M$2:$M$761,Dati!$H$2:$H$761,$H54,Dati!$A$2:$A$761,$AA54),"-")</f>
        <v/>
      </c>
      <c r="DL54" s="22">
        <f>IF(AND($H54&lt;&gt;"",$AB54&lt;&gt;"",$H54&lt;&gt;$AB54,IFERROR(VLOOKUP($H54,areaCercaPuntiClassificaSquadra,3,FALSE),-1)=IFERROR(VLOOKUP($AB54,areaCercaPuntiClassificaSquadra,3,FALSE),-2)),SUMIFS(Dati!$F$2:$F$761,Dati!$A$2:$A$761,$H54,Dati!$H$2:$H$761,$AB54)+SUMIFS(Dati!$M$2:$M$761,Dati!$H$2:$H$761,$H54,Dati!$A$2:$A$761,$AB54),"-")</f>
        <v/>
      </c>
      <c r="DM54" s="22">
        <f>IF(AND($H54&lt;&gt;"",$AC54&lt;&gt;"",$H54&lt;&gt;$AC54,IFERROR(VLOOKUP($H54,areaCercaPuntiClassificaSquadra,3,FALSE),-1)=IFERROR(VLOOKUP($AC54,areaCercaPuntiClassificaSquadra,3,FALSE),-2)),SUMIFS(Dati!$F$2:$F$761,Dati!$A$2:$A$761,$H54,Dati!$H$2:$H$761,$AC54)+SUMIFS(Dati!$M$2:$M$761,Dati!$H$2:$H$761,$H54,Dati!$A$2:$A$761,$AC54),"-")</f>
        <v/>
      </c>
      <c r="DN54" s="22">
        <f>IF(AND($H54&lt;&gt;"",$AD54&lt;&gt;"",$H54&lt;&gt;$AD54,IFERROR(VLOOKUP($H54,areaCercaPuntiClassificaSquadra,3,FALSE),-1)=IFERROR(VLOOKUP($AD54,areaCercaPuntiClassificaSquadra,3,FALSE),-2)),SUMIFS(Dati!$F$2:$F$761,Dati!$A$2:$A$761,$H54,Dati!$H$2:$H$761,$AD54)+SUMIFS(Dati!$M$2:$M$761,Dati!$H$2:$H$761,$H54,Dati!$A$2:$A$761,$AD54),"-")</f>
        <v/>
      </c>
      <c r="DO54" s="22">
        <f>IF(AND($H54&lt;&gt;"",$AE54&lt;&gt;"",$H54&lt;&gt;$AE54,IFERROR(VLOOKUP($H54,areaCercaPuntiClassificaSquadra,3,FALSE),-1)=IFERROR(VLOOKUP($AE54,areaCercaPuntiClassificaSquadra,3,FALSE),-2)),SUMIFS(Dati!$F$2:$F$761,Dati!$A$2:$A$761,$H54,Dati!$H$2:$H$761,$AE54)+SUMIFS(Dati!$M$2:$M$761,Dati!$H$2:$H$761,$H54,Dati!$A$2:$A$761,$AE54),"-")</f>
        <v/>
      </c>
      <c r="DP54" s="22">
        <f>IF(AND($H54&lt;&gt;"",$AF54&lt;&gt;"",$H54&lt;&gt;$AF54,IFERROR(VLOOKUP($H54,areaCercaPuntiClassificaSquadra,3,FALSE),-1)=IFERROR(VLOOKUP($AF54,areaCercaPuntiClassificaSquadra,3,FALSE),-2)),SUMIFS(Dati!$F$2:$F$761,Dati!$A$2:$A$761,$H54,Dati!$H$2:$H$761,$AF54)+SUMIFS(Dati!$M$2:$M$761,Dati!$H$2:$H$761,$H54,Dati!$A$2:$A$761,$AF54),"-")</f>
        <v/>
      </c>
      <c r="DQ54" s="22">
        <f>IF(AND($H54&lt;&gt;"",$AG54&lt;&gt;"",$H54&lt;&gt;$AG54,IFERROR(VLOOKUP($H54,areaCercaPuntiClassificaSquadra,3,FALSE),-1)=IFERROR(VLOOKUP($AG54,areaCercaPuntiClassificaSquadra,3,FALSE),-2)),SUMIFS(Dati!$F$2:$F$761,Dati!$A$2:$A$761,$H54,Dati!$H$2:$H$761,$AG54)+SUMIFS(Dati!$M$2:$M$761,Dati!$H$2:$H$761,$H54,Dati!$A$2:$A$761,$AG54),"-")</f>
        <v/>
      </c>
      <c r="DR54" s="22">
        <f>IF(AND($H54&lt;&gt;"",$AH54&lt;&gt;"",$H54&lt;&gt;$AH54,IFERROR(VLOOKUP($H54,areaCercaPuntiClassificaSquadra,3,FALSE),-1)=IFERROR(VLOOKUP($AH54,areaCercaPuntiClassificaSquadra,3,FALSE),-2)),SUMIFS(Dati!$F$2:$F$761,Dati!$A$2:$A$761,$H54,Dati!$H$2:$H$761,$AH54)+SUMIFS(Dati!$M$2:$M$761,Dati!$H$2:$H$761,$H54,Dati!$A$2:$A$761,$AH54),"-")</f>
        <v/>
      </c>
      <c r="DS54" s="22">
        <f>IF(AND($H54&lt;&gt;"",$AI54&lt;&gt;"",$H54&lt;&gt;$AI54,IFERROR(VLOOKUP($H54,areaCercaPuntiClassificaSquadra,3,FALSE),-1)=IFERROR(VLOOKUP($AI54,areaCercaPuntiClassificaSquadra,3,FALSE),-2)),SUMIFS(Dati!$F$2:$F$761,Dati!$A$2:$A$761,$H54,Dati!$H$2:$H$761,$AI54)+SUMIFS(Dati!$M$2:$M$761,Dati!$H$2:$H$761,$H54,Dati!$A$2:$A$761,$AI54),"-")</f>
        <v/>
      </c>
      <c r="DT54" s="22">
        <f>IF(AND($H54&lt;&gt;"",$AJ54&lt;&gt;"",$H54&lt;&gt;$AJ54,IFERROR(VLOOKUP($H54,areaCercaPuntiClassificaSquadra,3,FALSE),-1)=IFERROR(VLOOKUP($AJ54,areaCercaPuntiClassificaSquadra,3,FALSE),-2)),SUMIFS(Dati!$F$2:$F$761,Dati!$A$2:$A$761,$H54,Dati!$H$2:$H$761,$AJ54)+SUMIFS(Dati!$M$2:$M$761,Dati!$H$2:$H$761,$H54,Dati!$A$2:$A$761,$AJ54),"-")</f>
        <v/>
      </c>
      <c r="DU54" s="22">
        <f>IF(AND($H54&lt;&gt;"",$AK54&lt;&gt;"",$H54&lt;&gt;$AK54,IFERROR(VLOOKUP($H54,areaCercaPuntiClassificaSquadra,3,FALSE),-1)=IFERROR(VLOOKUP($AK54,areaCercaPuntiClassificaSquadra,3,FALSE),-2)),SUMIFS(Dati!$F$2:$F$761,Dati!$A$2:$A$761,$H54,Dati!$H$2:$H$761,$AK54)+SUMIFS(Dati!$M$2:$M$761,Dati!$H$2:$H$761,$H54,Dati!$A$2:$A$761,$AK54),"-")</f>
        <v/>
      </c>
      <c r="DV54" s="22">
        <f>IF(AND($H54&lt;&gt;"",$AL54&lt;&gt;"",$H54&lt;&gt;$AL54,IFERROR(VLOOKUP($H54,areaCercaPuntiClassificaSquadra,3,FALSE),-1)=IFERROR(VLOOKUP($AL54,areaCercaPuntiClassificaSquadra,3,FALSE),-2)),SUMIFS(Dati!$F$2:$F$761,Dati!$A$2:$A$761,$H54,Dati!$H$2:$H$761,$AL54)+SUMIFS(Dati!$M$2:$M$761,Dati!$H$2:$H$761,$H54,Dati!$A$2:$A$761,$AL54),"-")</f>
        <v/>
      </c>
      <c r="DW54" s="22">
        <f>IF(AND($H54&lt;&gt;"",$AM54&lt;&gt;"",$H54&lt;&gt;$AM54,IFERROR(VLOOKUP($H54,areaCercaPuntiClassificaSquadra,3,FALSE),-1)=IFERROR(VLOOKUP($AM54,areaCercaPuntiClassificaSquadra,3,FALSE),-2)),SUMIFS(Dati!$F$2:$F$761,Dati!$A$2:$A$761,$H54,Dati!$H$2:$H$761,$AM54)+SUMIFS(Dati!$M$2:$M$761,Dati!$H$2:$H$761,$H54,Dati!$A$2:$A$761,$AM54),"-")</f>
        <v/>
      </c>
      <c r="DX54" s="22">
        <f>IF(AND($H54&lt;&gt;"",$AN54&lt;&gt;"",$H54&lt;&gt;$AN54,IFERROR(VLOOKUP($H54,areaCercaPuntiClassificaSquadra,3,FALSE),-1)=IFERROR(VLOOKUP($AN54,areaCercaPuntiClassificaSquadra,3,FALSE),-2)),SUMIFS(Dati!$F$2:$F$761,Dati!$A$2:$A$761,$H54,Dati!$H$2:$H$761,$AN54)+SUMIFS(Dati!$M$2:$M$761,Dati!$H$2:$H$761,$H54,Dati!$A$2:$A$761,$AN54),"-")</f>
        <v/>
      </c>
      <c r="DY54" s="22">
        <f>IF(AND($H54&lt;&gt;"",$AO54&lt;&gt;"",$H54&lt;&gt;$AO54,IFERROR(VLOOKUP($H54,areaCercaPuntiClassificaSquadra,3,FALSE),-1)=IFERROR(VLOOKUP($AO54,areaCercaPuntiClassificaSquadra,3,FALSE),-2)),SUMIFS(Dati!$F$2:$F$761,Dati!$A$2:$A$761,$H54,Dati!$H$2:$H$761,$AO54)+SUMIFS(Dati!$M$2:$M$761,Dati!$H$2:$H$761,$H54,Dati!$A$2:$A$761,$AO54),"-")</f>
        <v/>
      </c>
      <c r="DZ54" s="22">
        <f>IF(AND($H54&lt;&gt;"",$AP54&lt;&gt;"",$H54&lt;&gt;$AP54,IFERROR(VLOOKUP($H54,areaCercaPuntiClassificaSquadra,3,FALSE),-1)=IFERROR(VLOOKUP($AP54,areaCercaPuntiClassificaSquadra,3,FALSE),-2)),SUMIFS(Dati!$F$2:$F$761,Dati!$A$2:$A$761,$H54,Dati!$H$2:$H$761,$AP54)+SUMIFS(Dati!$M$2:$M$761,Dati!$H$2:$H$761,$H54,Dati!$A$2:$A$761,$AP54),"-")</f>
        <v/>
      </c>
      <c r="EA54" s="22">
        <f>IF(AND($H54&lt;&gt;"",$AQ54&lt;&gt;"",$H54&lt;&gt;$AQ54,IFERROR(VLOOKUP($H54,areaCercaPuntiClassificaSquadra,3,FALSE),-1)=IFERROR(VLOOKUP($AQ54,areaCercaPuntiClassificaSquadra,3,FALSE),-2)),SUMIFS(Dati!$F$2:$F$761,Dati!$A$2:$A$761,$H54,Dati!$H$2:$H$761,$AQ54)+SUMIFS(Dati!$M$2:$M$761,Dati!$H$2:$H$761,$H54,Dati!$A$2:$A$761,$AQ54),"-")</f>
        <v/>
      </c>
      <c r="EB54" s="22">
        <f>IF(AND($H54&lt;&gt;"",$AR54&lt;&gt;"",$H54&lt;&gt;$AR54,IFERROR(VLOOKUP($H54,areaCercaPuntiClassificaSquadra,3,FALSE),-1)=IFERROR(VLOOKUP($AR54,areaCercaPuntiClassificaSquadra,3,FALSE),-2)),SUMIFS(Dati!$F$2:$F$761,Dati!$A$2:$A$761,$H54,Dati!$H$2:$H$761,$AR54)+SUMIFS(Dati!$M$2:$M$761,Dati!$H$2:$H$761,$H54,Dati!$A$2:$A$761,$AR54),"-")</f>
        <v/>
      </c>
      <c r="ED54" s="22">
        <f>IF($C54="","",SUM(AU54:BN54))</f>
        <v/>
      </c>
    </row>
    <row r="55">
      <c r="B55" s="12" t="inlineStr">
        <is>
          <t>C02</t>
        </is>
      </c>
      <c r="C55" s="13" t="inlineStr">
        <is>
          <t>Ippopotami Instancabili-Ippopotamiopoli IE</t>
        </is>
      </c>
      <c r="D55" s="14" t="n"/>
      <c r="E55" s="25" t="inlineStr">
        <is>
          <t>C</t>
        </is>
      </c>
      <c r="G55" s="26">
        <f>IF($C55="","",$E55&amp;(COUNTIFS(I$14:I$93,"&gt;"&amp;I55,E$14:E$93,"="&amp;E55,C$14:C$93,"&lt;&gt;")+COUNTIFS(I$14:I$93,"="&amp;I55,H$14:H$93,"&lt;="&amp;H55,E$14:E$93,"="&amp;E55,C$14:C$93,"&lt;&gt;")))</f>
        <v/>
      </c>
      <c r="H55" s="17">
        <f>IF($C55="","",IFERROR(LEFT($C55,FIND("-",$C55)-1),$C55))</f>
        <v/>
      </c>
      <c r="I55" s="12">
        <f>TEXT(1000000000+J55,"|0000000000|")&amp;TEXT(SUM(AU55:BN55),"0000000000|")&amp;IF(SUM(DI55:EB55)=0,"0000000000|",TEXT(ROUND(SUM(CM55:DF55)/SUM(DI55:EB55),4)*100000,"0000000000|"))&amp;IF(P55=0,"0000000000|",TEXT(ROUND(O55/P55,4)*100000,"0000000000|"))</f>
        <v/>
      </c>
      <c r="J55" s="26">
        <f>L55*constPuntiVittoria+M55*constPuntiSconfitta+N55*constPuntiForfait+IF(D55="",0,D55)</f>
        <v/>
      </c>
      <c r="K55" s="12">
        <f>SUM(L55:N55)</f>
        <v/>
      </c>
      <c r="L55" s="12">
        <f>IF($H55="",0,SUMIF(Dati!$A$2:$A$761,$H55,Dati!$B$2:$B$761)+SUMIF(Dati!$H$2:$H$761,$H55,Dati!$I$2:$I$761))</f>
        <v/>
      </c>
      <c r="M55" s="12">
        <f>IF($H55="",0,SUMIF(Dati!$A$2:$A$761,$H55,Dati!$D$2:$D$761)+SUMIF(Dati!$H$2:$H$761,$H55,Dati!$K$2:$K$761))</f>
        <v/>
      </c>
      <c r="N55" s="12">
        <f>IF($H55="",0,SUMIF(Dati!$A$2:$A$761,$H55,Dati!$C$2:$C$761)+SUMIF(Dati!$H$2:$H$761,$H55,Dati!$J$2:$J$761))</f>
        <v/>
      </c>
      <c r="O55" s="12">
        <f>IF($H55="",0,SUMIF(Dati!$A$2:$A$761,$H55,Dati!$E$2:$E$761)+SUMIF(Dati!$H$2:$H$761,$H55,Dati!$L$2:$L$761))</f>
        <v/>
      </c>
      <c r="P55" s="12">
        <f>IF($H55="",0,SUMIF(Dati!$A$2:$A$761,$H55,Dati!$F$2:$F$761)+SUMIF(Dati!$H$2:$H$761,$H55,Dati!$M$2:$M$761))</f>
        <v/>
      </c>
      <c r="Q55" s="12">
        <f>IF($H55="",0,SUMIF(Dati!$A$2:$A$761,$H55,Dati!$G$2:$G$761)+SUMIF(Dati!$H$2:$H$761,$H55,Dati!$N$2:$N$761))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IF(COUNTIFS($E$14:$E$93,$E55,$J$14:$J$93,$J55,$C$14:$C$93,"&lt;&gt;")&lt;=1,"-",SUM(AU55:BN55)&amp;"-"&amp;SUM(BQ55:CJ55))</f>
        <v/>
      </c>
      <c r="V55" s="18">
        <f>IF(COUNTIFS($E$14:$E$93,$E55,$J$14:$J$93,$J55,$C$14:$C$93,"&lt;&gt;",$ED$14:$ED$93,$ED55)&lt;=1,"-",IF(SUM(DI55:EB55)=0,0,ROUND(SUM(CM55:DF55)/SUM(DI55:EB55),3)))</f>
        <v/>
      </c>
      <c r="W55" s="18">
        <f>IF(COUNTIFS($E$14:$E$93,$E55,$J$14:$J$93,$J55,$C$14:$C$93,"&lt;&gt;",$ED$14:$ED$93,$ED55,$V$14:$V$93,$V55)&lt;=1,"-",IF(P55=0,0,ROUND(O55/P55,3)))</f>
        <v/>
      </c>
      <c r="X55" s="19">
        <f>IF($C55="","",$E55&amp;"#"&amp;COUNTIFS($E$14:$E55,$E55,$C$14:$C55,"&lt;&gt;"))</f>
        <v/>
      </c>
      <c r="Y55" s="20">
        <f>IFERROR(INDEX($H$14:$H$93,MATCH($E55&amp;"#1",$X$14:$X$93,0)),"")</f>
        <v/>
      </c>
      <c r="Z55" s="20">
        <f>IFERROR(INDEX($H$14:$H$93,MATCH($E55&amp;"#2",$X$14:$X$93,0)),"")</f>
        <v/>
      </c>
      <c r="AA55" s="20">
        <f>IFERROR(INDEX($H$14:$H$93,MATCH($E55&amp;"#3",$X$14:$X$93,0)),"")</f>
        <v/>
      </c>
      <c r="AB55" s="20">
        <f>IFERROR(INDEX($H$14:$H$93,MATCH($E55&amp;"#4",$X$14:$X$93,0)),"")</f>
        <v/>
      </c>
      <c r="AC55" s="20">
        <f>IFERROR(INDEX($H$14:$H$93,MATCH($E55&amp;"#5",$X$14:$X$93,0)),"")</f>
        <v/>
      </c>
      <c r="AD55" s="20">
        <f>IFERROR(INDEX($H$14:$H$93,MATCH($E55&amp;"#6",$X$14:$X$93,0)),"")</f>
        <v/>
      </c>
      <c r="AE55" s="20">
        <f>IFERROR(INDEX($H$14:$H$93,MATCH($E55&amp;"#7",$X$14:$X$93,0)),"")</f>
        <v/>
      </c>
      <c r="AF55" s="20">
        <f>IFERROR(INDEX($H$14:$H$93,MATCH($E55&amp;"#8",$X$14:$X$93,0)),"")</f>
        <v/>
      </c>
      <c r="AG55" s="20">
        <f>IFERROR(INDEX($H$14:$H$93,MATCH($E55&amp;"#9",$X$14:$X$93,0)),"")</f>
        <v/>
      </c>
      <c r="AH55" s="20">
        <f>IFERROR(INDEX($H$14:$H$93,MATCH($E55&amp;"#10",$X$14:$X$93,0)),"")</f>
        <v/>
      </c>
      <c r="AI55" s="20">
        <f>IFERROR(INDEX($H$14:$H$93,MATCH($E55&amp;"#11",$X$14:$X$93,0)),"")</f>
        <v/>
      </c>
      <c r="AJ55" s="20">
        <f>IFERROR(INDEX($H$14:$H$93,MATCH($E55&amp;"#12",$X$14:$X$93,0)),"")</f>
        <v/>
      </c>
      <c r="AK55" s="20">
        <f>IFERROR(INDEX($H$14:$H$93,MATCH($E55&amp;"#13",$X$14:$X$93,0)),"")</f>
        <v/>
      </c>
      <c r="AL55" s="20">
        <f>IFERROR(INDEX($H$14:$H$93,MATCH($E55&amp;"#14",$X$14:$X$93,0)),"")</f>
        <v/>
      </c>
      <c r="AM55" s="20">
        <f>IFERROR(INDEX($H$14:$H$93,MATCH($E55&amp;"#15",$X$14:$X$93,0)),"")</f>
        <v/>
      </c>
      <c r="AN55" s="20">
        <f>IFERROR(INDEX($H$14:$H$93,MATCH($E55&amp;"#16",$X$14:$X$93,0)),"")</f>
        <v/>
      </c>
      <c r="AO55" s="20">
        <f>IFERROR(INDEX($H$14:$H$93,MATCH($E55&amp;"#17",$X$14:$X$93,0)),"")</f>
        <v/>
      </c>
      <c r="AP55" s="20">
        <f>IFERROR(INDEX($H$14:$H$93,MATCH($E55&amp;"#18",$X$14:$X$93,0)),"")</f>
        <v/>
      </c>
      <c r="AQ55" s="20">
        <f>IFERROR(INDEX($H$14:$H$93,MATCH($E55&amp;"#19",$X$14:$X$93,0)),"")</f>
        <v/>
      </c>
      <c r="AR55" s="20">
        <f>IFERROR(INDEX($H$14:$H$93,MATCH($E55&amp;"#20",$X$14:$X$93,0)),"")</f>
        <v/>
      </c>
      <c r="AT55" s="21">
        <f>$C55</f>
        <v/>
      </c>
      <c r="AU55" s="22">
        <f>IF(AND($H55&lt;&gt;"",$Y55&lt;&gt;"",$H55&lt;&gt;$Y55,IFERROR(VLOOKUP($H55,areaCercaPuntiClassificaSquadra,3,FALSE),-1)=IFERROR(VLOOKUP($Y55,areaCercaPuntiClassificaSquadra,3,FALSE),-2)),SUMIFS(Dati!$B$2:$B$761,Dati!$A$2:$A$761,$H55,Dati!$H$2:$H$761,$Y55)+SUMIFS(Dati!$I$2:$I$761,Dati!$H$2:$H$761,$H55,Dati!$A$2:$A$761,$Y55),"-")</f>
        <v/>
      </c>
      <c r="AV55" s="22">
        <f>IF(AND($H55&lt;&gt;"",$Z55&lt;&gt;"",$H55&lt;&gt;$Z55,IFERROR(VLOOKUP($H55,areaCercaPuntiClassificaSquadra,3,FALSE),-1)=IFERROR(VLOOKUP($Z55,areaCercaPuntiClassificaSquadra,3,FALSE),-2)),SUMIFS(Dati!$B$2:$B$761,Dati!$A$2:$A$761,$H55,Dati!$H$2:$H$761,$Z55)+SUMIFS(Dati!$I$2:$I$761,Dati!$H$2:$H$761,$H55,Dati!$A$2:$A$761,$Z55),"-")</f>
        <v/>
      </c>
      <c r="AW55" s="22">
        <f>IF(AND($H55&lt;&gt;"",$AA55&lt;&gt;"",$H55&lt;&gt;$AA55,IFERROR(VLOOKUP($H55,areaCercaPuntiClassificaSquadra,3,FALSE),-1)=IFERROR(VLOOKUP($AA55,areaCercaPuntiClassificaSquadra,3,FALSE),-2)),SUMIFS(Dati!$B$2:$B$761,Dati!$A$2:$A$761,$H55,Dati!$H$2:$H$761,$AA55)+SUMIFS(Dati!$I$2:$I$761,Dati!$H$2:$H$761,$H55,Dati!$A$2:$A$761,$AA55),"-")</f>
        <v/>
      </c>
      <c r="AX55" s="22">
        <f>IF(AND($H55&lt;&gt;"",$AB55&lt;&gt;"",$H55&lt;&gt;$AB55,IFERROR(VLOOKUP($H55,areaCercaPuntiClassificaSquadra,3,FALSE),-1)=IFERROR(VLOOKUP($AB55,areaCercaPuntiClassificaSquadra,3,FALSE),-2)),SUMIFS(Dati!$B$2:$B$761,Dati!$A$2:$A$761,$H55,Dati!$H$2:$H$761,$AB55)+SUMIFS(Dati!$I$2:$I$761,Dati!$H$2:$H$761,$H55,Dati!$A$2:$A$761,$AB55),"-")</f>
        <v/>
      </c>
      <c r="AY55" s="22">
        <f>IF(AND($H55&lt;&gt;"",$AC55&lt;&gt;"",$H55&lt;&gt;$AC55,IFERROR(VLOOKUP($H55,areaCercaPuntiClassificaSquadra,3,FALSE),-1)=IFERROR(VLOOKUP($AC55,areaCercaPuntiClassificaSquadra,3,FALSE),-2)),SUMIFS(Dati!$B$2:$B$761,Dati!$A$2:$A$761,$H55,Dati!$H$2:$H$761,$AC55)+SUMIFS(Dati!$I$2:$I$761,Dati!$H$2:$H$761,$H55,Dati!$A$2:$A$761,$AC55),"-")</f>
        <v/>
      </c>
      <c r="AZ55" s="22">
        <f>IF(AND($H55&lt;&gt;"",$AD55&lt;&gt;"",$H55&lt;&gt;$AD55,IFERROR(VLOOKUP($H55,areaCercaPuntiClassificaSquadra,3,FALSE),-1)=IFERROR(VLOOKUP($AD55,areaCercaPuntiClassificaSquadra,3,FALSE),-2)),SUMIFS(Dati!$B$2:$B$761,Dati!$A$2:$A$761,$H55,Dati!$H$2:$H$761,$AD55)+SUMIFS(Dati!$I$2:$I$761,Dati!$H$2:$H$761,$H55,Dati!$A$2:$A$761,$AD55),"-")</f>
        <v/>
      </c>
      <c r="BA55" s="22">
        <f>IF(AND($H55&lt;&gt;"",$AE55&lt;&gt;"",$H55&lt;&gt;$AE55,IFERROR(VLOOKUP($H55,areaCercaPuntiClassificaSquadra,3,FALSE),-1)=IFERROR(VLOOKUP($AE55,areaCercaPuntiClassificaSquadra,3,FALSE),-2)),SUMIFS(Dati!$B$2:$B$761,Dati!$A$2:$A$761,$H55,Dati!$H$2:$H$761,$AE55)+SUMIFS(Dati!$I$2:$I$761,Dati!$H$2:$H$761,$H55,Dati!$A$2:$A$761,$AE55),"-")</f>
        <v/>
      </c>
      <c r="BB55" s="22">
        <f>IF(AND($H55&lt;&gt;"",$AF55&lt;&gt;"",$H55&lt;&gt;$AF55,IFERROR(VLOOKUP($H55,areaCercaPuntiClassificaSquadra,3,FALSE),-1)=IFERROR(VLOOKUP($AF55,areaCercaPuntiClassificaSquadra,3,FALSE),-2)),SUMIFS(Dati!$B$2:$B$761,Dati!$A$2:$A$761,$H55,Dati!$H$2:$H$761,$AF55)+SUMIFS(Dati!$I$2:$I$761,Dati!$H$2:$H$761,$H55,Dati!$A$2:$A$761,$AF55),"-")</f>
        <v/>
      </c>
      <c r="BC55" s="22">
        <f>IF(AND($H55&lt;&gt;"",$AG55&lt;&gt;"",$H55&lt;&gt;$AG55,IFERROR(VLOOKUP($H55,areaCercaPuntiClassificaSquadra,3,FALSE),-1)=IFERROR(VLOOKUP($AG55,areaCercaPuntiClassificaSquadra,3,FALSE),-2)),SUMIFS(Dati!$B$2:$B$761,Dati!$A$2:$A$761,$H55,Dati!$H$2:$H$761,$AG55)+SUMIFS(Dati!$I$2:$I$761,Dati!$H$2:$H$761,$H55,Dati!$A$2:$A$761,$AG55),"-")</f>
        <v/>
      </c>
      <c r="BD55" s="22">
        <f>IF(AND($H55&lt;&gt;"",$AH55&lt;&gt;"",$H55&lt;&gt;$AH55,IFERROR(VLOOKUP($H55,areaCercaPuntiClassificaSquadra,3,FALSE),-1)=IFERROR(VLOOKUP($AH55,areaCercaPuntiClassificaSquadra,3,FALSE),-2)),SUMIFS(Dati!$B$2:$B$761,Dati!$A$2:$A$761,$H55,Dati!$H$2:$H$761,$AH55)+SUMIFS(Dati!$I$2:$I$761,Dati!$H$2:$H$761,$H55,Dati!$A$2:$A$761,$AH55),"-")</f>
        <v/>
      </c>
      <c r="BE55" s="22">
        <f>IF(AND($H55&lt;&gt;"",$AI55&lt;&gt;"",$H55&lt;&gt;$AI55,IFERROR(VLOOKUP($H55,areaCercaPuntiClassificaSquadra,3,FALSE),-1)=IFERROR(VLOOKUP($AI55,areaCercaPuntiClassificaSquadra,3,FALSE),-2)),SUMIFS(Dati!$B$2:$B$761,Dati!$A$2:$A$761,$H55,Dati!$H$2:$H$761,$AI55)+SUMIFS(Dati!$I$2:$I$761,Dati!$H$2:$H$761,$H55,Dati!$A$2:$A$761,$AI55),"-")</f>
        <v/>
      </c>
      <c r="BF55" s="22">
        <f>IF(AND($H55&lt;&gt;"",$AJ55&lt;&gt;"",$H55&lt;&gt;$AJ55,IFERROR(VLOOKUP($H55,areaCercaPuntiClassificaSquadra,3,FALSE),-1)=IFERROR(VLOOKUP($AJ55,areaCercaPuntiClassificaSquadra,3,FALSE),-2)),SUMIFS(Dati!$B$2:$B$761,Dati!$A$2:$A$761,$H55,Dati!$H$2:$H$761,$AJ55)+SUMIFS(Dati!$I$2:$I$761,Dati!$H$2:$H$761,$H55,Dati!$A$2:$A$761,$AJ55),"-")</f>
        <v/>
      </c>
      <c r="BG55" s="22">
        <f>IF(AND($H55&lt;&gt;"",$AK55&lt;&gt;"",$H55&lt;&gt;$AK55,IFERROR(VLOOKUP($H55,areaCercaPuntiClassificaSquadra,3,FALSE),-1)=IFERROR(VLOOKUP($AK55,areaCercaPuntiClassificaSquadra,3,FALSE),-2)),SUMIFS(Dati!$B$2:$B$761,Dati!$A$2:$A$761,$H55,Dati!$H$2:$H$761,$AK55)+SUMIFS(Dati!$I$2:$I$761,Dati!$H$2:$H$761,$H55,Dati!$A$2:$A$761,$AK55),"-")</f>
        <v/>
      </c>
      <c r="BH55" s="22">
        <f>IF(AND($H55&lt;&gt;"",$AL55&lt;&gt;"",$H55&lt;&gt;$AL55,IFERROR(VLOOKUP($H55,areaCercaPuntiClassificaSquadra,3,FALSE),-1)=IFERROR(VLOOKUP($AL55,areaCercaPuntiClassificaSquadra,3,FALSE),-2)),SUMIFS(Dati!$B$2:$B$761,Dati!$A$2:$A$761,$H55,Dati!$H$2:$H$761,$AL55)+SUMIFS(Dati!$I$2:$I$761,Dati!$H$2:$H$761,$H55,Dati!$A$2:$A$761,$AL55),"-")</f>
        <v/>
      </c>
      <c r="BI55" s="22">
        <f>IF(AND($H55&lt;&gt;"",$AM55&lt;&gt;"",$H55&lt;&gt;$AM55,IFERROR(VLOOKUP($H55,areaCercaPuntiClassificaSquadra,3,FALSE),-1)=IFERROR(VLOOKUP($AM55,areaCercaPuntiClassificaSquadra,3,FALSE),-2)),SUMIFS(Dati!$B$2:$B$761,Dati!$A$2:$A$761,$H55,Dati!$H$2:$H$761,$AM55)+SUMIFS(Dati!$I$2:$I$761,Dati!$H$2:$H$761,$H55,Dati!$A$2:$A$761,$AM55),"-")</f>
        <v/>
      </c>
      <c r="BJ55" s="22">
        <f>IF(AND($H55&lt;&gt;"",$AN55&lt;&gt;"",$H55&lt;&gt;$AN55,IFERROR(VLOOKUP($H55,areaCercaPuntiClassificaSquadra,3,FALSE),-1)=IFERROR(VLOOKUP($AN55,areaCercaPuntiClassificaSquadra,3,FALSE),-2)),SUMIFS(Dati!$B$2:$B$761,Dati!$A$2:$A$761,$H55,Dati!$H$2:$H$761,$AN55)+SUMIFS(Dati!$I$2:$I$761,Dati!$H$2:$H$761,$H55,Dati!$A$2:$A$761,$AN55),"-")</f>
        <v/>
      </c>
      <c r="BK55" s="22">
        <f>IF(AND($H55&lt;&gt;"",$AO55&lt;&gt;"",$H55&lt;&gt;$AO55,IFERROR(VLOOKUP($H55,areaCercaPuntiClassificaSquadra,3,FALSE),-1)=IFERROR(VLOOKUP($AO55,areaCercaPuntiClassificaSquadra,3,FALSE),-2)),SUMIFS(Dati!$B$2:$B$761,Dati!$A$2:$A$761,$H55,Dati!$H$2:$H$761,$AO55)+SUMIFS(Dati!$I$2:$I$761,Dati!$H$2:$H$761,$H55,Dati!$A$2:$A$761,$AO55),"-")</f>
        <v/>
      </c>
      <c r="BL55" s="22">
        <f>IF(AND($H55&lt;&gt;"",$AP55&lt;&gt;"",$H55&lt;&gt;$AP55,IFERROR(VLOOKUP($H55,areaCercaPuntiClassificaSquadra,3,FALSE),-1)=IFERROR(VLOOKUP($AP55,areaCercaPuntiClassificaSquadra,3,FALSE),-2)),SUMIFS(Dati!$B$2:$B$761,Dati!$A$2:$A$761,$H55,Dati!$H$2:$H$761,$AP55)+SUMIFS(Dati!$I$2:$I$761,Dati!$H$2:$H$761,$H55,Dati!$A$2:$A$761,$AP55),"-")</f>
        <v/>
      </c>
      <c r="BM55" s="22">
        <f>IF(AND($H55&lt;&gt;"",$AQ55&lt;&gt;"",$H55&lt;&gt;$AQ55,IFERROR(VLOOKUP($H55,areaCercaPuntiClassificaSquadra,3,FALSE),-1)=IFERROR(VLOOKUP($AQ55,areaCercaPuntiClassificaSquadra,3,FALSE),-2)),SUMIFS(Dati!$B$2:$B$761,Dati!$A$2:$A$761,$H55,Dati!$H$2:$H$761,$AQ55)+SUMIFS(Dati!$I$2:$I$761,Dati!$H$2:$H$761,$H55,Dati!$A$2:$A$761,$AQ55),"-")</f>
        <v/>
      </c>
      <c r="BN55" s="22">
        <f>IF(AND($H55&lt;&gt;"",$AR55&lt;&gt;"",$H55&lt;&gt;$AR55,IFERROR(VLOOKUP($H55,areaCercaPuntiClassificaSquadra,3,FALSE),-1)=IFERROR(VLOOKUP($AR55,areaCercaPuntiClassificaSquadra,3,FALSE),-2)),SUMIFS(Dati!$B$2:$B$761,Dati!$A$2:$A$761,$H55,Dati!$H$2:$H$761,$AR55)+SUMIFS(Dati!$I$2:$I$761,Dati!$H$2:$H$761,$H55,Dati!$A$2:$A$761,$AR55),"-")</f>
        <v/>
      </c>
      <c r="BP55" s="21">
        <f>$C55</f>
        <v/>
      </c>
      <c r="BQ55" s="22">
        <f>IF(AND($H55&lt;&gt;"",$Y55&lt;&gt;"",$H55&lt;&gt;$Y55,IFERROR(VLOOKUP($H55,areaCercaPuntiClassificaSquadra,3,FALSE),-1)=IFERROR(VLOOKUP($Y55,areaCercaPuntiClassificaSquadra,3,FALSE),-2)),SUMIFS(Dati!$D$2:$D$761,Dati!$A$2:$A$761,$H55,Dati!$H$2:$H$761,$Y55)+SUMIFS(Dati!$K$2:$K$761,Dati!$H$2:$H$761,$H55,Dati!$A$2:$A$761,$Y55)+SUMIFS(Dati!$C$2:$C$761,Dati!$A$2:$A$761,$H55,Dati!$H$2:$H$761,$Y55)+SUMIFS(Dati!$J$2:$J$761,Dati!$H$2:$H$761,$H55,Dati!$A$2:$A$761,$Y55),"-")</f>
        <v/>
      </c>
      <c r="BR55" s="22">
        <f>IF(AND($H55&lt;&gt;"",$Z55&lt;&gt;"",$H55&lt;&gt;$Z55,IFERROR(VLOOKUP($H55,areaCercaPuntiClassificaSquadra,3,FALSE),-1)=IFERROR(VLOOKUP($Z55,areaCercaPuntiClassificaSquadra,3,FALSE),-2)),SUMIFS(Dati!$D$2:$D$761,Dati!$A$2:$A$761,$H55,Dati!$H$2:$H$761,$Z55)+SUMIFS(Dati!$K$2:$K$761,Dati!$H$2:$H$761,$H55,Dati!$A$2:$A$761,$Z55)+SUMIFS(Dati!$C$2:$C$761,Dati!$A$2:$A$761,$H55,Dati!$H$2:$H$761,$Z55)+SUMIFS(Dati!$J$2:$J$761,Dati!$H$2:$H$761,$H55,Dati!$A$2:$A$761,$Z55),"-")</f>
        <v/>
      </c>
      <c r="BS55" s="22">
        <f>IF(AND($H55&lt;&gt;"",$AA55&lt;&gt;"",$H55&lt;&gt;$AA55,IFERROR(VLOOKUP($H55,areaCercaPuntiClassificaSquadra,3,FALSE),-1)=IFERROR(VLOOKUP($AA55,areaCercaPuntiClassificaSquadra,3,FALSE),-2)),SUMIFS(Dati!$D$2:$D$761,Dati!$A$2:$A$761,$H55,Dati!$H$2:$H$761,$AA55)+SUMIFS(Dati!$K$2:$K$761,Dati!$H$2:$H$761,$H55,Dati!$A$2:$A$761,$AA55)+SUMIFS(Dati!$C$2:$C$761,Dati!$A$2:$A$761,$H55,Dati!$H$2:$H$761,$AA55)+SUMIFS(Dati!$J$2:$J$761,Dati!$H$2:$H$761,$H55,Dati!$A$2:$A$761,$AA55),"-")</f>
        <v/>
      </c>
      <c r="BT55" s="22">
        <f>IF(AND($H55&lt;&gt;"",$AB55&lt;&gt;"",$H55&lt;&gt;$AB55,IFERROR(VLOOKUP($H55,areaCercaPuntiClassificaSquadra,3,FALSE),-1)=IFERROR(VLOOKUP($AB55,areaCercaPuntiClassificaSquadra,3,FALSE),-2)),SUMIFS(Dati!$D$2:$D$761,Dati!$A$2:$A$761,$H55,Dati!$H$2:$H$761,$AB55)+SUMIFS(Dati!$K$2:$K$761,Dati!$H$2:$H$761,$H55,Dati!$A$2:$A$761,$AB55)+SUMIFS(Dati!$C$2:$C$761,Dati!$A$2:$A$761,$H55,Dati!$H$2:$H$761,$AB55)+SUMIFS(Dati!$J$2:$J$761,Dati!$H$2:$H$761,$H55,Dati!$A$2:$A$761,$AB55),"-")</f>
        <v/>
      </c>
      <c r="BU55" s="22">
        <f>IF(AND($H55&lt;&gt;"",$AC55&lt;&gt;"",$H55&lt;&gt;$AC55,IFERROR(VLOOKUP($H55,areaCercaPuntiClassificaSquadra,3,FALSE),-1)=IFERROR(VLOOKUP($AC55,areaCercaPuntiClassificaSquadra,3,FALSE),-2)),SUMIFS(Dati!$D$2:$D$761,Dati!$A$2:$A$761,$H55,Dati!$H$2:$H$761,$AC55)+SUMIFS(Dati!$K$2:$K$761,Dati!$H$2:$H$761,$H55,Dati!$A$2:$A$761,$AC55)+SUMIFS(Dati!$C$2:$C$761,Dati!$A$2:$A$761,$H55,Dati!$H$2:$H$761,$AC55)+SUMIFS(Dati!$J$2:$J$761,Dati!$H$2:$H$761,$H55,Dati!$A$2:$A$761,$AC55),"-")</f>
        <v/>
      </c>
      <c r="BV55" s="22">
        <f>IF(AND($H55&lt;&gt;"",$AD55&lt;&gt;"",$H55&lt;&gt;$AD55,IFERROR(VLOOKUP($H55,areaCercaPuntiClassificaSquadra,3,FALSE),-1)=IFERROR(VLOOKUP($AD55,areaCercaPuntiClassificaSquadra,3,FALSE),-2)),SUMIFS(Dati!$D$2:$D$761,Dati!$A$2:$A$761,$H55,Dati!$H$2:$H$761,$AD55)+SUMIFS(Dati!$K$2:$K$761,Dati!$H$2:$H$761,$H55,Dati!$A$2:$A$761,$AD55)+SUMIFS(Dati!$C$2:$C$761,Dati!$A$2:$A$761,$H55,Dati!$H$2:$H$761,$AD55)+SUMIFS(Dati!$J$2:$J$761,Dati!$H$2:$H$761,$H55,Dati!$A$2:$A$761,$AD55),"-")</f>
        <v/>
      </c>
      <c r="BW55" s="22">
        <f>IF(AND($H55&lt;&gt;"",$AE55&lt;&gt;"",$H55&lt;&gt;$AE55,IFERROR(VLOOKUP($H55,areaCercaPuntiClassificaSquadra,3,FALSE),-1)=IFERROR(VLOOKUP($AE55,areaCercaPuntiClassificaSquadra,3,FALSE),-2)),SUMIFS(Dati!$D$2:$D$761,Dati!$A$2:$A$761,$H55,Dati!$H$2:$H$761,$AE55)+SUMIFS(Dati!$K$2:$K$761,Dati!$H$2:$H$761,$H55,Dati!$A$2:$A$761,$AE55)+SUMIFS(Dati!$C$2:$C$761,Dati!$A$2:$A$761,$H55,Dati!$H$2:$H$761,$AE55)+SUMIFS(Dati!$J$2:$J$761,Dati!$H$2:$H$761,$H55,Dati!$A$2:$A$761,$AE55),"-")</f>
        <v/>
      </c>
      <c r="BX55" s="22">
        <f>IF(AND($H55&lt;&gt;"",$AF55&lt;&gt;"",$H55&lt;&gt;$AF55,IFERROR(VLOOKUP($H55,areaCercaPuntiClassificaSquadra,3,FALSE),-1)=IFERROR(VLOOKUP($AF55,areaCercaPuntiClassificaSquadra,3,FALSE),-2)),SUMIFS(Dati!$D$2:$D$761,Dati!$A$2:$A$761,$H55,Dati!$H$2:$H$761,$AF55)+SUMIFS(Dati!$K$2:$K$761,Dati!$H$2:$H$761,$H55,Dati!$A$2:$A$761,$AF55)+SUMIFS(Dati!$C$2:$C$761,Dati!$A$2:$A$761,$H55,Dati!$H$2:$H$761,$AF55)+SUMIFS(Dati!$J$2:$J$761,Dati!$H$2:$H$761,$H55,Dati!$A$2:$A$761,$AF55),"-")</f>
        <v/>
      </c>
      <c r="BY55" s="22">
        <f>IF(AND($H55&lt;&gt;"",$AG55&lt;&gt;"",$H55&lt;&gt;$AG55,IFERROR(VLOOKUP($H55,areaCercaPuntiClassificaSquadra,3,FALSE),-1)=IFERROR(VLOOKUP($AG55,areaCercaPuntiClassificaSquadra,3,FALSE),-2)),SUMIFS(Dati!$D$2:$D$761,Dati!$A$2:$A$761,$H55,Dati!$H$2:$H$761,$AG55)+SUMIFS(Dati!$K$2:$K$761,Dati!$H$2:$H$761,$H55,Dati!$A$2:$A$761,$AG55)+SUMIFS(Dati!$C$2:$C$761,Dati!$A$2:$A$761,$H55,Dati!$H$2:$H$761,$AG55)+SUMIFS(Dati!$J$2:$J$761,Dati!$H$2:$H$761,$H55,Dati!$A$2:$A$761,$AG55),"-")</f>
        <v/>
      </c>
      <c r="BZ55" s="22">
        <f>IF(AND($H55&lt;&gt;"",$AH55&lt;&gt;"",$H55&lt;&gt;$AH55,IFERROR(VLOOKUP($H55,areaCercaPuntiClassificaSquadra,3,FALSE),-1)=IFERROR(VLOOKUP($AH55,areaCercaPuntiClassificaSquadra,3,FALSE),-2)),SUMIFS(Dati!$D$2:$D$761,Dati!$A$2:$A$761,$H55,Dati!$H$2:$H$761,$AH55)+SUMIFS(Dati!$K$2:$K$761,Dati!$H$2:$H$761,$H55,Dati!$A$2:$A$761,$AH55)+SUMIFS(Dati!$C$2:$C$761,Dati!$A$2:$A$761,$H55,Dati!$H$2:$H$761,$AH55)+SUMIFS(Dati!$J$2:$J$761,Dati!$H$2:$H$761,$H55,Dati!$A$2:$A$761,$AH55),"-")</f>
        <v/>
      </c>
      <c r="CA55" s="22">
        <f>IF(AND($H55&lt;&gt;"",$AI55&lt;&gt;"",$H55&lt;&gt;$AI55,IFERROR(VLOOKUP($H55,areaCercaPuntiClassificaSquadra,3,FALSE),-1)=IFERROR(VLOOKUP($AI55,areaCercaPuntiClassificaSquadra,3,FALSE),-2)),SUMIFS(Dati!$D$2:$D$761,Dati!$A$2:$A$761,$H55,Dati!$H$2:$H$761,$AI55)+SUMIFS(Dati!$K$2:$K$761,Dati!$H$2:$H$761,$H55,Dati!$A$2:$A$761,$AI55)+SUMIFS(Dati!$C$2:$C$761,Dati!$A$2:$A$761,$H55,Dati!$H$2:$H$761,$AI55)+SUMIFS(Dati!$J$2:$J$761,Dati!$H$2:$H$761,$H55,Dati!$A$2:$A$761,$AI55),"-")</f>
        <v/>
      </c>
      <c r="CB55" s="22">
        <f>IF(AND($H55&lt;&gt;"",$AJ55&lt;&gt;"",$H55&lt;&gt;$AJ55,IFERROR(VLOOKUP($H55,areaCercaPuntiClassificaSquadra,3,FALSE),-1)=IFERROR(VLOOKUP($AJ55,areaCercaPuntiClassificaSquadra,3,FALSE),-2)),SUMIFS(Dati!$D$2:$D$761,Dati!$A$2:$A$761,$H55,Dati!$H$2:$H$761,$AJ55)+SUMIFS(Dati!$K$2:$K$761,Dati!$H$2:$H$761,$H55,Dati!$A$2:$A$761,$AJ55)+SUMIFS(Dati!$C$2:$C$761,Dati!$A$2:$A$761,$H55,Dati!$H$2:$H$761,$AJ55)+SUMIFS(Dati!$J$2:$J$761,Dati!$H$2:$H$761,$H55,Dati!$A$2:$A$761,$AJ55),"-")</f>
        <v/>
      </c>
      <c r="CC55" s="22">
        <f>IF(AND($H55&lt;&gt;"",$AK55&lt;&gt;"",$H55&lt;&gt;$AK55,IFERROR(VLOOKUP($H55,areaCercaPuntiClassificaSquadra,3,FALSE),-1)=IFERROR(VLOOKUP($AK55,areaCercaPuntiClassificaSquadra,3,FALSE),-2)),SUMIFS(Dati!$D$2:$D$761,Dati!$A$2:$A$761,$H55,Dati!$H$2:$H$761,$AK55)+SUMIFS(Dati!$K$2:$K$761,Dati!$H$2:$H$761,$H55,Dati!$A$2:$A$761,$AK55)+SUMIFS(Dati!$C$2:$C$761,Dati!$A$2:$A$761,$H55,Dati!$H$2:$H$761,$AK55)+SUMIFS(Dati!$J$2:$J$761,Dati!$H$2:$H$761,$H55,Dati!$A$2:$A$761,$AK55),"-")</f>
        <v/>
      </c>
      <c r="CD55" s="22">
        <f>IF(AND($H55&lt;&gt;"",$AL55&lt;&gt;"",$H55&lt;&gt;$AL55,IFERROR(VLOOKUP($H55,areaCercaPuntiClassificaSquadra,3,FALSE),-1)=IFERROR(VLOOKUP($AL55,areaCercaPuntiClassificaSquadra,3,FALSE),-2)),SUMIFS(Dati!$D$2:$D$761,Dati!$A$2:$A$761,$H55,Dati!$H$2:$H$761,$AL55)+SUMIFS(Dati!$K$2:$K$761,Dati!$H$2:$H$761,$H55,Dati!$A$2:$A$761,$AL55)+SUMIFS(Dati!$C$2:$C$761,Dati!$A$2:$A$761,$H55,Dati!$H$2:$H$761,$AL55)+SUMIFS(Dati!$J$2:$J$761,Dati!$H$2:$H$761,$H55,Dati!$A$2:$A$761,$AL55),"-")</f>
        <v/>
      </c>
      <c r="CE55" s="22">
        <f>IF(AND($H55&lt;&gt;"",$AM55&lt;&gt;"",$H55&lt;&gt;$AM55,IFERROR(VLOOKUP($H55,areaCercaPuntiClassificaSquadra,3,FALSE),-1)=IFERROR(VLOOKUP($AM55,areaCercaPuntiClassificaSquadra,3,FALSE),-2)),SUMIFS(Dati!$D$2:$D$761,Dati!$A$2:$A$761,$H55,Dati!$H$2:$H$761,$AM55)+SUMIFS(Dati!$K$2:$K$761,Dati!$H$2:$H$761,$H55,Dati!$A$2:$A$761,$AM55)+SUMIFS(Dati!$C$2:$C$761,Dati!$A$2:$A$761,$H55,Dati!$H$2:$H$761,$AM55)+SUMIFS(Dati!$J$2:$J$761,Dati!$H$2:$H$761,$H55,Dati!$A$2:$A$761,$AM55),"-")</f>
        <v/>
      </c>
      <c r="CF55" s="22">
        <f>IF(AND($H55&lt;&gt;"",$AN55&lt;&gt;"",$H55&lt;&gt;$AN55,IFERROR(VLOOKUP($H55,areaCercaPuntiClassificaSquadra,3,FALSE),-1)=IFERROR(VLOOKUP($AN55,areaCercaPuntiClassificaSquadra,3,FALSE),-2)),SUMIFS(Dati!$D$2:$D$761,Dati!$A$2:$A$761,$H55,Dati!$H$2:$H$761,$AN55)+SUMIFS(Dati!$K$2:$K$761,Dati!$H$2:$H$761,$H55,Dati!$A$2:$A$761,$AN55)+SUMIFS(Dati!$C$2:$C$761,Dati!$A$2:$A$761,$H55,Dati!$H$2:$H$761,$AN55)+SUMIFS(Dati!$J$2:$J$761,Dati!$H$2:$H$761,$H55,Dati!$A$2:$A$761,$AN55),"-")</f>
        <v/>
      </c>
      <c r="CG55" s="22">
        <f>IF(AND($H55&lt;&gt;"",$AO55&lt;&gt;"",$H55&lt;&gt;$AO55,IFERROR(VLOOKUP($H55,areaCercaPuntiClassificaSquadra,3,FALSE),-1)=IFERROR(VLOOKUP($AO55,areaCercaPuntiClassificaSquadra,3,FALSE),-2)),SUMIFS(Dati!$D$2:$D$761,Dati!$A$2:$A$761,$H55,Dati!$H$2:$H$761,$AO55)+SUMIFS(Dati!$K$2:$K$761,Dati!$H$2:$H$761,$H55,Dati!$A$2:$A$761,$AO55)+SUMIFS(Dati!$C$2:$C$761,Dati!$A$2:$A$761,$H55,Dati!$H$2:$H$761,$AO55)+SUMIFS(Dati!$J$2:$J$761,Dati!$H$2:$H$761,$H55,Dati!$A$2:$A$761,$AO55),"-")</f>
        <v/>
      </c>
      <c r="CH55" s="22">
        <f>IF(AND($H55&lt;&gt;"",$AP55&lt;&gt;"",$H55&lt;&gt;$AP55,IFERROR(VLOOKUP($H55,areaCercaPuntiClassificaSquadra,3,FALSE),-1)=IFERROR(VLOOKUP($AP55,areaCercaPuntiClassificaSquadra,3,FALSE),-2)),SUMIFS(Dati!$D$2:$D$761,Dati!$A$2:$A$761,$H55,Dati!$H$2:$H$761,$AP55)+SUMIFS(Dati!$K$2:$K$761,Dati!$H$2:$H$761,$H55,Dati!$A$2:$A$761,$AP55)+SUMIFS(Dati!$C$2:$C$761,Dati!$A$2:$A$761,$H55,Dati!$H$2:$H$761,$AP55)+SUMIFS(Dati!$J$2:$J$761,Dati!$H$2:$H$761,$H55,Dati!$A$2:$A$761,$AP55),"-")</f>
        <v/>
      </c>
      <c r="CI55" s="22">
        <f>IF(AND($H55&lt;&gt;"",$AQ55&lt;&gt;"",$H55&lt;&gt;$AQ55,IFERROR(VLOOKUP($H55,areaCercaPuntiClassificaSquadra,3,FALSE),-1)=IFERROR(VLOOKUP($AQ55,areaCercaPuntiClassificaSquadra,3,FALSE),-2)),SUMIFS(Dati!$D$2:$D$761,Dati!$A$2:$A$761,$H55,Dati!$H$2:$H$761,$AQ55)+SUMIFS(Dati!$K$2:$K$761,Dati!$H$2:$H$761,$H55,Dati!$A$2:$A$761,$AQ55)+SUMIFS(Dati!$C$2:$C$761,Dati!$A$2:$A$761,$H55,Dati!$H$2:$H$761,$AQ55)+SUMIFS(Dati!$J$2:$J$761,Dati!$H$2:$H$761,$H55,Dati!$A$2:$A$761,$AQ55),"-")</f>
        <v/>
      </c>
      <c r="CJ55" s="22">
        <f>IF(AND($H55&lt;&gt;"",$AR55&lt;&gt;"",$H55&lt;&gt;$AR55,IFERROR(VLOOKUP($H55,areaCercaPuntiClassificaSquadra,3,FALSE),-1)=IFERROR(VLOOKUP($AR55,areaCercaPuntiClassificaSquadra,3,FALSE),-2)),SUMIFS(Dati!$D$2:$D$761,Dati!$A$2:$A$761,$H55,Dati!$H$2:$H$761,$AR55)+SUMIFS(Dati!$K$2:$K$761,Dati!$H$2:$H$761,$H55,Dati!$A$2:$A$761,$AR55)+SUMIFS(Dati!$C$2:$C$761,Dati!$A$2:$A$761,$H55,Dati!$H$2:$H$761,$AR55)+SUMIFS(Dati!$J$2:$J$761,Dati!$H$2:$H$761,$H55,Dati!$A$2:$A$761,$AR55),"-")</f>
        <v/>
      </c>
      <c r="CL55" s="21">
        <f>$C55</f>
        <v/>
      </c>
      <c r="CM55" s="22">
        <f>IF(AND($H55&lt;&gt;"",$Y55&lt;&gt;"",$H55&lt;&gt;$Y55,IFERROR(VLOOKUP($H55,areaCercaPuntiClassificaSquadra,3,FALSE),-1)=IFERROR(VLOOKUP($Y55,areaCercaPuntiClassificaSquadra,3,FALSE),-2)),SUMIFS(Dati!$E$2:$E$761,Dati!$A$2:$A$761,$H55,Dati!$H$2:$H$761,$Y55)+SUMIFS(Dati!$L$2:$L$761,Dati!$H$2:$H$761,$H55,Dati!$A$2:$A$761,$Y55),"-")</f>
        <v/>
      </c>
      <c r="CN55" s="22">
        <f>IF(AND($H55&lt;&gt;"",$Z55&lt;&gt;"",$H55&lt;&gt;$Z55,IFERROR(VLOOKUP($H55,areaCercaPuntiClassificaSquadra,3,FALSE),-1)=IFERROR(VLOOKUP($Z55,areaCercaPuntiClassificaSquadra,3,FALSE),-2)),SUMIFS(Dati!$E$2:$E$761,Dati!$A$2:$A$761,$H55,Dati!$H$2:$H$761,$Z55)+SUMIFS(Dati!$L$2:$L$761,Dati!$H$2:$H$761,$H55,Dati!$A$2:$A$761,$Z55),"-")</f>
        <v/>
      </c>
      <c r="CO55" s="22">
        <f>IF(AND($H55&lt;&gt;"",$AA55&lt;&gt;"",$H55&lt;&gt;$AA55,IFERROR(VLOOKUP($H55,areaCercaPuntiClassificaSquadra,3,FALSE),-1)=IFERROR(VLOOKUP($AA55,areaCercaPuntiClassificaSquadra,3,FALSE),-2)),SUMIFS(Dati!$E$2:$E$761,Dati!$A$2:$A$761,$H55,Dati!$H$2:$H$761,$AA55)+SUMIFS(Dati!$L$2:$L$761,Dati!$H$2:$H$761,$H55,Dati!$A$2:$A$761,$AA55),"-")</f>
        <v/>
      </c>
      <c r="CP55" s="22">
        <f>IF(AND($H55&lt;&gt;"",$AB55&lt;&gt;"",$H55&lt;&gt;$AB55,IFERROR(VLOOKUP($H55,areaCercaPuntiClassificaSquadra,3,FALSE),-1)=IFERROR(VLOOKUP($AB55,areaCercaPuntiClassificaSquadra,3,FALSE),-2)),SUMIFS(Dati!$E$2:$E$761,Dati!$A$2:$A$761,$H55,Dati!$H$2:$H$761,$AB55)+SUMIFS(Dati!$L$2:$L$761,Dati!$H$2:$H$761,$H55,Dati!$A$2:$A$761,$AB55),"-")</f>
        <v/>
      </c>
      <c r="CQ55" s="22">
        <f>IF(AND($H55&lt;&gt;"",$AC55&lt;&gt;"",$H55&lt;&gt;$AC55,IFERROR(VLOOKUP($H55,areaCercaPuntiClassificaSquadra,3,FALSE),-1)=IFERROR(VLOOKUP($AC55,areaCercaPuntiClassificaSquadra,3,FALSE),-2)),SUMIFS(Dati!$E$2:$E$761,Dati!$A$2:$A$761,$H55,Dati!$H$2:$H$761,$AC55)+SUMIFS(Dati!$L$2:$L$761,Dati!$H$2:$H$761,$H55,Dati!$A$2:$A$761,$AC55),"-")</f>
        <v/>
      </c>
      <c r="CR55" s="22">
        <f>IF(AND($H55&lt;&gt;"",$AD55&lt;&gt;"",$H55&lt;&gt;$AD55,IFERROR(VLOOKUP($H55,areaCercaPuntiClassificaSquadra,3,FALSE),-1)=IFERROR(VLOOKUP($AD55,areaCercaPuntiClassificaSquadra,3,FALSE),-2)),SUMIFS(Dati!$E$2:$E$761,Dati!$A$2:$A$761,$H55,Dati!$H$2:$H$761,$AD55)+SUMIFS(Dati!$L$2:$L$761,Dati!$H$2:$H$761,$H55,Dati!$A$2:$A$761,$AD55),"-")</f>
        <v/>
      </c>
      <c r="CS55" s="22">
        <f>IF(AND($H55&lt;&gt;"",$AE55&lt;&gt;"",$H55&lt;&gt;$AE55,IFERROR(VLOOKUP($H55,areaCercaPuntiClassificaSquadra,3,FALSE),-1)=IFERROR(VLOOKUP($AE55,areaCercaPuntiClassificaSquadra,3,FALSE),-2)),SUMIFS(Dati!$E$2:$E$761,Dati!$A$2:$A$761,$H55,Dati!$H$2:$H$761,$AE55)+SUMIFS(Dati!$L$2:$L$761,Dati!$H$2:$H$761,$H55,Dati!$A$2:$A$761,$AE55),"-")</f>
        <v/>
      </c>
      <c r="CT55" s="22">
        <f>IF(AND($H55&lt;&gt;"",$AF55&lt;&gt;"",$H55&lt;&gt;$AF55,IFERROR(VLOOKUP($H55,areaCercaPuntiClassificaSquadra,3,FALSE),-1)=IFERROR(VLOOKUP($AF55,areaCercaPuntiClassificaSquadra,3,FALSE),-2)),SUMIFS(Dati!$E$2:$E$761,Dati!$A$2:$A$761,$H55,Dati!$H$2:$H$761,$AF55)+SUMIFS(Dati!$L$2:$L$761,Dati!$H$2:$H$761,$H55,Dati!$A$2:$A$761,$AF55),"-")</f>
        <v/>
      </c>
      <c r="CU55" s="22">
        <f>IF(AND($H55&lt;&gt;"",$AG55&lt;&gt;"",$H55&lt;&gt;$AG55,IFERROR(VLOOKUP($H55,areaCercaPuntiClassificaSquadra,3,FALSE),-1)=IFERROR(VLOOKUP($AG55,areaCercaPuntiClassificaSquadra,3,FALSE),-2)),SUMIFS(Dati!$E$2:$E$761,Dati!$A$2:$A$761,$H55,Dati!$H$2:$H$761,$AG55)+SUMIFS(Dati!$L$2:$L$761,Dati!$H$2:$H$761,$H55,Dati!$A$2:$A$761,$AG55),"-")</f>
        <v/>
      </c>
      <c r="CV55" s="22">
        <f>IF(AND($H55&lt;&gt;"",$AH55&lt;&gt;"",$H55&lt;&gt;$AH55,IFERROR(VLOOKUP($H55,areaCercaPuntiClassificaSquadra,3,FALSE),-1)=IFERROR(VLOOKUP($AH55,areaCercaPuntiClassificaSquadra,3,FALSE),-2)),SUMIFS(Dati!$E$2:$E$761,Dati!$A$2:$A$761,$H55,Dati!$H$2:$H$761,$AH55)+SUMIFS(Dati!$L$2:$L$761,Dati!$H$2:$H$761,$H55,Dati!$A$2:$A$761,$AH55),"-")</f>
        <v/>
      </c>
      <c r="CW55" s="22">
        <f>IF(AND($H55&lt;&gt;"",$AI55&lt;&gt;"",$H55&lt;&gt;$AI55,IFERROR(VLOOKUP($H55,areaCercaPuntiClassificaSquadra,3,FALSE),-1)=IFERROR(VLOOKUP($AI55,areaCercaPuntiClassificaSquadra,3,FALSE),-2)),SUMIFS(Dati!$E$2:$E$761,Dati!$A$2:$A$761,$H55,Dati!$H$2:$H$761,$AI55)+SUMIFS(Dati!$L$2:$L$761,Dati!$H$2:$H$761,$H55,Dati!$A$2:$A$761,$AI55),"-")</f>
        <v/>
      </c>
      <c r="CX55" s="22">
        <f>IF(AND($H55&lt;&gt;"",$AJ55&lt;&gt;"",$H55&lt;&gt;$AJ55,IFERROR(VLOOKUP($H55,areaCercaPuntiClassificaSquadra,3,FALSE),-1)=IFERROR(VLOOKUP($AJ55,areaCercaPuntiClassificaSquadra,3,FALSE),-2)),SUMIFS(Dati!$E$2:$E$761,Dati!$A$2:$A$761,$H55,Dati!$H$2:$H$761,$AJ55)+SUMIFS(Dati!$L$2:$L$761,Dati!$H$2:$H$761,$H55,Dati!$A$2:$A$761,$AJ55),"-")</f>
        <v/>
      </c>
      <c r="CY55" s="22">
        <f>IF(AND($H55&lt;&gt;"",$AK55&lt;&gt;"",$H55&lt;&gt;$AK55,IFERROR(VLOOKUP($H55,areaCercaPuntiClassificaSquadra,3,FALSE),-1)=IFERROR(VLOOKUP($AK55,areaCercaPuntiClassificaSquadra,3,FALSE),-2)),SUMIFS(Dati!$E$2:$E$761,Dati!$A$2:$A$761,$H55,Dati!$H$2:$H$761,$AK55)+SUMIFS(Dati!$L$2:$L$761,Dati!$H$2:$H$761,$H55,Dati!$A$2:$A$761,$AK55),"-")</f>
        <v/>
      </c>
      <c r="CZ55" s="22">
        <f>IF(AND($H55&lt;&gt;"",$AL55&lt;&gt;"",$H55&lt;&gt;$AL55,IFERROR(VLOOKUP($H55,areaCercaPuntiClassificaSquadra,3,FALSE),-1)=IFERROR(VLOOKUP($AL55,areaCercaPuntiClassificaSquadra,3,FALSE),-2)),SUMIFS(Dati!$E$2:$E$761,Dati!$A$2:$A$761,$H55,Dati!$H$2:$H$761,$AL55)+SUMIFS(Dati!$L$2:$L$761,Dati!$H$2:$H$761,$H55,Dati!$A$2:$A$761,$AL55),"-")</f>
        <v/>
      </c>
      <c r="DA55" s="22">
        <f>IF(AND($H55&lt;&gt;"",$AM55&lt;&gt;"",$H55&lt;&gt;$AM55,IFERROR(VLOOKUP($H55,areaCercaPuntiClassificaSquadra,3,FALSE),-1)=IFERROR(VLOOKUP($AM55,areaCercaPuntiClassificaSquadra,3,FALSE),-2)),SUMIFS(Dati!$E$2:$E$761,Dati!$A$2:$A$761,$H55,Dati!$H$2:$H$761,$AM55)+SUMIFS(Dati!$L$2:$L$761,Dati!$H$2:$H$761,$H55,Dati!$A$2:$A$761,$AM55),"-")</f>
        <v/>
      </c>
      <c r="DB55" s="22">
        <f>IF(AND($H55&lt;&gt;"",$AN55&lt;&gt;"",$H55&lt;&gt;$AN55,IFERROR(VLOOKUP($H55,areaCercaPuntiClassificaSquadra,3,FALSE),-1)=IFERROR(VLOOKUP($AN55,areaCercaPuntiClassificaSquadra,3,FALSE),-2)),SUMIFS(Dati!$E$2:$E$761,Dati!$A$2:$A$761,$H55,Dati!$H$2:$H$761,$AN55)+SUMIFS(Dati!$L$2:$L$761,Dati!$H$2:$H$761,$H55,Dati!$A$2:$A$761,$AN55),"-")</f>
        <v/>
      </c>
      <c r="DC55" s="22">
        <f>IF(AND($H55&lt;&gt;"",$AO55&lt;&gt;"",$H55&lt;&gt;$AO55,IFERROR(VLOOKUP($H55,areaCercaPuntiClassificaSquadra,3,FALSE),-1)=IFERROR(VLOOKUP($AO55,areaCercaPuntiClassificaSquadra,3,FALSE),-2)),SUMIFS(Dati!$E$2:$E$761,Dati!$A$2:$A$761,$H55,Dati!$H$2:$H$761,$AO55)+SUMIFS(Dati!$L$2:$L$761,Dati!$H$2:$H$761,$H55,Dati!$A$2:$A$761,$AO55),"-")</f>
        <v/>
      </c>
      <c r="DD55" s="22">
        <f>IF(AND($H55&lt;&gt;"",$AP55&lt;&gt;"",$H55&lt;&gt;$AP55,IFERROR(VLOOKUP($H55,areaCercaPuntiClassificaSquadra,3,FALSE),-1)=IFERROR(VLOOKUP($AP55,areaCercaPuntiClassificaSquadra,3,FALSE),-2)),SUMIFS(Dati!$E$2:$E$761,Dati!$A$2:$A$761,$H55,Dati!$H$2:$H$761,$AP55)+SUMIFS(Dati!$L$2:$L$761,Dati!$H$2:$H$761,$H55,Dati!$A$2:$A$761,$AP55),"-")</f>
        <v/>
      </c>
      <c r="DE55" s="22">
        <f>IF(AND($H55&lt;&gt;"",$AQ55&lt;&gt;"",$H55&lt;&gt;$AQ55,IFERROR(VLOOKUP($H55,areaCercaPuntiClassificaSquadra,3,FALSE),-1)=IFERROR(VLOOKUP($AQ55,areaCercaPuntiClassificaSquadra,3,FALSE),-2)),SUMIFS(Dati!$E$2:$E$761,Dati!$A$2:$A$761,$H55,Dati!$H$2:$H$761,$AQ55)+SUMIFS(Dati!$L$2:$L$761,Dati!$H$2:$H$761,$H55,Dati!$A$2:$A$761,$AQ55),"-")</f>
        <v/>
      </c>
      <c r="DF55" s="22">
        <f>IF(AND($H55&lt;&gt;"",$AR55&lt;&gt;"",$H55&lt;&gt;$AR55,IFERROR(VLOOKUP($H55,areaCercaPuntiClassificaSquadra,3,FALSE),-1)=IFERROR(VLOOKUP($AR55,areaCercaPuntiClassificaSquadra,3,FALSE),-2)),SUMIFS(Dati!$E$2:$E$761,Dati!$A$2:$A$761,$H55,Dati!$H$2:$H$761,$AR55)+SUMIFS(Dati!$L$2:$L$761,Dati!$H$2:$H$761,$H55,Dati!$A$2:$A$761,$AR55),"-")</f>
        <v/>
      </c>
      <c r="DH55" s="21">
        <f>$C55</f>
        <v/>
      </c>
      <c r="DI55" s="22">
        <f>IF(AND($H55&lt;&gt;"",$Y55&lt;&gt;"",$H55&lt;&gt;$Y55,IFERROR(VLOOKUP($H55,areaCercaPuntiClassificaSquadra,3,FALSE),-1)=IFERROR(VLOOKUP($Y55,areaCercaPuntiClassificaSquadra,3,FALSE),-2)),SUMIFS(Dati!$F$2:$F$761,Dati!$A$2:$A$761,$H55,Dati!$H$2:$H$761,$Y55)+SUMIFS(Dati!$M$2:$M$761,Dati!$H$2:$H$761,$H55,Dati!$A$2:$A$761,$Y55),"-")</f>
        <v/>
      </c>
      <c r="DJ55" s="22">
        <f>IF(AND($H55&lt;&gt;"",$Z55&lt;&gt;"",$H55&lt;&gt;$Z55,IFERROR(VLOOKUP($H55,areaCercaPuntiClassificaSquadra,3,FALSE),-1)=IFERROR(VLOOKUP($Z55,areaCercaPuntiClassificaSquadra,3,FALSE),-2)),SUMIFS(Dati!$F$2:$F$761,Dati!$A$2:$A$761,$H55,Dati!$H$2:$H$761,$Z55)+SUMIFS(Dati!$M$2:$M$761,Dati!$H$2:$H$761,$H55,Dati!$A$2:$A$761,$Z55),"-")</f>
        <v/>
      </c>
      <c r="DK55" s="22">
        <f>IF(AND($H55&lt;&gt;"",$AA55&lt;&gt;"",$H55&lt;&gt;$AA55,IFERROR(VLOOKUP($H55,areaCercaPuntiClassificaSquadra,3,FALSE),-1)=IFERROR(VLOOKUP($AA55,areaCercaPuntiClassificaSquadra,3,FALSE),-2)),SUMIFS(Dati!$F$2:$F$761,Dati!$A$2:$A$761,$H55,Dati!$H$2:$H$761,$AA55)+SUMIFS(Dati!$M$2:$M$761,Dati!$H$2:$H$761,$H55,Dati!$A$2:$A$761,$AA55),"-")</f>
        <v/>
      </c>
      <c r="DL55" s="22">
        <f>IF(AND($H55&lt;&gt;"",$AB55&lt;&gt;"",$H55&lt;&gt;$AB55,IFERROR(VLOOKUP($H55,areaCercaPuntiClassificaSquadra,3,FALSE),-1)=IFERROR(VLOOKUP($AB55,areaCercaPuntiClassificaSquadra,3,FALSE),-2)),SUMIFS(Dati!$F$2:$F$761,Dati!$A$2:$A$761,$H55,Dati!$H$2:$H$761,$AB55)+SUMIFS(Dati!$M$2:$M$761,Dati!$H$2:$H$761,$H55,Dati!$A$2:$A$761,$AB55),"-")</f>
        <v/>
      </c>
      <c r="DM55" s="22">
        <f>IF(AND($H55&lt;&gt;"",$AC55&lt;&gt;"",$H55&lt;&gt;$AC55,IFERROR(VLOOKUP($H55,areaCercaPuntiClassificaSquadra,3,FALSE),-1)=IFERROR(VLOOKUP($AC55,areaCercaPuntiClassificaSquadra,3,FALSE),-2)),SUMIFS(Dati!$F$2:$F$761,Dati!$A$2:$A$761,$H55,Dati!$H$2:$H$761,$AC55)+SUMIFS(Dati!$M$2:$M$761,Dati!$H$2:$H$761,$H55,Dati!$A$2:$A$761,$AC55),"-")</f>
        <v/>
      </c>
      <c r="DN55" s="22">
        <f>IF(AND($H55&lt;&gt;"",$AD55&lt;&gt;"",$H55&lt;&gt;$AD55,IFERROR(VLOOKUP($H55,areaCercaPuntiClassificaSquadra,3,FALSE),-1)=IFERROR(VLOOKUP($AD55,areaCercaPuntiClassificaSquadra,3,FALSE),-2)),SUMIFS(Dati!$F$2:$F$761,Dati!$A$2:$A$761,$H55,Dati!$H$2:$H$761,$AD55)+SUMIFS(Dati!$M$2:$M$761,Dati!$H$2:$H$761,$H55,Dati!$A$2:$A$761,$AD55),"-")</f>
        <v/>
      </c>
      <c r="DO55" s="22">
        <f>IF(AND($H55&lt;&gt;"",$AE55&lt;&gt;"",$H55&lt;&gt;$AE55,IFERROR(VLOOKUP($H55,areaCercaPuntiClassificaSquadra,3,FALSE),-1)=IFERROR(VLOOKUP($AE55,areaCercaPuntiClassificaSquadra,3,FALSE),-2)),SUMIFS(Dati!$F$2:$F$761,Dati!$A$2:$A$761,$H55,Dati!$H$2:$H$761,$AE55)+SUMIFS(Dati!$M$2:$M$761,Dati!$H$2:$H$761,$H55,Dati!$A$2:$A$761,$AE55),"-")</f>
        <v/>
      </c>
      <c r="DP55" s="22">
        <f>IF(AND($H55&lt;&gt;"",$AF55&lt;&gt;"",$H55&lt;&gt;$AF55,IFERROR(VLOOKUP($H55,areaCercaPuntiClassificaSquadra,3,FALSE),-1)=IFERROR(VLOOKUP($AF55,areaCercaPuntiClassificaSquadra,3,FALSE),-2)),SUMIFS(Dati!$F$2:$F$761,Dati!$A$2:$A$761,$H55,Dati!$H$2:$H$761,$AF55)+SUMIFS(Dati!$M$2:$M$761,Dati!$H$2:$H$761,$H55,Dati!$A$2:$A$761,$AF55),"-")</f>
        <v/>
      </c>
      <c r="DQ55" s="22">
        <f>IF(AND($H55&lt;&gt;"",$AG55&lt;&gt;"",$H55&lt;&gt;$AG55,IFERROR(VLOOKUP($H55,areaCercaPuntiClassificaSquadra,3,FALSE),-1)=IFERROR(VLOOKUP($AG55,areaCercaPuntiClassificaSquadra,3,FALSE),-2)),SUMIFS(Dati!$F$2:$F$761,Dati!$A$2:$A$761,$H55,Dati!$H$2:$H$761,$AG55)+SUMIFS(Dati!$M$2:$M$761,Dati!$H$2:$H$761,$H55,Dati!$A$2:$A$761,$AG55),"-")</f>
        <v/>
      </c>
      <c r="DR55" s="22">
        <f>IF(AND($H55&lt;&gt;"",$AH55&lt;&gt;"",$H55&lt;&gt;$AH55,IFERROR(VLOOKUP($H55,areaCercaPuntiClassificaSquadra,3,FALSE),-1)=IFERROR(VLOOKUP($AH55,areaCercaPuntiClassificaSquadra,3,FALSE),-2)),SUMIFS(Dati!$F$2:$F$761,Dati!$A$2:$A$761,$H55,Dati!$H$2:$H$761,$AH55)+SUMIFS(Dati!$M$2:$M$761,Dati!$H$2:$H$761,$H55,Dati!$A$2:$A$761,$AH55),"-")</f>
        <v/>
      </c>
      <c r="DS55" s="22">
        <f>IF(AND($H55&lt;&gt;"",$AI55&lt;&gt;"",$H55&lt;&gt;$AI55,IFERROR(VLOOKUP($H55,areaCercaPuntiClassificaSquadra,3,FALSE),-1)=IFERROR(VLOOKUP($AI55,areaCercaPuntiClassificaSquadra,3,FALSE),-2)),SUMIFS(Dati!$F$2:$F$761,Dati!$A$2:$A$761,$H55,Dati!$H$2:$H$761,$AI55)+SUMIFS(Dati!$M$2:$M$761,Dati!$H$2:$H$761,$H55,Dati!$A$2:$A$761,$AI55),"-")</f>
        <v/>
      </c>
      <c r="DT55" s="22">
        <f>IF(AND($H55&lt;&gt;"",$AJ55&lt;&gt;"",$H55&lt;&gt;$AJ55,IFERROR(VLOOKUP($H55,areaCercaPuntiClassificaSquadra,3,FALSE),-1)=IFERROR(VLOOKUP($AJ55,areaCercaPuntiClassificaSquadra,3,FALSE),-2)),SUMIFS(Dati!$F$2:$F$761,Dati!$A$2:$A$761,$H55,Dati!$H$2:$H$761,$AJ55)+SUMIFS(Dati!$M$2:$M$761,Dati!$H$2:$H$761,$H55,Dati!$A$2:$A$761,$AJ55),"-")</f>
        <v/>
      </c>
      <c r="DU55" s="22">
        <f>IF(AND($H55&lt;&gt;"",$AK55&lt;&gt;"",$H55&lt;&gt;$AK55,IFERROR(VLOOKUP($H55,areaCercaPuntiClassificaSquadra,3,FALSE),-1)=IFERROR(VLOOKUP($AK55,areaCercaPuntiClassificaSquadra,3,FALSE),-2)),SUMIFS(Dati!$F$2:$F$761,Dati!$A$2:$A$761,$H55,Dati!$H$2:$H$761,$AK55)+SUMIFS(Dati!$M$2:$M$761,Dati!$H$2:$H$761,$H55,Dati!$A$2:$A$761,$AK55),"-")</f>
        <v/>
      </c>
      <c r="DV55" s="22">
        <f>IF(AND($H55&lt;&gt;"",$AL55&lt;&gt;"",$H55&lt;&gt;$AL55,IFERROR(VLOOKUP($H55,areaCercaPuntiClassificaSquadra,3,FALSE),-1)=IFERROR(VLOOKUP($AL55,areaCercaPuntiClassificaSquadra,3,FALSE),-2)),SUMIFS(Dati!$F$2:$F$761,Dati!$A$2:$A$761,$H55,Dati!$H$2:$H$761,$AL55)+SUMIFS(Dati!$M$2:$M$761,Dati!$H$2:$H$761,$H55,Dati!$A$2:$A$761,$AL55),"-")</f>
        <v/>
      </c>
      <c r="DW55" s="22">
        <f>IF(AND($H55&lt;&gt;"",$AM55&lt;&gt;"",$H55&lt;&gt;$AM55,IFERROR(VLOOKUP($H55,areaCercaPuntiClassificaSquadra,3,FALSE),-1)=IFERROR(VLOOKUP($AM55,areaCercaPuntiClassificaSquadra,3,FALSE),-2)),SUMIFS(Dati!$F$2:$F$761,Dati!$A$2:$A$761,$H55,Dati!$H$2:$H$761,$AM55)+SUMIFS(Dati!$M$2:$M$761,Dati!$H$2:$H$761,$H55,Dati!$A$2:$A$761,$AM55),"-")</f>
        <v/>
      </c>
      <c r="DX55" s="22">
        <f>IF(AND($H55&lt;&gt;"",$AN55&lt;&gt;"",$H55&lt;&gt;$AN55,IFERROR(VLOOKUP($H55,areaCercaPuntiClassificaSquadra,3,FALSE),-1)=IFERROR(VLOOKUP($AN55,areaCercaPuntiClassificaSquadra,3,FALSE),-2)),SUMIFS(Dati!$F$2:$F$761,Dati!$A$2:$A$761,$H55,Dati!$H$2:$H$761,$AN55)+SUMIFS(Dati!$M$2:$M$761,Dati!$H$2:$H$761,$H55,Dati!$A$2:$A$761,$AN55),"-")</f>
        <v/>
      </c>
      <c r="DY55" s="22">
        <f>IF(AND($H55&lt;&gt;"",$AO55&lt;&gt;"",$H55&lt;&gt;$AO55,IFERROR(VLOOKUP($H55,areaCercaPuntiClassificaSquadra,3,FALSE),-1)=IFERROR(VLOOKUP($AO55,areaCercaPuntiClassificaSquadra,3,FALSE),-2)),SUMIFS(Dati!$F$2:$F$761,Dati!$A$2:$A$761,$H55,Dati!$H$2:$H$761,$AO55)+SUMIFS(Dati!$M$2:$M$761,Dati!$H$2:$H$761,$H55,Dati!$A$2:$A$761,$AO55),"-")</f>
        <v/>
      </c>
      <c r="DZ55" s="22">
        <f>IF(AND($H55&lt;&gt;"",$AP55&lt;&gt;"",$H55&lt;&gt;$AP55,IFERROR(VLOOKUP($H55,areaCercaPuntiClassificaSquadra,3,FALSE),-1)=IFERROR(VLOOKUP($AP55,areaCercaPuntiClassificaSquadra,3,FALSE),-2)),SUMIFS(Dati!$F$2:$F$761,Dati!$A$2:$A$761,$H55,Dati!$H$2:$H$761,$AP55)+SUMIFS(Dati!$M$2:$M$761,Dati!$H$2:$H$761,$H55,Dati!$A$2:$A$761,$AP55),"-")</f>
        <v/>
      </c>
      <c r="EA55" s="22">
        <f>IF(AND($H55&lt;&gt;"",$AQ55&lt;&gt;"",$H55&lt;&gt;$AQ55,IFERROR(VLOOKUP($H55,areaCercaPuntiClassificaSquadra,3,FALSE),-1)=IFERROR(VLOOKUP($AQ55,areaCercaPuntiClassificaSquadra,3,FALSE),-2)),SUMIFS(Dati!$F$2:$F$761,Dati!$A$2:$A$761,$H55,Dati!$H$2:$H$761,$AQ55)+SUMIFS(Dati!$M$2:$M$761,Dati!$H$2:$H$761,$H55,Dati!$A$2:$A$761,$AQ55),"-")</f>
        <v/>
      </c>
      <c r="EB55" s="22">
        <f>IF(AND($H55&lt;&gt;"",$AR55&lt;&gt;"",$H55&lt;&gt;$AR55,IFERROR(VLOOKUP($H55,areaCercaPuntiClassificaSquadra,3,FALSE),-1)=IFERROR(VLOOKUP($AR55,areaCercaPuntiClassificaSquadra,3,FALSE),-2)),SUMIFS(Dati!$F$2:$F$761,Dati!$A$2:$A$761,$H55,Dati!$H$2:$H$761,$AR55)+SUMIFS(Dati!$M$2:$M$761,Dati!$H$2:$H$761,$H55,Dati!$A$2:$A$761,$AR55),"-")</f>
        <v/>
      </c>
      <c r="ED55" s="22">
        <f>IF($C55="","",SUM(AU55:BN55))</f>
        <v/>
      </c>
    </row>
    <row r="56">
      <c r="B56" s="12" t="inlineStr">
        <is>
          <t>C03</t>
        </is>
      </c>
      <c r="C56" s="13" t="inlineStr">
        <is>
          <t>Linci Leali-Linciopoli LI</t>
        </is>
      </c>
      <c r="D56" s="14" t="n"/>
      <c r="E56" s="25" t="inlineStr">
        <is>
          <t>C</t>
        </is>
      </c>
      <c r="G56" s="26">
        <f>IF($C56="","",$E56&amp;(COUNTIFS(I$14:I$93,"&gt;"&amp;I56,E$14:E$93,"="&amp;E56,C$14:C$93,"&lt;&gt;")+COUNTIFS(I$14:I$93,"="&amp;I56,H$14:H$93,"&lt;="&amp;H56,E$14:E$93,"="&amp;E56,C$14:C$93,"&lt;&gt;")))</f>
        <v/>
      </c>
      <c r="H56" s="17">
        <f>IF($C56="","",IFERROR(LEFT($C56,FIND("-",$C56)-1),$C56))</f>
        <v/>
      </c>
      <c r="I56" s="12">
        <f>TEXT(1000000000+J56,"|0000000000|")&amp;TEXT(SUM(AU56:BN56),"0000000000|")&amp;IF(SUM(DI56:EB56)=0,"0000000000|",TEXT(ROUND(SUM(CM56:DF56)/SUM(DI56:EB56),4)*100000,"0000000000|"))&amp;IF(P56=0,"0000000000|",TEXT(ROUND(O56/P56,4)*100000,"0000000000|"))</f>
        <v/>
      </c>
      <c r="J56" s="26">
        <f>L56*constPuntiVittoria+M56*constPuntiSconfitta+N56*constPuntiForfait+IF(D56="",0,D56)</f>
        <v/>
      </c>
      <c r="K56" s="12">
        <f>SUM(L56:N56)</f>
        <v/>
      </c>
      <c r="L56" s="12">
        <f>IF($H56="",0,SUMIF(Dati!$A$2:$A$761,$H56,Dati!$B$2:$B$761)+SUMIF(Dati!$H$2:$H$761,$H56,Dati!$I$2:$I$761))</f>
        <v/>
      </c>
      <c r="M56" s="12">
        <f>IF($H56="",0,SUMIF(Dati!$A$2:$A$761,$H56,Dati!$D$2:$D$761)+SUMIF(Dati!$H$2:$H$761,$H56,Dati!$K$2:$K$761))</f>
        <v/>
      </c>
      <c r="N56" s="12">
        <f>IF($H56="",0,SUMIF(Dati!$A$2:$A$761,$H56,Dati!$C$2:$C$761)+SUMIF(Dati!$H$2:$H$761,$H56,Dati!$J$2:$J$761))</f>
        <v/>
      </c>
      <c r="O56" s="12">
        <f>IF($H56="",0,SUMIF(Dati!$A$2:$A$761,$H56,Dati!$E$2:$E$761)+SUMIF(Dati!$H$2:$H$761,$H56,Dati!$L$2:$L$761))</f>
        <v/>
      </c>
      <c r="P56" s="12">
        <f>IF($H56="",0,SUMIF(Dati!$A$2:$A$761,$H56,Dati!$F$2:$F$761)+SUMIF(Dati!$H$2:$H$761,$H56,Dati!$M$2:$M$761))</f>
        <v/>
      </c>
      <c r="Q56" s="12">
        <f>IF($H56="",0,SUMIF(Dati!$A$2:$A$761,$H56,Dati!$G$2:$G$761)+SUMIF(Dati!$H$2:$H$761,$H56,Dati!$N$2:$N$761))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IF(COUNTIFS($E$14:$E$93,$E56,$J$14:$J$93,$J56,$C$14:$C$93,"&lt;&gt;")&lt;=1,"-",SUM(AU56:BN56)&amp;"-"&amp;SUM(BQ56:CJ56))</f>
        <v/>
      </c>
      <c r="V56" s="18">
        <f>IF(COUNTIFS($E$14:$E$93,$E56,$J$14:$J$93,$J56,$C$14:$C$93,"&lt;&gt;",$ED$14:$ED$93,$ED56)&lt;=1,"-",IF(SUM(DI56:EB56)=0,0,ROUND(SUM(CM56:DF56)/SUM(DI56:EB56),3)))</f>
        <v/>
      </c>
      <c r="W56" s="18">
        <f>IF(COUNTIFS($E$14:$E$93,$E56,$J$14:$J$93,$J56,$C$14:$C$93,"&lt;&gt;",$ED$14:$ED$93,$ED56,$V$14:$V$93,$V56)&lt;=1,"-",IF(P56=0,0,ROUND(O56/P56,3)))</f>
        <v/>
      </c>
      <c r="X56" s="19">
        <f>IF($C56="","",$E56&amp;"#"&amp;COUNTIFS($E$14:$E56,$E56,$C$14:$C56,"&lt;&gt;"))</f>
        <v/>
      </c>
      <c r="Y56" s="20">
        <f>IFERROR(INDEX($H$14:$H$93,MATCH($E56&amp;"#1",$X$14:$X$93,0)),"")</f>
        <v/>
      </c>
      <c r="Z56" s="20">
        <f>IFERROR(INDEX($H$14:$H$93,MATCH($E56&amp;"#2",$X$14:$X$93,0)),"")</f>
        <v/>
      </c>
      <c r="AA56" s="20">
        <f>IFERROR(INDEX($H$14:$H$93,MATCH($E56&amp;"#3",$X$14:$X$93,0)),"")</f>
        <v/>
      </c>
      <c r="AB56" s="20">
        <f>IFERROR(INDEX($H$14:$H$93,MATCH($E56&amp;"#4",$X$14:$X$93,0)),"")</f>
        <v/>
      </c>
      <c r="AC56" s="20">
        <f>IFERROR(INDEX($H$14:$H$93,MATCH($E56&amp;"#5",$X$14:$X$93,0)),"")</f>
        <v/>
      </c>
      <c r="AD56" s="20">
        <f>IFERROR(INDEX($H$14:$H$93,MATCH($E56&amp;"#6",$X$14:$X$93,0)),"")</f>
        <v/>
      </c>
      <c r="AE56" s="20">
        <f>IFERROR(INDEX($H$14:$H$93,MATCH($E56&amp;"#7",$X$14:$X$93,0)),"")</f>
        <v/>
      </c>
      <c r="AF56" s="20">
        <f>IFERROR(INDEX($H$14:$H$93,MATCH($E56&amp;"#8",$X$14:$X$93,0)),"")</f>
        <v/>
      </c>
      <c r="AG56" s="20">
        <f>IFERROR(INDEX($H$14:$H$93,MATCH($E56&amp;"#9",$X$14:$X$93,0)),"")</f>
        <v/>
      </c>
      <c r="AH56" s="20">
        <f>IFERROR(INDEX($H$14:$H$93,MATCH($E56&amp;"#10",$X$14:$X$93,0)),"")</f>
        <v/>
      </c>
      <c r="AI56" s="20">
        <f>IFERROR(INDEX($H$14:$H$93,MATCH($E56&amp;"#11",$X$14:$X$93,0)),"")</f>
        <v/>
      </c>
      <c r="AJ56" s="20">
        <f>IFERROR(INDEX($H$14:$H$93,MATCH($E56&amp;"#12",$X$14:$X$93,0)),"")</f>
        <v/>
      </c>
      <c r="AK56" s="20">
        <f>IFERROR(INDEX($H$14:$H$93,MATCH($E56&amp;"#13",$X$14:$X$93,0)),"")</f>
        <v/>
      </c>
      <c r="AL56" s="20">
        <f>IFERROR(INDEX($H$14:$H$93,MATCH($E56&amp;"#14",$X$14:$X$93,0)),"")</f>
        <v/>
      </c>
      <c r="AM56" s="20">
        <f>IFERROR(INDEX($H$14:$H$93,MATCH($E56&amp;"#15",$X$14:$X$93,0)),"")</f>
        <v/>
      </c>
      <c r="AN56" s="20">
        <f>IFERROR(INDEX($H$14:$H$93,MATCH($E56&amp;"#16",$X$14:$X$93,0)),"")</f>
        <v/>
      </c>
      <c r="AO56" s="20">
        <f>IFERROR(INDEX($H$14:$H$93,MATCH($E56&amp;"#17",$X$14:$X$93,0)),"")</f>
        <v/>
      </c>
      <c r="AP56" s="20">
        <f>IFERROR(INDEX($H$14:$H$93,MATCH($E56&amp;"#18",$X$14:$X$93,0)),"")</f>
        <v/>
      </c>
      <c r="AQ56" s="20">
        <f>IFERROR(INDEX($H$14:$H$93,MATCH($E56&amp;"#19",$X$14:$X$93,0)),"")</f>
        <v/>
      </c>
      <c r="AR56" s="20">
        <f>IFERROR(INDEX($H$14:$H$93,MATCH($E56&amp;"#20",$X$14:$X$93,0)),"")</f>
        <v/>
      </c>
      <c r="AT56" s="21">
        <f>$C56</f>
        <v/>
      </c>
      <c r="AU56" s="22">
        <f>IF(AND($H56&lt;&gt;"",$Y56&lt;&gt;"",$H56&lt;&gt;$Y56,IFERROR(VLOOKUP($H56,areaCercaPuntiClassificaSquadra,3,FALSE),-1)=IFERROR(VLOOKUP($Y56,areaCercaPuntiClassificaSquadra,3,FALSE),-2)),SUMIFS(Dati!$B$2:$B$761,Dati!$A$2:$A$761,$H56,Dati!$H$2:$H$761,$Y56)+SUMIFS(Dati!$I$2:$I$761,Dati!$H$2:$H$761,$H56,Dati!$A$2:$A$761,$Y56),"-")</f>
        <v/>
      </c>
      <c r="AV56" s="22">
        <f>IF(AND($H56&lt;&gt;"",$Z56&lt;&gt;"",$H56&lt;&gt;$Z56,IFERROR(VLOOKUP($H56,areaCercaPuntiClassificaSquadra,3,FALSE),-1)=IFERROR(VLOOKUP($Z56,areaCercaPuntiClassificaSquadra,3,FALSE),-2)),SUMIFS(Dati!$B$2:$B$761,Dati!$A$2:$A$761,$H56,Dati!$H$2:$H$761,$Z56)+SUMIFS(Dati!$I$2:$I$761,Dati!$H$2:$H$761,$H56,Dati!$A$2:$A$761,$Z56),"-")</f>
        <v/>
      </c>
      <c r="AW56" s="22">
        <f>IF(AND($H56&lt;&gt;"",$AA56&lt;&gt;"",$H56&lt;&gt;$AA56,IFERROR(VLOOKUP($H56,areaCercaPuntiClassificaSquadra,3,FALSE),-1)=IFERROR(VLOOKUP($AA56,areaCercaPuntiClassificaSquadra,3,FALSE),-2)),SUMIFS(Dati!$B$2:$B$761,Dati!$A$2:$A$761,$H56,Dati!$H$2:$H$761,$AA56)+SUMIFS(Dati!$I$2:$I$761,Dati!$H$2:$H$761,$H56,Dati!$A$2:$A$761,$AA56),"-")</f>
        <v/>
      </c>
      <c r="AX56" s="22">
        <f>IF(AND($H56&lt;&gt;"",$AB56&lt;&gt;"",$H56&lt;&gt;$AB56,IFERROR(VLOOKUP($H56,areaCercaPuntiClassificaSquadra,3,FALSE),-1)=IFERROR(VLOOKUP($AB56,areaCercaPuntiClassificaSquadra,3,FALSE),-2)),SUMIFS(Dati!$B$2:$B$761,Dati!$A$2:$A$761,$H56,Dati!$H$2:$H$761,$AB56)+SUMIFS(Dati!$I$2:$I$761,Dati!$H$2:$H$761,$H56,Dati!$A$2:$A$761,$AB56),"-")</f>
        <v/>
      </c>
      <c r="AY56" s="22">
        <f>IF(AND($H56&lt;&gt;"",$AC56&lt;&gt;"",$H56&lt;&gt;$AC56,IFERROR(VLOOKUP($H56,areaCercaPuntiClassificaSquadra,3,FALSE),-1)=IFERROR(VLOOKUP($AC56,areaCercaPuntiClassificaSquadra,3,FALSE),-2)),SUMIFS(Dati!$B$2:$B$761,Dati!$A$2:$A$761,$H56,Dati!$H$2:$H$761,$AC56)+SUMIFS(Dati!$I$2:$I$761,Dati!$H$2:$H$761,$H56,Dati!$A$2:$A$761,$AC56),"-")</f>
        <v/>
      </c>
      <c r="AZ56" s="22">
        <f>IF(AND($H56&lt;&gt;"",$AD56&lt;&gt;"",$H56&lt;&gt;$AD56,IFERROR(VLOOKUP($H56,areaCercaPuntiClassificaSquadra,3,FALSE),-1)=IFERROR(VLOOKUP($AD56,areaCercaPuntiClassificaSquadra,3,FALSE),-2)),SUMIFS(Dati!$B$2:$B$761,Dati!$A$2:$A$761,$H56,Dati!$H$2:$H$761,$AD56)+SUMIFS(Dati!$I$2:$I$761,Dati!$H$2:$H$761,$H56,Dati!$A$2:$A$761,$AD56),"-")</f>
        <v/>
      </c>
      <c r="BA56" s="22">
        <f>IF(AND($H56&lt;&gt;"",$AE56&lt;&gt;"",$H56&lt;&gt;$AE56,IFERROR(VLOOKUP($H56,areaCercaPuntiClassificaSquadra,3,FALSE),-1)=IFERROR(VLOOKUP($AE56,areaCercaPuntiClassificaSquadra,3,FALSE),-2)),SUMIFS(Dati!$B$2:$B$761,Dati!$A$2:$A$761,$H56,Dati!$H$2:$H$761,$AE56)+SUMIFS(Dati!$I$2:$I$761,Dati!$H$2:$H$761,$H56,Dati!$A$2:$A$761,$AE56),"-")</f>
        <v/>
      </c>
      <c r="BB56" s="22">
        <f>IF(AND($H56&lt;&gt;"",$AF56&lt;&gt;"",$H56&lt;&gt;$AF56,IFERROR(VLOOKUP($H56,areaCercaPuntiClassificaSquadra,3,FALSE),-1)=IFERROR(VLOOKUP($AF56,areaCercaPuntiClassificaSquadra,3,FALSE),-2)),SUMIFS(Dati!$B$2:$B$761,Dati!$A$2:$A$761,$H56,Dati!$H$2:$H$761,$AF56)+SUMIFS(Dati!$I$2:$I$761,Dati!$H$2:$H$761,$H56,Dati!$A$2:$A$761,$AF56),"-")</f>
        <v/>
      </c>
      <c r="BC56" s="22">
        <f>IF(AND($H56&lt;&gt;"",$AG56&lt;&gt;"",$H56&lt;&gt;$AG56,IFERROR(VLOOKUP($H56,areaCercaPuntiClassificaSquadra,3,FALSE),-1)=IFERROR(VLOOKUP($AG56,areaCercaPuntiClassificaSquadra,3,FALSE),-2)),SUMIFS(Dati!$B$2:$B$761,Dati!$A$2:$A$761,$H56,Dati!$H$2:$H$761,$AG56)+SUMIFS(Dati!$I$2:$I$761,Dati!$H$2:$H$761,$H56,Dati!$A$2:$A$761,$AG56),"-")</f>
        <v/>
      </c>
      <c r="BD56" s="22">
        <f>IF(AND($H56&lt;&gt;"",$AH56&lt;&gt;"",$H56&lt;&gt;$AH56,IFERROR(VLOOKUP($H56,areaCercaPuntiClassificaSquadra,3,FALSE),-1)=IFERROR(VLOOKUP($AH56,areaCercaPuntiClassificaSquadra,3,FALSE),-2)),SUMIFS(Dati!$B$2:$B$761,Dati!$A$2:$A$761,$H56,Dati!$H$2:$H$761,$AH56)+SUMIFS(Dati!$I$2:$I$761,Dati!$H$2:$H$761,$H56,Dati!$A$2:$A$761,$AH56),"-")</f>
        <v/>
      </c>
      <c r="BE56" s="22">
        <f>IF(AND($H56&lt;&gt;"",$AI56&lt;&gt;"",$H56&lt;&gt;$AI56,IFERROR(VLOOKUP($H56,areaCercaPuntiClassificaSquadra,3,FALSE),-1)=IFERROR(VLOOKUP($AI56,areaCercaPuntiClassificaSquadra,3,FALSE),-2)),SUMIFS(Dati!$B$2:$B$761,Dati!$A$2:$A$761,$H56,Dati!$H$2:$H$761,$AI56)+SUMIFS(Dati!$I$2:$I$761,Dati!$H$2:$H$761,$H56,Dati!$A$2:$A$761,$AI56),"-")</f>
        <v/>
      </c>
      <c r="BF56" s="22">
        <f>IF(AND($H56&lt;&gt;"",$AJ56&lt;&gt;"",$H56&lt;&gt;$AJ56,IFERROR(VLOOKUP($H56,areaCercaPuntiClassificaSquadra,3,FALSE),-1)=IFERROR(VLOOKUP($AJ56,areaCercaPuntiClassificaSquadra,3,FALSE),-2)),SUMIFS(Dati!$B$2:$B$761,Dati!$A$2:$A$761,$H56,Dati!$H$2:$H$761,$AJ56)+SUMIFS(Dati!$I$2:$I$761,Dati!$H$2:$H$761,$H56,Dati!$A$2:$A$761,$AJ56),"-")</f>
        <v/>
      </c>
      <c r="BG56" s="22">
        <f>IF(AND($H56&lt;&gt;"",$AK56&lt;&gt;"",$H56&lt;&gt;$AK56,IFERROR(VLOOKUP($H56,areaCercaPuntiClassificaSquadra,3,FALSE),-1)=IFERROR(VLOOKUP($AK56,areaCercaPuntiClassificaSquadra,3,FALSE),-2)),SUMIFS(Dati!$B$2:$B$761,Dati!$A$2:$A$761,$H56,Dati!$H$2:$H$761,$AK56)+SUMIFS(Dati!$I$2:$I$761,Dati!$H$2:$H$761,$H56,Dati!$A$2:$A$761,$AK56),"-")</f>
        <v/>
      </c>
      <c r="BH56" s="22">
        <f>IF(AND($H56&lt;&gt;"",$AL56&lt;&gt;"",$H56&lt;&gt;$AL56,IFERROR(VLOOKUP($H56,areaCercaPuntiClassificaSquadra,3,FALSE),-1)=IFERROR(VLOOKUP($AL56,areaCercaPuntiClassificaSquadra,3,FALSE),-2)),SUMIFS(Dati!$B$2:$B$761,Dati!$A$2:$A$761,$H56,Dati!$H$2:$H$761,$AL56)+SUMIFS(Dati!$I$2:$I$761,Dati!$H$2:$H$761,$H56,Dati!$A$2:$A$761,$AL56),"-")</f>
        <v/>
      </c>
      <c r="BI56" s="22">
        <f>IF(AND($H56&lt;&gt;"",$AM56&lt;&gt;"",$H56&lt;&gt;$AM56,IFERROR(VLOOKUP($H56,areaCercaPuntiClassificaSquadra,3,FALSE),-1)=IFERROR(VLOOKUP($AM56,areaCercaPuntiClassificaSquadra,3,FALSE),-2)),SUMIFS(Dati!$B$2:$B$761,Dati!$A$2:$A$761,$H56,Dati!$H$2:$H$761,$AM56)+SUMIFS(Dati!$I$2:$I$761,Dati!$H$2:$H$761,$H56,Dati!$A$2:$A$761,$AM56),"-")</f>
        <v/>
      </c>
      <c r="BJ56" s="22">
        <f>IF(AND($H56&lt;&gt;"",$AN56&lt;&gt;"",$H56&lt;&gt;$AN56,IFERROR(VLOOKUP($H56,areaCercaPuntiClassificaSquadra,3,FALSE),-1)=IFERROR(VLOOKUP($AN56,areaCercaPuntiClassificaSquadra,3,FALSE),-2)),SUMIFS(Dati!$B$2:$B$761,Dati!$A$2:$A$761,$H56,Dati!$H$2:$H$761,$AN56)+SUMIFS(Dati!$I$2:$I$761,Dati!$H$2:$H$761,$H56,Dati!$A$2:$A$761,$AN56),"-")</f>
        <v/>
      </c>
      <c r="BK56" s="22">
        <f>IF(AND($H56&lt;&gt;"",$AO56&lt;&gt;"",$H56&lt;&gt;$AO56,IFERROR(VLOOKUP($H56,areaCercaPuntiClassificaSquadra,3,FALSE),-1)=IFERROR(VLOOKUP($AO56,areaCercaPuntiClassificaSquadra,3,FALSE),-2)),SUMIFS(Dati!$B$2:$B$761,Dati!$A$2:$A$761,$H56,Dati!$H$2:$H$761,$AO56)+SUMIFS(Dati!$I$2:$I$761,Dati!$H$2:$H$761,$H56,Dati!$A$2:$A$761,$AO56),"-")</f>
        <v/>
      </c>
      <c r="BL56" s="22">
        <f>IF(AND($H56&lt;&gt;"",$AP56&lt;&gt;"",$H56&lt;&gt;$AP56,IFERROR(VLOOKUP($H56,areaCercaPuntiClassificaSquadra,3,FALSE),-1)=IFERROR(VLOOKUP($AP56,areaCercaPuntiClassificaSquadra,3,FALSE),-2)),SUMIFS(Dati!$B$2:$B$761,Dati!$A$2:$A$761,$H56,Dati!$H$2:$H$761,$AP56)+SUMIFS(Dati!$I$2:$I$761,Dati!$H$2:$H$761,$H56,Dati!$A$2:$A$761,$AP56),"-")</f>
        <v/>
      </c>
      <c r="BM56" s="22">
        <f>IF(AND($H56&lt;&gt;"",$AQ56&lt;&gt;"",$H56&lt;&gt;$AQ56,IFERROR(VLOOKUP($H56,areaCercaPuntiClassificaSquadra,3,FALSE),-1)=IFERROR(VLOOKUP($AQ56,areaCercaPuntiClassificaSquadra,3,FALSE),-2)),SUMIFS(Dati!$B$2:$B$761,Dati!$A$2:$A$761,$H56,Dati!$H$2:$H$761,$AQ56)+SUMIFS(Dati!$I$2:$I$761,Dati!$H$2:$H$761,$H56,Dati!$A$2:$A$761,$AQ56),"-")</f>
        <v/>
      </c>
      <c r="BN56" s="22">
        <f>IF(AND($H56&lt;&gt;"",$AR56&lt;&gt;"",$H56&lt;&gt;$AR56,IFERROR(VLOOKUP($H56,areaCercaPuntiClassificaSquadra,3,FALSE),-1)=IFERROR(VLOOKUP($AR56,areaCercaPuntiClassificaSquadra,3,FALSE),-2)),SUMIFS(Dati!$B$2:$B$761,Dati!$A$2:$A$761,$H56,Dati!$H$2:$H$761,$AR56)+SUMIFS(Dati!$I$2:$I$761,Dati!$H$2:$H$761,$H56,Dati!$A$2:$A$761,$AR56),"-")</f>
        <v/>
      </c>
      <c r="BP56" s="21">
        <f>$C56</f>
        <v/>
      </c>
      <c r="BQ56" s="22">
        <f>IF(AND($H56&lt;&gt;"",$Y56&lt;&gt;"",$H56&lt;&gt;$Y56,IFERROR(VLOOKUP($H56,areaCercaPuntiClassificaSquadra,3,FALSE),-1)=IFERROR(VLOOKUP($Y56,areaCercaPuntiClassificaSquadra,3,FALSE),-2)),SUMIFS(Dati!$D$2:$D$761,Dati!$A$2:$A$761,$H56,Dati!$H$2:$H$761,$Y56)+SUMIFS(Dati!$K$2:$K$761,Dati!$H$2:$H$761,$H56,Dati!$A$2:$A$761,$Y56)+SUMIFS(Dati!$C$2:$C$761,Dati!$A$2:$A$761,$H56,Dati!$H$2:$H$761,$Y56)+SUMIFS(Dati!$J$2:$J$761,Dati!$H$2:$H$761,$H56,Dati!$A$2:$A$761,$Y56),"-")</f>
        <v/>
      </c>
      <c r="BR56" s="22">
        <f>IF(AND($H56&lt;&gt;"",$Z56&lt;&gt;"",$H56&lt;&gt;$Z56,IFERROR(VLOOKUP($H56,areaCercaPuntiClassificaSquadra,3,FALSE),-1)=IFERROR(VLOOKUP($Z56,areaCercaPuntiClassificaSquadra,3,FALSE),-2)),SUMIFS(Dati!$D$2:$D$761,Dati!$A$2:$A$761,$H56,Dati!$H$2:$H$761,$Z56)+SUMIFS(Dati!$K$2:$K$761,Dati!$H$2:$H$761,$H56,Dati!$A$2:$A$761,$Z56)+SUMIFS(Dati!$C$2:$C$761,Dati!$A$2:$A$761,$H56,Dati!$H$2:$H$761,$Z56)+SUMIFS(Dati!$J$2:$J$761,Dati!$H$2:$H$761,$H56,Dati!$A$2:$A$761,$Z56),"-")</f>
        <v/>
      </c>
      <c r="BS56" s="22">
        <f>IF(AND($H56&lt;&gt;"",$AA56&lt;&gt;"",$H56&lt;&gt;$AA56,IFERROR(VLOOKUP($H56,areaCercaPuntiClassificaSquadra,3,FALSE),-1)=IFERROR(VLOOKUP($AA56,areaCercaPuntiClassificaSquadra,3,FALSE),-2)),SUMIFS(Dati!$D$2:$D$761,Dati!$A$2:$A$761,$H56,Dati!$H$2:$H$761,$AA56)+SUMIFS(Dati!$K$2:$K$761,Dati!$H$2:$H$761,$H56,Dati!$A$2:$A$761,$AA56)+SUMIFS(Dati!$C$2:$C$761,Dati!$A$2:$A$761,$H56,Dati!$H$2:$H$761,$AA56)+SUMIFS(Dati!$J$2:$J$761,Dati!$H$2:$H$761,$H56,Dati!$A$2:$A$761,$AA56),"-")</f>
        <v/>
      </c>
      <c r="BT56" s="22">
        <f>IF(AND($H56&lt;&gt;"",$AB56&lt;&gt;"",$H56&lt;&gt;$AB56,IFERROR(VLOOKUP($H56,areaCercaPuntiClassificaSquadra,3,FALSE),-1)=IFERROR(VLOOKUP($AB56,areaCercaPuntiClassificaSquadra,3,FALSE),-2)),SUMIFS(Dati!$D$2:$D$761,Dati!$A$2:$A$761,$H56,Dati!$H$2:$H$761,$AB56)+SUMIFS(Dati!$K$2:$K$761,Dati!$H$2:$H$761,$H56,Dati!$A$2:$A$761,$AB56)+SUMIFS(Dati!$C$2:$C$761,Dati!$A$2:$A$761,$H56,Dati!$H$2:$H$761,$AB56)+SUMIFS(Dati!$J$2:$J$761,Dati!$H$2:$H$761,$H56,Dati!$A$2:$A$761,$AB56),"-")</f>
        <v/>
      </c>
      <c r="BU56" s="22">
        <f>IF(AND($H56&lt;&gt;"",$AC56&lt;&gt;"",$H56&lt;&gt;$AC56,IFERROR(VLOOKUP($H56,areaCercaPuntiClassificaSquadra,3,FALSE),-1)=IFERROR(VLOOKUP($AC56,areaCercaPuntiClassificaSquadra,3,FALSE),-2)),SUMIFS(Dati!$D$2:$D$761,Dati!$A$2:$A$761,$H56,Dati!$H$2:$H$761,$AC56)+SUMIFS(Dati!$K$2:$K$761,Dati!$H$2:$H$761,$H56,Dati!$A$2:$A$761,$AC56)+SUMIFS(Dati!$C$2:$C$761,Dati!$A$2:$A$761,$H56,Dati!$H$2:$H$761,$AC56)+SUMIFS(Dati!$J$2:$J$761,Dati!$H$2:$H$761,$H56,Dati!$A$2:$A$761,$AC56),"-")</f>
        <v/>
      </c>
      <c r="BV56" s="22">
        <f>IF(AND($H56&lt;&gt;"",$AD56&lt;&gt;"",$H56&lt;&gt;$AD56,IFERROR(VLOOKUP($H56,areaCercaPuntiClassificaSquadra,3,FALSE),-1)=IFERROR(VLOOKUP($AD56,areaCercaPuntiClassificaSquadra,3,FALSE),-2)),SUMIFS(Dati!$D$2:$D$761,Dati!$A$2:$A$761,$H56,Dati!$H$2:$H$761,$AD56)+SUMIFS(Dati!$K$2:$K$761,Dati!$H$2:$H$761,$H56,Dati!$A$2:$A$761,$AD56)+SUMIFS(Dati!$C$2:$C$761,Dati!$A$2:$A$761,$H56,Dati!$H$2:$H$761,$AD56)+SUMIFS(Dati!$J$2:$J$761,Dati!$H$2:$H$761,$H56,Dati!$A$2:$A$761,$AD56),"-")</f>
        <v/>
      </c>
      <c r="BW56" s="22">
        <f>IF(AND($H56&lt;&gt;"",$AE56&lt;&gt;"",$H56&lt;&gt;$AE56,IFERROR(VLOOKUP($H56,areaCercaPuntiClassificaSquadra,3,FALSE),-1)=IFERROR(VLOOKUP($AE56,areaCercaPuntiClassificaSquadra,3,FALSE),-2)),SUMIFS(Dati!$D$2:$D$761,Dati!$A$2:$A$761,$H56,Dati!$H$2:$H$761,$AE56)+SUMIFS(Dati!$K$2:$K$761,Dati!$H$2:$H$761,$H56,Dati!$A$2:$A$761,$AE56)+SUMIFS(Dati!$C$2:$C$761,Dati!$A$2:$A$761,$H56,Dati!$H$2:$H$761,$AE56)+SUMIFS(Dati!$J$2:$J$761,Dati!$H$2:$H$761,$H56,Dati!$A$2:$A$761,$AE56),"-")</f>
        <v/>
      </c>
      <c r="BX56" s="22">
        <f>IF(AND($H56&lt;&gt;"",$AF56&lt;&gt;"",$H56&lt;&gt;$AF56,IFERROR(VLOOKUP($H56,areaCercaPuntiClassificaSquadra,3,FALSE),-1)=IFERROR(VLOOKUP($AF56,areaCercaPuntiClassificaSquadra,3,FALSE),-2)),SUMIFS(Dati!$D$2:$D$761,Dati!$A$2:$A$761,$H56,Dati!$H$2:$H$761,$AF56)+SUMIFS(Dati!$K$2:$K$761,Dati!$H$2:$H$761,$H56,Dati!$A$2:$A$761,$AF56)+SUMIFS(Dati!$C$2:$C$761,Dati!$A$2:$A$761,$H56,Dati!$H$2:$H$761,$AF56)+SUMIFS(Dati!$J$2:$J$761,Dati!$H$2:$H$761,$H56,Dati!$A$2:$A$761,$AF56),"-")</f>
        <v/>
      </c>
      <c r="BY56" s="22">
        <f>IF(AND($H56&lt;&gt;"",$AG56&lt;&gt;"",$H56&lt;&gt;$AG56,IFERROR(VLOOKUP($H56,areaCercaPuntiClassificaSquadra,3,FALSE),-1)=IFERROR(VLOOKUP($AG56,areaCercaPuntiClassificaSquadra,3,FALSE),-2)),SUMIFS(Dati!$D$2:$D$761,Dati!$A$2:$A$761,$H56,Dati!$H$2:$H$761,$AG56)+SUMIFS(Dati!$K$2:$K$761,Dati!$H$2:$H$761,$H56,Dati!$A$2:$A$761,$AG56)+SUMIFS(Dati!$C$2:$C$761,Dati!$A$2:$A$761,$H56,Dati!$H$2:$H$761,$AG56)+SUMIFS(Dati!$J$2:$J$761,Dati!$H$2:$H$761,$H56,Dati!$A$2:$A$761,$AG56),"-")</f>
        <v/>
      </c>
      <c r="BZ56" s="22">
        <f>IF(AND($H56&lt;&gt;"",$AH56&lt;&gt;"",$H56&lt;&gt;$AH56,IFERROR(VLOOKUP($H56,areaCercaPuntiClassificaSquadra,3,FALSE),-1)=IFERROR(VLOOKUP($AH56,areaCercaPuntiClassificaSquadra,3,FALSE),-2)),SUMIFS(Dati!$D$2:$D$761,Dati!$A$2:$A$761,$H56,Dati!$H$2:$H$761,$AH56)+SUMIFS(Dati!$K$2:$K$761,Dati!$H$2:$H$761,$H56,Dati!$A$2:$A$761,$AH56)+SUMIFS(Dati!$C$2:$C$761,Dati!$A$2:$A$761,$H56,Dati!$H$2:$H$761,$AH56)+SUMIFS(Dati!$J$2:$J$761,Dati!$H$2:$H$761,$H56,Dati!$A$2:$A$761,$AH56),"-")</f>
        <v/>
      </c>
      <c r="CA56" s="22">
        <f>IF(AND($H56&lt;&gt;"",$AI56&lt;&gt;"",$H56&lt;&gt;$AI56,IFERROR(VLOOKUP($H56,areaCercaPuntiClassificaSquadra,3,FALSE),-1)=IFERROR(VLOOKUP($AI56,areaCercaPuntiClassificaSquadra,3,FALSE),-2)),SUMIFS(Dati!$D$2:$D$761,Dati!$A$2:$A$761,$H56,Dati!$H$2:$H$761,$AI56)+SUMIFS(Dati!$K$2:$K$761,Dati!$H$2:$H$761,$H56,Dati!$A$2:$A$761,$AI56)+SUMIFS(Dati!$C$2:$C$761,Dati!$A$2:$A$761,$H56,Dati!$H$2:$H$761,$AI56)+SUMIFS(Dati!$J$2:$J$761,Dati!$H$2:$H$761,$H56,Dati!$A$2:$A$761,$AI56),"-")</f>
        <v/>
      </c>
      <c r="CB56" s="22">
        <f>IF(AND($H56&lt;&gt;"",$AJ56&lt;&gt;"",$H56&lt;&gt;$AJ56,IFERROR(VLOOKUP($H56,areaCercaPuntiClassificaSquadra,3,FALSE),-1)=IFERROR(VLOOKUP($AJ56,areaCercaPuntiClassificaSquadra,3,FALSE),-2)),SUMIFS(Dati!$D$2:$D$761,Dati!$A$2:$A$761,$H56,Dati!$H$2:$H$761,$AJ56)+SUMIFS(Dati!$K$2:$K$761,Dati!$H$2:$H$761,$H56,Dati!$A$2:$A$761,$AJ56)+SUMIFS(Dati!$C$2:$C$761,Dati!$A$2:$A$761,$H56,Dati!$H$2:$H$761,$AJ56)+SUMIFS(Dati!$J$2:$J$761,Dati!$H$2:$H$761,$H56,Dati!$A$2:$A$761,$AJ56),"-")</f>
        <v/>
      </c>
      <c r="CC56" s="22">
        <f>IF(AND($H56&lt;&gt;"",$AK56&lt;&gt;"",$H56&lt;&gt;$AK56,IFERROR(VLOOKUP($H56,areaCercaPuntiClassificaSquadra,3,FALSE),-1)=IFERROR(VLOOKUP($AK56,areaCercaPuntiClassificaSquadra,3,FALSE),-2)),SUMIFS(Dati!$D$2:$D$761,Dati!$A$2:$A$761,$H56,Dati!$H$2:$H$761,$AK56)+SUMIFS(Dati!$K$2:$K$761,Dati!$H$2:$H$761,$H56,Dati!$A$2:$A$761,$AK56)+SUMIFS(Dati!$C$2:$C$761,Dati!$A$2:$A$761,$H56,Dati!$H$2:$H$761,$AK56)+SUMIFS(Dati!$J$2:$J$761,Dati!$H$2:$H$761,$H56,Dati!$A$2:$A$761,$AK56),"-")</f>
        <v/>
      </c>
      <c r="CD56" s="22">
        <f>IF(AND($H56&lt;&gt;"",$AL56&lt;&gt;"",$H56&lt;&gt;$AL56,IFERROR(VLOOKUP($H56,areaCercaPuntiClassificaSquadra,3,FALSE),-1)=IFERROR(VLOOKUP($AL56,areaCercaPuntiClassificaSquadra,3,FALSE),-2)),SUMIFS(Dati!$D$2:$D$761,Dati!$A$2:$A$761,$H56,Dati!$H$2:$H$761,$AL56)+SUMIFS(Dati!$K$2:$K$761,Dati!$H$2:$H$761,$H56,Dati!$A$2:$A$761,$AL56)+SUMIFS(Dati!$C$2:$C$761,Dati!$A$2:$A$761,$H56,Dati!$H$2:$H$761,$AL56)+SUMIFS(Dati!$J$2:$J$761,Dati!$H$2:$H$761,$H56,Dati!$A$2:$A$761,$AL56),"-")</f>
        <v/>
      </c>
      <c r="CE56" s="22">
        <f>IF(AND($H56&lt;&gt;"",$AM56&lt;&gt;"",$H56&lt;&gt;$AM56,IFERROR(VLOOKUP($H56,areaCercaPuntiClassificaSquadra,3,FALSE),-1)=IFERROR(VLOOKUP($AM56,areaCercaPuntiClassificaSquadra,3,FALSE),-2)),SUMIFS(Dati!$D$2:$D$761,Dati!$A$2:$A$761,$H56,Dati!$H$2:$H$761,$AM56)+SUMIFS(Dati!$K$2:$K$761,Dati!$H$2:$H$761,$H56,Dati!$A$2:$A$761,$AM56)+SUMIFS(Dati!$C$2:$C$761,Dati!$A$2:$A$761,$H56,Dati!$H$2:$H$761,$AM56)+SUMIFS(Dati!$J$2:$J$761,Dati!$H$2:$H$761,$H56,Dati!$A$2:$A$761,$AM56),"-")</f>
        <v/>
      </c>
      <c r="CF56" s="22">
        <f>IF(AND($H56&lt;&gt;"",$AN56&lt;&gt;"",$H56&lt;&gt;$AN56,IFERROR(VLOOKUP($H56,areaCercaPuntiClassificaSquadra,3,FALSE),-1)=IFERROR(VLOOKUP($AN56,areaCercaPuntiClassificaSquadra,3,FALSE),-2)),SUMIFS(Dati!$D$2:$D$761,Dati!$A$2:$A$761,$H56,Dati!$H$2:$H$761,$AN56)+SUMIFS(Dati!$K$2:$K$761,Dati!$H$2:$H$761,$H56,Dati!$A$2:$A$761,$AN56)+SUMIFS(Dati!$C$2:$C$761,Dati!$A$2:$A$761,$H56,Dati!$H$2:$H$761,$AN56)+SUMIFS(Dati!$J$2:$J$761,Dati!$H$2:$H$761,$H56,Dati!$A$2:$A$761,$AN56),"-")</f>
        <v/>
      </c>
      <c r="CG56" s="22">
        <f>IF(AND($H56&lt;&gt;"",$AO56&lt;&gt;"",$H56&lt;&gt;$AO56,IFERROR(VLOOKUP($H56,areaCercaPuntiClassificaSquadra,3,FALSE),-1)=IFERROR(VLOOKUP($AO56,areaCercaPuntiClassificaSquadra,3,FALSE),-2)),SUMIFS(Dati!$D$2:$D$761,Dati!$A$2:$A$761,$H56,Dati!$H$2:$H$761,$AO56)+SUMIFS(Dati!$K$2:$K$761,Dati!$H$2:$H$761,$H56,Dati!$A$2:$A$761,$AO56)+SUMIFS(Dati!$C$2:$C$761,Dati!$A$2:$A$761,$H56,Dati!$H$2:$H$761,$AO56)+SUMIFS(Dati!$J$2:$J$761,Dati!$H$2:$H$761,$H56,Dati!$A$2:$A$761,$AO56),"-")</f>
        <v/>
      </c>
      <c r="CH56" s="22">
        <f>IF(AND($H56&lt;&gt;"",$AP56&lt;&gt;"",$H56&lt;&gt;$AP56,IFERROR(VLOOKUP($H56,areaCercaPuntiClassificaSquadra,3,FALSE),-1)=IFERROR(VLOOKUP($AP56,areaCercaPuntiClassificaSquadra,3,FALSE),-2)),SUMIFS(Dati!$D$2:$D$761,Dati!$A$2:$A$761,$H56,Dati!$H$2:$H$761,$AP56)+SUMIFS(Dati!$K$2:$K$761,Dati!$H$2:$H$761,$H56,Dati!$A$2:$A$761,$AP56)+SUMIFS(Dati!$C$2:$C$761,Dati!$A$2:$A$761,$H56,Dati!$H$2:$H$761,$AP56)+SUMIFS(Dati!$J$2:$J$761,Dati!$H$2:$H$761,$H56,Dati!$A$2:$A$761,$AP56),"-")</f>
        <v/>
      </c>
      <c r="CI56" s="22">
        <f>IF(AND($H56&lt;&gt;"",$AQ56&lt;&gt;"",$H56&lt;&gt;$AQ56,IFERROR(VLOOKUP($H56,areaCercaPuntiClassificaSquadra,3,FALSE),-1)=IFERROR(VLOOKUP($AQ56,areaCercaPuntiClassificaSquadra,3,FALSE),-2)),SUMIFS(Dati!$D$2:$D$761,Dati!$A$2:$A$761,$H56,Dati!$H$2:$H$761,$AQ56)+SUMIFS(Dati!$K$2:$K$761,Dati!$H$2:$H$761,$H56,Dati!$A$2:$A$761,$AQ56)+SUMIFS(Dati!$C$2:$C$761,Dati!$A$2:$A$761,$H56,Dati!$H$2:$H$761,$AQ56)+SUMIFS(Dati!$J$2:$J$761,Dati!$H$2:$H$761,$H56,Dati!$A$2:$A$761,$AQ56),"-")</f>
        <v/>
      </c>
      <c r="CJ56" s="22">
        <f>IF(AND($H56&lt;&gt;"",$AR56&lt;&gt;"",$H56&lt;&gt;$AR56,IFERROR(VLOOKUP($H56,areaCercaPuntiClassificaSquadra,3,FALSE),-1)=IFERROR(VLOOKUP($AR56,areaCercaPuntiClassificaSquadra,3,FALSE),-2)),SUMIFS(Dati!$D$2:$D$761,Dati!$A$2:$A$761,$H56,Dati!$H$2:$H$761,$AR56)+SUMIFS(Dati!$K$2:$K$761,Dati!$H$2:$H$761,$H56,Dati!$A$2:$A$761,$AR56)+SUMIFS(Dati!$C$2:$C$761,Dati!$A$2:$A$761,$H56,Dati!$H$2:$H$761,$AR56)+SUMIFS(Dati!$J$2:$J$761,Dati!$H$2:$H$761,$H56,Dati!$A$2:$A$761,$AR56),"-")</f>
        <v/>
      </c>
      <c r="CL56" s="21">
        <f>$C56</f>
        <v/>
      </c>
      <c r="CM56" s="22">
        <f>IF(AND($H56&lt;&gt;"",$Y56&lt;&gt;"",$H56&lt;&gt;$Y56,IFERROR(VLOOKUP($H56,areaCercaPuntiClassificaSquadra,3,FALSE),-1)=IFERROR(VLOOKUP($Y56,areaCercaPuntiClassificaSquadra,3,FALSE),-2)),SUMIFS(Dati!$E$2:$E$761,Dati!$A$2:$A$761,$H56,Dati!$H$2:$H$761,$Y56)+SUMIFS(Dati!$L$2:$L$761,Dati!$H$2:$H$761,$H56,Dati!$A$2:$A$761,$Y56),"-")</f>
        <v/>
      </c>
      <c r="CN56" s="22">
        <f>IF(AND($H56&lt;&gt;"",$Z56&lt;&gt;"",$H56&lt;&gt;$Z56,IFERROR(VLOOKUP($H56,areaCercaPuntiClassificaSquadra,3,FALSE),-1)=IFERROR(VLOOKUP($Z56,areaCercaPuntiClassificaSquadra,3,FALSE),-2)),SUMIFS(Dati!$E$2:$E$761,Dati!$A$2:$A$761,$H56,Dati!$H$2:$H$761,$Z56)+SUMIFS(Dati!$L$2:$L$761,Dati!$H$2:$H$761,$H56,Dati!$A$2:$A$761,$Z56),"-")</f>
        <v/>
      </c>
      <c r="CO56" s="22">
        <f>IF(AND($H56&lt;&gt;"",$AA56&lt;&gt;"",$H56&lt;&gt;$AA56,IFERROR(VLOOKUP($H56,areaCercaPuntiClassificaSquadra,3,FALSE),-1)=IFERROR(VLOOKUP($AA56,areaCercaPuntiClassificaSquadra,3,FALSE),-2)),SUMIFS(Dati!$E$2:$E$761,Dati!$A$2:$A$761,$H56,Dati!$H$2:$H$761,$AA56)+SUMIFS(Dati!$L$2:$L$761,Dati!$H$2:$H$761,$H56,Dati!$A$2:$A$761,$AA56),"-")</f>
        <v/>
      </c>
      <c r="CP56" s="22">
        <f>IF(AND($H56&lt;&gt;"",$AB56&lt;&gt;"",$H56&lt;&gt;$AB56,IFERROR(VLOOKUP($H56,areaCercaPuntiClassificaSquadra,3,FALSE),-1)=IFERROR(VLOOKUP($AB56,areaCercaPuntiClassificaSquadra,3,FALSE),-2)),SUMIFS(Dati!$E$2:$E$761,Dati!$A$2:$A$761,$H56,Dati!$H$2:$H$761,$AB56)+SUMIFS(Dati!$L$2:$L$761,Dati!$H$2:$H$761,$H56,Dati!$A$2:$A$761,$AB56),"-")</f>
        <v/>
      </c>
      <c r="CQ56" s="22">
        <f>IF(AND($H56&lt;&gt;"",$AC56&lt;&gt;"",$H56&lt;&gt;$AC56,IFERROR(VLOOKUP($H56,areaCercaPuntiClassificaSquadra,3,FALSE),-1)=IFERROR(VLOOKUP($AC56,areaCercaPuntiClassificaSquadra,3,FALSE),-2)),SUMIFS(Dati!$E$2:$E$761,Dati!$A$2:$A$761,$H56,Dati!$H$2:$H$761,$AC56)+SUMIFS(Dati!$L$2:$L$761,Dati!$H$2:$H$761,$H56,Dati!$A$2:$A$761,$AC56),"-")</f>
        <v/>
      </c>
      <c r="CR56" s="22">
        <f>IF(AND($H56&lt;&gt;"",$AD56&lt;&gt;"",$H56&lt;&gt;$AD56,IFERROR(VLOOKUP($H56,areaCercaPuntiClassificaSquadra,3,FALSE),-1)=IFERROR(VLOOKUP($AD56,areaCercaPuntiClassificaSquadra,3,FALSE),-2)),SUMIFS(Dati!$E$2:$E$761,Dati!$A$2:$A$761,$H56,Dati!$H$2:$H$761,$AD56)+SUMIFS(Dati!$L$2:$L$761,Dati!$H$2:$H$761,$H56,Dati!$A$2:$A$761,$AD56),"-")</f>
        <v/>
      </c>
      <c r="CS56" s="22">
        <f>IF(AND($H56&lt;&gt;"",$AE56&lt;&gt;"",$H56&lt;&gt;$AE56,IFERROR(VLOOKUP($H56,areaCercaPuntiClassificaSquadra,3,FALSE),-1)=IFERROR(VLOOKUP($AE56,areaCercaPuntiClassificaSquadra,3,FALSE),-2)),SUMIFS(Dati!$E$2:$E$761,Dati!$A$2:$A$761,$H56,Dati!$H$2:$H$761,$AE56)+SUMIFS(Dati!$L$2:$L$761,Dati!$H$2:$H$761,$H56,Dati!$A$2:$A$761,$AE56),"-")</f>
        <v/>
      </c>
      <c r="CT56" s="22">
        <f>IF(AND($H56&lt;&gt;"",$AF56&lt;&gt;"",$H56&lt;&gt;$AF56,IFERROR(VLOOKUP($H56,areaCercaPuntiClassificaSquadra,3,FALSE),-1)=IFERROR(VLOOKUP($AF56,areaCercaPuntiClassificaSquadra,3,FALSE),-2)),SUMIFS(Dati!$E$2:$E$761,Dati!$A$2:$A$761,$H56,Dati!$H$2:$H$761,$AF56)+SUMIFS(Dati!$L$2:$L$761,Dati!$H$2:$H$761,$H56,Dati!$A$2:$A$761,$AF56),"-")</f>
        <v/>
      </c>
      <c r="CU56" s="22">
        <f>IF(AND($H56&lt;&gt;"",$AG56&lt;&gt;"",$H56&lt;&gt;$AG56,IFERROR(VLOOKUP($H56,areaCercaPuntiClassificaSquadra,3,FALSE),-1)=IFERROR(VLOOKUP($AG56,areaCercaPuntiClassificaSquadra,3,FALSE),-2)),SUMIFS(Dati!$E$2:$E$761,Dati!$A$2:$A$761,$H56,Dati!$H$2:$H$761,$AG56)+SUMIFS(Dati!$L$2:$L$761,Dati!$H$2:$H$761,$H56,Dati!$A$2:$A$761,$AG56),"-")</f>
        <v/>
      </c>
      <c r="CV56" s="22">
        <f>IF(AND($H56&lt;&gt;"",$AH56&lt;&gt;"",$H56&lt;&gt;$AH56,IFERROR(VLOOKUP($H56,areaCercaPuntiClassificaSquadra,3,FALSE),-1)=IFERROR(VLOOKUP($AH56,areaCercaPuntiClassificaSquadra,3,FALSE),-2)),SUMIFS(Dati!$E$2:$E$761,Dati!$A$2:$A$761,$H56,Dati!$H$2:$H$761,$AH56)+SUMIFS(Dati!$L$2:$L$761,Dati!$H$2:$H$761,$H56,Dati!$A$2:$A$761,$AH56),"-")</f>
        <v/>
      </c>
      <c r="CW56" s="22">
        <f>IF(AND($H56&lt;&gt;"",$AI56&lt;&gt;"",$H56&lt;&gt;$AI56,IFERROR(VLOOKUP($H56,areaCercaPuntiClassificaSquadra,3,FALSE),-1)=IFERROR(VLOOKUP($AI56,areaCercaPuntiClassificaSquadra,3,FALSE),-2)),SUMIFS(Dati!$E$2:$E$761,Dati!$A$2:$A$761,$H56,Dati!$H$2:$H$761,$AI56)+SUMIFS(Dati!$L$2:$L$761,Dati!$H$2:$H$761,$H56,Dati!$A$2:$A$761,$AI56),"-")</f>
        <v/>
      </c>
      <c r="CX56" s="22">
        <f>IF(AND($H56&lt;&gt;"",$AJ56&lt;&gt;"",$H56&lt;&gt;$AJ56,IFERROR(VLOOKUP($H56,areaCercaPuntiClassificaSquadra,3,FALSE),-1)=IFERROR(VLOOKUP($AJ56,areaCercaPuntiClassificaSquadra,3,FALSE),-2)),SUMIFS(Dati!$E$2:$E$761,Dati!$A$2:$A$761,$H56,Dati!$H$2:$H$761,$AJ56)+SUMIFS(Dati!$L$2:$L$761,Dati!$H$2:$H$761,$H56,Dati!$A$2:$A$761,$AJ56),"-")</f>
        <v/>
      </c>
      <c r="CY56" s="22">
        <f>IF(AND($H56&lt;&gt;"",$AK56&lt;&gt;"",$H56&lt;&gt;$AK56,IFERROR(VLOOKUP($H56,areaCercaPuntiClassificaSquadra,3,FALSE),-1)=IFERROR(VLOOKUP($AK56,areaCercaPuntiClassificaSquadra,3,FALSE),-2)),SUMIFS(Dati!$E$2:$E$761,Dati!$A$2:$A$761,$H56,Dati!$H$2:$H$761,$AK56)+SUMIFS(Dati!$L$2:$L$761,Dati!$H$2:$H$761,$H56,Dati!$A$2:$A$761,$AK56),"-")</f>
        <v/>
      </c>
      <c r="CZ56" s="22">
        <f>IF(AND($H56&lt;&gt;"",$AL56&lt;&gt;"",$H56&lt;&gt;$AL56,IFERROR(VLOOKUP($H56,areaCercaPuntiClassificaSquadra,3,FALSE),-1)=IFERROR(VLOOKUP($AL56,areaCercaPuntiClassificaSquadra,3,FALSE),-2)),SUMIFS(Dati!$E$2:$E$761,Dati!$A$2:$A$761,$H56,Dati!$H$2:$H$761,$AL56)+SUMIFS(Dati!$L$2:$L$761,Dati!$H$2:$H$761,$H56,Dati!$A$2:$A$761,$AL56),"-")</f>
        <v/>
      </c>
      <c r="DA56" s="22">
        <f>IF(AND($H56&lt;&gt;"",$AM56&lt;&gt;"",$H56&lt;&gt;$AM56,IFERROR(VLOOKUP($H56,areaCercaPuntiClassificaSquadra,3,FALSE),-1)=IFERROR(VLOOKUP($AM56,areaCercaPuntiClassificaSquadra,3,FALSE),-2)),SUMIFS(Dati!$E$2:$E$761,Dati!$A$2:$A$761,$H56,Dati!$H$2:$H$761,$AM56)+SUMIFS(Dati!$L$2:$L$761,Dati!$H$2:$H$761,$H56,Dati!$A$2:$A$761,$AM56),"-")</f>
        <v/>
      </c>
      <c r="DB56" s="22">
        <f>IF(AND($H56&lt;&gt;"",$AN56&lt;&gt;"",$H56&lt;&gt;$AN56,IFERROR(VLOOKUP($H56,areaCercaPuntiClassificaSquadra,3,FALSE),-1)=IFERROR(VLOOKUP($AN56,areaCercaPuntiClassificaSquadra,3,FALSE),-2)),SUMIFS(Dati!$E$2:$E$761,Dati!$A$2:$A$761,$H56,Dati!$H$2:$H$761,$AN56)+SUMIFS(Dati!$L$2:$L$761,Dati!$H$2:$H$761,$H56,Dati!$A$2:$A$761,$AN56),"-")</f>
        <v/>
      </c>
      <c r="DC56" s="22">
        <f>IF(AND($H56&lt;&gt;"",$AO56&lt;&gt;"",$H56&lt;&gt;$AO56,IFERROR(VLOOKUP($H56,areaCercaPuntiClassificaSquadra,3,FALSE),-1)=IFERROR(VLOOKUP($AO56,areaCercaPuntiClassificaSquadra,3,FALSE),-2)),SUMIFS(Dati!$E$2:$E$761,Dati!$A$2:$A$761,$H56,Dati!$H$2:$H$761,$AO56)+SUMIFS(Dati!$L$2:$L$761,Dati!$H$2:$H$761,$H56,Dati!$A$2:$A$761,$AO56),"-")</f>
        <v/>
      </c>
      <c r="DD56" s="22">
        <f>IF(AND($H56&lt;&gt;"",$AP56&lt;&gt;"",$H56&lt;&gt;$AP56,IFERROR(VLOOKUP($H56,areaCercaPuntiClassificaSquadra,3,FALSE),-1)=IFERROR(VLOOKUP($AP56,areaCercaPuntiClassificaSquadra,3,FALSE),-2)),SUMIFS(Dati!$E$2:$E$761,Dati!$A$2:$A$761,$H56,Dati!$H$2:$H$761,$AP56)+SUMIFS(Dati!$L$2:$L$761,Dati!$H$2:$H$761,$H56,Dati!$A$2:$A$761,$AP56),"-")</f>
        <v/>
      </c>
      <c r="DE56" s="22">
        <f>IF(AND($H56&lt;&gt;"",$AQ56&lt;&gt;"",$H56&lt;&gt;$AQ56,IFERROR(VLOOKUP($H56,areaCercaPuntiClassificaSquadra,3,FALSE),-1)=IFERROR(VLOOKUP($AQ56,areaCercaPuntiClassificaSquadra,3,FALSE),-2)),SUMIFS(Dati!$E$2:$E$761,Dati!$A$2:$A$761,$H56,Dati!$H$2:$H$761,$AQ56)+SUMIFS(Dati!$L$2:$L$761,Dati!$H$2:$H$761,$H56,Dati!$A$2:$A$761,$AQ56),"-")</f>
        <v/>
      </c>
      <c r="DF56" s="22">
        <f>IF(AND($H56&lt;&gt;"",$AR56&lt;&gt;"",$H56&lt;&gt;$AR56,IFERROR(VLOOKUP($H56,areaCercaPuntiClassificaSquadra,3,FALSE),-1)=IFERROR(VLOOKUP($AR56,areaCercaPuntiClassificaSquadra,3,FALSE),-2)),SUMIFS(Dati!$E$2:$E$761,Dati!$A$2:$A$761,$H56,Dati!$H$2:$H$761,$AR56)+SUMIFS(Dati!$L$2:$L$761,Dati!$H$2:$H$761,$H56,Dati!$A$2:$A$761,$AR56),"-")</f>
        <v/>
      </c>
      <c r="DH56" s="21">
        <f>$C56</f>
        <v/>
      </c>
      <c r="DI56" s="22">
        <f>IF(AND($H56&lt;&gt;"",$Y56&lt;&gt;"",$H56&lt;&gt;$Y56,IFERROR(VLOOKUP($H56,areaCercaPuntiClassificaSquadra,3,FALSE),-1)=IFERROR(VLOOKUP($Y56,areaCercaPuntiClassificaSquadra,3,FALSE),-2)),SUMIFS(Dati!$F$2:$F$761,Dati!$A$2:$A$761,$H56,Dati!$H$2:$H$761,$Y56)+SUMIFS(Dati!$M$2:$M$761,Dati!$H$2:$H$761,$H56,Dati!$A$2:$A$761,$Y56),"-")</f>
        <v/>
      </c>
      <c r="DJ56" s="22">
        <f>IF(AND($H56&lt;&gt;"",$Z56&lt;&gt;"",$H56&lt;&gt;$Z56,IFERROR(VLOOKUP($H56,areaCercaPuntiClassificaSquadra,3,FALSE),-1)=IFERROR(VLOOKUP($Z56,areaCercaPuntiClassificaSquadra,3,FALSE),-2)),SUMIFS(Dati!$F$2:$F$761,Dati!$A$2:$A$761,$H56,Dati!$H$2:$H$761,$Z56)+SUMIFS(Dati!$M$2:$M$761,Dati!$H$2:$H$761,$H56,Dati!$A$2:$A$761,$Z56),"-")</f>
        <v/>
      </c>
      <c r="DK56" s="22">
        <f>IF(AND($H56&lt;&gt;"",$AA56&lt;&gt;"",$H56&lt;&gt;$AA56,IFERROR(VLOOKUP($H56,areaCercaPuntiClassificaSquadra,3,FALSE),-1)=IFERROR(VLOOKUP($AA56,areaCercaPuntiClassificaSquadra,3,FALSE),-2)),SUMIFS(Dati!$F$2:$F$761,Dati!$A$2:$A$761,$H56,Dati!$H$2:$H$761,$AA56)+SUMIFS(Dati!$M$2:$M$761,Dati!$H$2:$H$761,$H56,Dati!$A$2:$A$761,$AA56),"-")</f>
        <v/>
      </c>
      <c r="DL56" s="22">
        <f>IF(AND($H56&lt;&gt;"",$AB56&lt;&gt;"",$H56&lt;&gt;$AB56,IFERROR(VLOOKUP($H56,areaCercaPuntiClassificaSquadra,3,FALSE),-1)=IFERROR(VLOOKUP($AB56,areaCercaPuntiClassificaSquadra,3,FALSE),-2)),SUMIFS(Dati!$F$2:$F$761,Dati!$A$2:$A$761,$H56,Dati!$H$2:$H$761,$AB56)+SUMIFS(Dati!$M$2:$M$761,Dati!$H$2:$H$761,$H56,Dati!$A$2:$A$761,$AB56),"-")</f>
        <v/>
      </c>
      <c r="DM56" s="22">
        <f>IF(AND($H56&lt;&gt;"",$AC56&lt;&gt;"",$H56&lt;&gt;$AC56,IFERROR(VLOOKUP($H56,areaCercaPuntiClassificaSquadra,3,FALSE),-1)=IFERROR(VLOOKUP($AC56,areaCercaPuntiClassificaSquadra,3,FALSE),-2)),SUMIFS(Dati!$F$2:$F$761,Dati!$A$2:$A$761,$H56,Dati!$H$2:$H$761,$AC56)+SUMIFS(Dati!$M$2:$M$761,Dati!$H$2:$H$761,$H56,Dati!$A$2:$A$761,$AC56),"-")</f>
        <v/>
      </c>
      <c r="DN56" s="22">
        <f>IF(AND($H56&lt;&gt;"",$AD56&lt;&gt;"",$H56&lt;&gt;$AD56,IFERROR(VLOOKUP($H56,areaCercaPuntiClassificaSquadra,3,FALSE),-1)=IFERROR(VLOOKUP($AD56,areaCercaPuntiClassificaSquadra,3,FALSE),-2)),SUMIFS(Dati!$F$2:$F$761,Dati!$A$2:$A$761,$H56,Dati!$H$2:$H$761,$AD56)+SUMIFS(Dati!$M$2:$M$761,Dati!$H$2:$H$761,$H56,Dati!$A$2:$A$761,$AD56),"-")</f>
        <v/>
      </c>
      <c r="DO56" s="22">
        <f>IF(AND($H56&lt;&gt;"",$AE56&lt;&gt;"",$H56&lt;&gt;$AE56,IFERROR(VLOOKUP($H56,areaCercaPuntiClassificaSquadra,3,FALSE),-1)=IFERROR(VLOOKUP($AE56,areaCercaPuntiClassificaSquadra,3,FALSE),-2)),SUMIFS(Dati!$F$2:$F$761,Dati!$A$2:$A$761,$H56,Dati!$H$2:$H$761,$AE56)+SUMIFS(Dati!$M$2:$M$761,Dati!$H$2:$H$761,$H56,Dati!$A$2:$A$761,$AE56),"-")</f>
        <v/>
      </c>
      <c r="DP56" s="22">
        <f>IF(AND($H56&lt;&gt;"",$AF56&lt;&gt;"",$H56&lt;&gt;$AF56,IFERROR(VLOOKUP($H56,areaCercaPuntiClassificaSquadra,3,FALSE),-1)=IFERROR(VLOOKUP($AF56,areaCercaPuntiClassificaSquadra,3,FALSE),-2)),SUMIFS(Dati!$F$2:$F$761,Dati!$A$2:$A$761,$H56,Dati!$H$2:$H$761,$AF56)+SUMIFS(Dati!$M$2:$M$761,Dati!$H$2:$H$761,$H56,Dati!$A$2:$A$761,$AF56),"-")</f>
        <v/>
      </c>
      <c r="DQ56" s="22">
        <f>IF(AND($H56&lt;&gt;"",$AG56&lt;&gt;"",$H56&lt;&gt;$AG56,IFERROR(VLOOKUP($H56,areaCercaPuntiClassificaSquadra,3,FALSE),-1)=IFERROR(VLOOKUP($AG56,areaCercaPuntiClassificaSquadra,3,FALSE),-2)),SUMIFS(Dati!$F$2:$F$761,Dati!$A$2:$A$761,$H56,Dati!$H$2:$H$761,$AG56)+SUMIFS(Dati!$M$2:$M$761,Dati!$H$2:$H$761,$H56,Dati!$A$2:$A$761,$AG56),"-")</f>
        <v/>
      </c>
      <c r="DR56" s="22">
        <f>IF(AND($H56&lt;&gt;"",$AH56&lt;&gt;"",$H56&lt;&gt;$AH56,IFERROR(VLOOKUP($H56,areaCercaPuntiClassificaSquadra,3,FALSE),-1)=IFERROR(VLOOKUP($AH56,areaCercaPuntiClassificaSquadra,3,FALSE),-2)),SUMIFS(Dati!$F$2:$F$761,Dati!$A$2:$A$761,$H56,Dati!$H$2:$H$761,$AH56)+SUMIFS(Dati!$M$2:$M$761,Dati!$H$2:$H$761,$H56,Dati!$A$2:$A$761,$AH56),"-")</f>
        <v/>
      </c>
      <c r="DS56" s="22">
        <f>IF(AND($H56&lt;&gt;"",$AI56&lt;&gt;"",$H56&lt;&gt;$AI56,IFERROR(VLOOKUP($H56,areaCercaPuntiClassificaSquadra,3,FALSE),-1)=IFERROR(VLOOKUP($AI56,areaCercaPuntiClassificaSquadra,3,FALSE),-2)),SUMIFS(Dati!$F$2:$F$761,Dati!$A$2:$A$761,$H56,Dati!$H$2:$H$761,$AI56)+SUMIFS(Dati!$M$2:$M$761,Dati!$H$2:$H$761,$H56,Dati!$A$2:$A$761,$AI56),"-")</f>
        <v/>
      </c>
      <c r="DT56" s="22">
        <f>IF(AND($H56&lt;&gt;"",$AJ56&lt;&gt;"",$H56&lt;&gt;$AJ56,IFERROR(VLOOKUP($H56,areaCercaPuntiClassificaSquadra,3,FALSE),-1)=IFERROR(VLOOKUP($AJ56,areaCercaPuntiClassificaSquadra,3,FALSE),-2)),SUMIFS(Dati!$F$2:$F$761,Dati!$A$2:$A$761,$H56,Dati!$H$2:$H$761,$AJ56)+SUMIFS(Dati!$M$2:$M$761,Dati!$H$2:$H$761,$H56,Dati!$A$2:$A$761,$AJ56),"-")</f>
        <v/>
      </c>
      <c r="DU56" s="22">
        <f>IF(AND($H56&lt;&gt;"",$AK56&lt;&gt;"",$H56&lt;&gt;$AK56,IFERROR(VLOOKUP($H56,areaCercaPuntiClassificaSquadra,3,FALSE),-1)=IFERROR(VLOOKUP($AK56,areaCercaPuntiClassificaSquadra,3,FALSE),-2)),SUMIFS(Dati!$F$2:$F$761,Dati!$A$2:$A$761,$H56,Dati!$H$2:$H$761,$AK56)+SUMIFS(Dati!$M$2:$M$761,Dati!$H$2:$H$761,$H56,Dati!$A$2:$A$761,$AK56),"-")</f>
        <v/>
      </c>
      <c r="DV56" s="22">
        <f>IF(AND($H56&lt;&gt;"",$AL56&lt;&gt;"",$H56&lt;&gt;$AL56,IFERROR(VLOOKUP($H56,areaCercaPuntiClassificaSquadra,3,FALSE),-1)=IFERROR(VLOOKUP($AL56,areaCercaPuntiClassificaSquadra,3,FALSE),-2)),SUMIFS(Dati!$F$2:$F$761,Dati!$A$2:$A$761,$H56,Dati!$H$2:$H$761,$AL56)+SUMIFS(Dati!$M$2:$M$761,Dati!$H$2:$H$761,$H56,Dati!$A$2:$A$761,$AL56),"-")</f>
        <v/>
      </c>
      <c r="DW56" s="22">
        <f>IF(AND($H56&lt;&gt;"",$AM56&lt;&gt;"",$H56&lt;&gt;$AM56,IFERROR(VLOOKUP($H56,areaCercaPuntiClassificaSquadra,3,FALSE),-1)=IFERROR(VLOOKUP($AM56,areaCercaPuntiClassificaSquadra,3,FALSE),-2)),SUMIFS(Dati!$F$2:$F$761,Dati!$A$2:$A$761,$H56,Dati!$H$2:$H$761,$AM56)+SUMIFS(Dati!$M$2:$M$761,Dati!$H$2:$H$761,$H56,Dati!$A$2:$A$761,$AM56),"-")</f>
        <v/>
      </c>
      <c r="DX56" s="22">
        <f>IF(AND($H56&lt;&gt;"",$AN56&lt;&gt;"",$H56&lt;&gt;$AN56,IFERROR(VLOOKUP($H56,areaCercaPuntiClassificaSquadra,3,FALSE),-1)=IFERROR(VLOOKUP($AN56,areaCercaPuntiClassificaSquadra,3,FALSE),-2)),SUMIFS(Dati!$F$2:$F$761,Dati!$A$2:$A$761,$H56,Dati!$H$2:$H$761,$AN56)+SUMIFS(Dati!$M$2:$M$761,Dati!$H$2:$H$761,$H56,Dati!$A$2:$A$761,$AN56),"-")</f>
        <v/>
      </c>
      <c r="DY56" s="22">
        <f>IF(AND($H56&lt;&gt;"",$AO56&lt;&gt;"",$H56&lt;&gt;$AO56,IFERROR(VLOOKUP($H56,areaCercaPuntiClassificaSquadra,3,FALSE),-1)=IFERROR(VLOOKUP($AO56,areaCercaPuntiClassificaSquadra,3,FALSE),-2)),SUMIFS(Dati!$F$2:$F$761,Dati!$A$2:$A$761,$H56,Dati!$H$2:$H$761,$AO56)+SUMIFS(Dati!$M$2:$M$761,Dati!$H$2:$H$761,$H56,Dati!$A$2:$A$761,$AO56),"-")</f>
        <v/>
      </c>
      <c r="DZ56" s="22">
        <f>IF(AND($H56&lt;&gt;"",$AP56&lt;&gt;"",$H56&lt;&gt;$AP56,IFERROR(VLOOKUP($H56,areaCercaPuntiClassificaSquadra,3,FALSE),-1)=IFERROR(VLOOKUP($AP56,areaCercaPuntiClassificaSquadra,3,FALSE),-2)),SUMIFS(Dati!$F$2:$F$761,Dati!$A$2:$A$761,$H56,Dati!$H$2:$H$761,$AP56)+SUMIFS(Dati!$M$2:$M$761,Dati!$H$2:$H$761,$H56,Dati!$A$2:$A$761,$AP56),"-")</f>
        <v/>
      </c>
      <c r="EA56" s="22">
        <f>IF(AND($H56&lt;&gt;"",$AQ56&lt;&gt;"",$H56&lt;&gt;$AQ56,IFERROR(VLOOKUP($H56,areaCercaPuntiClassificaSquadra,3,FALSE),-1)=IFERROR(VLOOKUP($AQ56,areaCercaPuntiClassificaSquadra,3,FALSE),-2)),SUMIFS(Dati!$F$2:$F$761,Dati!$A$2:$A$761,$H56,Dati!$H$2:$H$761,$AQ56)+SUMIFS(Dati!$M$2:$M$761,Dati!$H$2:$H$761,$H56,Dati!$A$2:$A$761,$AQ56),"-")</f>
        <v/>
      </c>
      <c r="EB56" s="22">
        <f>IF(AND($H56&lt;&gt;"",$AR56&lt;&gt;"",$H56&lt;&gt;$AR56,IFERROR(VLOOKUP($H56,areaCercaPuntiClassificaSquadra,3,FALSE),-1)=IFERROR(VLOOKUP($AR56,areaCercaPuntiClassificaSquadra,3,FALSE),-2)),SUMIFS(Dati!$F$2:$F$761,Dati!$A$2:$A$761,$H56,Dati!$H$2:$H$761,$AR56)+SUMIFS(Dati!$M$2:$M$761,Dati!$H$2:$H$761,$H56,Dati!$A$2:$A$761,$AR56),"-")</f>
        <v/>
      </c>
      <c r="ED56" s="22">
        <f>IF($C56="","",SUM(AU56:BN56))</f>
        <v/>
      </c>
    </row>
    <row r="57">
      <c r="B57" s="12" t="inlineStr">
        <is>
          <t>C04</t>
        </is>
      </c>
      <c r="C57" s="13" t="inlineStr">
        <is>
          <t>Manguste Mobili-Mangusteopoli MO</t>
        </is>
      </c>
      <c r="D57" s="14" t="n"/>
      <c r="E57" s="25" t="inlineStr">
        <is>
          <t>C</t>
        </is>
      </c>
      <c r="G57" s="26">
        <f>IF($C57="","",$E57&amp;(COUNTIFS(I$14:I$93,"&gt;"&amp;I57,E$14:E$93,"="&amp;E57,C$14:C$93,"&lt;&gt;")+COUNTIFS(I$14:I$93,"="&amp;I57,H$14:H$93,"&lt;="&amp;H57,E$14:E$93,"="&amp;E57,C$14:C$93,"&lt;&gt;")))</f>
        <v/>
      </c>
      <c r="H57" s="17">
        <f>IF($C57="","",IFERROR(LEFT($C57,FIND("-",$C57)-1),$C57))</f>
        <v/>
      </c>
      <c r="I57" s="12">
        <f>TEXT(1000000000+J57,"|0000000000|")&amp;TEXT(SUM(AU57:BN57),"0000000000|")&amp;IF(SUM(DI57:EB57)=0,"0000000000|",TEXT(ROUND(SUM(CM57:DF57)/SUM(DI57:EB57),4)*100000,"0000000000|"))&amp;IF(P57=0,"0000000000|",TEXT(ROUND(O57/P57,4)*100000,"0000000000|"))</f>
        <v/>
      </c>
      <c r="J57" s="26">
        <f>L57*constPuntiVittoria+M57*constPuntiSconfitta+N57*constPuntiForfait+IF(D57="",0,D57)</f>
        <v/>
      </c>
      <c r="K57" s="12">
        <f>SUM(L57:N57)</f>
        <v/>
      </c>
      <c r="L57" s="12">
        <f>IF($H57="",0,SUMIF(Dati!$A$2:$A$761,$H57,Dati!$B$2:$B$761)+SUMIF(Dati!$H$2:$H$761,$H57,Dati!$I$2:$I$761))</f>
        <v/>
      </c>
      <c r="M57" s="12">
        <f>IF($H57="",0,SUMIF(Dati!$A$2:$A$761,$H57,Dati!$D$2:$D$761)+SUMIF(Dati!$H$2:$H$761,$H57,Dati!$K$2:$K$761))</f>
        <v/>
      </c>
      <c r="N57" s="12">
        <f>IF($H57="",0,SUMIF(Dati!$A$2:$A$761,$H57,Dati!$C$2:$C$761)+SUMIF(Dati!$H$2:$H$761,$H57,Dati!$J$2:$J$761))</f>
        <v/>
      </c>
      <c r="O57" s="12">
        <f>IF($H57="",0,SUMIF(Dati!$A$2:$A$761,$H57,Dati!$E$2:$E$761)+SUMIF(Dati!$H$2:$H$761,$H57,Dati!$L$2:$L$761))</f>
        <v/>
      </c>
      <c r="P57" s="12">
        <f>IF($H57="",0,SUMIF(Dati!$A$2:$A$761,$H57,Dati!$F$2:$F$761)+SUMIF(Dati!$H$2:$H$761,$H57,Dati!$M$2:$M$761))</f>
        <v/>
      </c>
      <c r="Q57" s="12">
        <f>IF($H57="",0,SUMIF(Dati!$A$2:$A$761,$H57,Dati!$G$2:$G$761)+SUMIF(Dati!$H$2:$H$761,$H57,Dati!$N$2:$N$761))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IF(COUNTIFS($E$14:$E$93,$E57,$J$14:$J$93,$J57,$C$14:$C$93,"&lt;&gt;")&lt;=1,"-",SUM(AU57:BN57)&amp;"-"&amp;SUM(BQ57:CJ57))</f>
        <v/>
      </c>
      <c r="V57" s="18">
        <f>IF(COUNTIFS($E$14:$E$93,$E57,$J$14:$J$93,$J57,$C$14:$C$93,"&lt;&gt;",$ED$14:$ED$93,$ED57)&lt;=1,"-",IF(SUM(DI57:EB57)=0,0,ROUND(SUM(CM57:DF57)/SUM(DI57:EB57),3)))</f>
        <v/>
      </c>
      <c r="W57" s="18">
        <f>IF(COUNTIFS($E$14:$E$93,$E57,$J$14:$J$93,$J57,$C$14:$C$93,"&lt;&gt;",$ED$14:$ED$93,$ED57,$V$14:$V$93,$V57)&lt;=1,"-",IF(P57=0,0,ROUND(O57/P57,3)))</f>
        <v/>
      </c>
      <c r="X57" s="19">
        <f>IF($C57="","",$E57&amp;"#"&amp;COUNTIFS($E$14:$E57,$E57,$C$14:$C57,"&lt;&gt;"))</f>
        <v/>
      </c>
      <c r="Y57" s="20">
        <f>IFERROR(INDEX($H$14:$H$93,MATCH($E57&amp;"#1",$X$14:$X$93,0)),"")</f>
        <v/>
      </c>
      <c r="Z57" s="20">
        <f>IFERROR(INDEX($H$14:$H$93,MATCH($E57&amp;"#2",$X$14:$X$93,0)),"")</f>
        <v/>
      </c>
      <c r="AA57" s="20">
        <f>IFERROR(INDEX($H$14:$H$93,MATCH($E57&amp;"#3",$X$14:$X$93,0)),"")</f>
        <v/>
      </c>
      <c r="AB57" s="20">
        <f>IFERROR(INDEX($H$14:$H$93,MATCH($E57&amp;"#4",$X$14:$X$93,0)),"")</f>
        <v/>
      </c>
      <c r="AC57" s="20">
        <f>IFERROR(INDEX($H$14:$H$93,MATCH($E57&amp;"#5",$X$14:$X$93,0)),"")</f>
        <v/>
      </c>
      <c r="AD57" s="20">
        <f>IFERROR(INDEX($H$14:$H$93,MATCH($E57&amp;"#6",$X$14:$X$93,0)),"")</f>
        <v/>
      </c>
      <c r="AE57" s="20">
        <f>IFERROR(INDEX($H$14:$H$93,MATCH($E57&amp;"#7",$X$14:$X$93,0)),"")</f>
        <v/>
      </c>
      <c r="AF57" s="20">
        <f>IFERROR(INDEX($H$14:$H$93,MATCH($E57&amp;"#8",$X$14:$X$93,0)),"")</f>
        <v/>
      </c>
      <c r="AG57" s="20">
        <f>IFERROR(INDEX($H$14:$H$93,MATCH($E57&amp;"#9",$X$14:$X$93,0)),"")</f>
        <v/>
      </c>
      <c r="AH57" s="20">
        <f>IFERROR(INDEX($H$14:$H$93,MATCH($E57&amp;"#10",$X$14:$X$93,0)),"")</f>
        <v/>
      </c>
      <c r="AI57" s="20">
        <f>IFERROR(INDEX($H$14:$H$93,MATCH($E57&amp;"#11",$X$14:$X$93,0)),"")</f>
        <v/>
      </c>
      <c r="AJ57" s="20">
        <f>IFERROR(INDEX($H$14:$H$93,MATCH($E57&amp;"#12",$X$14:$X$93,0)),"")</f>
        <v/>
      </c>
      <c r="AK57" s="20">
        <f>IFERROR(INDEX($H$14:$H$93,MATCH($E57&amp;"#13",$X$14:$X$93,0)),"")</f>
        <v/>
      </c>
      <c r="AL57" s="20">
        <f>IFERROR(INDEX($H$14:$H$93,MATCH($E57&amp;"#14",$X$14:$X$93,0)),"")</f>
        <v/>
      </c>
      <c r="AM57" s="20">
        <f>IFERROR(INDEX($H$14:$H$93,MATCH($E57&amp;"#15",$X$14:$X$93,0)),"")</f>
        <v/>
      </c>
      <c r="AN57" s="20">
        <f>IFERROR(INDEX($H$14:$H$93,MATCH($E57&amp;"#16",$X$14:$X$93,0)),"")</f>
        <v/>
      </c>
      <c r="AO57" s="20">
        <f>IFERROR(INDEX($H$14:$H$93,MATCH($E57&amp;"#17",$X$14:$X$93,0)),"")</f>
        <v/>
      </c>
      <c r="AP57" s="20">
        <f>IFERROR(INDEX($H$14:$H$93,MATCH($E57&amp;"#18",$X$14:$X$93,0)),"")</f>
        <v/>
      </c>
      <c r="AQ57" s="20">
        <f>IFERROR(INDEX($H$14:$H$93,MATCH($E57&amp;"#19",$X$14:$X$93,0)),"")</f>
        <v/>
      </c>
      <c r="AR57" s="20">
        <f>IFERROR(INDEX($H$14:$H$93,MATCH($E57&amp;"#20",$X$14:$X$93,0)),"")</f>
        <v/>
      </c>
      <c r="AT57" s="21">
        <f>$C57</f>
        <v/>
      </c>
      <c r="AU57" s="22">
        <f>IF(AND($H57&lt;&gt;"",$Y57&lt;&gt;"",$H57&lt;&gt;$Y57,IFERROR(VLOOKUP($H57,areaCercaPuntiClassificaSquadra,3,FALSE),-1)=IFERROR(VLOOKUP($Y57,areaCercaPuntiClassificaSquadra,3,FALSE),-2)),SUMIFS(Dati!$B$2:$B$761,Dati!$A$2:$A$761,$H57,Dati!$H$2:$H$761,$Y57)+SUMIFS(Dati!$I$2:$I$761,Dati!$H$2:$H$761,$H57,Dati!$A$2:$A$761,$Y57),"-")</f>
        <v/>
      </c>
      <c r="AV57" s="22">
        <f>IF(AND($H57&lt;&gt;"",$Z57&lt;&gt;"",$H57&lt;&gt;$Z57,IFERROR(VLOOKUP($H57,areaCercaPuntiClassificaSquadra,3,FALSE),-1)=IFERROR(VLOOKUP($Z57,areaCercaPuntiClassificaSquadra,3,FALSE),-2)),SUMIFS(Dati!$B$2:$B$761,Dati!$A$2:$A$761,$H57,Dati!$H$2:$H$761,$Z57)+SUMIFS(Dati!$I$2:$I$761,Dati!$H$2:$H$761,$H57,Dati!$A$2:$A$761,$Z57),"-")</f>
        <v/>
      </c>
      <c r="AW57" s="22">
        <f>IF(AND($H57&lt;&gt;"",$AA57&lt;&gt;"",$H57&lt;&gt;$AA57,IFERROR(VLOOKUP($H57,areaCercaPuntiClassificaSquadra,3,FALSE),-1)=IFERROR(VLOOKUP($AA57,areaCercaPuntiClassificaSquadra,3,FALSE),-2)),SUMIFS(Dati!$B$2:$B$761,Dati!$A$2:$A$761,$H57,Dati!$H$2:$H$761,$AA57)+SUMIFS(Dati!$I$2:$I$761,Dati!$H$2:$H$761,$H57,Dati!$A$2:$A$761,$AA57),"-")</f>
        <v/>
      </c>
      <c r="AX57" s="22">
        <f>IF(AND($H57&lt;&gt;"",$AB57&lt;&gt;"",$H57&lt;&gt;$AB57,IFERROR(VLOOKUP($H57,areaCercaPuntiClassificaSquadra,3,FALSE),-1)=IFERROR(VLOOKUP($AB57,areaCercaPuntiClassificaSquadra,3,FALSE),-2)),SUMIFS(Dati!$B$2:$B$761,Dati!$A$2:$A$761,$H57,Dati!$H$2:$H$761,$AB57)+SUMIFS(Dati!$I$2:$I$761,Dati!$H$2:$H$761,$H57,Dati!$A$2:$A$761,$AB57),"-")</f>
        <v/>
      </c>
      <c r="AY57" s="22">
        <f>IF(AND($H57&lt;&gt;"",$AC57&lt;&gt;"",$H57&lt;&gt;$AC57,IFERROR(VLOOKUP($H57,areaCercaPuntiClassificaSquadra,3,FALSE),-1)=IFERROR(VLOOKUP($AC57,areaCercaPuntiClassificaSquadra,3,FALSE),-2)),SUMIFS(Dati!$B$2:$B$761,Dati!$A$2:$A$761,$H57,Dati!$H$2:$H$761,$AC57)+SUMIFS(Dati!$I$2:$I$761,Dati!$H$2:$H$761,$H57,Dati!$A$2:$A$761,$AC57),"-")</f>
        <v/>
      </c>
      <c r="AZ57" s="22">
        <f>IF(AND($H57&lt;&gt;"",$AD57&lt;&gt;"",$H57&lt;&gt;$AD57,IFERROR(VLOOKUP($H57,areaCercaPuntiClassificaSquadra,3,FALSE),-1)=IFERROR(VLOOKUP($AD57,areaCercaPuntiClassificaSquadra,3,FALSE),-2)),SUMIFS(Dati!$B$2:$B$761,Dati!$A$2:$A$761,$H57,Dati!$H$2:$H$761,$AD57)+SUMIFS(Dati!$I$2:$I$761,Dati!$H$2:$H$761,$H57,Dati!$A$2:$A$761,$AD57),"-")</f>
        <v/>
      </c>
      <c r="BA57" s="22">
        <f>IF(AND($H57&lt;&gt;"",$AE57&lt;&gt;"",$H57&lt;&gt;$AE57,IFERROR(VLOOKUP($H57,areaCercaPuntiClassificaSquadra,3,FALSE),-1)=IFERROR(VLOOKUP($AE57,areaCercaPuntiClassificaSquadra,3,FALSE),-2)),SUMIFS(Dati!$B$2:$B$761,Dati!$A$2:$A$761,$H57,Dati!$H$2:$H$761,$AE57)+SUMIFS(Dati!$I$2:$I$761,Dati!$H$2:$H$761,$H57,Dati!$A$2:$A$761,$AE57),"-")</f>
        <v/>
      </c>
      <c r="BB57" s="22">
        <f>IF(AND($H57&lt;&gt;"",$AF57&lt;&gt;"",$H57&lt;&gt;$AF57,IFERROR(VLOOKUP($H57,areaCercaPuntiClassificaSquadra,3,FALSE),-1)=IFERROR(VLOOKUP($AF57,areaCercaPuntiClassificaSquadra,3,FALSE),-2)),SUMIFS(Dati!$B$2:$B$761,Dati!$A$2:$A$761,$H57,Dati!$H$2:$H$761,$AF57)+SUMIFS(Dati!$I$2:$I$761,Dati!$H$2:$H$761,$H57,Dati!$A$2:$A$761,$AF57),"-")</f>
        <v/>
      </c>
      <c r="BC57" s="22">
        <f>IF(AND($H57&lt;&gt;"",$AG57&lt;&gt;"",$H57&lt;&gt;$AG57,IFERROR(VLOOKUP($H57,areaCercaPuntiClassificaSquadra,3,FALSE),-1)=IFERROR(VLOOKUP($AG57,areaCercaPuntiClassificaSquadra,3,FALSE),-2)),SUMIFS(Dati!$B$2:$B$761,Dati!$A$2:$A$761,$H57,Dati!$H$2:$H$761,$AG57)+SUMIFS(Dati!$I$2:$I$761,Dati!$H$2:$H$761,$H57,Dati!$A$2:$A$761,$AG57),"-")</f>
        <v/>
      </c>
      <c r="BD57" s="22">
        <f>IF(AND($H57&lt;&gt;"",$AH57&lt;&gt;"",$H57&lt;&gt;$AH57,IFERROR(VLOOKUP($H57,areaCercaPuntiClassificaSquadra,3,FALSE),-1)=IFERROR(VLOOKUP($AH57,areaCercaPuntiClassificaSquadra,3,FALSE),-2)),SUMIFS(Dati!$B$2:$B$761,Dati!$A$2:$A$761,$H57,Dati!$H$2:$H$761,$AH57)+SUMIFS(Dati!$I$2:$I$761,Dati!$H$2:$H$761,$H57,Dati!$A$2:$A$761,$AH57),"-")</f>
        <v/>
      </c>
      <c r="BE57" s="22">
        <f>IF(AND($H57&lt;&gt;"",$AI57&lt;&gt;"",$H57&lt;&gt;$AI57,IFERROR(VLOOKUP($H57,areaCercaPuntiClassificaSquadra,3,FALSE),-1)=IFERROR(VLOOKUP($AI57,areaCercaPuntiClassificaSquadra,3,FALSE),-2)),SUMIFS(Dati!$B$2:$B$761,Dati!$A$2:$A$761,$H57,Dati!$H$2:$H$761,$AI57)+SUMIFS(Dati!$I$2:$I$761,Dati!$H$2:$H$761,$H57,Dati!$A$2:$A$761,$AI57),"-")</f>
        <v/>
      </c>
      <c r="BF57" s="22">
        <f>IF(AND($H57&lt;&gt;"",$AJ57&lt;&gt;"",$H57&lt;&gt;$AJ57,IFERROR(VLOOKUP($H57,areaCercaPuntiClassificaSquadra,3,FALSE),-1)=IFERROR(VLOOKUP($AJ57,areaCercaPuntiClassificaSquadra,3,FALSE),-2)),SUMIFS(Dati!$B$2:$B$761,Dati!$A$2:$A$761,$H57,Dati!$H$2:$H$761,$AJ57)+SUMIFS(Dati!$I$2:$I$761,Dati!$H$2:$H$761,$H57,Dati!$A$2:$A$761,$AJ57),"-")</f>
        <v/>
      </c>
      <c r="BG57" s="22">
        <f>IF(AND($H57&lt;&gt;"",$AK57&lt;&gt;"",$H57&lt;&gt;$AK57,IFERROR(VLOOKUP($H57,areaCercaPuntiClassificaSquadra,3,FALSE),-1)=IFERROR(VLOOKUP($AK57,areaCercaPuntiClassificaSquadra,3,FALSE),-2)),SUMIFS(Dati!$B$2:$B$761,Dati!$A$2:$A$761,$H57,Dati!$H$2:$H$761,$AK57)+SUMIFS(Dati!$I$2:$I$761,Dati!$H$2:$H$761,$H57,Dati!$A$2:$A$761,$AK57),"-")</f>
        <v/>
      </c>
      <c r="BH57" s="22">
        <f>IF(AND($H57&lt;&gt;"",$AL57&lt;&gt;"",$H57&lt;&gt;$AL57,IFERROR(VLOOKUP($H57,areaCercaPuntiClassificaSquadra,3,FALSE),-1)=IFERROR(VLOOKUP($AL57,areaCercaPuntiClassificaSquadra,3,FALSE),-2)),SUMIFS(Dati!$B$2:$B$761,Dati!$A$2:$A$761,$H57,Dati!$H$2:$H$761,$AL57)+SUMIFS(Dati!$I$2:$I$761,Dati!$H$2:$H$761,$H57,Dati!$A$2:$A$761,$AL57),"-")</f>
        <v/>
      </c>
      <c r="BI57" s="22">
        <f>IF(AND($H57&lt;&gt;"",$AM57&lt;&gt;"",$H57&lt;&gt;$AM57,IFERROR(VLOOKUP($H57,areaCercaPuntiClassificaSquadra,3,FALSE),-1)=IFERROR(VLOOKUP($AM57,areaCercaPuntiClassificaSquadra,3,FALSE),-2)),SUMIFS(Dati!$B$2:$B$761,Dati!$A$2:$A$761,$H57,Dati!$H$2:$H$761,$AM57)+SUMIFS(Dati!$I$2:$I$761,Dati!$H$2:$H$761,$H57,Dati!$A$2:$A$761,$AM57),"-")</f>
        <v/>
      </c>
      <c r="BJ57" s="22">
        <f>IF(AND($H57&lt;&gt;"",$AN57&lt;&gt;"",$H57&lt;&gt;$AN57,IFERROR(VLOOKUP($H57,areaCercaPuntiClassificaSquadra,3,FALSE),-1)=IFERROR(VLOOKUP($AN57,areaCercaPuntiClassificaSquadra,3,FALSE),-2)),SUMIFS(Dati!$B$2:$B$761,Dati!$A$2:$A$761,$H57,Dati!$H$2:$H$761,$AN57)+SUMIFS(Dati!$I$2:$I$761,Dati!$H$2:$H$761,$H57,Dati!$A$2:$A$761,$AN57),"-")</f>
        <v/>
      </c>
      <c r="BK57" s="22">
        <f>IF(AND($H57&lt;&gt;"",$AO57&lt;&gt;"",$H57&lt;&gt;$AO57,IFERROR(VLOOKUP($H57,areaCercaPuntiClassificaSquadra,3,FALSE),-1)=IFERROR(VLOOKUP($AO57,areaCercaPuntiClassificaSquadra,3,FALSE),-2)),SUMIFS(Dati!$B$2:$B$761,Dati!$A$2:$A$761,$H57,Dati!$H$2:$H$761,$AO57)+SUMIFS(Dati!$I$2:$I$761,Dati!$H$2:$H$761,$H57,Dati!$A$2:$A$761,$AO57),"-")</f>
        <v/>
      </c>
      <c r="BL57" s="22">
        <f>IF(AND($H57&lt;&gt;"",$AP57&lt;&gt;"",$H57&lt;&gt;$AP57,IFERROR(VLOOKUP($H57,areaCercaPuntiClassificaSquadra,3,FALSE),-1)=IFERROR(VLOOKUP($AP57,areaCercaPuntiClassificaSquadra,3,FALSE),-2)),SUMIFS(Dati!$B$2:$B$761,Dati!$A$2:$A$761,$H57,Dati!$H$2:$H$761,$AP57)+SUMIFS(Dati!$I$2:$I$761,Dati!$H$2:$H$761,$H57,Dati!$A$2:$A$761,$AP57),"-")</f>
        <v/>
      </c>
      <c r="BM57" s="22">
        <f>IF(AND($H57&lt;&gt;"",$AQ57&lt;&gt;"",$H57&lt;&gt;$AQ57,IFERROR(VLOOKUP($H57,areaCercaPuntiClassificaSquadra,3,FALSE),-1)=IFERROR(VLOOKUP($AQ57,areaCercaPuntiClassificaSquadra,3,FALSE),-2)),SUMIFS(Dati!$B$2:$B$761,Dati!$A$2:$A$761,$H57,Dati!$H$2:$H$761,$AQ57)+SUMIFS(Dati!$I$2:$I$761,Dati!$H$2:$H$761,$H57,Dati!$A$2:$A$761,$AQ57),"-")</f>
        <v/>
      </c>
      <c r="BN57" s="22">
        <f>IF(AND($H57&lt;&gt;"",$AR57&lt;&gt;"",$H57&lt;&gt;$AR57,IFERROR(VLOOKUP($H57,areaCercaPuntiClassificaSquadra,3,FALSE),-1)=IFERROR(VLOOKUP($AR57,areaCercaPuntiClassificaSquadra,3,FALSE),-2)),SUMIFS(Dati!$B$2:$B$761,Dati!$A$2:$A$761,$H57,Dati!$H$2:$H$761,$AR57)+SUMIFS(Dati!$I$2:$I$761,Dati!$H$2:$H$761,$H57,Dati!$A$2:$A$761,$AR57),"-")</f>
        <v/>
      </c>
      <c r="BP57" s="21">
        <f>$C57</f>
        <v/>
      </c>
      <c r="BQ57" s="22">
        <f>IF(AND($H57&lt;&gt;"",$Y57&lt;&gt;"",$H57&lt;&gt;$Y57,IFERROR(VLOOKUP($H57,areaCercaPuntiClassificaSquadra,3,FALSE),-1)=IFERROR(VLOOKUP($Y57,areaCercaPuntiClassificaSquadra,3,FALSE),-2)),SUMIFS(Dati!$D$2:$D$761,Dati!$A$2:$A$761,$H57,Dati!$H$2:$H$761,$Y57)+SUMIFS(Dati!$K$2:$K$761,Dati!$H$2:$H$761,$H57,Dati!$A$2:$A$761,$Y57)+SUMIFS(Dati!$C$2:$C$761,Dati!$A$2:$A$761,$H57,Dati!$H$2:$H$761,$Y57)+SUMIFS(Dati!$J$2:$J$761,Dati!$H$2:$H$761,$H57,Dati!$A$2:$A$761,$Y57),"-")</f>
        <v/>
      </c>
      <c r="BR57" s="22">
        <f>IF(AND($H57&lt;&gt;"",$Z57&lt;&gt;"",$H57&lt;&gt;$Z57,IFERROR(VLOOKUP($H57,areaCercaPuntiClassificaSquadra,3,FALSE),-1)=IFERROR(VLOOKUP($Z57,areaCercaPuntiClassificaSquadra,3,FALSE),-2)),SUMIFS(Dati!$D$2:$D$761,Dati!$A$2:$A$761,$H57,Dati!$H$2:$H$761,$Z57)+SUMIFS(Dati!$K$2:$K$761,Dati!$H$2:$H$761,$H57,Dati!$A$2:$A$761,$Z57)+SUMIFS(Dati!$C$2:$C$761,Dati!$A$2:$A$761,$H57,Dati!$H$2:$H$761,$Z57)+SUMIFS(Dati!$J$2:$J$761,Dati!$H$2:$H$761,$H57,Dati!$A$2:$A$761,$Z57),"-")</f>
        <v/>
      </c>
      <c r="BS57" s="22">
        <f>IF(AND($H57&lt;&gt;"",$AA57&lt;&gt;"",$H57&lt;&gt;$AA57,IFERROR(VLOOKUP($H57,areaCercaPuntiClassificaSquadra,3,FALSE),-1)=IFERROR(VLOOKUP($AA57,areaCercaPuntiClassificaSquadra,3,FALSE),-2)),SUMIFS(Dati!$D$2:$D$761,Dati!$A$2:$A$761,$H57,Dati!$H$2:$H$761,$AA57)+SUMIFS(Dati!$K$2:$K$761,Dati!$H$2:$H$761,$H57,Dati!$A$2:$A$761,$AA57)+SUMIFS(Dati!$C$2:$C$761,Dati!$A$2:$A$761,$H57,Dati!$H$2:$H$761,$AA57)+SUMIFS(Dati!$J$2:$J$761,Dati!$H$2:$H$761,$H57,Dati!$A$2:$A$761,$AA57),"-")</f>
        <v/>
      </c>
      <c r="BT57" s="22">
        <f>IF(AND($H57&lt;&gt;"",$AB57&lt;&gt;"",$H57&lt;&gt;$AB57,IFERROR(VLOOKUP($H57,areaCercaPuntiClassificaSquadra,3,FALSE),-1)=IFERROR(VLOOKUP($AB57,areaCercaPuntiClassificaSquadra,3,FALSE),-2)),SUMIFS(Dati!$D$2:$D$761,Dati!$A$2:$A$761,$H57,Dati!$H$2:$H$761,$AB57)+SUMIFS(Dati!$K$2:$K$761,Dati!$H$2:$H$761,$H57,Dati!$A$2:$A$761,$AB57)+SUMIFS(Dati!$C$2:$C$761,Dati!$A$2:$A$761,$H57,Dati!$H$2:$H$761,$AB57)+SUMIFS(Dati!$J$2:$J$761,Dati!$H$2:$H$761,$H57,Dati!$A$2:$A$761,$AB57),"-")</f>
        <v/>
      </c>
      <c r="BU57" s="22">
        <f>IF(AND($H57&lt;&gt;"",$AC57&lt;&gt;"",$H57&lt;&gt;$AC57,IFERROR(VLOOKUP($H57,areaCercaPuntiClassificaSquadra,3,FALSE),-1)=IFERROR(VLOOKUP($AC57,areaCercaPuntiClassificaSquadra,3,FALSE),-2)),SUMIFS(Dati!$D$2:$D$761,Dati!$A$2:$A$761,$H57,Dati!$H$2:$H$761,$AC57)+SUMIFS(Dati!$K$2:$K$761,Dati!$H$2:$H$761,$H57,Dati!$A$2:$A$761,$AC57)+SUMIFS(Dati!$C$2:$C$761,Dati!$A$2:$A$761,$H57,Dati!$H$2:$H$761,$AC57)+SUMIFS(Dati!$J$2:$J$761,Dati!$H$2:$H$761,$H57,Dati!$A$2:$A$761,$AC57),"-")</f>
        <v/>
      </c>
      <c r="BV57" s="22">
        <f>IF(AND($H57&lt;&gt;"",$AD57&lt;&gt;"",$H57&lt;&gt;$AD57,IFERROR(VLOOKUP($H57,areaCercaPuntiClassificaSquadra,3,FALSE),-1)=IFERROR(VLOOKUP($AD57,areaCercaPuntiClassificaSquadra,3,FALSE),-2)),SUMIFS(Dati!$D$2:$D$761,Dati!$A$2:$A$761,$H57,Dati!$H$2:$H$761,$AD57)+SUMIFS(Dati!$K$2:$K$761,Dati!$H$2:$H$761,$H57,Dati!$A$2:$A$761,$AD57)+SUMIFS(Dati!$C$2:$C$761,Dati!$A$2:$A$761,$H57,Dati!$H$2:$H$761,$AD57)+SUMIFS(Dati!$J$2:$J$761,Dati!$H$2:$H$761,$H57,Dati!$A$2:$A$761,$AD57),"-")</f>
        <v/>
      </c>
      <c r="BW57" s="22">
        <f>IF(AND($H57&lt;&gt;"",$AE57&lt;&gt;"",$H57&lt;&gt;$AE57,IFERROR(VLOOKUP($H57,areaCercaPuntiClassificaSquadra,3,FALSE),-1)=IFERROR(VLOOKUP($AE57,areaCercaPuntiClassificaSquadra,3,FALSE),-2)),SUMIFS(Dati!$D$2:$D$761,Dati!$A$2:$A$761,$H57,Dati!$H$2:$H$761,$AE57)+SUMIFS(Dati!$K$2:$K$761,Dati!$H$2:$H$761,$H57,Dati!$A$2:$A$761,$AE57)+SUMIFS(Dati!$C$2:$C$761,Dati!$A$2:$A$761,$H57,Dati!$H$2:$H$761,$AE57)+SUMIFS(Dati!$J$2:$J$761,Dati!$H$2:$H$761,$H57,Dati!$A$2:$A$761,$AE57),"-")</f>
        <v/>
      </c>
      <c r="BX57" s="22">
        <f>IF(AND($H57&lt;&gt;"",$AF57&lt;&gt;"",$H57&lt;&gt;$AF57,IFERROR(VLOOKUP($H57,areaCercaPuntiClassificaSquadra,3,FALSE),-1)=IFERROR(VLOOKUP($AF57,areaCercaPuntiClassificaSquadra,3,FALSE),-2)),SUMIFS(Dati!$D$2:$D$761,Dati!$A$2:$A$761,$H57,Dati!$H$2:$H$761,$AF57)+SUMIFS(Dati!$K$2:$K$761,Dati!$H$2:$H$761,$H57,Dati!$A$2:$A$761,$AF57)+SUMIFS(Dati!$C$2:$C$761,Dati!$A$2:$A$761,$H57,Dati!$H$2:$H$761,$AF57)+SUMIFS(Dati!$J$2:$J$761,Dati!$H$2:$H$761,$H57,Dati!$A$2:$A$761,$AF57),"-")</f>
        <v/>
      </c>
      <c r="BY57" s="22">
        <f>IF(AND($H57&lt;&gt;"",$AG57&lt;&gt;"",$H57&lt;&gt;$AG57,IFERROR(VLOOKUP($H57,areaCercaPuntiClassificaSquadra,3,FALSE),-1)=IFERROR(VLOOKUP($AG57,areaCercaPuntiClassificaSquadra,3,FALSE),-2)),SUMIFS(Dati!$D$2:$D$761,Dati!$A$2:$A$761,$H57,Dati!$H$2:$H$761,$AG57)+SUMIFS(Dati!$K$2:$K$761,Dati!$H$2:$H$761,$H57,Dati!$A$2:$A$761,$AG57)+SUMIFS(Dati!$C$2:$C$761,Dati!$A$2:$A$761,$H57,Dati!$H$2:$H$761,$AG57)+SUMIFS(Dati!$J$2:$J$761,Dati!$H$2:$H$761,$H57,Dati!$A$2:$A$761,$AG57),"-")</f>
        <v/>
      </c>
      <c r="BZ57" s="22">
        <f>IF(AND($H57&lt;&gt;"",$AH57&lt;&gt;"",$H57&lt;&gt;$AH57,IFERROR(VLOOKUP($H57,areaCercaPuntiClassificaSquadra,3,FALSE),-1)=IFERROR(VLOOKUP($AH57,areaCercaPuntiClassificaSquadra,3,FALSE),-2)),SUMIFS(Dati!$D$2:$D$761,Dati!$A$2:$A$761,$H57,Dati!$H$2:$H$761,$AH57)+SUMIFS(Dati!$K$2:$K$761,Dati!$H$2:$H$761,$H57,Dati!$A$2:$A$761,$AH57)+SUMIFS(Dati!$C$2:$C$761,Dati!$A$2:$A$761,$H57,Dati!$H$2:$H$761,$AH57)+SUMIFS(Dati!$J$2:$J$761,Dati!$H$2:$H$761,$H57,Dati!$A$2:$A$761,$AH57),"-")</f>
        <v/>
      </c>
      <c r="CA57" s="22">
        <f>IF(AND($H57&lt;&gt;"",$AI57&lt;&gt;"",$H57&lt;&gt;$AI57,IFERROR(VLOOKUP($H57,areaCercaPuntiClassificaSquadra,3,FALSE),-1)=IFERROR(VLOOKUP($AI57,areaCercaPuntiClassificaSquadra,3,FALSE),-2)),SUMIFS(Dati!$D$2:$D$761,Dati!$A$2:$A$761,$H57,Dati!$H$2:$H$761,$AI57)+SUMIFS(Dati!$K$2:$K$761,Dati!$H$2:$H$761,$H57,Dati!$A$2:$A$761,$AI57)+SUMIFS(Dati!$C$2:$C$761,Dati!$A$2:$A$761,$H57,Dati!$H$2:$H$761,$AI57)+SUMIFS(Dati!$J$2:$J$761,Dati!$H$2:$H$761,$H57,Dati!$A$2:$A$761,$AI57),"-")</f>
        <v/>
      </c>
      <c r="CB57" s="22">
        <f>IF(AND($H57&lt;&gt;"",$AJ57&lt;&gt;"",$H57&lt;&gt;$AJ57,IFERROR(VLOOKUP($H57,areaCercaPuntiClassificaSquadra,3,FALSE),-1)=IFERROR(VLOOKUP($AJ57,areaCercaPuntiClassificaSquadra,3,FALSE),-2)),SUMIFS(Dati!$D$2:$D$761,Dati!$A$2:$A$761,$H57,Dati!$H$2:$H$761,$AJ57)+SUMIFS(Dati!$K$2:$K$761,Dati!$H$2:$H$761,$H57,Dati!$A$2:$A$761,$AJ57)+SUMIFS(Dati!$C$2:$C$761,Dati!$A$2:$A$761,$H57,Dati!$H$2:$H$761,$AJ57)+SUMIFS(Dati!$J$2:$J$761,Dati!$H$2:$H$761,$H57,Dati!$A$2:$A$761,$AJ57),"-")</f>
        <v/>
      </c>
      <c r="CC57" s="22">
        <f>IF(AND($H57&lt;&gt;"",$AK57&lt;&gt;"",$H57&lt;&gt;$AK57,IFERROR(VLOOKUP($H57,areaCercaPuntiClassificaSquadra,3,FALSE),-1)=IFERROR(VLOOKUP($AK57,areaCercaPuntiClassificaSquadra,3,FALSE),-2)),SUMIFS(Dati!$D$2:$D$761,Dati!$A$2:$A$761,$H57,Dati!$H$2:$H$761,$AK57)+SUMIFS(Dati!$K$2:$K$761,Dati!$H$2:$H$761,$H57,Dati!$A$2:$A$761,$AK57)+SUMIFS(Dati!$C$2:$C$761,Dati!$A$2:$A$761,$H57,Dati!$H$2:$H$761,$AK57)+SUMIFS(Dati!$J$2:$J$761,Dati!$H$2:$H$761,$H57,Dati!$A$2:$A$761,$AK57),"-")</f>
        <v/>
      </c>
      <c r="CD57" s="22">
        <f>IF(AND($H57&lt;&gt;"",$AL57&lt;&gt;"",$H57&lt;&gt;$AL57,IFERROR(VLOOKUP($H57,areaCercaPuntiClassificaSquadra,3,FALSE),-1)=IFERROR(VLOOKUP($AL57,areaCercaPuntiClassificaSquadra,3,FALSE),-2)),SUMIFS(Dati!$D$2:$D$761,Dati!$A$2:$A$761,$H57,Dati!$H$2:$H$761,$AL57)+SUMIFS(Dati!$K$2:$K$761,Dati!$H$2:$H$761,$H57,Dati!$A$2:$A$761,$AL57)+SUMIFS(Dati!$C$2:$C$761,Dati!$A$2:$A$761,$H57,Dati!$H$2:$H$761,$AL57)+SUMIFS(Dati!$J$2:$J$761,Dati!$H$2:$H$761,$H57,Dati!$A$2:$A$761,$AL57),"-")</f>
        <v/>
      </c>
      <c r="CE57" s="22">
        <f>IF(AND($H57&lt;&gt;"",$AM57&lt;&gt;"",$H57&lt;&gt;$AM57,IFERROR(VLOOKUP($H57,areaCercaPuntiClassificaSquadra,3,FALSE),-1)=IFERROR(VLOOKUP($AM57,areaCercaPuntiClassificaSquadra,3,FALSE),-2)),SUMIFS(Dati!$D$2:$D$761,Dati!$A$2:$A$761,$H57,Dati!$H$2:$H$761,$AM57)+SUMIFS(Dati!$K$2:$K$761,Dati!$H$2:$H$761,$H57,Dati!$A$2:$A$761,$AM57)+SUMIFS(Dati!$C$2:$C$761,Dati!$A$2:$A$761,$H57,Dati!$H$2:$H$761,$AM57)+SUMIFS(Dati!$J$2:$J$761,Dati!$H$2:$H$761,$H57,Dati!$A$2:$A$761,$AM57),"-")</f>
        <v/>
      </c>
      <c r="CF57" s="22">
        <f>IF(AND($H57&lt;&gt;"",$AN57&lt;&gt;"",$H57&lt;&gt;$AN57,IFERROR(VLOOKUP($H57,areaCercaPuntiClassificaSquadra,3,FALSE),-1)=IFERROR(VLOOKUP($AN57,areaCercaPuntiClassificaSquadra,3,FALSE),-2)),SUMIFS(Dati!$D$2:$D$761,Dati!$A$2:$A$761,$H57,Dati!$H$2:$H$761,$AN57)+SUMIFS(Dati!$K$2:$K$761,Dati!$H$2:$H$761,$H57,Dati!$A$2:$A$761,$AN57)+SUMIFS(Dati!$C$2:$C$761,Dati!$A$2:$A$761,$H57,Dati!$H$2:$H$761,$AN57)+SUMIFS(Dati!$J$2:$J$761,Dati!$H$2:$H$761,$H57,Dati!$A$2:$A$761,$AN57),"-")</f>
        <v/>
      </c>
      <c r="CG57" s="22">
        <f>IF(AND($H57&lt;&gt;"",$AO57&lt;&gt;"",$H57&lt;&gt;$AO57,IFERROR(VLOOKUP($H57,areaCercaPuntiClassificaSquadra,3,FALSE),-1)=IFERROR(VLOOKUP($AO57,areaCercaPuntiClassificaSquadra,3,FALSE),-2)),SUMIFS(Dati!$D$2:$D$761,Dati!$A$2:$A$761,$H57,Dati!$H$2:$H$761,$AO57)+SUMIFS(Dati!$K$2:$K$761,Dati!$H$2:$H$761,$H57,Dati!$A$2:$A$761,$AO57)+SUMIFS(Dati!$C$2:$C$761,Dati!$A$2:$A$761,$H57,Dati!$H$2:$H$761,$AO57)+SUMIFS(Dati!$J$2:$J$761,Dati!$H$2:$H$761,$H57,Dati!$A$2:$A$761,$AO57),"-")</f>
        <v/>
      </c>
      <c r="CH57" s="22">
        <f>IF(AND($H57&lt;&gt;"",$AP57&lt;&gt;"",$H57&lt;&gt;$AP57,IFERROR(VLOOKUP($H57,areaCercaPuntiClassificaSquadra,3,FALSE),-1)=IFERROR(VLOOKUP($AP57,areaCercaPuntiClassificaSquadra,3,FALSE),-2)),SUMIFS(Dati!$D$2:$D$761,Dati!$A$2:$A$761,$H57,Dati!$H$2:$H$761,$AP57)+SUMIFS(Dati!$K$2:$K$761,Dati!$H$2:$H$761,$H57,Dati!$A$2:$A$761,$AP57)+SUMIFS(Dati!$C$2:$C$761,Dati!$A$2:$A$761,$H57,Dati!$H$2:$H$761,$AP57)+SUMIFS(Dati!$J$2:$J$761,Dati!$H$2:$H$761,$H57,Dati!$A$2:$A$761,$AP57),"-")</f>
        <v/>
      </c>
      <c r="CI57" s="22">
        <f>IF(AND($H57&lt;&gt;"",$AQ57&lt;&gt;"",$H57&lt;&gt;$AQ57,IFERROR(VLOOKUP($H57,areaCercaPuntiClassificaSquadra,3,FALSE),-1)=IFERROR(VLOOKUP($AQ57,areaCercaPuntiClassificaSquadra,3,FALSE),-2)),SUMIFS(Dati!$D$2:$D$761,Dati!$A$2:$A$761,$H57,Dati!$H$2:$H$761,$AQ57)+SUMIFS(Dati!$K$2:$K$761,Dati!$H$2:$H$761,$H57,Dati!$A$2:$A$761,$AQ57)+SUMIFS(Dati!$C$2:$C$761,Dati!$A$2:$A$761,$H57,Dati!$H$2:$H$761,$AQ57)+SUMIFS(Dati!$J$2:$J$761,Dati!$H$2:$H$761,$H57,Dati!$A$2:$A$761,$AQ57),"-")</f>
        <v/>
      </c>
      <c r="CJ57" s="22">
        <f>IF(AND($H57&lt;&gt;"",$AR57&lt;&gt;"",$H57&lt;&gt;$AR57,IFERROR(VLOOKUP($H57,areaCercaPuntiClassificaSquadra,3,FALSE),-1)=IFERROR(VLOOKUP($AR57,areaCercaPuntiClassificaSquadra,3,FALSE),-2)),SUMIFS(Dati!$D$2:$D$761,Dati!$A$2:$A$761,$H57,Dati!$H$2:$H$761,$AR57)+SUMIFS(Dati!$K$2:$K$761,Dati!$H$2:$H$761,$H57,Dati!$A$2:$A$761,$AR57)+SUMIFS(Dati!$C$2:$C$761,Dati!$A$2:$A$761,$H57,Dati!$H$2:$H$761,$AR57)+SUMIFS(Dati!$J$2:$J$761,Dati!$H$2:$H$761,$H57,Dati!$A$2:$A$761,$AR57),"-")</f>
        <v/>
      </c>
      <c r="CL57" s="21">
        <f>$C57</f>
        <v/>
      </c>
      <c r="CM57" s="22">
        <f>IF(AND($H57&lt;&gt;"",$Y57&lt;&gt;"",$H57&lt;&gt;$Y57,IFERROR(VLOOKUP($H57,areaCercaPuntiClassificaSquadra,3,FALSE),-1)=IFERROR(VLOOKUP($Y57,areaCercaPuntiClassificaSquadra,3,FALSE),-2)),SUMIFS(Dati!$E$2:$E$761,Dati!$A$2:$A$761,$H57,Dati!$H$2:$H$761,$Y57)+SUMIFS(Dati!$L$2:$L$761,Dati!$H$2:$H$761,$H57,Dati!$A$2:$A$761,$Y57),"-")</f>
        <v/>
      </c>
      <c r="CN57" s="22">
        <f>IF(AND($H57&lt;&gt;"",$Z57&lt;&gt;"",$H57&lt;&gt;$Z57,IFERROR(VLOOKUP($H57,areaCercaPuntiClassificaSquadra,3,FALSE),-1)=IFERROR(VLOOKUP($Z57,areaCercaPuntiClassificaSquadra,3,FALSE),-2)),SUMIFS(Dati!$E$2:$E$761,Dati!$A$2:$A$761,$H57,Dati!$H$2:$H$761,$Z57)+SUMIFS(Dati!$L$2:$L$761,Dati!$H$2:$H$761,$H57,Dati!$A$2:$A$761,$Z57),"-")</f>
        <v/>
      </c>
      <c r="CO57" s="22">
        <f>IF(AND($H57&lt;&gt;"",$AA57&lt;&gt;"",$H57&lt;&gt;$AA57,IFERROR(VLOOKUP($H57,areaCercaPuntiClassificaSquadra,3,FALSE),-1)=IFERROR(VLOOKUP($AA57,areaCercaPuntiClassificaSquadra,3,FALSE),-2)),SUMIFS(Dati!$E$2:$E$761,Dati!$A$2:$A$761,$H57,Dati!$H$2:$H$761,$AA57)+SUMIFS(Dati!$L$2:$L$761,Dati!$H$2:$H$761,$H57,Dati!$A$2:$A$761,$AA57),"-")</f>
        <v/>
      </c>
      <c r="CP57" s="22">
        <f>IF(AND($H57&lt;&gt;"",$AB57&lt;&gt;"",$H57&lt;&gt;$AB57,IFERROR(VLOOKUP($H57,areaCercaPuntiClassificaSquadra,3,FALSE),-1)=IFERROR(VLOOKUP($AB57,areaCercaPuntiClassificaSquadra,3,FALSE),-2)),SUMIFS(Dati!$E$2:$E$761,Dati!$A$2:$A$761,$H57,Dati!$H$2:$H$761,$AB57)+SUMIFS(Dati!$L$2:$L$761,Dati!$H$2:$H$761,$H57,Dati!$A$2:$A$761,$AB57),"-")</f>
        <v/>
      </c>
      <c r="CQ57" s="22">
        <f>IF(AND($H57&lt;&gt;"",$AC57&lt;&gt;"",$H57&lt;&gt;$AC57,IFERROR(VLOOKUP($H57,areaCercaPuntiClassificaSquadra,3,FALSE),-1)=IFERROR(VLOOKUP($AC57,areaCercaPuntiClassificaSquadra,3,FALSE),-2)),SUMIFS(Dati!$E$2:$E$761,Dati!$A$2:$A$761,$H57,Dati!$H$2:$H$761,$AC57)+SUMIFS(Dati!$L$2:$L$761,Dati!$H$2:$H$761,$H57,Dati!$A$2:$A$761,$AC57),"-")</f>
        <v/>
      </c>
      <c r="CR57" s="22">
        <f>IF(AND($H57&lt;&gt;"",$AD57&lt;&gt;"",$H57&lt;&gt;$AD57,IFERROR(VLOOKUP($H57,areaCercaPuntiClassificaSquadra,3,FALSE),-1)=IFERROR(VLOOKUP($AD57,areaCercaPuntiClassificaSquadra,3,FALSE),-2)),SUMIFS(Dati!$E$2:$E$761,Dati!$A$2:$A$761,$H57,Dati!$H$2:$H$761,$AD57)+SUMIFS(Dati!$L$2:$L$761,Dati!$H$2:$H$761,$H57,Dati!$A$2:$A$761,$AD57),"-")</f>
        <v/>
      </c>
      <c r="CS57" s="22">
        <f>IF(AND($H57&lt;&gt;"",$AE57&lt;&gt;"",$H57&lt;&gt;$AE57,IFERROR(VLOOKUP($H57,areaCercaPuntiClassificaSquadra,3,FALSE),-1)=IFERROR(VLOOKUP($AE57,areaCercaPuntiClassificaSquadra,3,FALSE),-2)),SUMIFS(Dati!$E$2:$E$761,Dati!$A$2:$A$761,$H57,Dati!$H$2:$H$761,$AE57)+SUMIFS(Dati!$L$2:$L$761,Dati!$H$2:$H$761,$H57,Dati!$A$2:$A$761,$AE57),"-")</f>
        <v/>
      </c>
      <c r="CT57" s="22">
        <f>IF(AND($H57&lt;&gt;"",$AF57&lt;&gt;"",$H57&lt;&gt;$AF57,IFERROR(VLOOKUP($H57,areaCercaPuntiClassificaSquadra,3,FALSE),-1)=IFERROR(VLOOKUP($AF57,areaCercaPuntiClassificaSquadra,3,FALSE),-2)),SUMIFS(Dati!$E$2:$E$761,Dati!$A$2:$A$761,$H57,Dati!$H$2:$H$761,$AF57)+SUMIFS(Dati!$L$2:$L$761,Dati!$H$2:$H$761,$H57,Dati!$A$2:$A$761,$AF57),"-")</f>
        <v/>
      </c>
      <c r="CU57" s="22">
        <f>IF(AND($H57&lt;&gt;"",$AG57&lt;&gt;"",$H57&lt;&gt;$AG57,IFERROR(VLOOKUP($H57,areaCercaPuntiClassificaSquadra,3,FALSE),-1)=IFERROR(VLOOKUP($AG57,areaCercaPuntiClassificaSquadra,3,FALSE),-2)),SUMIFS(Dati!$E$2:$E$761,Dati!$A$2:$A$761,$H57,Dati!$H$2:$H$761,$AG57)+SUMIFS(Dati!$L$2:$L$761,Dati!$H$2:$H$761,$H57,Dati!$A$2:$A$761,$AG57),"-")</f>
        <v/>
      </c>
      <c r="CV57" s="22">
        <f>IF(AND($H57&lt;&gt;"",$AH57&lt;&gt;"",$H57&lt;&gt;$AH57,IFERROR(VLOOKUP($H57,areaCercaPuntiClassificaSquadra,3,FALSE),-1)=IFERROR(VLOOKUP($AH57,areaCercaPuntiClassificaSquadra,3,FALSE),-2)),SUMIFS(Dati!$E$2:$E$761,Dati!$A$2:$A$761,$H57,Dati!$H$2:$H$761,$AH57)+SUMIFS(Dati!$L$2:$L$761,Dati!$H$2:$H$761,$H57,Dati!$A$2:$A$761,$AH57),"-")</f>
        <v/>
      </c>
      <c r="CW57" s="22">
        <f>IF(AND($H57&lt;&gt;"",$AI57&lt;&gt;"",$H57&lt;&gt;$AI57,IFERROR(VLOOKUP($H57,areaCercaPuntiClassificaSquadra,3,FALSE),-1)=IFERROR(VLOOKUP($AI57,areaCercaPuntiClassificaSquadra,3,FALSE),-2)),SUMIFS(Dati!$E$2:$E$761,Dati!$A$2:$A$761,$H57,Dati!$H$2:$H$761,$AI57)+SUMIFS(Dati!$L$2:$L$761,Dati!$H$2:$H$761,$H57,Dati!$A$2:$A$761,$AI57),"-")</f>
        <v/>
      </c>
      <c r="CX57" s="22">
        <f>IF(AND($H57&lt;&gt;"",$AJ57&lt;&gt;"",$H57&lt;&gt;$AJ57,IFERROR(VLOOKUP($H57,areaCercaPuntiClassificaSquadra,3,FALSE),-1)=IFERROR(VLOOKUP($AJ57,areaCercaPuntiClassificaSquadra,3,FALSE),-2)),SUMIFS(Dati!$E$2:$E$761,Dati!$A$2:$A$761,$H57,Dati!$H$2:$H$761,$AJ57)+SUMIFS(Dati!$L$2:$L$761,Dati!$H$2:$H$761,$H57,Dati!$A$2:$A$761,$AJ57),"-")</f>
        <v/>
      </c>
      <c r="CY57" s="22">
        <f>IF(AND($H57&lt;&gt;"",$AK57&lt;&gt;"",$H57&lt;&gt;$AK57,IFERROR(VLOOKUP($H57,areaCercaPuntiClassificaSquadra,3,FALSE),-1)=IFERROR(VLOOKUP($AK57,areaCercaPuntiClassificaSquadra,3,FALSE),-2)),SUMIFS(Dati!$E$2:$E$761,Dati!$A$2:$A$761,$H57,Dati!$H$2:$H$761,$AK57)+SUMIFS(Dati!$L$2:$L$761,Dati!$H$2:$H$761,$H57,Dati!$A$2:$A$761,$AK57),"-")</f>
        <v/>
      </c>
      <c r="CZ57" s="22">
        <f>IF(AND($H57&lt;&gt;"",$AL57&lt;&gt;"",$H57&lt;&gt;$AL57,IFERROR(VLOOKUP($H57,areaCercaPuntiClassificaSquadra,3,FALSE),-1)=IFERROR(VLOOKUP($AL57,areaCercaPuntiClassificaSquadra,3,FALSE),-2)),SUMIFS(Dati!$E$2:$E$761,Dati!$A$2:$A$761,$H57,Dati!$H$2:$H$761,$AL57)+SUMIFS(Dati!$L$2:$L$761,Dati!$H$2:$H$761,$H57,Dati!$A$2:$A$761,$AL57),"-")</f>
        <v/>
      </c>
      <c r="DA57" s="22">
        <f>IF(AND($H57&lt;&gt;"",$AM57&lt;&gt;"",$H57&lt;&gt;$AM57,IFERROR(VLOOKUP($H57,areaCercaPuntiClassificaSquadra,3,FALSE),-1)=IFERROR(VLOOKUP($AM57,areaCercaPuntiClassificaSquadra,3,FALSE),-2)),SUMIFS(Dati!$E$2:$E$761,Dati!$A$2:$A$761,$H57,Dati!$H$2:$H$761,$AM57)+SUMIFS(Dati!$L$2:$L$761,Dati!$H$2:$H$761,$H57,Dati!$A$2:$A$761,$AM57),"-")</f>
        <v/>
      </c>
      <c r="DB57" s="22">
        <f>IF(AND($H57&lt;&gt;"",$AN57&lt;&gt;"",$H57&lt;&gt;$AN57,IFERROR(VLOOKUP($H57,areaCercaPuntiClassificaSquadra,3,FALSE),-1)=IFERROR(VLOOKUP($AN57,areaCercaPuntiClassificaSquadra,3,FALSE),-2)),SUMIFS(Dati!$E$2:$E$761,Dati!$A$2:$A$761,$H57,Dati!$H$2:$H$761,$AN57)+SUMIFS(Dati!$L$2:$L$761,Dati!$H$2:$H$761,$H57,Dati!$A$2:$A$761,$AN57),"-")</f>
        <v/>
      </c>
      <c r="DC57" s="22">
        <f>IF(AND($H57&lt;&gt;"",$AO57&lt;&gt;"",$H57&lt;&gt;$AO57,IFERROR(VLOOKUP($H57,areaCercaPuntiClassificaSquadra,3,FALSE),-1)=IFERROR(VLOOKUP($AO57,areaCercaPuntiClassificaSquadra,3,FALSE),-2)),SUMIFS(Dati!$E$2:$E$761,Dati!$A$2:$A$761,$H57,Dati!$H$2:$H$761,$AO57)+SUMIFS(Dati!$L$2:$L$761,Dati!$H$2:$H$761,$H57,Dati!$A$2:$A$761,$AO57),"-")</f>
        <v/>
      </c>
      <c r="DD57" s="22">
        <f>IF(AND($H57&lt;&gt;"",$AP57&lt;&gt;"",$H57&lt;&gt;$AP57,IFERROR(VLOOKUP($H57,areaCercaPuntiClassificaSquadra,3,FALSE),-1)=IFERROR(VLOOKUP($AP57,areaCercaPuntiClassificaSquadra,3,FALSE),-2)),SUMIFS(Dati!$E$2:$E$761,Dati!$A$2:$A$761,$H57,Dati!$H$2:$H$761,$AP57)+SUMIFS(Dati!$L$2:$L$761,Dati!$H$2:$H$761,$H57,Dati!$A$2:$A$761,$AP57),"-")</f>
        <v/>
      </c>
      <c r="DE57" s="22">
        <f>IF(AND($H57&lt;&gt;"",$AQ57&lt;&gt;"",$H57&lt;&gt;$AQ57,IFERROR(VLOOKUP($H57,areaCercaPuntiClassificaSquadra,3,FALSE),-1)=IFERROR(VLOOKUP($AQ57,areaCercaPuntiClassificaSquadra,3,FALSE),-2)),SUMIFS(Dati!$E$2:$E$761,Dati!$A$2:$A$761,$H57,Dati!$H$2:$H$761,$AQ57)+SUMIFS(Dati!$L$2:$L$761,Dati!$H$2:$H$761,$H57,Dati!$A$2:$A$761,$AQ57),"-")</f>
        <v/>
      </c>
      <c r="DF57" s="22">
        <f>IF(AND($H57&lt;&gt;"",$AR57&lt;&gt;"",$H57&lt;&gt;$AR57,IFERROR(VLOOKUP($H57,areaCercaPuntiClassificaSquadra,3,FALSE),-1)=IFERROR(VLOOKUP($AR57,areaCercaPuntiClassificaSquadra,3,FALSE),-2)),SUMIFS(Dati!$E$2:$E$761,Dati!$A$2:$A$761,$H57,Dati!$H$2:$H$761,$AR57)+SUMIFS(Dati!$L$2:$L$761,Dati!$H$2:$H$761,$H57,Dati!$A$2:$A$761,$AR57),"-")</f>
        <v/>
      </c>
      <c r="DH57" s="21">
        <f>$C57</f>
        <v/>
      </c>
      <c r="DI57" s="22">
        <f>IF(AND($H57&lt;&gt;"",$Y57&lt;&gt;"",$H57&lt;&gt;$Y57,IFERROR(VLOOKUP($H57,areaCercaPuntiClassificaSquadra,3,FALSE),-1)=IFERROR(VLOOKUP($Y57,areaCercaPuntiClassificaSquadra,3,FALSE),-2)),SUMIFS(Dati!$F$2:$F$761,Dati!$A$2:$A$761,$H57,Dati!$H$2:$H$761,$Y57)+SUMIFS(Dati!$M$2:$M$761,Dati!$H$2:$H$761,$H57,Dati!$A$2:$A$761,$Y57),"-")</f>
        <v/>
      </c>
      <c r="DJ57" s="22">
        <f>IF(AND($H57&lt;&gt;"",$Z57&lt;&gt;"",$H57&lt;&gt;$Z57,IFERROR(VLOOKUP($H57,areaCercaPuntiClassificaSquadra,3,FALSE),-1)=IFERROR(VLOOKUP($Z57,areaCercaPuntiClassificaSquadra,3,FALSE),-2)),SUMIFS(Dati!$F$2:$F$761,Dati!$A$2:$A$761,$H57,Dati!$H$2:$H$761,$Z57)+SUMIFS(Dati!$M$2:$M$761,Dati!$H$2:$H$761,$H57,Dati!$A$2:$A$761,$Z57),"-")</f>
        <v/>
      </c>
      <c r="DK57" s="22">
        <f>IF(AND($H57&lt;&gt;"",$AA57&lt;&gt;"",$H57&lt;&gt;$AA57,IFERROR(VLOOKUP($H57,areaCercaPuntiClassificaSquadra,3,FALSE),-1)=IFERROR(VLOOKUP($AA57,areaCercaPuntiClassificaSquadra,3,FALSE),-2)),SUMIFS(Dati!$F$2:$F$761,Dati!$A$2:$A$761,$H57,Dati!$H$2:$H$761,$AA57)+SUMIFS(Dati!$M$2:$M$761,Dati!$H$2:$H$761,$H57,Dati!$A$2:$A$761,$AA57),"-")</f>
        <v/>
      </c>
      <c r="DL57" s="22">
        <f>IF(AND($H57&lt;&gt;"",$AB57&lt;&gt;"",$H57&lt;&gt;$AB57,IFERROR(VLOOKUP($H57,areaCercaPuntiClassificaSquadra,3,FALSE),-1)=IFERROR(VLOOKUP($AB57,areaCercaPuntiClassificaSquadra,3,FALSE),-2)),SUMIFS(Dati!$F$2:$F$761,Dati!$A$2:$A$761,$H57,Dati!$H$2:$H$761,$AB57)+SUMIFS(Dati!$M$2:$M$761,Dati!$H$2:$H$761,$H57,Dati!$A$2:$A$761,$AB57),"-")</f>
        <v/>
      </c>
      <c r="DM57" s="22">
        <f>IF(AND($H57&lt;&gt;"",$AC57&lt;&gt;"",$H57&lt;&gt;$AC57,IFERROR(VLOOKUP($H57,areaCercaPuntiClassificaSquadra,3,FALSE),-1)=IFERROR(VLOOKUP($AC57,areaCercaPuntiClassificaSquadra,3,FALSE),-2)),SUMIFS(Dati!$F$2:$F$761,Dati!$A$2:$A$761,$H57,Dati!$H$2:$H$761,$AC57)+SUMIFS(Dati!$M$2:$M$761,Dati!$H$2:$H$761,$H57,Dati!$A$2:$A$761,$AC57),"-")</f>
        <v/>
      </c>
      <c r="DN57" s="22">
        <f>IF(AND($H57&lt;&gt;"",$AD57&lt;&gt;"",$H57&lt;&gt;$AD57,IFERROR(VLOOKUP($H57,areaCercaPuntiClassificaSquadra,3,FALSE),-1)=IFERROR(VLOOKUP($AD57,areaCercaPuntiClassificaSquadra,3,FALSE),-2)),SUMIFS(Dati!$F$2:$F$761,Dati!$A$2:$A$761,$H57,Dati!$H$2:$H$761,$AD57)+SUMIFS(Dati!$M$2:$M$761,Dati!$H$2:$H$761,$H57,Dati!$A$2:$A$761,$AD57),"-")</f>
        <v/>
      </c>
      <c r="DO57" s="22">
        <f>IF(AND($H57&lt;&gt;"",$AE57&lt;&gt;"",$H57&lt;&gt;$AE57,IFERROR(VLOOKUP($H57,areaCercaPuntiClassificaSquadra,3,FALSE),-1)=IFERROR(VLOOKUP($AE57,areaCercaPuntiClassificaSquadra,3,FALSE),-2)),SUMIFS(Dati!$F$2:$F$761,Dati!$A$2:$A$761,$H57,Dati!$H$2:$H$761,$AE57)+SUMIFS(Dati!$M$2:$M$761,Dati!$H$2:$H$761,$H57,Dati!$A$2:$A$761,$AE57),"-")</f>
        <v/>
      </c>
      <c r="DP57" s="22">
        <f>IF(AND($H57&lt;&gt;"",$AF57&lt;&gt;"",$H57&lt;&gt;$AF57,IFERROR(VLOOKUP($H57,areaCercaPuntiClassificaSquadra,3,FALSE),-1)=IFERROR(VLOOKUP($AF57,areaCercaPuntiClassificaSquadra,3,FALSE),-2)),SUMIFS(Dati!$F$2:$F$761,Dati!$A$2:$A$761,$H57,Dati!$H$2:$H$761,$AF57)+SUMIFS(Dati!$M$2:$M$761,Dati!$H$2:$H$761,$H57,Dati!$A$2:$A$761,$AF57),"-")</f>
        <v/>
      </c>
      <c r="DQ57" s="22">
        <f>IF(AND($H57&lt;&gt;"",$AG57&lt;&gt;"",$H57&lt;&gt;$AG57,IFERROR(VLOOKUP($H57,areaCercaPuntiClassificaSquadra,3,FALSE),-1)=IFERROR(VLOOKUP($AG57,areaCercaPuntiClassificaSquadra,3,FALSE),-2)),SUMIFS(Dati!$F$2:$F$761,Dati!$A$2:$A$761,$H57,Dati!$H$2:$H$761,$AG57)+SUMIFS(Dati!$M$2:$M$761,Dati!$H$2:$H$761,$H57,Dati!$A$2:$A$761,$AG57),"-")</f>
        <v/>
      </c>
      <c r="DR57" s="22">
        <f>IF(AND($H57&lt;&gt;"",$AH57&lt;&gt;"",$H57&lt;&gt;$AH57,IFERROR(VLOOKUP($H57,areaCercaPuntiClassificaSquadra,3,FALSE),-1)=IFERROR(VLOOKUP($AH57,areaCercaPuntiClassificaSquadra,3,FALSE),-2)),SUMIFS(Dati!$F$2:$F$761,Dati!$A$2:$A$761,$H57,Dati!$H$2:$H$761,$AH57)+SUMIFS(Dati!$M$2:$M$761,Dati!$H$2:$H$761,$H57,Dati!$A$2:$A$761,$AH57),"-")</f>
        <v/>
      </c>
      <c r="DS57" s="22">
        <f>IF(AND($H57&lt;&gt;"",$AI57&lt;&gt;"",$H57&lt;&gt;$AI57,IFERROR(VLOOKUP($H57,areaCercaPuntiClassificaSquadra,3,FALSE),-1)=IFERROR(VLOOKUP($AI57,areaCercaPuntiClassificaSquadra,3,FALSE),-2)),SUMIFS(Dati!$F$2:$F$761,Dati!$A$2:$A$761,$H57,Dati!$H$2:$H$761,$AI57)+SUMIFS(Dati!$M$2:$M$761,Dati!$H$2:$H$761,$H57,Dati!$A$2:$A$761,$AI57),"-")</f>
        <v/>
      </c>
      <c r="DT57" s="22">
        <f>IF(AND($H57&lt;&gt;"",$AJ57&lt;&gt;"",$H57&lt;&gt;$AJ57,IFERROR(VLOOKUP($H57,areaCercaPuntiClassificaSquadra,3,FALSE),-1)=IFERROR(VLOOKUP($AJ57,areaCercaPuntiClassificaSquadra,3,FALSE),-2)),SUMIFS(Dati!$F$2:$F$761,Dati!$A$2:$A$761,$H57,Dati!$H$2:$H$761,$AJ57)+SUMIFS(Dati!$M$2:$M$761,Dati!$H$2:$H$761,$H57,Dati!$A$2:$A$761,$AJ57),"-")</f>
        <v/>
      </c>
      <c r="DU57" s="22">
        <f>IF(AND($H57&lt;&gt;"",$AK57&lt;&gt;"",$H57&lt;&gt;$AK57,IFERROR(VLOOKUP($H57,areaCercaPuntiClassificaSquadra,3,FALSE),-1)=IFERROR(VLOOKUP($AK57,areaCercaPuntiClassificaSquadra,3,FALSE),-2)),SUMIFS(Dati!$F$2:$F$761,Dati!$A$2:$A$761,$H57,Dati!$H$2:$H$761,$AK57)+SUMIFS(Dati!$M$2:$M$761,Dati!$H$2:$H$761,$H57,Dati!$A$2:$A$761,$AK57),"-")</f>
        <v/>
      </c>
      <c r="DV57" s="22">
        <f>IF(AND($H57&lt;&gt;"",$AL57&lt;&gt;"",$H57&lt;&gt;$AL57,IFERROR(VLOOKUP($H57,areaCercaPuntiClassificaSquadra,3,FALSE),-1)=IFERROR(VLOOKUP($AL57,areaCercaPuntiClassificaSquadra,3,FALSE),-2)),SUMIFS(Dati!$F$2:$F$761,Dati!$A$2:$A$761,$H57,Dati!$H$2:$H$761,$AL57)+SUMIFS(Dati!$M$2:$M$761,Dati!$H$2:$H$761,$H57,Dati!$A$2:$A$761,$AL57),"-")</f>
        <v/>
      </c>
      <c r="DW57" s="22">
        <f>IF(AND($H57&lt;&gt;"",$AM57&lt;&gt;"",$H57&lt;&gt;$AM57,IFERROR(VLOOKUP($H57,areaCercaPuntiClassificaSquadra,3,FALSE),-1)=IFERROR(VLOOKUP($AM57,areaCercaPuntiClassificaSquadra,3,FALSE),-2)),SUMIFS(Dati!$F$2:$F$761,Dati!$A$2:$A$761,$H57,Dati!$H$2:$H$761,$AM57)+SUMIFS(Dati!$M$2:$M$761,Dati!$H$2:$H$761,$H57,Dati!$A$2:$A$761,$AM57),"-")</f>
        <v/>
      </c>
      <c r="DX57" s="22">
        <f>IF(AND($H57&lt;&gt;"",$AN57&lt;&gt;"",$H57&lt;&gt;$AN57,IFERROR(VLOOKUP($H57,areaCercaPuntiClassificaSquadra,3,FALSE),-1)=IFERROR(VLOOKUP($AN57,areaCercaPuntiClassificaSquadra,3,FALSE),-2)),SUMIFS(Dati!$F$2:$F$761,Dati!$A$2:$A$761,$H57,Dati!$H$2:$H$761,$AN57)+SUMIFS(Dati!$M$2:$M$761,Dati!$H$2:$H$761,$H57,Dati!$A$2:$A$761,$AN57),"-")</f>
        <v/>
      </c>
      <c r="DY57" s="22">
        <f>IF(AND($H57&lt;&gt;"",$AO57&lt;&gt;"",$H57&lt;&gt;$AO57,IFERROR(VLOOKUP($H57,areaCercaPuntiClassificaSquadra,3,FALSE),-1)=IFERROR(VLOOKUP($AO57,areaCercaPuntiClassificaSquadra,3,FALSE),-2)),SUMIFS(Dati!$F$2:$F$761,Dati!$A$2:$A$761,$H57,Dati!$H$2:$H$761,$AO57)+SUMIFS(Dati!$M$2:$M$761,Dati!$H$2:$H$761,$H57,Dati!$A$2:$A$761,$AO57),"-")</f>
        <v/>
      </c>
      <c r="DZ57" s="22">
        <f>IF(AND($H57&lt;&gt;"",$AP57&lt;&gt;"",$H57&lt;&gt;$AP57,IFERROR(VLOOKUP($H57,areaCercaPuntiClassificaSquadra,3,FALSE),-1)=IFERROR(VLOOKUP($AP57,areaCercaPuntiClassificaSquadra,3,FALSE),-2)),SUMIFS(Dati!$F$2:$F$761,Dati!$A$2:$A$761,$H57,Dati!$H$2:$H$761,$AP57)+SUMIFS(Dati!$M$2:$M$761,Dati!$H$2:$H$761,$H57,Dati!$A$2:$A$761,$AP57),"-")</f>
        <v/>
      </c>
      <c r="EA57" s="22">
        <f>IF(AND($H57&lt;&gt;"",$AQ57&lt;&gt;"",$H57&lt;&gt;$AQ57,IFERROR(VLOOKUP($H57,areaCercaPuntiClassificaSquadra,3,FALSE),-1)=IFERROR(VLOOKUP($AQ57,areaCercaPuntiClassificaSquadra,3,FALSE),-2)),SUMIFS(Dati!$F$2:$F$761,Dati!$A$2:$A$761,$H57,Dati!$H$2:$H$761,$AQ57)+SUMIFS(Dati!$M$2:$M$761,Dati!$H$2:$H$761,$H57,Dati!$A$2:$A$761,$AQ57),"-")</f>
        <v/>
      </c>
      <c r="EB57" s="22">
        <f>IF(AND($H57&lt;&gt;"",$AR57&lt;&gt;"",$H57&lt;&gt;$AR57,IFERROR(VLOOKUP($H57,areaCercaPuntiClassificaSquadra,3,FALSE),-1)=IFERROR(VLOOKUP($AR57,areaCercaPuntiClassificaSquadra,3,FALSE),-2)),SUMIFS(Dati!$F$2:$F$761,Dati!$A$2:$A$761,$H57,Dati!$H$2:$H$761,$AR57)+SUMIFS(Dati!$M$2:$M$761,Dati!$H$2:$H$761,$H57,Dati!$A$2:$A$761,$AR57),"-")</f>
        <v/>
      </c>
      <c r="ED57" s="22">
        <f>IF($C57="","",SUM(AU57:BN57))</f>
        <v/>
      </c>
    </row>
    <row r="58">
      <c r="B58" s="12" t="inlineStr">
        <is>
          <t>C05</t>
        </is>
      </c>
      <c r="C58" s="13" t="inlineStr">
        <is>
          <t>Nibbi Nobili-Nibbiopoli NU</t>
        </is>
      </c>
      <c r="D58" s="14" t="n"/>
      <c r="E58" s="25" t="inlineStr">
        <is>
          <t>C</t>
        </is>
      </c>
      <c r="G58" s="26">
        <f>IF($C58="","",$E58&amp;(COUNTIFS(I$14:I$93,"&gt;"&amp;I58,E$14:E$93,"="&amp;E58,C$14:C$93,"&lt;&gt;")+COUNTIFS(I$14:I$93,"="&amp;I58,H$14:H$93,"&lt;="&amp;H58,E$14:E$93,"="&amp;E58,C$14:C$93,"&lt;&gt;")))</f>
        <v/>
      </c>
      <c r="H58" s="17">
        <f>IF($C58="","",IFERROR(LEFT($C58,FIND("-",$C58)-1),$C58))</f>
        <v/>
      </c>
      <c r="I58" s="12">
        <f>TEXT(1000000000+J58,"|0000000000|")&amp;TEXT(SUM(AU58:BN58),"0000000000|")&amp;IF(SUM(DI58:EB58)=0,"0000000000|",TEXT(ROUND(SUM(CM58:DF58)/SUM(DI58:EB58),4)*100000,"0000000000|"))&amp;IF(P58=0,"0000000000|",TEXT(ROUND(O58/P58,4)*100000,"0000000000|"))</f>
        <v/>
      </c>
      <c r="J58" s="26">
        <f>L58*constPuntiVittoria+M58*constPuntiSconfitta+N58*constPuntiForfait+IF(D58="",0,D58)</f>
        <v/>
      </c>
      <c r="K58" s="12">
        <f>SUM(L58:N58)</f>
        <v/>
      </c>
      <c r="L58" s="12">
        <f>IF($H58="",0,SUMIF(Dati!$A$2:$A$761,$H58,Dati!$B$2:$B$761)+SUMIF(Dati!$H$2:$H$761,$H58,Dati!$I$2:$I$761))</f>
        <v/>
      </c>
      <c r="M58" s="12">
        <f>IF($H58="",0,SUMIF(Dati!$A$2:$A$761,$H58,Dati!$D$2:$D$761)+SUMIF(Dati!$H$2:$H$761,$H58,Dati!$K$2:$K$761))</f>
        <v/>
      </c>
      <c r="N58" s="12">
        <f>IF($H58="",0,SUMIF(Dati!$A$2:$A$761,$H58,Dati!$C$2:$C$761)+SUMIF(Dati!$H$2:$H$761,$H58,Dati!$J$2:$J$761))</f>
        <v/>
      </c>
      <c r="O58" s="12">
        <f>IF($H58="",0,SUMIF(Dati!$A$2:$A$761,$H58,Dati!$E$2:$E$761)+SUMIF(Dati!$H$2:$H$761,$H58,Dati!$L$2:$L$761))</f>
        <v/>
      </c>
      <c r="P58" s="12">
        <f>IF($H58="",0,SUMIF(Dati!$A$2:$A$761,$H58,Dati!$F$2:$F$761)+SUMIF(Dati!$H$2:$H$761,$H58,Dati!$M$2:$M$761))</f>
        <v/>
      </c>
      <c r="Q58" s="12">
        <f>IF($H58="",0,SUMIF(Dati!$A$2:$A$761,$H58,Dati!$G$2:$G$761)+SUMIF(Dati!$H$2:$H$761,$H58,Dati!$N$2:$N$761))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IF(COUNTIFS($E$14:$E$93,$E58,$J$14:$J$93,$J58,$C$14:$C$93,"&lt;&gt;")&lt;=1,"-",SUM(AU58:BN58)&amp;"-"&amp;SUM(BQ58:CJ58))</f>
        <v/>
      </c>
      <c r="V58" s="18">
        <f>IF(COUNTIFS($E$14:$E$93,$E58,$J$14:$J$93,$J58,$C$14:$C$93,"&lt;&gt;",$ED$14:$ED$93,$ED58)&lt;=1,"-",IF(SUM(DI58:EB58)=0,0,ROUND(SUM(CM58:DF58)/SUM(DI58:EB58),3)))</f>
        <v/>
      </c>
      <c r="W58" s="18">
        <f>IF(COUNTIFS($E$14:$E$93,$E58,$J$14:$J$93,$J58,$C$14:$C$93,"&lt;&gt;",$ED$14:$ED$93,$ED58,$V$14:$V$93,$V58)&lt;=1,"-",IF(P58=0,0,ROUND(O58/P58,3)))</f>
        <v/>
      </c>
      <c r="X58" s="19">
        <f>IF($C58="","",$E58&amp;"#"&amp;COUNTIFS($E$14:$E58,$E58,$C$14:$C58,"&lt;&gt;"))</f>
        <v/>
      </c>
      <c r="Y58" s="20">
        <f>IFERROR(INDEX($H$14:$H$93,MATCH($E58&amp;"#1",$X$14:$X$93,0)),"")</f>
        <v/>
      </c>
      <c r="Z58" s="20">
        <f>IFERROR(INDEX($H$14:$H$93,MATCH($E58&amp;"#2",$X$14:$X$93,0)),"")</f>
        <v/>
      </c>
      <c r="AA58" s="20">
        <f>IFERROR(INDEX($H$14:$H$93,MATCH($E58&amp;"#3",$X$14:$X$93,0)),"")</f>
        <v/>
      </c>
      <c r="AB58" s="20">
        <f>IFERROR(INDEX($H$14:$H$93,MATCH($E58&amp;"#4",$X$14:$X$93,0)),"")</f>
        <v/>
      </c>
      <c r="AC58" s="20">
        <f>IFERROR(INDEX($H$14:$H$93,MATCH($E58&amp;"#5",$X$14:$X$93,0)),"")</f>
        <v/>
      </c>
      <c r="AD58" s="20">
        <f>IFERROR(INDEX($H$14:$H$93,MATCH($E58&amp;"#6",$X$14:$X$93,0)),"")</f>
        <v/>
      </c>
      <c r="AE58" s="20">
        <f>IFERROR(INDEX($H$14:$H$93,MATCH($E58&amp;"#7",$X$14:$X$93,0)),"")</f>
        <v/>
      </c>
      <c r="AF58" s="20">
        <f>IFERROR(INDEX($H$14:$H$93,MATCH($E58&amp;"#8",$X$14:$X$93,0)),"")</f>
        <v/>
      </c>
      <c r="AG58" s="20">
        <f>IFERROR(INDEX($H$14:$H$93,MATCH($E58&amp;"#9",$X$14:$X$93,0)),"")</f>
        <v/>
      </c>
      <c r="AH58" s="20">
        <f>IFERROR(INDEX($H$14:$H$93,MATCH($E58&amp;"#10",$X$14:$X$93,0)),"")</f>
        <v/>
      </c>
      <c r="AI58" s="20">
        <f>IFERROR(INDEX($H$14:$H$93,MATCH($E58&amp;"#11",$X$14:$X$93,0)),"")</f>
        <v/>
      </c>
      <c r="AJ58" s="20">
        <f>IFERROR(INDEX($H$14:$H$93,MATCH($E58&amp;"#12",$X$14:$X$93,0)),"")</f>
        <v/>
      </c>
      <c r="AK58" s="20">
        <f>IFERROR(INDEX($H$14:$H$93,MATCH($E58&amp;"#13",$X$14:$X$93,0)),"")</f>
        <v/>
      </c>
      <c r="AL58" s="20">
        <f>IFERROR(INDEX($H$14:$H$93,MATCH($E58&amp;"#14",$X$14:$X$93,0)),"")</f>
        <v/>
      </c>
      <c r="AM58" s="20">
        <f>IFERROR(INDEX($H$14:$H$93,MATCH($E58&amp;"#15",$X$14:$X$93,0)),"")</f>
        <v/>
      </c>
      <c r="AN58" s="20">
        <f>IFERROR(INDEX($H$14:$H$93,MATCH($E58&amp;"#16",$X$14:$X$93,0)),"")</f>
        <v/>
      </c>
      <c r="AO58" s="20">
        <f>IFERROR(INDEX($H$14:$H$93,MATCH($E58&amp;"#17",$X$14:$X$93,0)),"")</f>
        <v/>
      </c>
      <c r="AP58" s="20">
        <f>IFERROR(INDEX($H$14:$H$93,MATCH($E58&amp;"#18",$X$14:$X$93,0)),"")</f>
        <v/>
      </c>
      <c r="AQ58" s="20">
        <f>IFERROR(INDEX($H$14:$H$93,MATCH($E58&amp;"#19",$X$14:$X$93,0)),"")</f>
        <v/>
      </c>
      <c r="AR58" s="20">
        <f>IFERROR(INDEX($H$14:$H$93,MATCH($E58&amp;"#20",$X$14:$X$93,0)),"")</f>
        <v/>
      </c>
      <c r="AT58" s="21">
        <f>$C58</f>
        <v/>
      </c>
      <c r="AU58" s="22">
        <f>IF(AND($H58&lt;&gt;"",$Y58&lt;&gt;"",$H58&lt;&gt;$Y58,IFERROR(VLOOKUP($H58,areaCercaPuntiClassificaSquadra,3,FALSE),-1)=IFERROR(VLOOKUP($Y58,areaCercaPuntiClassificaSquadra,3,FALSE),-2)),SUMIFS(Dati!$B$2:$B$761,Dati!$A$2:$A$761,$H58,Dati!$H$2:$H$761,$Y58)+SUMIFS(Dati!$I$2:$I$761,Dati!$H$2:$H$761,$H58,Dati!$A$2:$A$761,$Y58),"-")</f>
        <v/>
      </c>
      <c r="AV58" s="22">
        <f>IF(AND($H58&lt;&gt;"",$Z58&lt;&gt;"",$H58&lt;&gt;$Z58,IFERROR(VLOOKUP($H58,areaCercaPuntiClassificaSquadra,3,FALSE),-1)=IFERROR(VLOOKUP($Z58,areaCercaPuntiClassificaSquadra,3,FALSE),-2)),SUMIFS(Dati!$B$2:$B$761,Dati!$A$2:$A$761,$H58,Dati!$H$2:$H$761,$Z58)+SUMIFS(Dati!$I$2:$I$761,Dati!$H$2:$H$761,$H58,Dati!$A$2:$A$761,$Z58),"-")</f>
        <v/>
      </c>
      <c r="AW58" s="22">
        <f>IF(AND($H58&lt;&gt;"",$AA58&lt;&gt;"",$H58&lt;&gt;$AA58,IFERROR(VLOOKUP($H58,areaCercaPuntiClassificaSquadra,3,FALSE),-1)=IFERROR(VLOOKUP($AA58,areaCercaPuntiClassificaSquadra,3,FALSE),-2)),SUMIFS(Dati!$B$2:$B$761,Dati!$A$2:$A$761,$H58,Dati!$H$2:$H$761,$AA58)+SUMIFS(Dati!$I$2:$I$761,Dati!$H$2:$H$761,$H58,Dati!$A$2:$A$761,$AA58),"-")</f>
        <v/>
      </c>
      <c r="AX58" s="22">
        <f>IF(AND($H58&lt;&gt;"",$AB58&lt;&gt;"",$H58&lt;&gt;$AB58,IFERROR(VLOOKUP($H58,areaCercaPuntiClassificaSquadra,3,FALSE),-1)=IFERROR(VLOOKUP($AB58,areaCercaPuntiClassificaSquadra,3,FALSE),-2)),SUMIFS(Dati!$B$2:$B$761,Dati!$A$2:$A$761,$H58,Dati!$H$2:$H$761,$AB58)+SUMIFS(Dati!$I$2:$I$761,Dati!$H$2:$H$761,$H58,Dati!$A$2:$A$761,$AB58),"-")</f>
        <v/>
      </c>
      <c r="AY58" s="22">
        <f>IF(AND($H58&lt;&gt;"",$AC58&lt;&gt;"",$H58&lt;&gt;$AC58,IFERROR(VLOOKUP($H58,areaCercaPuntiClassificaSquadra,3,FALSE),-1)=IFERROR(VLOOKUP($AC58,areaCercaPuntiClassificaSquadra,3,FALSE),-2)),SUMIFS(Dati!$B$2:$B$761,Dati!$A$2:$A$761,$H58,Dati!$H$2:$H$761,$AC58)+SUMIFS(Dati!$I$2:$I$761,Dati!$H$2:$H$761,$H58,Dati!$A$2:$A$761,$AC58),"-")</f>
        <v/>
      </c>
      <c r="AZ58" s="22">
        <f>IF(AND($H58&lt;&gt;"",$AD58&lt;&gt;"",$H58&lt;&gt;$AD58,IFERROR(VLOOKUP($H58,areaCercaPuntiClassificaSquadra,3,FALSE),-1)=IFERROR(VLOOKUP($AD58,areaCercaPuntiClassificaSquadra,3,FALSE),-2)),SUMIFS(Dati!$B$2:$B$761,Dati!$A$2:$A$761,$H58,Dati!$H$2:$H$761,$AD58)+SUMIFS(Dati!$I$2:$I$761,Dati!$H$2:$H$761,$H58,Dati!$A$2:$A$761,$AD58),"-")</f>
        <v/>
      </c>
      <c r="BA58" s="22">
        <f>IF(AND($H58&lt;&gt;"",$AE58&lt;&gt;"",$H58&lt;&gt;$AE58,IFERROR(VLOOKUP($H58,areaCercaPuntiClassificaSquadra,3,FALSE),-1)=IFERROR(VLOOKUP($AE58,areaCercaPuntiClassificaSquadra,3,FALSE),-2)),SUMIFS(Dati!$B$2:$B$761,Dati!$A$2:$A$761,$H58,Dati!$H$2:$H$761,$AE58)+SUMIFS(Dati!$I$2:$I$761,Dati!$H$2:$H$761,$H58,Dati!$A$2:$A$761,$AE58),"-")</f>
        <v/>
      </c>
      <c r="BB58" s="22">
        <f>IF(AND($H58&lt;&gt;"",$AF58&lt;&gt;"",$H58&lt;&gt;$AF58,IFERROR(VLOOKUP($H58,areaCercaPuntiClassificaSquadra,3,FALSE),-1)=IFERROR(VLOOKUP($AF58,areaCercaPuntiClassificaSquadra,3,FALSE),-2)),SUMIFS(Dati!$B$2:$B$761,Dati!$A$2:$A$761,$H58,Dati!$H$2:$H$761,$AF58)+SUMIFS(Dati!$I$2:$I$761,Dati!$H$2:$H$761,$H58,Dati!$A$2:$A$761,$AF58),"-")</f>
        <v/>
      </c>
      <c r="BC58" s="22">
        <f>IF(AND($H58&lt;&gt;"",$AG58&lt;&gt;"",$H58&lt;&gt;$AG58,IFERROR(VLOOKUP($H58,areaCercaPuntiClassificaSquadra,3,FALSE),-1)=IFERROR(VLOOKUP($AG58,areaCercaPuntiClassificaSquadra,3,FALSE),-2)),SUMIFS(Dati!$B$2:$B$761,Dati!$A$2:$A$761,$H58,Dati!$H$2:$H$761,$AG58)+SUMIFS(Dati!$I$2:$I$761,Dati!$H$2:$H$761,$H58,Dati!$A$2:$A$761,$AG58),"-")</f>
        <v/>
      </c>
      <c r="BD58" s="22">
        <f>IF(AND($H58&lt;&gt;"",$AH58&lt;&gt;"",$H58&lt;&gt;$AH58,IFERROR(VLOOKUP($H58,areaCercaPuntiClassificaSquadra,3,FALSE),-1)=IFERROR(VLOOKUP($AH58,areaCercaPuntiClassificaSquadra,3,FALSE),-2)),SUMIFS(Dati!$B$2:$B$761,Dati!$A$2:$A$761,$H58,Dati!$H$2:$H$761,$AH58)+SUMIFS(Dati!$I$2:$I$761,Dati!$H$2:$H$761,$H58,Dati!$A$2:$A$761,$AH58),"-")</f>
        <v/>
      </c>
      <c r="BE58" s="22">
        <f>IF(AND($H58&lt;&gt;"",$AI58&lt;&gt;"",$H58&lt;&gt;$AI58,IFERROR(VLOOKUP($H58,areaCercaPuntiClassificaSquadra,3,FALSE),-1)=IFERROR(VLOOKUP($AI58,areaCercaPuntiClassificaSquadra,3,FALSE),-2)),SUMIFS(Dati!$B$2:$B$761,Dati!$A$2:$A$761,$H58,Dati!$H$2:$H$761,$AI58)+SUMIFS(Dati!$I$2:$I$761,Dati!$H$2:$H$761,$H58,Dati!$A$2:$A$761,$AI58),"-")</f>
        <v/>
      </c>
      <c r="BF58" s="22">
        <f>IF(AND($H58&lt;&gt;"",$AJ58&lt;&gt;"",$H58&lt;&gt;$AJ58,IFERROR(VLOOKUP($H58,areaCercaPuntiClassificaSquadra,3,FALSE),-1)=IFERROR(VLOOKUP($AJ58,areaCercaPuntiClassificaSquadra,3,FALSE),-2)),SUMIFS(Dati!$B$2:$B$761,Dati!$A$2:$A$761,$H58,Dati!$H$2:$H$761,$AJ58)+SUMIFS(Dati!$I$2:$I$761,Dati!$H$2:$H$761,$H58,Dati!$A$2:$A$761,$AJ58),"-")</f>
        <v/>
      </c>
      <c r="BG58" s="22">
        <f>IF(AND($H58&lt;&gt;"",$AK58&lt;&gt;"",$H58&lt;&gt;$AK58,IFERROR(VLOOKUP($H58,areaCercaPuntiClassificaSquadra,3,FALSE),-1)=IFERROR(VLOOKUP($AK58,areaCercaPuntiClassificaSquadra,3,FALSE),-2)),SUMIFS(Dati!$B$2:$B$761,Dati!$A$2:$A$761,$H58,Dati!$H$2:$H$761,$AK58)+SUMIFS(Dati!$I$2:$I$761,Dati!$H$2:$H$761,$H58,Dati!$A$2:$A$761,$AK58),"-")</f>
        <v/>
      </c>
      <c r="BH58" s="22">
        <f>IF(AND($H58&lt;&gt;"",$AL58&lt;&gt;"",$H58&lt;&gt;$AL58,IFERROR(VLOOKUP($H58,areaCercaPuntiClassificaSquadra,3,FALSE),-1)=IFERROR(VLOOKUP($AL58,areaCercaPuntiClassificaSquadra,3,FALSE),-2)),SUMIFS(Dati!$B$2:$B$761,Dati!$A$2:$A$761,$H58,Dati!$H$2:$H$761,$AL58)+SUMIFS(Dati!$I$2:$I$761,Dati!$H$2:$H$761,$H58,Dati!$A$2:$A$761,$AL58),"-")</f>
        <v/>
      </c>
      <c r="BI58" s="22">
        <f>IF(AND($H58&lt;&gt;"",$AM58&lt;&gt;"",$H58&lt;&gt;$AM58,IFERROR(VLOOKUP($H58,areaCercaPuntiClassificaSquadra,3,FALSE),-1)=IFERROR(VLOOKUP($AM58,areaCercaPuntiClassificaSquadra,3,FALSE),-2)),SUMIFS(Dati!$B$2:$B$761,Dati!$A$2:$A$761,$H58,Dati!$H$2:$H$761,$AM58)+SUMIFS(Dati!$I$2:$I$761,Dati!$H$2:$H$761,$H58,Dati!$A$2:$A$761,$AM58),"-")</f>
        <v/>
      </c>
      <c r="BJ58" s="22">
        <f>IF(AND($H58&lt;&gt;"",$AN58&lt;&gt;"",$H58&lt;&gt;$AN58,IFERROR(VLOOKUP($H58,areaCercaPuntiClassificaSquadra,3,FALSE),-1)=IFERROR(VLOOKUP($AN58,areaCercaPuntiClassificaSquadra,3,FALSE),-2)),SUMIFS(Dati!$B$2:$B$761,Dati!$A$2:$A$761,$H58,Dati!$H$2:$H$761,$AN58)+SUMIFS(Dati!$I$2:$I$761,Dati!$H$2:$H$761,$H58,Dati!$A$2:$A$761,$AN58),"-")</f>
        <v/>
      </c>
      <c r="BK58" s="22">
        <f>IF(AND($H58&lt;&gt;"",$AO58&lt;&gt;"",$H58&lt;&gt;$AO58,IFERROR(VLOOKUP($H58,areaCercaPuntiClassificaSquadra,3,FALSE),-1)=IFERROR(VLOOKUP($AO58,areaCercaPuntiClassificaSquadra,3,FALSE),-2)),SUMIFS(Dati!$B$2:$B$761,Dati!$A$2:$A$761,$H58,Dati!$H$2:$H$761,$AO58)+SUMIFS(Dati!$I$2:$I$761,Dati!$H$2:$H$761,$H58,Dati!$A$2:$A$761,$AO58),"-")</f>
        <v/>
      </c>
      <c r="BL58" s="22">
        <f>IF(AND($H58&lt;&gt;"",$AP58&lt;&gt;"",$H58&lt;&gt;$AP58,IFERROR(VLOOKUP($H58,areaCercaPuntiClassificaSquadra,3,FALSE),-1)=IFERROR(VLOOKUP($AP58,areaCercaPuntiClassificaSquadra,3,FALSE),-2)),SUMIFS(Dati!$B$2:$B$761,Dati!$A$2:$A$761,$H58,Dati!$H$2:$H$761,$AP58)+SUMIFS(Dati!$I$2:$I$761,Dati!$H$2:$H$761,$H58,Dati!$A$2:$A$761,$AP58),"-")</f>
        <v/>
      </c>
      <c r="BM58" s="22">
        <f>IF(AND($H58&lt;&gt;"",$AQ58&lt;&gt;"",$H58&lt;&gt;$AQ58,IFERROR(VLOOKUP($H58,areaCercaPuntiClassificaSquadra,3,FALSE),-1)=IFERROR(VLOOKUP($AQ58,areaCercaPuntiClassificaSquadra,3,FALSE),-2)),SUMIFS(Dati!$B$2:$B$761,Dati!$A$2:$A$761,$H58,Dati!$H$2:$H$761,$AQ58)+SUMIFS(Dati!$I$2:$I$761,Dati!$H$2:$H$761,$H58,Dati!$A$2:$A$761,$AQ58),"-")</f>
        <v/>
      </c>
      <c r="BN58" s="22">
        <f>IF(AND($H58&lt;&gt;"",$AR58&lt;&gt;"",$H58&lt;&gt;$AR58,IFERROR(VLOOKUP($H58,areaCercaPuntiClassificaSquadra,3,FALSE),-1)=IFERROR(VLOOKUP($AR58,areaCercaPuntiClassificaSquadra,3,FALSE),-2)),SUMIFS(Dati!$B$2:$B$761,Dati!$A$2:$A$761,$H58,Dati!$H$2:$H$761,$AR58)+SUMIFS(Dati!$I$2:$I$761,Dati!$H$2:$H$761,$H58,Dati!$A$2:$A$761,$AR58),"-")</f>
        <v/>
      </c>
      <c r="BP58" s="21">
        <f>$C58</f>
        <v/>
      </c>
      <c r="BQ58" s="22">
        <f>IF(AND($H58&lt;&gt;"",$Y58&lt;&gt;"",$H58&lt;&gt;$Y58,IFERROR(VLOOKUP($H58,areaCercaPuntiClassificaSquadra,3,FALSE),-1)=IFERROR(VLOOKUP($Y58,areaCercaPuntiClassificaSquadra,3,FALSE),-2)),SUMIFS(Dati!$D$2:$D$761,Dati!$A$2:$A$761,$H58,Dati!$H$2:$H$761,$Y58)+SUMIFS(Dati!$K$2:$K$761,Dati!$H$2:$H$761,$H58,Dati!$A$2:$A$761,$Y58)+SUMIFS(Dati!$C$2:$C$761,Dati!$A$2:$A$761,$H58,Dati!$H$2:$H$761,$Y58)+SUMIFS(Dati!$J$2:$J$761,Dati!$H$2:$H$761,$H58,Dati!$A$2:$A$761,$Y58),"-")</f>
        <v/>
      </c>
      <c r="BR58" s="22">
        <f>IF(AND($H58&lt;&gt;"",$Z58&lt;&gt;"",$H58&lt;&gt;$Z58,IFERROR(VLOOKUP($H58,areaCercaPuntiClassificaSquadra,3,FALSE),-1)=IFERROR(VLOOKUP($Z58,areaCercaPuntiClassificaSquadra,3,FALSE),-2)),SUMIFS(Dati!$D$2:$D$761,Dati!$A$2:$A$761,$H58,Dati!$H$2:$H$761,$Z58)+SUMIFS(Dati!$K$2:$K$761,Dati!$H$2:$H$761,$H58,Dati!$A$2:$A$761,$Z58)+SUMIFS(Dati!$C$2:$C$761,Dati!$A$2:$A$761,$H58,Dati!$H$2:$H$761,$Z58)+SUMIFS(Dati!$J$2:$J$761,Dati!$H$2:$H$761,$H58,Dati!$A$2:$A$761,$Z58),"-")</f>
        <v/>
      </c>
      <c r="BS58" s="22">
        <f>IF(AND($H58&lt;&gt;"",$AA58&lt;&gt;"",$H58&lt;&gt;$AA58,IFERROR(VLOOKUP($H58,areaCercaPuntiClassificaSquadra,3,FALSE),-1)=IFERROR(VLOOKUP($AA58,areaCercaPuntiClassificaSquadra,3,FALSE),-2)),SUMIFS(Dati!$D$2:$D$761,Dati!$A$2:$A$761,$H58,Dati!$H$2:$H$761,$AA58)+SUMIFS(Dati!$K$2:$K$761,Dati!$H$2:$H$761,$H58,Dati!$A$2:$A$761,$AA58)+SUMIFS(Dati!$C$2:$C$761,Dati!$A$2:$A$761,$H58,Dati!$H$2:$H$761,$AA58)+SUMIFS(Dati!$J$2:$J$761,Dati!$H$2:$H$761,$H58,Dati!$A$2:$A$761,$AA58),"-")</f>
        <v/>
      </c>
      <c r="BT58" s="22">
        <f>IF(AND($H58&lt;&gt;"",$AB58&lt;&gt;"",$H58&lt;&gt;$AB58,IFERROR(VLOOKUP($H58,areaCercaPuntiClassificaSquadra,3,FALSE),-1)=IFERROR(VLOOKUP($AB58,areaCercaPuntiClassificaSquadra,3,FALSE),-2)),SUMIFS(Dati!$D$2:$D$761,Dati!$A$2:$A$761,$H58,Dati!$H$2:$H$761,$AB58)+SUMIFS(Dati!$K$2:$K$761,Dati!$H$2:$H$761,$H58,Dati!$A$2:$A$761,$AB58)+SUMIFS(Dati!$C$2:$C$761,Dati!$A$2:$A$761,$H58,Dati!$H$2:$H$761,$AB58)+SUMIFS(Dati!$J$2:$J$761,Dati!$H$2:$H$761,$H58,Dati!$A$2:$A$761,$AB58),"-")</f>
        <v/>
      </c>
      <c r="BU58" s="22">
        <f>IF(AND($H58&lt;&gt;"",$AC58&lt;&gt;"",$H58&lt;&gt;$AC58,IFERROR(VLOOKUP($H58,areaCercaPuntiClassificaSquadra,3,FALSE),-1)=IFERROR(VLOOKUP($AC58,areaCercaPuntiClassificaSquadra,3,FALSE),-2)),SUMIFS(Dati!$D$2:$D$761,Dati!$A$2:$A$761,$H58,Dati!$H$2:$H$761,$AC58)+SUMIFS(Dati!$K$2:$K$761,Dati!$H$2:$H$761,$H58,Dati!$A$2:$A$761,$AC58)+SUMIFS(Dati!$C$2:$C$761,Dati!$A$2:$A$761,$H58,Dati!$H$2:$H$761,$AC58)+SUMIFS(Dati!$J$2:$J$761,Dati!$H$2:$H$761,$H58,Dati!$A$2:$A$761,$AC58),"-")</f>
        <v/>
      </c>
      <c r="BV58" s="22">
        <f>IF(AND($H58&lt;&gt;"",$AD58&lt;&gt;"",$H58&lt;&gt;$AD58,IFERROR(VLOOKUP($H58,areaCercaPuntiClassificaSquadra,3,FALSE),-1)=IFERROR(VLOOKUP($AD58,areaCercaPuntiClassificaSquadra,3,FALSE),-2)),SUMIFS(Dati!$D$2:$D$761,Dati!$A$2:$A$761,$H58,Dati!$H$2:$H$761,$AD58)+SUMIFS(Dati!$K$2:$K$761,Dati!$H$2:$H$761,$H58,Dati!$A$2:$A$761,$AD58)+SUMIFS(Dati!$C$2:$C$761,Dati!$A$2:$A$761,$H58,Dati!$H$2:$H$761,$AD58)+SUMIFS(Dati!$J$2:$J$761,Dati!$H$2:$H$761,$H58,Dati!$A$2:$A$761,$AD58),"-")</f>
        <v/>
      </c>
      <c r="BW58" s="22">
        <f>IF(AND($H58&lt;&gt;"",$AE58&lt;&gt;"",$H58&lt;&gt;$AE58,IFERROR(VLOOKUP($H58,areaCercaPuntiClassificaSquadra,3,FALSE),-1)=IFERROR(VLOOKUP($AE58,areaCercaPuntiClassificaSquadra,3,FALSE),-2)),SUMIFS(Dati!$D$2:$D$761,Dati!$A$2:$A$761,$H58,Dati!$H$2:$H$761,$AE58)+SUMIFS(Dati!$K$2:$K$761,Dati!$H$2:$H$761,$H58,Dati!$A$2:$A$761,$AE58)+SUMIFS(Dati!$C$2:$C$761,Dati!$A$2:$A$761,$H58,Dati!$H$2:$H$761,$AE58)+SUMIFS(Dati!$J$2:$J$761,Dati!$H$2:$H$761,$H58,Dati!$A$2:$A$761,$AE58),"-")</f>
        <v/>
      </c>
      <c r="BX58" s="22">
        <f>IF(AND($H58&lt;&gt;"",$AF58&lt;&gt;"",$H58&lt;&gt;$AF58,IFERROR(VLOOKUP($H58,areaCercaPuntiClassificaSquadra,3,FALSE),-1)=IFERROR(VLOOKUP($AF58,areaCercaPuntiClassificaSquadra,3,FALSE),-2)),SUMIFS(Dati!$D$2:$D$761,Dati!$A$2:$A$761,$H58,Dati!$H$2:$H$761,$AF58)+SUMIFS(Dati!$K$2:$K$761,Dati!$H$2:$H$761,$H58,Dati!$A$2:$A$761,$AF58)+SUMIFS(Dati!$C$2:$C$761,Dati!$A$2:$A$761,$H58,Dati!$H$2:$H$761,$AF58)+SUMIFS(Dati!$J$2:$J$761,Dati!$H$2:$H$761,$H58,Dati!$A$2:$A$761,$AF58),"-")</f>
        <v/>
      </c>
      <c r="BY58" s="22">
        <f>IF(AND($H58&lt;&gt;"",$AG58&lt;&gt;"",$H58&lt;&gt;$AG58,IFERROR(VLOOKUP($H58,areaCercaPuntiClassificaSquadra,3,FALSE),-1)=IFERROR(VLOOKUP($AG58,areaCercaPuntiClassificaSquadra,3,FALSE),-2)),SUMIFS(Dati!$D$2:$D$761,Dati!$A$2:$A$761,$H58,Dati!$H$2:$H$761,$AG58)+SUMIFS(Dati!$K$2:$K$761,Dati!$H$2:$H$761,$H58,Dati!$A$2:$A$761,$AG58)+SUMIFS(Dati!$C$2:$C$761,Dati!$A$2:$A$761,$H58,Dati!$H$2:$H$761,$AG58)+SUMIFS(Dati!$J$2:$J$761,Dati!$H$2:$H$761,$H58,Dati!$A$2:$A$761,$AG58),"-")</f>
        <v/>
      </c>
      <c r="BZ58" s="22">
        <f>IF(AND($H58&lt;&gt;"",$AH58&lt;&gt;"",$H58&lt;&gt;$AH58,IFERROR(VLOOKUP($H58,areaCercaPuntiClassificaSquadra,3,FALSE),-1)=IFERROR(VLOOKUP($AH58,areaCercaPuntiClassificaSquadra,3,FALSE),-2)),SUMIFS(Dati!$D$2:$D$761,Dati!$A$2:$A$761,$H58,Dati!$H$2:$H$761,$AH58)+SUMIFS(Dati!$K$2:$K$761,Dati!$H$2:$H$761,$H58,Dati!$A$2:$A$761,$AH58)+SUMIFS(Dati!$C$2:$C$761,Dati!$A$2:$A$761,$H58,Dati!$H$2:$H$761,$AH58)+SUMIFS(Dati!$J$2:$J$761,Dati!$H$2:$H$761,$H58,Dati!$A$2:$A$761,$AH58),"-")</f>
        <v/>
      </c>
      <c r="CA58" s="22">
        <f>IF(AND($H58&lt;&gt;"",$AI58&lt;&gt;"",$H58&lt;&gt;$AI58,IFERROR(VLOOKUP($H58,areaCercaPuntiClassificaSquadra,3,FALSE),-1)=IFERROR(VLOOKUP($AI58,areaCercaPuntiClassificaSquadra,3,FALSE),-2)),SUMIFS(Dati!$D$2:$D$761,Dati!$A$2:$A$761,$H58,Dati!$H$2:$H$761,$AI58)+SUMIFS(Dati!$K$2:$K$761,Dati!$H$2:$H$761,$H58,Dati!$A$2:$A$761,$AI58)+SUMIFS(Dati!$C$2:$C$761,Dati!$A$2:$A$761,$H58,Dati!$H$2:$H$761,$AI58)+SUMIFS(Dati!$J$2:$J$761,Dati!$H$2:$H$761,$H58,Dati!$A$2:$A$761,$AI58),"-")</f>
        <v/>
      </c>
      <c r="CB58" s="22">
        <f>IF(AND($H58&lt;&gt;"",$AJ58&lt;&gt;"",$H58&lt;&gt;$AJ58,IFERROR(VLOOKUP($H58,areaCercaPuntiClassificaSquadra,3,FALSE),-1)=IFERROR(VLOOKUP($AJ58,areaCercaPuntiClassificaSquadra,3,FALSE),-2)),SUMIFS(Dati!$D$2:$D$761,Dati!$A$2:$A$761,$H58,Dati!$H$2:$H$761,$AJ58)+SUMIFS(Dati!$K$2:$K$761,Dati!$H$2:$H$761,$H58,Dati!$A$2:$A$761,$AJ58)+SUMIFS(Dati!$C$2:$C$761,Dati!$A$2:$A$761,$H58,Dati!$H$2:$H$761,$AJ58)+SUMIFS(Dati!$J$2:$J$761,Dati!$H$2:$H$761,$H58,Dati!$A$2:$A$761,$AJ58),"-")</f>
        <v/>
      </c>
      <c r="CC58" s="22">
        <f>IF(AND($H58&lt;&gt;"",$AK58&lt;&gt;"",$H58&lt;&gt;$AK58,IFERROR(VLOOKUP($H58,areaCercaPuntiClassificaSquadra,3,FALSE),-1)=IFERROR(VLOOKUP($AK58,areaCercaPuntiClassificaSquadra,3,FALSE),-2)),SUMIFS(Dati!$D$2:$D$761,Dati!$A$2:$A$761,$H58,Dati!$H$2:$H$761,$AK58)+SUMIFS(Dati!$K$2:$K$761,Dati!$H$2:$H$761,$H58,Dati!$A$2:$A$761,$AK58)+SUMIFS(Dati!$C$2:$C$761,Dati!$A$2:$A$761,$H58,Dati!$H$2:$H$761,$AK58)+SUMIFS(Dati!$J$2:$J$761,Dati!$H$2:$H$761,$H58,Dati!$A$2:$A$761,$AK58),"-")</f>
        <v/>
      </c>
      <c r="CD58" s="22">
        <f>IF(AND($H58&lt;&gt;"",$AL58&lt;&gt;"",$H58&lt;&gt;$AL58,IFERROR(VLOOKUP($H58,areaCercaPuntiClassificaSquadra,3,FALSE),-1)=IFERROR(VLOOKUP($AL58,areaCercaPuntiClassificaSquadra,3,FALSE),-2)),SUMIFS(Dati!$D$2:$D$761,Dati!$A$2:$A$761,$H58,Dati!$H$2:$H$761,$AL58)+SUMIFS(Dati!$K$2:$K$761,Dati!$H$2:$H$761,$H58,Dati!$A$2:$A$761,$AL58)+SUMIFS(Dati!$C$2:$C$761,Dati!$A$2:$A$761,$H58,Dati!$H$2:$H$761,$AL58)+SUMIFS(Dati!$J$2:$J$761,Dati!$H$2:$H$761,$H58,Dati!$A$2:$A$761,$AL58),"-")</f>
        <v/>
      </c>
      <c r="CE58" s="22">
        <f>IF(AND($H58&lt;&gt;"",$AM58&lt;&gt;"",$H58&lt;&gt;$AM58,IFERROR(VLOOKUP($H58,areaCercaPuntiClassificaSquadra,3,FALSE),-1)=IFERROR(VLOOKUP($AM58,areaCercaPuntiClassificaSquadra,3,FALSE),-2)),SUMIFS(Dati!$D$2:$D$761,Dati!$A$2:$A$761,$H58,Dati!$H$2:$H$761,$AM58)+SUMIFS(Dati!$K$2:$K$761,Dati!$H$2:$H$761,$H58,Dati!$A$2:$A$761,$AM58)+SUMIFS(Dati!$C$2:$C$761,Dati!$A$2:$A$761,$H58,Dati!$H$2:$H$761,$AM58)+SUMIFS(Dati!$J$2:$J$761,Dati!$H$2:$H$761,$H58,Dati!$A$2:$A$761,$AM58),"-")</f>
        <v/>
      </c>
      <c r="CF58" s="22">
        <f>IF(AND($H58&lt;&gt;"",$AN58&lt;&gt;"",$H58&lt;&gt;$AN58,IFERROR(VLOOKUP($H58,areaCercaPuntiClassificaSquadra,3,FALSE),-1)=IFERROR(VLOOKUP($AN58,areaCercaPuntiClassificaSquadra,3,FALSE),-2)),SUMIFS(Dati!$D$2:$D$761,Dati!$A$2:$A$761,$H58,Dati!$H$2:$H$761,$AN58)+SUMIFS(Dati!$K$2:$K$761,Dati!$H$2:$H$761,$H58,Dati!$A$2:$A$761,$AN58)+SUMIFS(Dati!$C$2:$C$761,Dati!$A$2:$A$761,$H58,Dati!$H$2:$H$761,$AN58)+SUMIFS(Dati!$J$2:$J$761,Dati!$H$2:$H$761,$H58,Dati!$A$2:$A$761,$AN58),"-")</f>
        <v/>
      </c>
      <c r="CG58" s="22">
        <f>IF(AND($H58&lt;&gt;"",$AO58&lt;&gt;"",$H58&lt;&gt;$AO58,IFERROR(VLOOKUP($H58,areaCercaPuntiClassificaSquadra,3,FALSE),-1)=IFERROR(VLOOKUP($AO58,areaCercaPuntiClassificaSquadra,3,FALSE),-2)),SUMIFS(Dati!$D$2:$D$761,Dati!$A$2:$A$761,$H58,Dati!$H$2:$H$761,$AO58)+SUMIFS(Dati!$K$2:$K$761,Dati!$H$2:$H$761,$H58,Dati!$A$2:$A$761,$AO58)+SUMIFS(Dati!$C$2:$C$761,Dati!$A$2:$A$761,$H58,Dati!$H$2:$H$761,$AO58)+SUMIFS(Dati!$J$2:$J$761,Dati!$H$2:$H$761,$H58,Dati!$A$2:$A$761,$AO58),"-")</f>
        <v/>
      </c>
      <c r="CH58" s="22">
        <f>IF(AND($H58&lt;&gt;"",$AP58&lt;&gt;"",$H58&lt;&gt;$AP58,IFERROR(VLOOKUP($H58,areaCercaPuntiClassificaSquadra,3,FALSE),-1)=IFERROR(VLOOKUP($AP58,areaCercaPuntiClassificaSquadra,3,FALSE),-2)),SUMIFS(Dati!$D$2:$D$761,Dati!$A$2:$A$761,$H58,Dati!$H$2:$H$761,$AP58)+SUMIFS(Dati!$K$2:$K$761,Dati!$H$2:$H$761,$H58,Dati!$A$2:$A$761,$AP58)+SUMIFS(Dati!$C$2:$C$761,Dati!$A$2:$A$761,$H58,Dati!$H$2:$H$761,$AP58)+SUMIFS(Dati!$J$2:$J$761,Dati!$H$2:$H$761,$H58,Dati!$A$2:$A$761,$AP58),"-")</f>
        <v/>
      </c>
      <c r="CI58" s="22">
        <f>IF(AND($H58&lt;&gt;"",$AQ58&lt;&gt;"",$H58&lt;&gt;$AQ58,IFERROR(VLOOKUP($H58,areaCercaPuntiClassificaSquadra,3,FALSE),-1)=IFERROR(VLOOKUP($AQ58,areaCercaPuntiClassificaSquadra,3,FALSE),-2)),SUMIFS(Dati!$D$2:$D$761,Dati!$A$2:$A$761,$H58,Dati!$H$2:$H$761,$AQ58)+SUMIFS(Dati!$K$2:$K$761,Dati!$H$2:$H$761,$H58,Dati!$A$2:$A$761,$AQ58)+SUMIFS(Dati!$C$2:$C$761,Dati!$A$2:$A$761,$H58,Dati!$H$2:$H$761,$AQ58)+SUMIFS(Dati!$J$2:$J$761,Dati!$H$2:$H$761,$H58,Dati!$A$2:$A$761,$AQ58),"-")</f>
        <v/>
      </c>
      <c r="CJ58" s="22">
        <f>IF(AND($H58&lt;&gt;"",$AR58&lt;&gt;"",$H58&lt;&gt;$AR58,IFERROR(VLOOKUP($H58,areaCercaPuntiClassificaSquadra,3,FALSE),-1)=IFERROR(VLOOKUP($AR58,areaCercaPuntiClassificaSquadra,3,FALSE),-2)),SUMIFS(Dati!$D$2:$D$761,Dati!$A$2:$A$761,$H58,Dati!$H$2:$H$761,$AR58)+SUMIFS(Dati!$K$2:$K$761,Dati!$H$2:$H$761,$H58,Dati!$A$2:$A$761,$AR58)+SUMIFS(Dati!$C$2:$C$761,Dati!$A$2:$A$761,$H58,Dati!$H$2:$H$761,$AR58)+SUMIFS(Dati!$J$2:$J$761,Dati!$H$2:$H$761,$H58,Dati!$A$2:$A$761,$AR58),"-")</f>
        <v/>
      </c>
      <c r="CL58" s="21">
        <f>$C58</f>
        <v/>
      </c>
      <c r="CM58" s="22">
        <f>IF(AND($H58&lt;&gt;"",$Y58&lt;&gt;"",$H58&lt;&gt;$Y58,IFERROR(VLOOKUP($H58,areaCercaPuntiClassificaSquadra,3,FALSE),-1)=IFERROR(VLOOKUP($Y58,areaCercaPuntiClassificaSquadra,3,FALSE),-2)),SUMIFS(Dati!$E$2:$E$761,Dati!$A$2:$A$761,$H58,Dati!$H$2:$H$761,$Y58)+SUMIFS(Dati!$L$2:$L$761,Dati!$H$2:$H$761,$H58,Dati!$A$2:$A$761,$Y58),"-")</f>
        <v/>
      </c>
      <c r="CN58" s="22">
        <f>IF(AND($H58&lt;&gt;"",$Z58&lt;&gt;"",$H58&lt;&gt;$Z58,IFERROR(VLOOKUP($H58,areaCercaPuntiClassificaSquadra,3,FALSE),-1)=IFERROR(VLOOKUP($Z58,areaCercaPuntiClassificaSquadra,3,FALSE),-2)),SUMIFS(Dati!$E$2:$E$761,Dati!$A$2:$A$761,$H58,Dati!$H$2:$H$761,$Z58)+SUMIFS(Dati!$L$2:$L$761,Dati!$H$2:$H$761,$H58,Dati!$A$2:$A$761,$Z58),"-")</f>
        <v/>
      </c>
      <c r="CO58" s="22">
        <f>IF(AND($H58&lt;&gt;"",$AA58&lt;&gt;"",$H58&lt;&gt;$AA58,IFERROR(VLOOKUP($H58,areaCercaPuntiClassificaSquadra,3,FALSE),-1)=IFERROR(VLOOKUP($AA58,areaCercaPuntiClassificaSquadra,3,FALSE),-2)),SUMIFS(Dati!$E$2:$E$761,Dati!$A$2:$A$761,$H58,Dati!$H$2:$H$761,$AA58)+SUMIFS(Dati!$L$2:$L$761,Dati!$H$2:$H$761,$H58,Dati!$A$2:$A$761,$AA58),"-")</f>
        <v/>
      </c>
      <c r="CP58" s="22">
        <f>IF(AND($H58&lt;&gt;"",$AB58&lt;&gt;"",$H58&lt;&gt;$AB58,IFERROR(VLOOKUP($H58,areaCercaPuntiClassificaSquadra,3,FALSE),-1)=IFERROR(VLOOKUP($AB58,areaCercaPuntiClassificaSquadra,3,FALSE),-2)),SUMIFS(Dati!$E$2:$E$761,Dati!$A$2:$A$761,$H58,Dati!$H$2:$H$761,$AB58)+SUMIFS(Dati!$L$2:$L$761,Dati!$H$2:$H$761,$H58,Dati!$A$2:$A$761,$AB58),"-")</f>
        <v/>
      </c>
      <c r="CQ58" s="22">
        <f>IF(AND($H58&lt;&gt;"",$AC58&lt;&gt;"",$H58&lt;&gt;$AC58,IFERROR(VLOOKUP($H58,areaCercaPuntiClassificaSquadra,3,FALSE),-1)=IFERROR(VLOOKUP($AC58,areaCercaPuntiClassificaSquadra,3,FALSE),-2)),SUMIFS(Dati!$E$2:$E$761,Dati!$A$2:$A$761,$H58,Dati!$H$2:$H$761,$AC58)+SUMIFS(Dati!$L$2:$L$761,Dati!$H$2:$H$761,$H58,Dati!$A$2:$A$761,$AC58),"-")</f>
        <v/>
      </c>
      <c r="CR58" s="22">
        <f>IF(AND($H58&lt;&gt;"",$AD58&lt;&gt;"",$H58&lt;&gt;$AD58,IFERROR(VLOOKUP($H58,areaCercaPuntiClassificaSquadra,3,FALSE),-1)=IFERROR(VLOOKUP($AD58,areaCercaPuntiClassificaSquadra,3,FALSE),-2)),SUMIFS(Dati!$E$2:$E$761,Dati!$A$2:$A$761,$H58,Dati!$H$2:$H$761,$AD58)+SUMIFS(Dati!$L$2:$L$761,Dati!$H$2:$H$761,$H58,Dati!$A$2:$A$761,$AD58),"-")</f>
        <v/>
      </c>
      <c r="CS58" s="22">
        <f>IF(AND($H58&lt;&gt;"",$AE58&lt;&gt;"",$H58&lt;&gt;$AE58,IFERROR(VLOOKUP($H58,areaCercaPuntiClassificaSquadra,3,FALSE),-1)=IFERROR(VLOOKUP($AE58,areaCercaPuntiClassificaSquadra,3,FALSE),-2)),SUMIFS(Dati!$E$2:$E$761,Dati!$A$2:$A$761,$H58,Dati!$H$2:$H$761,$AE58)+SUMIFS(Dati!$L$2:$L$761,Dati!$H$2:$H$761,$H58,Dati!$A$2:$A$761,$AE58),"-")</f>
        <v/>
      </c>
      <c r="CT58" s="22">
        <f>IF(AND($H58&lt;&gt;"",$AF58&lt;&gt;"",$H58&lt;&gt;$AF58,IFERROR(VLOOKUP($H58,areaCercaPuntiClassificaSquadra,3,FALSE),-1)=IFERROR(VLOOKUP($AF58,areaCercaPuntiClassificaSquadra,3,FALSE),-2)),SUMIFS(Dati!$E$2:$E$761,Dati!$A$2:$A$761,$H58,Dati!$H$2:$H$761,$AF58)+SUMIFS(Dati!$L$2:$L$761,Dati!$H$2:$H$761,$H58,Dati!$A$2:$A$761,$AF58),"-")</f>
        <v/>
      </c>
      <c r="CU58" s="22">
        <f>IF(AND($H58&lt;&gt;"",$AG58&lt;&gt;"",$H58&lt;&gt;$AG58,IFERROR(VLOOKUP($H58,areaCercaPuntiClassificaSquadra,3,FALSE),-1)=IFERROR(VLOOKUP($AG58,areaCercaPuntiClassificaSquadra,3,FALSE),-2)),SUMIFS(Dati!$E$2:$E$761,Dati!$A$2:$A$761,$H58,Dati!$H$2:$H$761,$AG58)+SUMIFS(Dati!$L$2:$L$761,Dati!$H$2:$H$761,$H58,Dati!$A$2:$A$761,$AG58),"-")</f>
        <v/>
      </c>
      <c r="CV58" s="22">
        <f>IF(AND($H58&lt;&gt;"",$AH58&lt;&gt;"",$H58&lt;&gt;$AH58,IFERROR(VLOOKUP($H58,areaCercaPuntiClassificaSquadra,3,FALSE),-1)=IFERROR(VLOOKUP($AH58,areaCercaPuntiClassificaSquadra,3,FALSE),-2)),SUMIFS(Dati!$E$2:$E$761,Dati!$A$2:$A$761,$H58,Dati!$H$2:$H$761,$AH58)+SUMIFS(Dati!$L$2:$L$761,Dati!$H$2:$H$761,$H58,Dati!$A$2:$A$761,$AH58),"-")</f>
        <v/>
      </c>
      <c r="CW58" s="22">
        <f>IF(AND($H58&lt;&gt;"",$AI58&lt;&gt;"",$H58&lt;&gt;$AI58,IFERROR(VLOOKUP($H58,areaCercaPuntiClassificaSquadra,3,FALSE),-1)=IFERROR(VLOOKUP($AI58,areaCercaPuntiClassificaSquadra,3,FALSE),-2)),SUMIFS(Dati!$E$2:$E$761,Dati!$A$2:$A$761,$H58,Dati!$H$2:$H$761,$AI58)+SUMIFS(Dati!$L$2:$L$761,Dati!$H$2:$H$761,$H58,Dati!$A$2:$A$761,$AI58),"-")</f>
        <v/>
      </c>
      <c r="CX58" s="22">
        <f>IF(AND($H58&lt;&gt;"",$AJ58&lt;&gt;"",$H58&lt;&gt;$AJ58,IFERROR(VLOOKUP($H58,areaCercaPuntiClassificaSquadra,3,FALSE),-1)=IFERROR(VLOOKUP($AJ58,areaCercaPuntiClassificaSquadra,3,FALSE),-2)),SUMIFS(Dati!$E$2:$E$761,Dati!$A$2:$A$761,$H58,Dati!$H$2:$H$761,$AJ58)+SUMIFS(Dati!$L$2:$L$761,Dati!$H$2:$H$761,$H58,Dati!$A$2:$A$761,$AJ58),"-")</f>
        <v/>
      </c>
      <c r="CY58" s="22">
        <f>IF(AND($H58&lt;&gt;"",$AK58&lt;&gt;"",$H58&lt;&gt;$AK58,IFERROR(VLOOKUP($H58,areaCercaPuntiClassificaSquadra,3,FALSE),-1)=IFERROR(VLOOKUP($AK58,areaCercaPuntiClassificaSquadra,3,FALSE),-2)),SUMIFS(Dati!$E$2:$E$761,Dati!$A$2:$A$761,$H58,Dati!$H$2:$H$761,$AK58)+SUMIFS(Dati!$L$2:$L$761,Dati!$H$2:$H$761,$H58,Dati!$A$2:$A$761,$AK58),"-")</f>
        <v/>
      </c>
      <c r="CZ58" s="22">
        <f>IF(AND($H58&lt;&gt;"",$AL58&lt;&gt;"",$H58&lt;&gt;$AL58,IFERROR(VLOOKUP($H58,areaCercaPuntiClassificaSquadra,3,FALSE),-1)=IFERROR(VLOOKUP($AL58,areaCercaPuntiClassificaSquadra,3,FALSE),-2)),SUMIFS(Dati!$E$2:$E$761,Dati!$A$2:$A$761,$H58,Dati!$H$2:$H$761,$AL58)+SUMIFS(Dati!$L$2:$L$761,Dati!$H$2:$H$761,$H58,Dati!$A$2:$A$761,$AL58),"-")</f>
        <v/>
      </c>
      <c r="DA58" s="22">
        <f>IF(AND($H58&lt;&gt;"",$AM58&lt;&gt;"",$H58&lt;&gt;$AM58,IFERROR(VLOOKUP($H58,areaCercaPuntiClassificaSquadra,3,FALSE),-1)=IFERROR(VLOOKUP($AM58,areaCercaPuntiClassificaSquadra,3,FALSE),-2)),SUMIFS(Dati!$E$2:$E$761,Dati!$A$2:$A$761,$H58,Dati!$H$2:$H$761,$AM58)+SUMIFS(Dati!$L$2:$L$761,Dati!$H$2:$H$761,$H58,Dati!$A$2:$A$761,$AM58),"-")</f>
        <v/>
      </c>
      <c r="DB58" s="22">
        <f>IF(AND($H58&lt;&gt;"",$AN58&lt;&gt;"",$H58&lt;&gt;$AN58,IFERROR(VLOOKUP($H58,areaCercaPuntiClassificaSquadra,3,FALSE),-1)=IFERROR(VLOOKUP($AN58,areaCercaPuntiClassificaSquadra,3,FALSE),-2)),SUMIFS(Dati!$E$2:$E$761,Dati!$A$2:$A$761,$H58,Dati!$H$2:$H$761,$AN58)+SUMIFS(Dati!$L$2:$L$761,Dati!$H$2:$H$761,$H58,Dati!$A$2:$A$761,$AN58),"-")</f>
        <v/>
      </c>
      <c r="DC58" s="22">
        <f>IF(AND($H58&lt;&gt;"",$AO58&lt;&gt;"",$H58&lt;&gt;$AO58,IFERROR(VLOOKUP($H58,areaCercaPuntiClassificaSquadra,3,FALSE),-1)=IFERROR(VLOOKUP($AO58,areaCercaPuntiClassificaSquadra,3,FALSE),-2)),SUMIFS(Dati!$E$2:$E$761,Dati!$A$2:$A$761,$H58,Dati!$H$2:$H$761,$AO58)+SUMIFS(Dati!$L$2:$L$761,Dati!$H$2:$H$761,$H58,Dati!$A$2:$A$761,$AO58),"-")</f>
        <v/>
      </c>
      <c r="DD58" s="22">
        <f>IF(AND($H58&lt;&gt;"",$AP58&lt;&gt;"",$H58&lt;&gt;$AP58,IFERROR(VLOOKUP($H58,areaCercaPuntiClassificaSquadra,3,FALSE),-1)=IFERROR(VLOOKUP($AP58,areaCercaPuntiClassificaSquadra,3,FALSE),-2)),SUMIFS(Dati!$E$2:$E$761,Dati!$A$2:$A$761,$H58,Dati!$H$2:$H$761,$AP58)+SUMIFS(Dati!$L$2:$L$761,Dati!$H$2:$H$761,$H58,Dati!$A$2:$A$761,$AP58),"-")</f>
        <v/>
      </c>
      <c r="DE58" s="22">
        <f>IF(AND($H58&lt;&gt;"",$AQ58&lt;&gt;"",$H58&lt;&gt;$AQ58,IFERROR(VLOOKUP($H58,areaCercaPuntiClassificaSquadra,3,FALSE),-1)=IFERROR(VLOOKUP($AQ58,areaCercaPuntiClassificaSquadra,3,FALSE),-2)),SUMIFS(Dati!$E$2:$E$761,Dati!$A$2:$A$761,$H58,Dati!$H$2:$H$761,$AQ58)+SUMIFS(Dati!$L$2:$L$761,Dati!$H$2:$H$761,$H58,Dati!$A$2:$A$761,$AQ58),"-")</f>
        <v/>
      </c>
      <c r="DF58" s="22">
        <f>IF(AND($H58&lt;&gt;"",$AR58&lt;&gt;"",$H58&lt;&gt;$AR58,IFERROR(VLOOKUP($H58,areaCercaPuntiClassificaSquadra,3,FALSE),-1)=IFERROR(VLOOKUP($AR58,areaCercaPuntiClassificaSquadra,3,FALSE),-2)),SUMIFS(Dati!$E$2:$E$761,Dati!$A$2:$A$761,$H58,Dati!$H$2:$H$761,$AR58)+SUMIFS(Dati!$L$2:$L$761,Dati!$H$2:$H$761,$H58,Dati!$A$2:$A$761,$AR58),"-")</f>
        <v/>
      </c>
      <c r="DH58" s="21">
        <f>$C58</f>
        <v/>
      </c>
      <c r="DI58" s="22">
        <f>IF(AND($H58&lt;&gt;"",$Y58&lt;&gt;"",$H58&lt;&gt;$Y58,IFERROR(VLOOKUP($H58,areaCercaPuntiClassificaSquadra,3,FALSE),-1)=IFERROR(VLOOKUP($Y58,areaCercaPuntiClassificaSquadra,3,FALSE),-2)),SUMIFS(Dati!$F$2:$F$761,Dati!$A$2:$A$761,$H58,Dati!$H$2:$H$761,$Y58)+SUMIFS(Dati!$M$2:$M$761,Dati!$H$2:$H$761,$H58,Dati!$A$2:$A$761,$Y58),"-")</f>
        <v/>
      </c>
      <c r="DJ58" s="22">
        <f>IF(AND($H58&lt;&gt;"",$Z58&lt;&gt;"",$H58&lt;&gt;$Z58,IFERROR(VLOOKUP($H58,areaCercaPuntiClassificaSquadra,3,FALSE),-1)=IFERROR(VLOOKUP($Z58,areaCercaPuntiClassificaSquadra,3,FALSE),-2)),SUMIFS(Dati!$F$2:$F$761,Dati!$A$2:$A$761,$H58,Dati!$H$2:$H$761,$Z58)+SUMIFS(Dati!$M$2:$M$761,Dati!$H$2:$H$761,$H58,Dati!$A$2:$A$761,$Z58),"-")</f>
        <v/>
      </c>
      <c r="DK58" s="22">
        <f>IF(AND($H58&lt;&gt;"",$AA58&lt;&gt;"",$H58&lt;&gt;$AA58,IFERROR(VLOOKUP($H58,areaCercaPuntiClassificaSquadra,3,FALSE),-1)=IFERROR(VLOOKUP($AA58,areaCercaPuntiClassificaSquadra,3,FALSE),-2)),SUMIFS(Dati!$F$2:$F$761,Dati!$A$2:$A$761,$H58,Dati!$H$2:$H$761,$AA58)+SUMIFS(Dati!$M$2:$M$761,Dati!$H$2:$H$761,$H58,Dati!$A$2:$A$761,$AA58),"-")</f>
        <v/>
      </c>
      <c r="DL58" s="22">
        <f>IF(AND($H58&lt;&gt;"",$AB58&lt;&gt;"",$H58&lt;&gt;$AB58,IFERROR(VLOOKUP($H58,areaCercaPuntiClassificaSquadra,3,FALSE),-1)=IFERROR(VLOOKUP($AB58,areaCercaPuntiClassificaSquadra,3,FALSE),-2)),SUMIFS(Dati!$F$2:$F$761,Dati!$A$2:$A$761,$H58,Dati!$H$2:$H$761,$AB58)+SUMIFS(Dati!$M$2:$M$761,Dati!$H$2:$H$761,$H58,Dati!$A$2:$A$761,$AB58),"-")</f>
        <v/>
      </c>
      <c r="DM58" s="22">
        <f>IF(AND($H58&lt;&gt;"",$AC58&lt;&gt;"",$H58&lt;&gt;$AC58,IFERROR(VLOOKUP($H58,areaCercaPuntiClassificaSquadra,3,FALSE),-1)=IFERROR(VLOOKUP($AC58,areaCercaPuntiClassificaSquadra,3,FALSE),-2)),SUMIFS(Dati!$F$2:$F$761,Dati!$A$2:$A$761,$H58,Dati!$H$2:$H$761,$AC58)+SUMIFS(Dati!$M$2:$M$761,Dati!$H$2:$H$761,$H58,Dati!$A$2:$A$761,$AC58),"-")</f>
        <v/>
      </c>
      <c r="DN58" s="22">
        <f>IF(AND($H58&lt;&gt;"",$AD58&lt;&gt;"",$H58&lt;&gt;$AD58,IFERROR(VLOOKUP($H58,areaCercaPuntiClassificaSquadra,3,FALSE),-1)=IFERROR(VLOOKUP($AD58,areaCercaPuntiClassificaSquadra,3,FALSE),-2)),SUMIFS(Dati!$F$2:$F$761,Dati!$A$2:$A$761,$H58,Dati!$H$2:$H$761,$AD58)+SUMIFS(Dati!$M$2:$M$761,Dati!$H$2:$H$761,$H58,Dati!$A$2:$A$761,$AD58),"-")</f>
        <v/>
      </c>
      <c r="DO58" s="22">
        <f>IF(AND($H58&lt;&gt;"",$AE58&lt;&gt;"",$H58&lt;&gt;$AE58,IFERROR(VLOOKUP($H58,areaCercaPuntiClassificaSquadra,3,FALSE),-1)=IFERROR(VLOOKUP($AE58,areaCercaPuntiClassificaSquadra,3,FALSE),-2)),SUMIFS(Dati!$F$2:$F$761,Dati!$A$2:$A$761,$H58,Dati!$H$2:$H$761,$AE58)+SUMIFS(Dati!$M$2:$M$761,Dati!$H$2:$H$761,$H58,Dati!$A$2:$A$761,$AE58),"-")</f>
        <v/>
      </c>
      <c r="DP58" s="22">
        <f>IF(AND($H58&lt;&gt;"",$AF58&lt;&gt;"",$H58&lt;&gt;$AF58,IFERROR(VLOOKUP($H58,areaCercaPuntiClassificaSquadra,3,FALSE),-1)=IFERROR(VLOOKUP($AF58,areaCercaPuntiClassificaSquadra,3,FALSE),-2)),SUMIFS(Dati!$F$2:$F$761,Dati!$A$2:$A$761,$H58,Dati!$H$2:$H$761,$AF58)+SUMIFS(Dati!$M$2:$M$761,Dati!$H$2:$H$761,$H58,Dati!$A$2:$A$761,$AF58),"-")</f>
        <v/>
      </c>
      <c r="DQ58" s="22">
        <f>IF(AND($H58&lt;&gt;"",$AG58&lt;&gt;"",$H58&lt;&gt;$AG58,IFERROR(VLOOKUP($H58,areaCercaPuntiClassificaSquadra,3,FALSE),-1)=IFERROR(VLOOKUP($AG58,areaCercaPuntiClassificaSquadra,3,FALSE),-2)),SUMIFS(Dati!$F$2:$F$761,Dati!$A$2:$A$761,$H58,Dati!$H$2:$H$761,$AG58)+SUMIFS(Dati!$M$2:$M$761,Dati!$H$2:$H$761,$H58,Dati!$A$2:$A$761,$AG58),"-")</f>
        <v/>
      </c>
      <c r="DR58" s="22">
        <f>IF(AND($H58&lt;&gt;"",$AH58&lt;&gt;"",$H58&lt;&gt;$AH58,IFERROR(VLOOKUP($H58,areaCercaPuntiClassificaSquadra,3,FALSE),-1)=IFERROR(VLOOKUP($AH58,areaCercaPuntiClassificaSquadra,3,FALSE),-2)),SUMIFS(Dati!$F$2:$F$761,Dati!$A$2:$A$761,$H58,Dati!$H$2:$H$761,$AH58)+SUMIFS(Dati!$M$2:$M$761,Dati!$H$2:$H$761,$H58,Dati!$A$2:$A$761,$AH58),"-")</f>
        <v/>
      </c>
      <c r="DS58" s="22">
        <f>IF(AND($H58&lt;&gt;"",$AI58&lt;&gt;"",$H58&lt;&gt;$AI58,IFERROR(VLOOKUP($H58,areaCercaPuntiClassificaSquadra,3,FALSE),-1)=IFERROR(VLOOKUP($AI58,areaCercaPuntiClassificaSquadra,3,FALSE),-2)),SUMIFS(Dati!$F$2:$F$761,Dati!$A$2:$A$761,$H58,Dati!$H$2:$H$761,$AI58)+SUMIFS(Dati!$M$2:$M$761,Dati!$H$2:$H$761,$H58,Dati!$A$2:$A$761,$AI58),"-")</f>
        <v/>
      </c>
      <c r="DT58" s="22">
        <f>IF(AND($H58&lt;&gt;"",$AJ58&lt;&gt;"",$H58&lt;&gt;$AJ58,IFERROR(VLOOKUP($H58,areaCercaPuntiClassificaSquadra,3,FALSE),-1)=IFERROR(VLOOKUP($AJ58,areaCercaPuntiClassificaSquadra,3,FALSE),-2)),SUMIFS(Dati!$F$2:$F$761,Dati!$A$2:$A$761,$H58,Dati!$H$2:$H$761,$AJ58)+SUMIFS(Dati!$M$2:$M$761,Dati!$H$2:$H$761,$H58,Dati!$A$2:$A$761,$AJ58),"-")</f>
        <v/>
      </c>
      <c r="DU58" s="22">
        <f>IF(AND($H58&lt;&gt;"",$AK58&lt;&gt;"",$H58&lt;&gt;$AK58,IFERROR(VLOOKUP($H58,areaCercaPuntiClassificaSquadra,3,FALSE),-1)=IFERROR(VLOOKUP($AK58,areaCercaPuntiClassificaSquadra,3,FALSE),-2)),SUMIFS(Dati!$F$2:$F$761,Dati!$A$2:$A$761,$H58,Dati!$H$2:$H$761,$AK58)+SUMIFS(Dati!$M$2:$M$761,Dati!$H$2:$H$761,$H58,Dati!$A$2:$A$761,$AK58),"-")</f>
        <v/>
      </c>
      <c r="DV58" s="22">
        <f>IF(AND($H58&lt;&gt;"",$AL58&lt;&gt;"",$H58&lt;&gt;$AL58,IFERROR(VLOOKUP($H58,areaCercaPuntiClassificaSquadra,3,FALSE),-1)=IFERROR(VLOOKUP($AL58,areaCercaPuntiClassificaSquadra,3,FALSE),-2)),SUMIFS(Dati!$F$2:$F$761,Dati!$A$2:$A$761,$H58,Dati!$H$2:$H$761,$AL58)+SUMIFS(Dati!$M$2:$M$761,Dati!$H$2:$H$761,$H58,Dati!$A$2:$A$761,$AL58),"-")</f>
        <v/>
      </c>
      <c r="DW58" s="22">
        <f>IF(AND($H58&lt;&gt;"",$AM58&lt;&gt;"",$H58&lt;&gt;$AM58,IFERROR(VLOOKUP($H58,areaCercaPuntiClassificaSquadra,3,FALSE),-1)=IFERROR(VLOOKUP($AM58,areaCercaPuntiClassificaSquadra,3,FALSE),-2)),SUMIFS(Dati!$F$2:$F$761,Dati!$A$2:$A$761,$H58,Dati!$H$2:$H$761,$AM58)+SUMIFS(Dati!$M$2:$M$761,Dati!$H$2:$H$761,$H58,Dati!$A$2:$A$761,$AM58),"-")</f>
        <v/>
      </c>
      <c r="DX58" s="22">
        <f>IF(AND($H58&lt;&gt;"",$AN58&lt;&gt;"",$H58&lt;&gt;$AN58,IFERROR(VLOOKUP($H58,areaCercaPuntiClassificaSquadra,3,FALSE),-1)=IFERROR(VLOOKUP($AN58,areaCercaPuntiClassificaSquadra,3,FALSE),-2)),SUMIFS(Dati!$F$2:$F$761,Dati!$A$2:$A$761,$H58,Dati!$H$2:$H$761,$AN58)+SUMIFS(Dati!$M$2:$M$761,Dati!$H$2:$H$761,$H58,Dati!$A$2:$A$761,$AN58),"-")</f>
        <v/>
      </c>
      <c r="DY58" s="22">
        <f>IF(AND($H58&lt;&gt;"",$AO58&lt;&gt;"",$H58&lt;&gt;$AO58,IFERROR(VLOOKUP($H58,areaCercaPuntiClassificaSquadra,3,FALSE),-1)=IFERROR(VLOOKUP($AO58,areaCercaPuntiClassificaSquadra,3,FALSE),-2)),SUMIFS(Dati!$F$2:$F$761,Dati!$A$2:$A$761,$H58,Dati!$H$2:$H$761,$AO58)+SUMIFS(Dati!$M$2:$M$761,Dati!$H$2:$H$761,$H58,Dati!$A$2:$A$761,$AO58),"-")</f>
        <v/>
      </c>
      <c r="DZ58" s="22">
        <f>IF(AND($H58&lt;&gt;"",$AP58&lt;&gt;"",$H58&lt;&gt;$AP58,IFERROR(VLOOKUP($H58,areaCercaPuntiClassificaSquadra,3,FALSE),-1)=IFERROR(VLOOKUP($AP58,areaCercaPuntiClassificaSquadra,3,FALSE),-2)),SUMIFS(Dati!$F$2:$F$761,Dati!$A$2:$A$761,$H58,Dati!$H$2:$H$761,$AP58)+SUMIFS(Dati!$M$2:$M$761,Dati!$H$2:$H$761,$H58,Dati!$A$2:$A$761,$AP58),"-")</f>
        <v/>
      </c>
      <c r="EA58" s="22">
        <f>IF(AND($H58&lt;&gt;"",$AQ58&lt;&gt;"",$H58&lt;&gt;$AQ58,IFERROR(VLOOKUP($H58,areaCercaPuntiClassificaSquadra,3,FALSE),-1)=IFERROR(VLOOKUP($AQ58,areaCercaPuntiClassificaSquadra,3,FALSE),-2)),SUMIFS(Dati!$F$2:$F$761,Dati!$A$2:$A$761,$H58,Dati!$H$2:$H$761,$AQ58)+SUMIFS(Dati!$M$2:$M$761,Dati!$H$2:$H$761,$H58,Dati!$A$2:$A$761,$AQ58),"-")</f>
        <v/>
      </c>
      <c r="EB58" s="22">
        <f>IF(AND($H58&lt;&gt;"",$AR58&lt;&gt;"",$H58&lt;&gt;$AR58,IFERROR(VLOOKUP($H58,areaCercaPuntiClassificaSquadra,3,FALSE),-1)=IFERROR(VLOOKUP($AR58,areaCercaPuntiClassificaSquadra,3,FALSE),-2)),SUMIFS(Dati!$F$2:$F$761,Dati!$A$2:$A$761,$H58,Dati!$H$2:$H$761,$AR58)+SUMIFS(Dati!$M$2:$M$761,Dati!$H$2:$H$761,$H58,Dati!$A$2:$A$761,$AR58),"-")</f>
        <v/>
      </c>
      <c r="ED58" s="22">
        <f>IF($C58="","",SUM(AU58:BN58))</f>
        <v/>
      </c>
    </row>
    <row r="59">
      <c r="B59" s="12" t="inlineStr">
        <is>
          <t>C06</t>
        </is>
      </c>
      <c r="C59" s="13" t="inlineStr">
        <is>
          <t>Orche Onorevoli-Orcheopoli OA</t>
        </is>
      </c>
      <c r="D59" s="14" t="n"/>
      <c r="E59" s="25" t="inlineStr">
        <is>
          <t>C</t>
        </is>
      </c>
      <c r="G59" s="26">
        <f>IF($C59="","",$E59&amp;(COUNTIFS(I$14:I$93,"&gt;"&amp;I59,E$14:E$93,"="&amp;E59,C$14:C$93,"&lt;&gt;")+COUNTIFS(I$14:I$93,"="&amp;I59,H$14:H$93,"&lt;="&amp;H59,E$14:E$93,"="&amp;E59,C$14:C$93,"&lt;&gt;")))</f>
        <v/>
      </c>
      <c r="H59" s="17">
        <f>IF($C59="","",IFERROR(LEFT($C59,FIND("-",$C59)-1),$C59))</f>
        <v/>
      </c>
      <c r="I59" s="12">
        <f>TEXT(1000000000+J59,"|0000000000|")&amp;TEXT(SUM(AU59:BN59),"0000000000|")&amp;IF(SUM(DI59:EB59)=0,"0000000000|",TEXT(ROUND(SUM(CM59:DF59)/SUM(DI59:EB59),4)*100000,"0000000000|"))&amp;IF(P59=0,"0000000000|",TEXT(ROUND(O59/P59,4)*100000,"0000000000|"))</f>
        <v/>
      </c>
      <c r="J59" s="26">
        <f>L59*constPuntiVittoria+M59*constPuntiSconfitta+N59*constPuntiForfait+IF(D59="",0,D59)</f>
        <v/>
      </c>
      <c r="K59" s="12">
        <f>SUM(L59:N59)</f>
        <v/>
      </c>
      <c r="L59" s="12">
        <f>IF($H59="",0,SUMIF(Dati!$A$2:$A$761,$H59,Dati!$B$2:$B$761)+SUMIF(Dati!$H$2:$H$761,$H59,Dati!$I$2:$I$761))</f>
        <v/>
      </c>
      <c r="M59" s="12">
        <f>IF($H59="",0,SUMIF(Dati!$A$2:$A$761,$H59,Dati!$D$2:$D$761)+SUMIF(Dati!$H$2:$H$761,$H59,Dati!$K$2:$K$761))</f>
        <v/>
      </c>
      <c r="N59" s="12">
        <f>IF($H59="",0,SUMIF(Dati!$A$2:$A$761,$H59,Dati!$C$2:$C$761)+SUMIF(Dati!$H$2:$H$761,$H59,Dati!$J$2:$J$761))</f>
        <v/>
      </c>
      <c r="O59" s="12">
        <f>IF($H59="",0,SUMIF(Dati!$A$2:$A$761,$H59,Dati!$E$2:$E$761)+SUMIF(Dati!$H$2:$H$761,$H59,Dati!$L$2:$L$761))</f>
        <v/>
      </c>
      <c r="P59" s="12">
        <f>IF($H59="",0,SUMIF(Dati!$A$2:$A$761,$H59,Dati!$F$2:$F$761)+SUMIF(Dati!$H$2:$H$761,$H59,Dati!$M$2:$M$761))</f>
        <v/>
      </c>
      <c r="Q59" s="12">
        <f>IF($H59="",0,SUMIF(Dati!$A$2:$A$761,$H59,Dati!$G$2:$G$761)+SUMIF(Dati!$H$2:$H$761,$H59,Dati!$N$2:$N$761))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IF(COUNTIFS($E$14:$E$93,$E59,$J$14:$J$93,$J59,$C$14:$C$93,"&lt;&gt;")&lt;=1,"-",SUM(AU59:BN59)&amp;"-"&amp;SUM(BQ59:CJ59))</f>
        <v/>
      </c>
      <c r="V59" s="18">
        <f>IF(COUNTIFS($E$14:$E$93,$E59,$J$14:$J$93,$J59,$C$14:$C$93,"&lt;&gt;",$ED$14:$ED$93,$ED59)&lt;=1,"-",IF(SUM(DI59:EB59)=0,0,ROUND(SUM(CM59:DF59)/SUM(DI59:EB59),3)))</f>
        <v/>
      </c>
      <c r="W59" s="18">
        <f>IF(COUNTIFS($E$14:$E$93,$E59,$J$14:$J$93,$J59,$C$14:$C$93,"&lt;&gt;",$ED$14:$ED$93,$ED59,$V$14:$V$93,$V59)&lt;=1,"-",IF(P59=0,0,ROUND(O59/P59,3)))</f>
        <v/>
      </c>
      <c r="X59" s="19">
        <f>IF($C59="","",$E59&amp;"#"&amp;COUNTIFS($E$14:$E59,$E59,$C$14:$C59,"&lt;&gt;"))</f>
        <v/>
      </c>
      <c r="Y59" s="20">
        <f>IFERROR(INDEX($H$14:$H$93,MATCH($E59&amp;"#1",$X$14:$X$93,0)),"")</f>
        <v/>
      </c>
      <c r="Z59" s="20">
        <f>IFERROR(INDEX($H$14:$H$93,MATCH($E59&amp;"#2",$X$14:$X$93,0)),"")</f>
        <v/>
      </c>
      <c r="AA59" s="20">
        <f>IFERROR(INDEX($H$14:$H$93,MATCH($E59&amp;"#3",$X$14:$X$93,0)),"")</f>
        <v/>
      </c>
      <c r="AB59" s="20">
        <f>IFERROR(INDEX($H$14:$H$93,MATCH($E59&amp;"#4",$X$14:$X$93,0)),"")</f>
        <v/>
      </c>
      <c r="AC59" s="20">
        <f>IFERROR(INDEX($H$14:$H$93,MATCH($E59&amp;"#5",$X$14:$X$93,0)),"")</f>
        <v/>
      </c>
      <c r="AD59" s="20">
        <f>IFERROR(INDEX($H$14:$H$93,MATCH($E59&amp;"#6",$X$14:$X$93,0)),"")</f>
        <v/>
      </c>
      <c r="AE59" s="20">
        <f>IFERROR(INDEX($H$14:$H$93,MATCH($E59&amp;"#7",$X$14:$X$93,0)),"")</f>
        <v/>
      </c>
      <c r="AF59" s="20">
        <f>IFERROR(INDEX($H$14:$H$93,MATCH($E59&amp;"#8",$X$14:$X$93,0)),"")</f>
        <v/>
      </c>
      <c r="AG59" s="20">
        <f>IFERROR(INDEX($H$14:$H$93,MATCH($E59&amp;"#9",$X$14:$X$93,0)),"")</f>
        <v/>
      </c>
      <c r="AH59" s="20">
        <f>IFERROR(INDEX($H$14:$H$93,MATCH($E59&amp;"#10",$X$14:$X$93,0)),"")</f>
        <v/>
      </c>
      <c r="AI59" s="20">
        <f>IFERROR(INDEX($H$14:$H$93,MATCH($E59&amp;"#11",$X$14:$X$93,0)),"")</f>
        <v/>
      </c>
      <c r="AJ59" s="20">
        <f>IFERROR(INDEX($H$14:$H$93,MATCH($E59&amp;"#12",$X$14:$X$93,0)),"")</f>
        <v/>
      </c>
      <c r="AK59" s="20">
        <f>IFERROR(INDEX($H$14:$H$93,MATCH($E59&amp;"#13",$X$14:$X$93,0)),"")</f>
        <v/>
      </c>
      <c r="AL59" s="20">
        <f>IFERROR(INDEX($H$14:$H$93,MATCH($E59&amp;"#14",$X$14:$X$93,0)),"")</f>
        <v/>
      </c>
      <c r="AM59" s="20">
        <f>IFERROR(INDEX($H$14:$H$93,MATCH($E59&amp;"#15",$X$14:$X$93,0)),"")</f>
        <v/>
      </c>
      <c r="AN59" s="20">
        <f>IFERROR(INDEX($H$14:$H$93,MATCH($E59&amp;"#16",$X$14:$X$93,0)),"")</f>
        <v/>
      </c>
      <c r="AO59" s="20">
        <f>IFERROR(INDEX($H$14:$H$93,MATCH($E59&amp;"#17",$X$14:$X$93,0)),"")</f>
        <v/>
      </c>
      <c r="AP59" s="20">
        <f>IFERROR(INDEX($H$14:$H$93,MATCH($E59&amp;"#18",$X$14:$X$93,0)),"")</f>
        <v/>
      </c>
      <c r="AQ59" s="20">
        <f>IFERROR(INDEX($H$14:$H$93,MATCH($E59&amp;"#19",$X$14:$X$93,0)),"")</f>
        <v/>
      </c>
      <c r="AR59" s="20">
        <f>IFERROR(INDEX($H$14:$H$93,MATCH($E59&amp;"#20",$X$14:$X$93,0)),"")</f>
        <v/>
      </c>
      <c r="AT59" s="21">
        <f>$C59</f>
        <v/>
      </c>
      <c r="AU59" s="22">
        <f>IF(AND($H59&lt;&gt;"",$Y59&lt;&gt;"",$H59&lt;&gt;$Y59,IFERROR(VLOOKUP($H59,areaCercaPuntiClassificaSquadra,3,FALSE),-1)=IFERROR(VLOOKUP($Y59,areaCercaPuntiClassificaSquadra,3,FALSE),-2)),SUMIFS(Dati!$B$2:$B$761,Dati!$A$2:$A$761,$H59,Dati!$H$2:$H$761,$Y59)+SUMIFS(Dati!$I$2:$I$761,Dati!$H$2:$H$761,$H59,Dati!$A$2:$A$761,$Y59),"-")</f>
        <v/>
      </c>
      <c r="AV59" s="22">
        <f>IF(AND($H59&lt;&gt;"",$Z59&lt;&gt;"",$H59&lt;&gt;$Z59,IFERROR(VLOOKUP($H59,areaCercaPuntiClassificaSquadra,3,FALSE),-1)=IFERROR(VLOOKUP($Z59,areaCercaPuntiClassificaSquadra,3,FALSE),-2)),SUMIFS(Dati!$B$2:$B$761,Dati!$A$2:$A$761,$H59,Dati!$H$2:$H$761,$Z59)+SUMIFS(Dati!$I$2:$I$761,Dati!$H$2:$H$761,$H59,Dati!$A$2:$A$761,$Z59),"-")</f>
        <v/>
      </c>
      <c r="AW59" s="22">
        <f>IF(AND($H59&lt;&gt;"",$AA59&lt;&gt;"",$H59&lt;&gt;$AA59,IFERROR(VLOOKUP($H59,areaCercaPuntiClassificaSquadra,3,FALSE),-1)=IFERROR(VLOOKUP($AA59,areaCercaPuntiClassificaSquadra,3,FALSE),-2)),SUMIFS(Dati!$B$2:$B$761,Dati!$A$2:$A$761,$H59,Dati!$H$2:$H$761,$AA59)+SUMIFS(Dati!$I$2:$I$761,Dati!$H$2:$H$761,$H59,Dati!$A$2:$A$761,$AA59),"-")</f>
        <v/>
      </c>
      <c r="AX59" s="22">
        <f>IF(AND($H59&lt;&gt;"",$AB59&lt;&gt;"",$H59&lt;&gt;$AB59,IFERROR(VLOOKUP($H59,areaCercaPuntiClassificaSquadra,3,FALSE),-1)=IFERROR(VLOOKUP($AB59,areaCercaPuntiClassificaSquadra,3,FALSE),-2)),SUMIFS(Dati!$B$2:$B$761,Dati!$A$2:$A$761,$H59,Dati!$H$2:$H$761,$AB59)+SUMIFS(Dati!$I$2:$I$761,Dati!$H$2:$H$761,$H59,Dati!$A$2:$A$761,$AB59),"-")</f>
        <v/>
      </c>
      <c r="AY59" s="22">
        <f>IF(AND($H59&lt;&gt;"",$AC59&lt;&gt;"",$H59&lt;&gt;$AC59,IFERROR(VLOOKUP($H59,areaCercaPuntiClassificaSquadra,3,FALSE),-1)=IFERROR(VLOOKUP($AC59,areaCercaPuntiClassificaSquadra,3,FALSE),-2)),SUMIFS(Dati!$B$2:$B$761,Dati!$A$2:$A$761,$H59,Dati!$H$2:$H$761,$AC59)+SUMIFS(Dati!$I$2:$I$761,Dati!$H$2:$H$761,$H59,Dati!$A$2:$A$761,$AC59),"-")</f>
        <v/>
      </c>
      <c r="AZ59" s="22">
        <f>IF(AND($H59&lt;&gt;"",$AD59&lt;&gt;"",$H59&lt;&gt;$AD59,IFERROR(VLOOKUP($H59,areaCercaPuntiClassificaSquadra,3,FALSE),-1)=IFERROR(VLOOKUP($AD59,areaCercaPuntiClassificaSquadra,3,FALSE),-2)),SUMIFS(Dati!$B$2:$B$761,Dati!$A$2:$A$761,$H59,Dati!$H$2:$H$761,$AD59)+SUMIFS(Dati!$I$2:$I$761,Dati!$H$2:$H$761,$H59,Dati!$A$2:$A$761,$AD59),"-")</f>
        <v/>
      </c>
      <c r="BA59" s="22">
        <f>IF(AND($H59&lt;&gt;"",$AE59&lt;&gt;"",$H59&lt;&gt;$AE59,IFERROR(VLOOKUP($H59,areaCercaPuntiClassificaSquadra,3,FALSE),-1)=IFERROR(VLOOKUP($AE59,areaCercaPuntiClassificaSquadra,3,FALSE),-2)),SUMIFS(Dati!$B$2:$B$761,Dati!$A$2:$A$761,$H59,Dati!$H$2:$H$761,$AE59)+SUMIFS(Dati!$I$2:$I$761,Dati!$H$2:$H$761,$H59,Dati!$A$2:$A$761,$AE59),"-")</f>
        <v/>
      </c>
      <c r="BB59" s="22">
        <f>IF(AND($H59&lt;&gt;"",$AF59&lt;&gt;"",$H59&lt;&gt;$AF59,IFERROR(VLOOKUP($H59,areaCercaPuntiClassificaSquadra,3,FALSE),-1)=IFERROR(VLOOKUP($AF59,areaCercaPuntiClassificaSquadra,3,FALSE),-2)),SUMIFS(Dati!$B$2:$B$761,Dati!$A$2:$A$761,$H59,Dati!$H$2:$H$761,$AF59)+SUMIFS(Dati!$I$2:$I$761,Dati!$H$2:$H$761,$H59,Dati!$A$2:$A$761,$AF59),"-")</f>
        <v/>
      </c>
      <c r="BC59" s="22">
        <f>IF(AND($H59&lt;&gt;"",$AG59&lt;&gt;"",$H59&lt;&gt;$AG59,IFERROR(VLOOKUP($H59,areaCercaPuntiClassificaSquadra,3,FALSE),-1)=IFERROR(VLOOKUP($AG59,areaCercaPuntiClassificaSquadra,3,FALSE),-2)),SUMIFS(Dati!$B$2:$B$761,Dati!$A$2:$A$761,$H59,Dati!$H$2:$H$761,$AG59)+SUMIFS(Dati!$I$2:$I$761,Dati!$H$2:$H$761,$H59,Dati!$A$2:$A$761,$AG59),"-")</f>
        <v/>
      </c>
      <c r="BD59" s="22">
        <f>IF(AND($H59&lt;&gt;"",$AH59&lt;&gt;"",$H59&lt;&gt;$AH59,IFERROR(VLOOKUP($H59,areaCercaPuntiClassificaSquadra,3,FALSE),-1)=IFERROR(VLOOKUP($AH59,areaCercaPuntiClassificaSquadra,3,FALSE),-2)),SUMIFS(Dati!$B$2:$B$761,Dati!$A$2:$A$761,$H59,Dati!$H$2:$H$761,$AH59)+SUMIFS(Dati!$I$2:$I$761,Dati!$H$2:$H$761,$H59,Dati!$A$2:$A$761,$AH59),"-")</f>
        <v/>
      </c>
      <c r="BE59" s="22">
        <f>IF(AND($H59&lt;&gt;"",$AI59&lt;&gt;"",$H59&lt;&gt;$AI59,IFERROR(VLOOKUP($H59,areaCercaPuntiClassificaSquadra,3,FALSE),-1)=IFERROR(VLOOKUP($AI59,areaCercaPuntiClassificaSquadra,3,FALSE),-2)),SUMIFS(Dati!$B$2:$B$761,Dati!$A$2:$A$761,$H59,Dati!$H$2:$H$761,$AI59)+SUMIFS(Dati!$I$2:$I$761,Dati!$H$2:$H$761,$H59,Dati!$A$2:$A$761,$AI59),"-")</f>
        <v/>
      </c>
      <c r="BF59" s="22">
        <f>IF(AND($H59&lt;&gt;"",$AJ59&lt;&gt;"",$H59&lt;&gt;$AJ59,IFERROR(VLOOKUP($H59,areaCercaPuntiClassificaSquadra,3,FALSE),-1)=IFERROR(VLOOKUP($AJ59,areaCercaPuntiClassificaSquadra,3,FALSE),-2)),SUMIFS(Dati!$B$2:$B$761,Dati!$A$2:$A$761,$H59,Dati!$H$2:$H$761,$AJ59)+SUMIFS(Dati!$I$2:$I$761,Dati!$H$2:$H$761,$H59,Dati!$A$2:$A$761,$AJ59),"-")</f>
        <v/>
      </c>
      <c r="BG59" s="22">
        <f>IF(AND($H59&lt;&gt;"",$AK59&lt;&gt;"",$H59&lt;&gt;$AK59,IFERROR(VLOOKUP($H59,areaCercaPuntiClassificaSquadra,3,FALSE),-1)=IFERROR(VLOOKUP($AK59,areaCercaPuntiClassificaSquadra,3,FALSE),-2)),SUMIFS(Dati!$B$2:$B$761,Dati!$A$2:$A$761,$H59,Dati!$H$2:$H$761,$AK59)+SUMIFS(Dati!$I$2:$I$761,Dati!$H$2:$H$761,$H59,Dati!$A$2:$A$761,$AK59),"-")</f>
        <v/>
      </c>
      <c r="BH59" s="22">
        <f>IF(AND($H59&lt;&gt;"",$AL59&lt;&gt;"",$H59&lt;&gt;$AL59,IFERROR(VLOOKUP($H59,areaCercaPuntiClassificaSquadra,3,FALSE),-1)=IFERROR(VLOOKUP($AL59,areaCercaPuntiClassificaSquadra,3,FALSE),-2)),SUMIFS(Dati!$B$2:$B$761,Dati!$A$2:$A$761,$H59,Dati!$H$2:$H$761,$AL59)+SUMIFS(Dati!$I$2:$I$761,Dati!$H$2:$H$761,$H59,Dati!$A$2:$A$761,$AL59),"-")</f>
        <v/>
      </c>
      <c r="BI59" s="22">
        <f>IF(AND($H59&lt;&gt;"",$AM59&lt;&gt;"",$H59&lt;&gt;$AM59,IFERROR(VLOOKUP($H59,areaCercaPuntiClassificaSquadra,3,FALSE),-1)=IFERROR(VLOOKUP($AM59,areaCercaPuntiClassificaSquadra,3,FALSE),-2)),SUMIFS(Dati!$B$2:$B$761,Dati!$A$2:$A$761,$H59,Dati!$H$2:$H$761,$AM59)+SUMIFS(Dati!$I$2:$I$761,Dati!$H$2:$H$761,$H59,Dati!$A$2:$A$761,$AM59),"-")</f>
        <v/>
      </c>
      <c r="BJ59" s="22">
        <f>IF(AND($H59&lt;&gt;"",$AN59&lt;&gt;"",$H59&lt;&gt;$AN59,IFERROR(VLOOKUP($H59,areaCercaPuntiClassificaSquadra,3,FALSE),-1)=IFERROR(VLOOKUP($AN59,areaCercaPuntiClassificaSquadra,3,FALSE),-2)),SUMIFS(Dati!$B$2:$B$761,Dati!$A$2:$A$761,$H59,Dati!$H$2:$H$761,$AN59)+SUMIFS(Dati!$I$2:$I$761,Dati!$H$2:$H$761,$H59,Dati!$A$2:$A$761,$AN59),"-")</f>
        <v/>
      </c>
      <c r="BK59" s="22">
        <f>IF(AND($H59&lt;&gt;"",$AO59&lt;&gt;"",$H59&lt;&gt;$AO59,IFERROR(VLOOKUP($H59,areaCercaPuntiClassificaSquadra,3,FALSE),-1)=IFERROR(VLOOKUP($AO59,areaCercaPuntiClassificaSquadra,3,FALSE),-2)),SUMIFS(Dati!$B$2:$B$761,Dati!$A$2:$A$761,$H59,Dati!$H$2:$H$761,$AO59)+SUMIFS(Dati!$I$2:$I$761,Dati!$H$2:$H$761,$H59,Dati!$A$2:$A$761,$AO59),"-")</f>
        <v/>
      </c>
      <c r="BL59" s="22">
        <f>IF(AND($H59&lt;&gt;"",$AP59&lt;&gt;"",$H59&lt;&gt;$AP59,IFERROR(VLOOKUP($H59,areaCercaPuntiClassificaSquadra,3,FALSE),-1)=IFERROR(VLOOKUP($AP59,areaCercaPuntiClassificaSquadra,3,FALSE),-2)),SUMIFS(Dati!$B$2:$B$761,Dati!$A$2:$A$761,$H59,Dati!$H$2:$H$761,$AP59)+SUMIFS(Dati!$I$2:$I$761,Dati!$H$2:$H$761,$H59,Dati!$A$2:$A$761,$AP59),"-")</f>
        <v/>
      </c>
      <c r="BM59" s="22">
        <f>IF(AND($H59&lt;&gt;"",$AQ59&lt;&gt;"",$H59&lt;&gt;$AQ59,IFERROR(VLOOKUP($H59,areaCercaPuntiClassificaSquadra,3,FALSE),-1)=IFERROR(VLOOKUP($AQ59,areaCercaPuntiClassificaSquadra,3,FALSE),-2)),SUMIFS(Dati!$B$2:$B$761,Dati!$A$2:$A$761,$H59,Dati!$H$2:$H$761,$AQ59)+SUMIFS(Dati!$I$2:$I$761,Dati!$H$2:$H$761,$H59,Dati!$A$2:$A$761,$AQ59),"-")</f>
        <v/>
      </c>
      <c r="BN59" s="22">
        <f>IF(AND($H59&lt;&gt;"",$AR59&lt;&gt;"",$H59&lt;&gt;$AR59,IFERROR(VLOOKUP($H59,areaCercaPuntiClassificaSquadra,3,FALSE),-1)=IFERROR(VLOOKUP($AR59,areaCercaPuntiClassificaSquadra,3,FALSE),-2)),SUMIFS(Dati!$B$2:$B$761,Dati!$A$2:$A$761,$H59,Dati!$H$2:$H$761,$AR59)+SUMIFS(Dati!$I$2:$I$761,Dati!$H$2:$H$761,$H59,Dati!$A$2:$A$761,$AR59),"-")</f>
        <v/>
      </c>
      <c r="BP59" s="21">
        <f>$C59</f>
        <v/>
      </c>
      <c r="BQ59" s="22">
        <f>IF(AND($H59&lt;&gt;"",$Y59&lt;&gt;"",$H59&lt;&gt;$Y59,IFERROR(VLOOKUP($H59,areaCercaPuntiClassificaSquadra,3,FALSE),-1)=IFERROR(VLOOKUP($Y59,areaCercaPuntiClassificaSquadra,3,FALSE),-2)),SUMIFS(Dati!$D$2:$D$761,Dati!$A$2:$A$761,$H59,Dati!$H$2:$H$761,$Y59)+SUMIFS(Dati!$K$2:$K$761,Dati!$H$2:$H$761,$H59,Dati!$A$2:$A$761,$Y59)+SUMIFS(Dati!$C$2:$C$761,Dati!$A$2:$A$761,$H59,Dati!$H$2:$H$761,$Y59)+SUMIFS(Dati!$J$2:$J$761,Dati!$H$2:$H$761,$H59,Dati!$A$2:$A$761,$Y59),"-")</f>
        <v/>
      </c>
      <c r="BR59" s="22">
        <f>IF(AND($H59&lt;&gt;"",$Z59&lt;&gt;"",$H59&lt;&gt;$Z59,IFERROR(VLOOKUP($H59,areaCercaPuntiClassificaSquadra,3,FALSE),-1)=IFERROR(VLOOKUP($Z59,areaCercaPuntiClassificaSquadra,3,FALSE),-2)),SUMIFS(Dati!$D$2:$D$761,Dati!$A$2:$A$761,$H59,Dati!$H$2:$H$761,$Z59)+SUMIFS(Dati!$K$2:$K$761,Dati!$H$2:$H$761,$H59,Dati!$A$2:$A$761,$Z59)+SUMIFS(Dati!$C$2:$C$761,Dati!$A$2:$A$761,$H59,Dati!$H$2:$H$761,$Z59)+SUMIFS(Dati!$J$2:$J$761,Dati!$H$2:$H$761,$H59,Dati!$A$2:$A$761,$Z59),"-")</f>
        <v/>
      </c>
      <c r="BS59" s="22">
        <f>IF(AND($H59&lt;&gt;"",$AA59&lt;&gt;"",$H59&lt;&gt;$AA59,IFERROR(VLOOKUP($H59,areaCercaPuntiClassificaSquadra,3,FALSE),-1)=IFERROR(VLOOKUP($AA59,areaCercaPuntiClassificaSquadra,3,FALSE),-2)),SUMIFS(Dati!$D$2:$D$761,Dati!$A$2:$A$761,$H59,Dati!$H$2:$H$761,$AA59)+SUMIFS(Dati!$K$2:$K$761,Dati!$H$2:$H$761,$H59,Dati!$A$2:$A$761,$AA59)+SUMIFS(Dati!$C$2:$C$761,Dati!$A$2:$A$761,$H59,Dati!$H$2:$H$761,$AA59)+SUMIFS(Dati!$J$2:$J$761,Dati!$H$2:$H$761,$H59,Dati!$A$2:$A$761,$AA59),"-")</f>
        <v/>
      </c>
      <c r="BT59" s="22">
        <f>IF(AND($H59&lt;&gt;"",$AB59&lt;&gt;"",$H59&lt;&gt;$AB59,IFERROR(VLOOKUP($H59,areaCercaPuntiClassificaSquadra,3,FALSE),-1)=IFERROR(VLOOKUP($AB59,areaCercaPuntiClassificaSquadra,3,FALSE),-2)),SUMIFS(Dati!$D$2:$D$761,Dati!$A$2:$A$761,$H59,Dati!$H$2:$H$761,$AB59)+SUMIFS(Dati!$K$2:$K$761,Dati!$H$2:$H$761,$H59,Dati!$A$2:$A$761,$AB59)+SUMIFS(Dati!$C$2:$C$761,Dati!$A$2:$A$761,$H59,Dati!$H$2:$H$761,$AB59)+SUMIFS(Dati!$J$2:$J$761,Dati!$H$2:$H$761,$H59,Dati!$A$2:$A$761,$AB59),"-")</f>
        <v/>
      </c>
      <c r="BU59" s="22">
        <f>IF(AND($H59&lt;&gt;"",$AC59&lt;&gt;"",$H59&lt;&gt;$AC59,IFERROR(VLOOKUP($H59,areaCercaPuntiClassificaSquadra,3,FALSE),-1)=IFERROR(VLOOKUP($AC59,areaCercaPuntiClassificaSquadra,3,FALSE),-2)),SUMIFS(Dati!$D$2:$D$761,Dati!$A$2:$A$761,$H59,Dati!$H$2:$H$761,$AC59)+SUMIFS(Dati!$K$2:$K$761,Dati!$H$2:$H$761,$H59,Dati!$A$2:$A$761,$AC59)+SUMIFS(Dati!$C$2:$C$761,Dati!$A$2:$A$761,$H59,Dati!$H$2:$H$761,$AC59)+SUMIFS(Dati!$J$2:$J$761,Dati!$H$2:$H$761,$H59,Dati!$A$2:$A$761,$AC59),"-")</f>
        <v/>
      </c>
      <c r="BV59" s="22">
        <f>IF(AND($H59&lt;&gt;"",$AD59&lt;&gt;"",$H59&lt;&gt;$AD59,IFERROR(VLOOKUP($H59,areaCercaPuntiClassificaSquadra,3,FALSE),-1)=IFERROR(VLOOKUP($AD59,areaCercaPuntiClassificaSquadra,3,FALSE),-2)),SUMIFS(Dati!$D$2:$D$761,Dati!$A$2:$A$761,$H59,Dati!$H$2:$H$761,$AD59)+SUMIFS(Dati!$K$2:$K$761,Dati!$H$2:$H$761,$H59,Dati!$A$2:$A$761,$AD59)+SUMIFS(Dati!$C$2:$C$761,Dati!$A$2:$A$761,$H59,Dati!$H$2:$H$761,$AD59)+SUMIFS(Dati!$J$2:$J$761,Dati!$H$2:$H$761,$H59,Dati!$A$2:$A$761,$AD59),"-")</f>
        <v/>
      </c>
      <c r="BW59" s="22">
        <f>IF(AND($H59&lt;&gt;"",$AE59&lt;&gt;"",$H59&lt;&gt;$AE59,IFERROR(VLOOKUP($H59,areaCercaPuntiClassificaSquadra,3,FALSE),-1)=IFERROR(VLOOKUP($AE59,areaCercaPuntiClassificaSquadra,3,FALSE),-2)),SUMIFS(Dati!$D$2:$D$761,Dati!$A$2:$A$761,$H59,Dati!$H$2:$H$761,$AE59)+SUMIFS(Dati!$K$2:$K$761,Dati!$H$2:$H$761,$H59,Dati!$A$2:$A$761,$AE59)+SUMIFS(Dati!$C$2:$C$761,Dati!$A$2:$A$761,$H59,Dati!$H$2:$H$761,$AE59)+SUMIFS(Dati!$J$2:$J$761,Dati!$H$2:$H$761,$H59,Dati!$A$2:$A$761,$AE59),"-")</f>
        <v/>
      </c>
      <c r="BX59" s="22">
        <f>IF(AND($H59&lt;&gt;"",$AF59&lt;&gt;"",$H59&lt;&gt;$AF59,IFERROR(VLOOKUP($H59,areaCercaPuntiClassificaSquadra,3,FALSE),-1)=IFERROR(VLOOKUP($AF59,areaCercaPuntiClassificaSquadra,3,FALSE),-2)),SUMIFS(Dati!$D$2:$D$761,Dati!$A$2:$A$761,$H59,Dati!$H$2:$H$761,$AF59)+SUMIFS(Dati!$K$2:$K$761,Dati!$H$2:$H$761,$H59,Dati!$A$2:$A$761,$AF59)+SUMIFS(Dati!$C$2:$C$761,Dati!$A$2:$A$761,$H59,Dati!$H$2:$H$761,$AF59)+SUMIFS(Dati!$J$2:$J$761,Dati!$H$2:$H$761,$H59,Dati!$A$2:$A$761,$AF59),"-")</f>
        <v/>
      </c>
      <c r="BY59" s="22">
        <f>IF(AND($H59&lt;&gt;"",$AG59&lt;&gt;"",$H59&lt;&gt;$AG59,IFERROR(VLOOKUP($H59,areaCercaPuntiClassificaSquadra,3,FALSE),-1)=IFERROR(VLOOKUP($AG59,areaCercaPuntiClassificaSquadra,3,FALSE),-2)),SUMIFS(Dati!$D$2:$D$761,Dati!$A$2:$A$761,$H59,Dati!$H$2:$H$761,$AG59)+SUMIFS(Dati!$K$2:$K$761,Dati!$H$2:$H$761,$H59,Dati!$A$2:$A$761,$AG59)+SUMIFS(Dati!$C$2:$C$761,Dati!$A$2:$A$761,$H59,Dati!$H$2:$H$761,$AG59)+SUMIFS(Dati!$J$2:$J$761,Dati!$H$2:$H$761,$H59,Dati!$A$2:$A$761,$AG59),"-")</f>
        <v/>
      </c>
      <c r="BZ59" s="22">
        <f>IF(AND($H59&lt;&gt;"",$AH59&lt;&gt;"",$H59&lt;&gt;$AH59,IFERROR(VLOOKUP($H59,areaCercaPuntiClassificaSquadra,3,FALSE),-1)=IFERROR(VLOOKUP($AH59,areaCercaPuntiClassificaSquadra,3,FALSE),-2)),SUMIFS(Dati!$D$2:$D$761,Dati!$A$2:$A$761,$H59,Dati!$H$2:$H$761,$AH59)+SUMIFS(Dati!$K$2:$K$761,Dati!$H$2:$H$761,$H59,Dati!$A$2:$A$761,$AH59)+SUMIFS(Dati!$C$2:$C$761,Dati!$A$2:$A$761,$H59,Dati!$H$2:$H$761,$AH59)+SUMIFS(Dati!$J$2:$J$761,Dati!$H$2:$H$761,$H59,Dati!$A$2:$A$761,$AH59),"-")</f>
        <v/>
      </c>
      <c r="CA59" s="22">
        <f>IF(AND($H59&lt;&gt;"",$AI59&lt;&gt;"",$H59&lt;&gt;$AI59,IFERROR(VLOOKUP($H59,areaCercaPuntiClassificaSquadra,3,FALSE),-1)=IFERROR(VLOOKUP($AI59,areaCercaPuntiClassificaSquadra,3,FALSE),-2)),SUMIFS(Dati!$D$2:$D$761,Dati!$A$2:$A$761,$H59,Dati!$H$2:$H$761,$AI59)+SUMIFS(Dati!$K$2:$K$761,Dati!$H$2:$H$761,$H59,Dati!$A$2:$A$761,$AI59)+SUMIFS(Dati!$C$2:$C$761,Dati!$A$2:$A$761,$H59,Dati!$H$2:$H$761,$AI59)+SUMIFS(Dati!$J$2:$J$761,Dati!$H$2:$H$761,$H59,Dati!$A$2:$A$761,$AI59),"-")</f>
        <v/>
      </c>
      <c r="CB59" s="22">
        <f>IF(AND($H59&lt;&gt;"",$AJ59&lt;&gt;"",$H59&lt;&gt;$AJ59,IFERROR(VLOOKUP($H59,areaCercaPuntiClassificaSquadra,3,FALSE),-1)=IFERROR(VLOOKUP($AJ59,areaCercaPuntiClassificaSquadra,3,FALSE),-2)),SUMIFS(Dati!$D$2:$D$761,Dati!$A$2:$A$761,$H59,Dati!$H$2:$H$761,$AJ59)+SUMIFS(Dati!$K$2:$K$761,Dati!$H$2:$H$761,$H59,Dati!$A$2:$A$761,$AJ59)+SUMIFS(Dati!$C$2:$C$761,Dati!$A$2:$A$761,$H59,Dati!$H$2:$H$761,$AJ59)+SUMIFS(Dati!$J$2:$J$761,Dati!$H$2:$H$761,$H59,Dati!$A$2:$A$761,$AJ59),"-")</f>
        <v/>
      </c>
      <c r="CC59" s="22">
        <f>IF(AND($H59&lt;&gt;"",$AK59&lt;&gt;"",$H59&lt;&gt;$AK59,IFERROR(VLOOKUP($H59,areaCercaPuntiClassificaSquadra,3,FALSE),-1)=IFERROR(VLOOKUP($AK59,areaCercaPuntiClassificaSquadra,3,FALSE),-2)),SUMIFS(Dati!$D$2:$D$761,Dati!$A$2:$A$761,$H59,Dati!$H$2:$H$761,$AK59)+SUMIFS(Dati!$K$2:$K$761,Dati!$H$2:$H$761,$H59,Dati!$A$2:$A$761,$AK59)+SUMIFS(Dati!$C$2:$C$761,Dati!$A$2:$A$761,$H59,Dati!$H$2:$H$761,$AK59)+SUMIFS(Dati!$J$2:$J$761,Dati!$H$2:$H$761,$H59,Dati!$A$2:$A$761,$AK59),"-")</f>
        <v/>
      </c>
      <c r="CD59" s="22">
        <f>IF(AND($H59&lt;&gt;"",$AL59&lt;&gt;"",$H59&lt;&gt;$AL59,IFERROR(VLOOKUP($H59,areaCercaPuntiClassificaSquadra,3,FALSE),-1)=IFERROR(VLOOKUP($AL59,areaCercaPuntiClassificaSquadra,3,FALSE),-2)),SUMIFS(Dati!$D$2:$D$761,Dati!$A$2:$A$761,$H59,Dati!$H$2:$H$761,$AL59)+SUMIFS(Dati!$K$2:$K$761,Dati!$H$2:$H$761,$H59,Dati!$A$2:$A$761,$AL59)+SUMIFS(Dati!$C$2:$C$761,Dati!$A$2:$A$761,$H59,Dati!$H$2:$H$761,$AL59)+SUMIFS(Dati!$J$2:$J$761,Dati!$H$2:$H$761,$H59,Dati!$A$2:$A$761,$AL59),"-")</f>
        <v/>
      </c>
      <c r="CE59" s="22">
        <f>IF(AND($H59&lt;&gt;"",$AM59&lt;&gt;"",$H59&lt;&gt;$AM59,IFERROR(VLOOKUP($H59,areaCercaPuntiClassificaSquadra,3,FALSE),-1)=IFERROR(VLOOKUP($AM59,areaCercaPuntiClassificaSquadra,3,FALSE),-2)),SUMIFS(Dati!$D$2:$D$761,Dati!$A$2:$A$761,$H59,Dati!$H$2:$H$761,$AM59)+SUMIFS(Dati!$K$2:$K$761,Dati!$H$2:$H$761,$H59,Dati!$A$2:$A$761,$AM59)+SUMIFS(Dati!$C$2:$C$761,Dati!$A$2:$A$761,$H59,Dati!$H$2:$H$761,$AM59)+SUMIFS(Dati!$J$2:$J$761,Dati!$H$2:$H$761,$H59,Dati!$A$2:$A$761,$AM59),"-")</f>
        <v/>
      </c>
      <c r="CF59" s="22">
        <f>IF(AND($H59&lt;&gt;"",$AN59&lt;&gt;"",$H59&lt;&gt;$AN59,IFERROR(VLOOKUP($H59,areaCercaPuntiClassificaSquadra,3,FALSE),-1)=IFERROR(VLOOKUP($AN59,areaCercaPuntiClassificaSquadra,3,FALSE),-2)),SUMIFS(Dati!$D$2:$D$761,Dati!$A$2:$A$761,$H59,Dati!$H$2:$H$761,$AN59)+SUMIFS(Dati!$K$2:$K$761,Dati!$H$2:$H$761,$H59,Dati!$A$2:$A$761,$AN59)+SUMIFS(Dati!$C$2:$C$761,Dati!$A$2:$A$761,$H59,Dati!$H$2:$H$761,$AN59)+SUMIFS(Dati!$J$2:$J$761,Dati!$H$2:$H$761,$H59,Dati!$A$2:$A$761,$AN59),"-")</f>
        <v/>
      </c>
      <c r="CG59" s="22">
        <f>IF(AND($H59&lt;&gt;"",$AO59&lt;&gt;"",$H59&lt;&gt;$AO59,IFERROR(VLOOKUP($H59,areaCercaPuntiClassificaSquadra,3,FALSE),-1)=IFERROR(VLOOKUP($AO59,areaCercaPuntiClassificaSquadra,3,FALSE),-2)),SUMIFS(Dati!$D$2:$D$761,Dati!$A$2:$A$761,$H59,Dati!$H$2:$H$761,$AO59)+SUMIFS(Dati!$K$2:$K$761,Dati!$H$2:$H$761,$H59,Dati!$A$2:$A$761,$AO59)+SUMIFS(Dati!$C$2:$C$761,Dati!$A$2:$A$761,$H59,Dati!$H$2:$H$761,$AO59)+SUMIFS(Dati!$J$2:$J$761,Dati!$H$2:$H$761,$H59,Dati!$A$2:$A$761,$AO59),"-")</f>
        <v/>
      </c>
      <c r="CH59" s="22">
        <f>IF(AND($H59&lt;&gt;"",$AP59&lt;&gt;"",$H59&lt;&gt;$AP59,IFERROR(VLOOKUP($H59,areaCercaPuntiClassificaSquadra,3,FALSE),-1)=IFERROR(VLOOKUP($AP59,areaCercaPuntiClassificaSquadra,3,FALSE),-2)),SUMIFS(Dati!$D$2:$D$761,Dati!$A$2:$A$761,$H59,Dati!$H$2:$H$761,$AP59)+SUMIFS(Dati!$K$2:$K$761,Dati!$H$2:$H$761,$H59,Dati!$A$2:$A$761,$AP59)+SUMIFS(Dati!$C$2:$C$761,Dati!$A$2:$A$761,$H59,Dati!$H$2:$H$761,$AP59)+SUMIFS(Dati!$J$2:$J$761,Dati!$H$2:$H$761,$H59,Dati!$A$2:$A$761,$AP59),"-")</f>
        <v/>
      </c>
      <c r="CI59" s="22">
        <f>IF(AND($H59&lt;&gt;"",$AQ59&lt;&gt;"",$H59&lt;&gt;$AQ59,IFERROR(VLOOKUP($H59,areaCercaPuntiClassificaSquadra,3,FALSE),-1)=IFERROR(VLOOKUP($AQ59,areaCercaPuntiClassificaSquadra,3,FALSE),-2)),SUMIFS(Dati!$D$2:$D$761,Dati!$A$2:$A$761,$H59,Dati!$H$2:$H$761,$AQ59)+SUMIFS(Dati!$K$2:$K$761,Dati!$H$2:$H$761,$H59,Dati!$A$2:$A$761,$AQ59)+SUMIFS(Dati!$C$2:$C$761,Dati!$A$2:$A$761,$H59,Dati!$H$2:$H$761,$AQ59)+SUMIFS(Dati!$J$2:$J$761,Dati!$H$2:$H$761,$H59,Dati!$A$2:$A$761,$AQ59),"-")</f>
        <v/>
      </c>
      <c r="CJ59" s="22">
        <f>IF(AND($H59&lt;&gt;"",$AR59&lt;&gt;"",$H59&lt;&gt;$AR59,IFERROR(VLOOKUP($H59,areaCercaPuntiClassificaSquadra,3,FALSE),-1)=IFERROR(VLOOKUP($AR59,areaCercaPuntiClassificaSquadra,3,FALSE),-2)),SUMIFS(Dati!$D$2:$D$761,Dati!$A$2:$A$761,$H59,Dati!$H$2:$H$761,$AR59)+SUMIFS(Dati!$K$2:$K$761,Dati!$H$2:$H$761,$H59,Dati!$A$2:$A$761,$AR59)+SUMIFS(Dati!$C$2:$C$761,Dati!$A$2:$A$761,$H59,Dati!$H$2:$H$761,$AR59)+SUMIFS(Dati!$J$2:$J$761,Dati!$H$2:$H$761,$H59,Dati!$A$2:$A$761,$AR59),"-")</f>
        <v/>
      </c>
      <c r="CL59" s="21">
        <f>$C59</f>
        <v/>
      </c>
      <c r="CM59" s="22">
        <f>IF(AND($H59&lt;&gt;"",$Y59&lt;&gt;"",$H59&lt;&gt;$Y59,IFERROR(VLOOKUP($H59,areaCercaPuntiClassificaSquadra,3,FALSE),-1)=IFERROR(VLOOKUP($Y59,areaCercaPuntiClassificaSquadra,3,FALSE),-2)),SUMIFS(Dati!$E$2:$E$761,Dati!$A$2:$A$761,$H59,Dati!$H$2:$H$761,$Y59)+SUMIFS(Dati!$L$2:$L$761,Dati!$H$2:$H$761,$H59,Dati!$A$2:$A$761,$Y59),"-")</f>
        <v/>
      </c>
      <c r="CN59" s="22">
        <f>IF(AND($H59&lt;&gt;"",$Z59&lt;&gt;"",$H59&lt;&gt;$Z59,IFERROR(VLOOKUP($H59,areaCercaPuntiClassificaSquadra,3,FALSE),-1)=IFERROR(VLOOKUP($Z59,areaCercaPuntiClassificaSquadra,3,FALSE),-2)),SUMIFS(Dati!$E$2:$E$761,Dati!$A$2:$A$761,$H59,Dati!$H$2:$H$761,$Z59)+SUMIFS(Dati!$L$2:$L$761,Dati!$H$2:$H$761,$H59,Dati!$A$2:$A$761,$Z59),"-")</f>
        <v/>
      </c>
      <c r="CO59" s="22">
        <f>IF(AND($H59&lt;&gt;"",$AA59&lt;&gt;"",$H59&lt;&gt;$AA59,IFERROR(VLOOKUP($H59,areaCercaPuntiClassificaSquadra,3,FALSE),-1)=IFERROR(VLOOKUP($AA59,areaCercaPuntiClassificaSquadra,3,FALSE),-2)),SUMIFS(Dati!$E$2:$E$761,Dati!$A$2:$A$761,$H59,Dati!$H$2:$H$761,$AA59)+SUMIFS(Dati!$L$2:$L$761,Dati!$H$2:$H$761,$H59,Dati!$A$2:$A$761,$AA59),"-")</f>
        <v/>
      </c>
      <c r="CP59" s="22">
        <f>IF(AND($H59&lt;&gt;"",$AB59&lt;&gt;"",$H59&lt;&gt;$AB59,IFERROR(VLOOKUP($H59,areaCercaPuntiClassificaSquadra,3,FALSE),-1)=IFERROR(VLOOKUP($AB59,areaCercaPuntiClassificaSquadra,3,FALSE),-2)),SUMIFS(Dati!$E$2:$E$761,Dati!$A$2:$A$761,$H59,Dati!$H$2:$H$761,$AB59)+SUMIFS(Dati!$L$2:$L$761,Dati!$H$2:$H$761,$H59,Dati!$A$2:$A$761,$AB59),"-")</f>
        <v/>
      </c>
      <c r="CQ59" s="22">
        <f>IF(AND($H59&lt;&gt;"",$AC59&lt;&gt;"",$H59&lt;&gt;$AC59,IFERROR(VLOOKUP($H59,areaCercaPuntiClassificaSquadra,3,FALSE),-1)=IFERROR(VLOOKUP($AC59,areaCercaPuntiClassificaSquadra,3,FALSE),-2)),SUMIFS(Dati!$E$2:$E$761,Dati!$A$2:$A$761,$H59,Dati!$H$2:$H$761,$AC59)+SUMIFS(Dati!$L$2:$L$761,Dati!$H$2:$H$761,$H59,Dati!$A$2:$A$761,$AC59),"-")</f>
        <v/>
      </c>
      <c r="CR59" s="22">
        <f>IF(AND($H59&lt;&gt;"",$AD59&lt;&gt;"",$H59&lt;&gt;$AD59,IFERROR(VLOOKUP($H59,areaCercaPuntiClassificaSquadra,3,FALSE),-1)=IFERROR(VLOOKUP($AD59,areaCercaPuntiClassificaSquadra,3,FALSE),-2)),SUMIFS(Dati!$E$2:$E$761,Dati!$A$2:$A$761,$H59,Dati!$H$2:$H$761,$AD59)+SUMIFS(Dati!$L$2:$L$761,Dati!$H$2:$H$761,$H59,Dati!$A$2:$A$761,$AD59),"-")</f>
        <v/>
      </c>
      <c r="CS59" s="22">
        <f>IF(AND($H59&lt;&gt;"",$AE59&lt;&gt;"",$H59&lt;&gt;$AE59,IFERROR(VLOOKUP($H59,areaCercaPuntiClassificaSquadra,3,FALSE),-1)=IFERROR(VLOOKUP($AE59,areaCercaPuntiClassificaSquadra,3,FALSE),-2)),SUMIFS(Dati!$E$2:$E$761,Dati!$A$2:$A$761,$H59,Dati!$H$2:$H$761,$AE59)+SUMIFS(Dati!$L$2:$L$761,Dati!$H$2:$H$761,$H59,Dati!$A$2:$A$761,$AE59),"-")</f>
        <v/>
      </c>
      <c r="CT59" s="22">
        <f>IF(AND($H59&lt;&gt;"",$AF59&lt;&gt;"",$H59&lt;&gt;$AF59,IFERROR(VLOOKUP($H59,areaCercaPuntiClassificaSquadra,3,FALSE),-1)=IFERROR(VLOOKUP($AF59,areaCercaPuntiClassificaSquadra,3,FALSE),-2)),SUMIFS(Dati!$E$2:$E$761,Dati!$A$2:$A$761,$H59,Dati!$H$2:$H$761,$AF59)+SUMIFS(Dati!$L$2:$L$761,Dati!$H$2:$H$761,$H59,Dati!$A$2:$A$761,$AF59),"-")</f>
        <v/>
      </c>
      <c r="CU59" s="22">
        <f>IF(AND($H59&lt;&gt;"",$AG59&lt;&gt;"",$H59&lt;&gt;$AG59,IFERROR(VLOOKUP($H59,areaCercaPuntiClassificaSquadra,3,FALSE),-1)=IFERROR(VLOOKUP($AG59,areaCercaPuntiClassificaSquadra,3,FALSE),-2)),SUMIFS(Dati!$E$2:$E$761,Dati!$A$2:$A$761,$H59,Dati!$H$2:$H$761,$AG59)+SUMIFS(Dati!$L$2:$L$761,Dati!$H$2:$H$761,$H59,Dati!$A$2:$A$761,$AG59),"-")</f>
        <v/>
      </c>
      <c r="CV59" s="22">
        <f>IF(AND($H59&lt;&gt;"",$AH59&lt;&gt;"",$H59&lt;&gt;$AH59,IFERROR(VLOOKUP($H59,areaCercaPuntiClassificaSquadra,3,FALSE),-1)=IFERROR(VLOOKUP($AH59,areaCercaPuntiClassificaSquadra,3,FALSE),-2)),SUMIFS(Dati!$E$2:$E$761,Dati!$A$2:$A$761,$H59,Dati!$H$2:$H$761,$AH59)+SUMIFS(Dati!$L$2:$L$761,Dati!$H$2:$H$761,$H59,Dati!$A$2:$A$761,$AH59),"-")</f>
        <v/>
      </c>
      <c r="CW59" s="22">
        <f>IF(AND($H59&lt;&gt;"",$AI59&lt;&gt;"",$H59&lt;&gt;$AI59,IFERROR(VLOOKUP($H59,areaCercaPuntiClassificaSquadra,3,FALSE),-1)=IFERROR(VLOOKUP($AI59,areaCercaPuntiClassificaSquadra,3,FALSE),-2)),SUMIFS(Dati!$E$2:$E$761,Dati!$A$2:$A$761,$H59,Dati!$H$2:$H$761,$AI59)+SUMIFS(Dati!$L$2:$L$761,Dati!$H$2:$H$761,$H59,Dati!$A$2:$A$761,$AI59),"-")</f>
        <v/>
      </c>
      <c r="CX59" s="22">
        <f>IF(AND($H59&lt;&gt;"",$AJ59&lt;&gt;"",$H59&lt;&gt;$AJ59,IFERROR(VLOOKUP($H59,areaCercaPuntiClassificaSquadra,3,FALSE),-1)=IFERROR(VLOOKUP($AJ59,areaCercaPuntiClassificaSquadra,3,FALSE),-2)),SUMIFS(Dati!$E$2:$E$761,Dati!$A$2:$A$761,$H59,Dati!$H$2:$H$761,$AJ59)+SUMIFS(Dati!$L$2:$L$761,Dati!$H$2:$H$761,$H59,Dati!$A$2:$A$761,$AJ59),"-")</f>
        <v/>
      </c>
      <c r="CY59" s="22">
        <f>IF(AND($H59&lt;&gt;"",$AK59&lt;&gt;"",$H59&lt;&gt;$AK59,IFERROR(VLOOKUP($H59,areaCercaPuntiClassificaSquadra,3,FALSE),-1)=IFERROR(VLOOKUP($AK59,areaCercaPuntiClassificaSquadra,3,FALSE),-2)),SUMIFS(Dati!$E$2:$E$761,Dati!$A$2:$A$761,$H59,Dati!$H$2:$H$761,$AK59)+SUMIFS(Dati!$L$2:$L$761,Dati!$H$2:$H$761,$H59,Dati!$A$2:$A$761,$AK59),"-")</f>
        <v/>
      </c>
      <c r="CZ59" s="22">
        <f>IF(AND($H59&lt;&gt;"",$AL59&lt;&gt;"",$H59&lt;&gt;$AL59,IFERROR(VLOOKUP($H59,areaCercaPuntiClassificaSquadra,3,FALSE),-1)=IFERROR(VLOOKUP($AL59,areaCercaPuntiClassificaSquadra,3,FALSE),-2)),SUMIFS(Dati!$E$2:$E$761,Dati!$A$2:$A$761,$H59,Dati!$H$2:$H$761,$AL59)+SUMIFS(Dati!$L$2:$L$761,Dati!$H$2:$H$761,$H59,Dati!$A$2:$A$761,$AL59),"-")</f>
        <v/>
      </c>
      <c r="DA59" s="22">
        <f>IF(AND($H59&lt;&gt;"",$AM59&lt;&gt;"",$H59&lt;&gt;$AM59,IFERROR(VLOOKUP($H59,areaCercaPuntiClassificaSquadra,3,FALSE),-1)=IFERROR(VLOOKUP($AM59,areaCercaPuntiClassificaSquadra,3,FALSE),-2)),SUMIFS(Dati!$E$2:$E$761,Dati!$A$2:$A$761,$H59,Dati!$H$2:$H$761,$AM59)+SUMIFS(Dati!$L$2:$L$761,Dati!$H$2:$H$761,$H59,Dati!$A$2:$A$761,$AM59),"-")</f>
        <v/>
      </c>
      <c r="DB59" s="22">
        <f>IF(AND($H59&lt;&gt;"",$AN59&lt;&gt;"",$H59&lt;&gt;$AN59,IFERROR(VLOOKUP($H59,areaCercaPuntiClassificaSquadra,3,FALSE),-1)=IFERROR(VLOOKUP($AN59,areaCercaPuntiClassificaSquadra,3,FALSE),-2)),SUMIFS(Dati!$E$2:$E$761,Dati!$A$2:$A$761,$H59,Dati!$H$2:$H$761,$AN59)+SUMIFS(Dati!$L$2:$L$761,Dati!$H$2:$H$761,$H59,Dati!$A$2:$A$761,$AN59),"-")</f>
        <v/>
      </c>
      <c r="DC59" s="22">
        <f>IF(AND($H59&lt;&gt;"",$AO59&lt;&gt;"",$H59&lt;&gt;$AO59,IFERROR(VLOOKUP($H59,areaCercaPuntiClassificaSquadra,3,FALSE),-1)=IFERROR(VLOOKUP($AO59,areaCercaPuntiClassificaSquadra,3,FALSE),-2)),SUMIFS(Dati!$E$2:$E$761,Dati!$A$2:$A$761,$H59,Dati!$H$2:$H$761,$AO59)+SUMIFS(Dati!$L$2:$L$761,Dati!$H$2:$H$761,$H59,Dati!$A$2:$A$761,$AO59),"-")</f>
        <v/>
      </c>
      <c r="DD59" s="22">
        <f>IF(AND($H59&lt;&gt;"",$AP59&lt;&gt;"",$H59&lt;&gt;$AP59,IFERROR(VLOOKUP($H59,areaCercaPuntiClassificaSquadra,3,FALSE),-1)=IFERROR(VLOOKUP($AP59,areaCercaPuntiClassificaSquadra,3,FALSE),-2)),SUMIFS(Dati!$E$2:$E$761,Dati!$A$2:$A$761,$H59,Dati!$H$2:$H$761,$AP59)+SUMIFS(Dati!$L$2:$L$761,Dati!$H$2:$H$761,$H59,Dati!$A$2:$A$761,$AP59),"-")</f>
        <v/>
      </c>
      <c r="DE59" s="22">
        <f>IF(AND($H59&lt;&gt;"",$AQ59&lt;&gt;"",$H59&lt;&gt;$AQ59,IFERROR(VLOOKUP($H59,areaCercaPuntiClassificaSquadra,3,FALSE),-1)=IFERROR(VLOOKUP($AQ59,areaCercaPuntiClassificaSquadra,3,FALSE),-2)),SUMIFS(Dati!$E$2:$E$761,Dati!$A$2:$A$761,$H59,Dati!$H$2:$H$761,$AQ59)+SUMIFS(Dati!$L$2:$L$761,Dati!$H$2:$H$761,$H59,Dati!$A$2:$A$761,$AQ59),"-")</f>
        <v/>
      </c>
      <c r="DF59" s="22">
        <f>IF(AND($H59&lt;&gt;"",$AR59&lt;&gt;"",$H59&lt;&gt;$AR59,IFERROR(VLOOKUP($H59,areaCercaPuntiClassificaSquadra,3,FALSE),-1)=IFERROR(VLOOKUP($AR59,areaCercaPuntiClassificaSquadra,3,FALSE),-2)),SUMIFS(Dati!$E$2:$E$761,Dati!$A$2:$A$761,$H59,Dati!$H$2:$H$761,$AR59)+SUMIFS(Dati!$L$2:$L$761,Dati!$H$2:$H$761,$H59,Dati!$A$2:$A$761,$AR59),"-")</f>
        <v/>
      </c>
      <c r="DH59" s="21">
        <f>$C59</f>
        <v/>
      </c>
      <c r="DI59" s="22">
        <f>IF(AND($H59&lt;&gt;"",$Y59&lt;&gt;"",$H59&lt;&gt;$Y59,IFERROR(VLOOKUP($H59,areaCercaPuntiClassificaSquadra,3,FALSE),-1)=IFERROR(VLOOKUP($Y59,areaCercaPuntiClassificaSquadra,3,FALSE),-2)),SUMIFS(Dati!$F$2:$F$761,Dati!$A$2:$A$761,$H59,Dati!$H$2:$H$761,$Y59)+SUMIFS(Dati!$M$2:$M$761,Dati!$H$2:$H$761,$H59,Dati!$A$2:$A$761,$Y59),"-")</f>
        <v/>
      </c>
      <c r="DJ59" s="22">
        <f>IF(AND($H59&lt;&gt;"",$Z59&lt;&gt;"",$H59&lt;&gt;$Z59,IFERROR(VLOOKUP($H59,areaCercaPuntiClassificaSquadra,3,FALSE),-1)=IFERROR(VLOOKUP($Z59,areaCercaPuntiClassificaSquadra,3,FALSE),-2)),SUMIFS(Dati!$F$2:$F$761,Dati!$A$2:$A$761,$H59,Dati!$H$2:$H$761,$Z59)+SUMIFS(Dati!$M$2:$M$761,Dati!$H$2:$H$761,$H59,Dati!$A$2:$A$761,$Z59),"-")</f>
        <v/>
      </c>
      <c r="DK59" s="22">
        <f>IF(AND($H59&lt;&gt;"",$AA59&lt;&gt;"",$H59&lt;&gt;$AA59,IFERROR(VLOOKUP($H59,areaCercaPuntiClassificaSquadra,3,FALSE),-1)=IFERROR(VLOOKUP($AA59,areaCercaPuntiClassificaSquadra,3,FALSE),-2)),SUMIFS(Dati!$F$2:$F$761,Dati!$A$2:$A$761,$H59,Dati!$H$2:$H$761,$AA59)+SUMIFS(Dati!$M$2:$M$761,Dati!$H$2:$H$761,$H59,Dati!$A$2:$A$761,$AA59),"-")</f>
        <v/>
      </c>
      <c r="DL59" s="22">
        <f>IF(AND($H59&lt;&gt;"",$AB59&lt;&gt;"",$H59&lt;&gt;$AB59,IFERROR(VLOOKUP($H59,areaCercaPuntiClassificaSquadra,3,FALSE),-1)=IFERROR(VLOOKUP($AB59,areaCercaPuntiClassificaSquadra,3,FALSE),-2)),SUMIFS(Dati!$F$2:$F$761,Dati!$A$2:$A$761,$H59,Dati!$H$2:$H$761,$AB59)+SUMIFS(Dati!$M$2:$M$761,Dati!$H$2:$H$761,$H59,Dati!$A$2:$A$761,$AB59),"-")</f>
        <v/>
      </c>
      <c r="DM59" s="22">
        <f>IF(AND($H59&lt;&gt;"",$AC59&lt;&gt;"",$H59&lt;&gt;$AC59,IFERROR(VLOOKUP($H59,areaCercaPuntiClassificaSquadra,3,FALSE),-1)=IFERROR(VLOOKUP($AC59,areaCercaPuntiClassificaSquadra,3,FALSE),-2)),SUMIFS(Dati!$F$2:$F$761,Dati!$A$2:$A$761,$H59,Dati!$H$2:$H$761,$AC59)+SUMIFS(Dati!$M$2:$M$761,Dati!$H$2:$H$761,$H59,Dati!$A$2:$A$761,$AC59),"-")</f>
        <v/>
      </c>
      <c r="DN59" s="22">
        <f>IF(AND($H59&lt;&gt;"",$AD59&lt;&gt;"",$H59&lt;&gt;$AD59,IFERROR(VLOOKUP($H59,areaCercaPuntiClassificaSquadra,3,FALSE),-1)=IFERROR(VLOOKUP($AD59,areaCercaPuntiClassificaSquadra,3,FALSE),-2)),SUMIFS(Dati!$F$2:$F$761,Dati!$A$2:$A$761,$H59,Dati!$H$2:$H$761,$AD59)+SUMIFS(Dati!$M$2:$M$761,Dati!$H$2:$H$761,$H59,Dati!$A$2:$A$761,$AD59),"-")</f>
        <v/>
      </c>
      <c r="DO59" s="22">
        <f>IF(AND($H59&lt;&gt;"",$AE59&lt;&gt;"",$H59&lt;&gt;$AE59,IFERROR(VLOOKUP($H59,areaCercaPuntiClassificaSquadra,3,FALSE),-1)=IFERROR(VLOOKUP($AE59,areaCercaPuntiClassificaSquadra,3,FALSE),-2)),SUMIFS(Dati!$F$2:$F$761,Dati!$A$2:$A$761,$H59,Dati!$H$2:$H$761,$AE59)+SUMIFS(Dati!$M$2:$M$761,Dati!$H$2:$H$761,$H59,Dati!$A$2:$A$761,$AE59),"-")</f>
        <v/>
      </c>
      <c r="DP59" s="22">
        <f>IF(AND($H59&lt;&gt;"",$AF59&lt;&gt;"",$H59&lt;&gt;$AF59,IFERROR(VLOOKUP($H59,areaCercaPuntiClassificaSquadra,3,FALSE),-1)=IFERROR(VLOOKUP($AF59,areaCercaPuntiClassificaSquadra,3,FALSE),-2)),SUMIFS(Dati!$F$2:$F$761,Dati!$A$2:$A$761,$H59,Dati!$H$2:$H$761,$AF59)+SUMIFS(Dati!$M$2:$M$761,Dati!$H$2:$H$761,$H59,Dati!$A$2:$A$761,$AF59),"-")</f>
        <v/>
      </c>
      <c r="DQ59" s="22">
        <f>IF(AND($H59&lt;&gt;"",$AG59&lt;&gt;"",$H59&lt;&gt;$AG59,IFERROR(VLOOKUP($H59,areaCercaPuntiClassificaSquadra,3,FALSE),-1)=IFERROR(VLOOKUP($AG59,areaCercaPuntiClassificaSquadra,3,FALSE),-2)),SUMIFS(Dati!$F$2:$F$761,Dati!$A$2:$A$761,$H59,Dati!$H$2:$H$761,$AG59)+SUMIFS(Dati!$M$2:$M$761,Dati!$H$2:$H$761,$H59,Dati!$A$2:$A$761,$AG59),"-")</f>
        <v/>
      </c>
      <c r="DR59" s="22">
        <f>IF(AND($H59&lt;&gt;"",$AH59&lt;&gt;"",$H59&lt;&gt;$AH59,IFERROR(VLOOKUP($H59,areaCercaPuntiClassificaSquadra,3,FALSE),-1)=IFERROR(VLOOKUP($AH59,areaCercaPuntiClassificaSquadra,3,FALSE),-2)),SUMIFS(Dati!$F$2:$F$761,Dati!$A$2:$A$761,$H59,Dati!$H$2:$H$761,$AH59)+SUMIFS(Dati!$M$2:$M$761,Dati!$H$2:$H$761,$H59,Dati!$A$2:$A$761,$AH59),"-")</f>
        <v/>
      </c>
      <c r="DS59" s="22">
        <f>IF(AND($H59&lt;&gt;"",$AI59&lt;&gt;"",$H59&lt;&gt;$AI59,IFERROR(VLOOKUP($H59,areaCercaPuntiClassificaSquadra,3,FALSE),-1)=IFERROR(VLOOKUP($AI59,areaCercaPuntiClassificaSquadra,3,FALSE),-2)),SUMIFS(Dati!$F$2:$F$761,Dati!$A$2:$A$761,$H59,Dati!$H$2:$H$761,$AI59)+SUMIFS(Dati!$M$2:$M$761,Dati!$H$2:$H$761,$H59,Dati!$A$2:$A$761,$AI59),"-")</f>
        <v/>
      </c>
      <c r="DT59" s="22">
        <f>IF(AND($H59&lt;&gt;"",$AJ59&lt;&gt;"",$H59&lt;&gt;$AJ59,IFERROR(VLOOKUP($H59,areaCercaPuntiClassificaSquadra,3,FALSE),-1)=IFERROR(VLOOKUP($AJ59,areaCercaPuntiClassificaSquadra,3,FALSE),-2)),SUMIFS(Dati!$F$2:$F$761,Dati!$A$2:$A$761,$H59,Dati!$H$2:$H$761,$AJ59)+SUMIFS(Dati!$M$2:$M$761,Dati!$H$2:$H$761,$H59,Dati!$A$2:$A$761,$AJ59),"-")</f>
        <v/>
      </c>
      <c r="DU59" s="22">
        <f>IF(AND($H59&lt;&gt;"",$AK59&lt;&gt;"",$H59&lt;&gt;$AK59,IFERROR(VLOOKUP($H59,areaCercaPuntiClassificaSquadra,3,FALSE),-1)=IFERROR(VLOOKUP($AK59,areaCercaPuntiClassificaSquadra,3,FALSE),-2)),SUMIFS(Dati!$F$2:$F$761,Dati!$A$2:$A$761,$H59,Dati!$H$2:$H$761,$AK59)+SUMIFS(Dati!$M$2:$M$761,Dati!$H$2:$H$761,$H59,Dati!$A$2:$A$761,$AK59),"-")</f>
        <v/>
      </c>
      <c r="DV59" s="22">
        <f>IF(AND($H59&lt;&gt;"",$AL59&lt;&gt;"",$H59&lt;&gt;$AL59,IFERROR(VLOOKUP($H59,areaCercaPuntiClassificaSquadra,3,FALSE),-1)=IFERROR(VLOOKUP($AL59,areaCercaPuntiClassificaSquadra,3,FALSE),-2)),SUMIFS(Dati!$F$2:$F$761,Dati!$A$2:$A$761,$H59,Dati!$H$2:$H$761,$AL59)+SUMIFS(Dati!$M$2:$M$761,Dati!$H$2:$H$761,$H59,Dati!$A$2:$A$761,$AL59),"-")</f>
        <v/>
      </c>
      <c r="DW59" s="22">
        <f>IF(AND($H59&lt;&gt;"",$AM59&lt;&gt;"",$H59&lt;&gt;$AM59,IFERROR(VLOOKUP($H59,areaCercaPuntiClassificaSquadra,3,FALSE),-1)=IFERROR(VLOOKUP($AM59,areaCercaPuntiClassificaSquadra,3,FALSE),-2)),SUMIFS(Dati!$F$2:$F$761,Dati!$A$2:$A$761,$H59,Dati!$H$2:$H$761,$AM59)+SUMIFS(Dati!$M$2:$M$761,Dati!$H$2:$H$761,$H59,Dati!$A$2:$A$761,$AM59),"-")</f>
        <v/>
      </c>
      <c r="DX59" s="22">
        <f>IF(AND($H59&lt;&gt;"",$AN59&lt;&gt;"",$H59&lt;&gt;$AN59,IFERROR(VLOOKUP($H59,areaCercaPuntiClassificaSquadra,3,FALSE),-1)=IFERROR(VLOOKUP($AN59,areaCercaPuntiClassificaSquadra,3,FALSE),-2)),SUMIFS(Dati!$F$2:$F$761,Dati!$A$2:$A$761,$H59,Dati!$H$2:$H$761,$AN59)+SUMIFS(Dati!$M$2:$M$761,Dati!$H$2:$H$761,$H59,Dati!$A$2:$A$761,$AN59),"-")</f>
        <v/>
      </c>
      <c r="DY59" s="22">
        <f>IF(AND($H59&lt;&gt;"",$AO59&lt;&gt;"",$H59&lt;&gt;$AO59,IFERROR(VLOOKUP($H59,areaCercaPuntiClassificaSquadra,3,FALSE),-1)=IFERROR(VLOOKUP($AO59,areaCercaPuntiClassificaSquadra,3,FALSE),-2)),SUMIFS(Dati!$F$2:$F$761,Dati!$A$2:$A$761,$H59,Dati!$H$2:$H$761,$AO59)+SUMIFS(Dati!$M$2:$M$761,Dati!$H$2:$H$761,$H59,Dati!$A$2:$A$761,$AO59),"-")</f>
        <v/>
      </c>
      <c r="DZ59" s="22">
        <f>IF(AND($H59&lt;&gt;"",$AP59&lt;&gt;"",$H59&lt;&gt;$AP59,IFERROR(VLOOKUP($H59,areaCercaPuntiClassificaSquadra,3,FALSE),-1)=IFERROR(VLOOKUP($AP59,areaCercaPuntiClassificaSquadra,3,FALSE),-2)),SUMIFS(Dati!$F$2:$F$761,Dati!$A$2:$A$761,$H59,Dati!$H$2:$H$761,$AP59)+SUMIFS(Dati!$M$2:$M$761,Dati!$H$2:$H$761,$H59,Dati!$A$2:$A$761,$AP59),"-")</f>
        <v/>
      </c>
      <c r="EA59" s="22">
        <f>IF(AND($H59&lt;&gt;"",$AQ59&lt;&gt;"",$H59&lt;&gt;$AQ59,IFERROR(VLOOKUP($H59,areaCercaPuntiClassificaSquadra,3,FALSE),-1)=IFERROR(VLOOKUP($AQ59,areaCercaPuntiClassificaSquadra,3,FALSE),-2)),SUMIFS(Dati!$F$2:$F$761,Dati!$A$2:$A$761,$H59,Dati!$H$2:$H$761,$AQ59)+SUMIFS(Dati!$M$2:$M$761,Dati!$H$2:$H$761,$H59,Dati!$A$2:$A$761,$AQ59),"-")</f>
        <v/>
      </c>
      <c r="EB59" s="22">
        <f>IF(AND($H59&lt;&gt;"",$AR59&lt;&gt;"",$H59&lt;&gt;$AR59,IFERROR(VLOOKUP($H59,areaCercaPuntiClassificaSquadra,3,FALSE),-1)=IFERROR(VLOOKUP($AR59,areaCercaPuntiClassificaSquadra,3,FALSE),-2)),SUMIFS(Dati!$F$2:$F$761,Dati!$A$2:$A$761,$H59,Dati!$H$2:$H$761,$AR59)+SUMIFS(Dati!$M$2:$M$761,Dati!$H$2:$H$761,$H59,Dati!$A$2:$A$761,$AR59),"-")</f>
        <v/>
      </c>
      <c r="ED59" s="22">
        <f>IF($C59="","",SUM(AU59:BN59))</f>
        <v/>
      </c>
    </row>
    <row r="60">
      <c r="B60" s="12" t="inlineStr">
        <is>
          <t>C07</t>
        </is>
      </c>
      <c r="C60" s="13" t="inlineStr">
        <is>
          <t>Puma Prudenti-Pumaopoli PE</t>
        </is>
      </c>
      <c r="D60" s="14" t="n"/>
      <c r="E60" s="25" t="inlineStr">
        <is>
          <t>C</t>
        </is>
      </c>
      <c r="G60" s="26">
        <f>IF($C60="","",$E60&amp;(COUNTIFS(I$14:I$93,"&gt;"&amp;I60,E$14:E$93,"="&amp;E60,C$14:C$93,"&lt;&gt;")+COUNTIFS(I$14:I$93,"="&amp;I60,H$14:H$93,"&lt;="&amp;H60,E$14:E$93,"="&amp;E60,C$14:C$93,"&lt;&gt;")))</f>
        <v/>
      </c>
      <c r="H60" s="17">
        <f>IF($C60="","",IFERROR(LEFT($C60,FIND("-",$C60)-1),$C60))</f>
        <v/>
      </c>
      <c r="I60" s="12">
        <f>TEXT(1000000000+J60,"|0000000000|")&amp;TEXT(SUM(AU60:BN60),"0000000000|")&amp;IF(SUM(DI60:EB60)=0,"0000000000|",TEXT(ROUND(SUM(CM60:DF60)/SUM(DI60:EB60),4)*100000,"0000000000|"))&amp;IF(P60=0,"0000000000|",TEXT(ROUND(O60/P60,4)*100000,"0000000000|"))</f>
        <v/>
      </c>
      <c r="J60" s="26">
        <f>L60*constPuntiVittoria+M60*constPuntiSconfitta+N60*constPuntiForfait+IF(D60="",0,D60)</f>
        <v/>
      </c>
      <c r="K60" s="12">
        <f>SUM(L60:N60)</f>
        <v/>
      </c>
      <c r="L60" s="12">
        <f>IF($H60="",0,SUMIF(Dati!$A$2:$A$761,$H60,Dati!$B$2:$B$761)+SUMIF(Dati!$H$2:$H$761,$H60,Dati!$I$2:$I$761))</f>
        <v/>
      </c>
      <c r="M60" s="12">
        <f>IF($H60="",0,SUMIF(Dati!$A$2:$A$761,$H60,Dati!$D$2:$D$761)+SUMIF(Dati!$H$2:$H$761,$H60,Dati!$K$2:$K$761))</f>
        <v/>
      </c>
      <c r="N60" s="12">
        <f>IF($H60="",0,SUMIF(Dati!$A$2:$A$761,$H60,Dati!$C$2:$C$761)+SUMIF(Dati!$H$2:$H$761,$H60,Dati!$J$2:$J$761))</f>
        <v/>
      </c>
      <c r="O60" s="12">
        <f>IF($H60="",0,SUMIF(Dati!$A$2:$A$761,$H60,Dati!$E$2:$E$761)+SUMIF(Dati!$H$2:$H$761,$H60,Dati!$L$2:$L$761))</f>
        <v/>
      </c>
      <c r="P60" s="12">
        <f>IF($H60="",0,SUMIF(Dati!$A$2:$A$761,$H60,Dati!$F$2:$F$761)+SUMIF(Dati!$H$2:$H$761,$H60,Dati!$M$2:$M$761))</f>
        <v/>
      </c>
      <c r="Q60" s="12">
        <f>IF($H60="",0,SUMIF(Dati!$A$2:$A$761,$H60,Dati!$G$2:$G$761)+SUMIF(Dati!$H$2:$H$761,$H60,Dati!$N$2:$N$761))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IF(COUNTIFS($E$14:$E$93,$E60,$J$14:$J$93,$J60,$C$14:$C$93,"&lt;&gt;")&lt;=1,"-",SUM(AU60:BN60)&amp;"-"&amp;SUM(BQ60:CJ60))</f>
        <v/>
      </c>
      <c r="V60" s="18">
        <f>IF(COUNTIFS($E$14:$E$93,$E60,$J$14:$J$93,$J60,$C$14:$C$93,"&lt;&gt;",$ED$14:$ED$93,$ED60)&lt;=1,"-",IF(SUM(DI60:EB60)=0,0,ROUND(SUM(CM60:DF60)/SUM(DI60:EB60),3)))</f>
        <v/>
      </c>
      <c r="W60" s="18">
        <f>IF(COUNTIFS($E$14:$E$93,$E60,$J$14:$J$93,$J60,$C$14:$C$93,"&lt;&gt;",$ED$14:$ED$93,$ED60,$V$14:$V$93,$V60)&lt;=1,"-",IF(P60=0,0,ROUND(O60/P60,3)))</f>
        <v/>
      </c>
      <c r="X60" s="19">
        <f>IF($C60="","",$E60&amp;"#"&amp;COUNTIFS($E$14:$E60,$E60,$C$14:$C60,"&lt;&gt;"))</f>
        <v/>
      </c>
      <c r="Y60" s="20">
        <f>IFERROR(INDEX($H$14:$H$93,MATCH($E60&amp;"#1",$X$14:$X$93,0)),"")</f>
        <v/>
      </c>
      <c r="Z60" s="20">
        <f>IFERROR(INDEX($H$14:$H$93,MATCH($E60&amp;"#2",$X$14:$X$93,0)),"")</f>
        <v/>
      </c>
      <c r="AA60" s="20">
        <f>IFERROR(INDEX($H$14:$H$93,MATCH($E60&amp;"#3",$X$14:$X$93,0)),"")</f>
        <v/>
      </c>
      <c r="AB60" s="20">
        <f>IFERROR(INDEX($H$14:$H$93,MATCH($E60&amp;"#4",$X$14:$X$93,0)),"")</f>
        <v/>
      </c>
      <c r="AC60" s="20">
        <f>IFERROR(INDEX($H$14:$H$93,MATCH($E60&amp;"#5",$X$14:$X$93,0)),"")</f>
        <v/>
      </c>
      <c r="AD60" s="20">
        <f>IFERROR(INDEX($H$14:$H$93,MATCH($E60&amp;"#6",$X$14:$X$93,0)),"")</f>
        <v/>
      </c>
      <c r="AE60" s="20">
        <f>IFERROR(INDEX($H$14:$H$93,MATCH($E60&amp;"#7",$X$14:$X$93,0)),"")</f>
        <v/>
      </c>
      <c r="AF60" s="20">
        <f>IFERROR(INDEX($H$14:$H$93,MATCH($E60&amp;"#8",$X$14:$X$93,0)),"")</f>
        <v/>
      </c>
      <c r="AG60" s="20">
        <f>IFERROR(INDEX($H$14:$H$93,MATCH($E60&amp;"#9",$X$14:$X$93,0)),"")</f>
        <v/>
      </c>
      <c r="AH60" s="20">
        <f>IFERROR(INDEX($H$14:$H$93,MATCH($E60&amp;"#10",$X$14:$X$93,0)),"")</f>
        <v/>
      </c>
      <c r="AI60" s="20">
        <f>IFERROR(INDEX($H$14:$H$93,MATCH($E60&amp;"#11",$X$14:$X$93,0)),"")</f>
        <v/>
      </c>
      <c r="AJ60" s="20">
        <f>IFERROR(INDEX($H$14:$H$93,MATCH($E60&amp;"#12",$X$14:$X$93,0)),"")</f>
        <v/>
      </c>
      <c r="AK60" s="20">
        <f>IFERROR(INDEX($H$14:$H$93,MATCH($E60&amp;"#13",$X$14:$X$93,0)),"")</f>
        <v/>
      </c>
      <c r="AL60" s="20">
        <f>IFERROR(INDEX($H$14:$H$93,MATCH($E60&amp;"#14",$X$14:$X$93,0)),"")</f>
        <v/>
      </c>
      <c r="AM60" s="20">
        <f>IFERROR(INDEX($H$14:$H$93,MATCH($E60&amp;"#15",$X$14:$X$93,0)),"")</f>
        <v/>
      </c>
      <c r="AN60" s="20">
        <f>IFERROR(INDEX($H$14:$H$93,MATCH($E60&amp;"#16",$X$14:$X$93,0)),"")</f>
        <v/>
      </c>
      <c r="AO60" s="20">
        <f>IFERROR(INDEX($H$14:$H$93,MATCH($E60&amp;"#17",$X$14:$X$93,0)),"")</f>
        <v/>
      </c>
      <c r="AP60" s="20">
        <f>IFERROR(INDEX($H$14:$H$93,MATCH($E60&amp;"#18",$X$14:$X$93,0)),"")</f>
        <v/>
      </c>
      <c r="AQ60" s="20">
        <f>IFERROR(INDEX($H$14:$H$93,MATCH($E60&amp;"#19",$X$14:$X$93,0)),"")</f>
        <v/>
      </c>
      <c r="AR60" s="20">
        <f>IFERROR(INDEX($H$14:$H$93,MATCH($E60&amp;"#20",$X$14:$X$93,0)),"")</f>
        <v/>
      </c>
      <c r="AT60" s="21">
        <f>$C60</f>
        <v/>
      </c>
      <c r="AU60" s="22">
        <f>IF(AND($H60&lt;&gt;"",$Y60&lt;&gt;"",$H60&lt;&gt;$Y60,IFERROR(VLOOKUP($H60,areaCercaPuntiClassificaSquadra,3,FALSE),-1)=IFERROR(VLOOKUP($Y60,areaCercaPuntiClassificaSquadra,3,FALSE),-2)),SUMIFS(Dati!$B$2:$B$761,Dati!$A$2:$A$761,$H60,Dati!$H$2:$H$761,$Y60)+SUMIFS(Dati!$I$2:$I$761,Dati!$H$2:$H$761,$H60,Dati!$A$2:$A$761,$Y60),"-")</f>
        <v/>
      </c>
      <c r="AV60" s="22">
        <f>IF(AND($H60&lt;&gt;"",$Z60&lt;&gt;"",$H60&lt;&gt;$Z60,IFERROR(VLOOKUP($H60,areaCercaPuntiClassificaSquadra,3,FALSE),-1)=IFERROR(VLOOKUP($Z60,areaCercaPuntiClassificaSquadra,3,FALSE),-2)),SUMIFS(Dati!$B$2:$B$761,Dati!$A$2:$A$761,$H60,Dati!$H$2:$H$761,$Z60)+SUMIFS(Dati!$I$2:$I$761,Dati!$H$2:$H$761,$H60,Dati!$A$2:$A$761,$Z60),"-")</f>
        <v/>
      </c>
      <c r="AW60" s="22">
        <f>IF(AND($H60&lt;&gt;"",$AA60&lt;&gt;"",$H60&lt;&gt;$AA60,IFERROR(VLOOKUP($H60,areaCercaPuntiClassificaSquadra,3,FALSE),-1)=IFERROR(VLOOKUP($AA60,areaCercaPuntiClassificaSquadra,3,FALSE),-2)),SUMIFS(Dati!$B$2:$B$761,Dati!$A$2:$A$761,$H60,Dati!$H$2:$H$761,$AA60)+SUMIFS(Dati!$I$2:$I$761,Dati!$H$2:$H$761,$H60,Dati!$A$2:$A$761,$AA60),"-")</f>
        <v/>
      </c>
      <c r="AX60" s="22">
        <f>IF(AND($H60&lt;&gt;"",$AB60&lt;&gt;"",$H60&lt;&gt;$AB60,IFERROR(VLOOKUP($H60,areaCercaPuntiClassificaSquadra,3,FALSE),-1)=IFERROR(VLOOKUP($AB60,areaCercaPuntiClassificaSquadra,3,FALSE),-2)),SUMIFS(Dati!$B$2:$B$761,Dati!$A$2:$A$761,$H60,Dati!$H$2:$H$761,$AB60)+SUMIFS(Dati!$I$2:$I$761,Dati!$H$2:$H$761,$H60,Dati!$A$2:$A$761,$AB60),"-")</f>
        <v/>
      </c>
      <c r="AY60" s="22">
        <f>IF(AND($H60&lt;&gt;"",$AC60&lt;&gt;"",$H60&lt;&gt;$AC60,IFERROR(VLOOKUP($H60,areaCercaPuntiClassificaSquadra,3,FALSE),-1)=IFERROR(VLOOKUP($AC60,areaCercaPuntiClassificaSquadra,3,FALSE),-2)),SUMIFS(Dati!$B$2:$B$761,Dati!$A$2:$A$761,$H60,Dati!$H$2:$H$761,$AC60)+SUMIFS(Dati!$I$2:$I$761,Dati!$H$2:$H$761,$H60,Dati!$A$2:$A$761,$AC60),"-")</f>
        <v/>
      </c>
      <c r="AZ60" s="22">
        <f>IF(AND($H60&lt;&gt;"",$AD60&lt;&gt;"",$H60&lt;&gt;$AD60,IFERROR(VLOOKUP($H60,areaCercaPuntiClassificaSquadra,3,FALSE),-1)=IFERROR(VLOOKUP($AD60,areaCercaPuntiClassificaSquadra,3,FALSE),-2)),SUMIFS(Dati!$B$2:$B$761,Dati!$A$2:$A$761,$H60,Dati!$H$2:$H$761,$AD60)+SUMIFS(Dati!$I$2:$I$761,Dati!$H$2:$H$761,$H60,Dati!$A$2:$A$761,$AD60),"-")</f>
        <v/>
      </c>
      <c r="BA60" s="22">
        <f>IF(AND($H60&lt;&gt;"",$AE60&lt;&gt;"",$H60&lt;&gt;$AE60,IFERROR(VLOOKUP($H60,areaCercaPuntiClassificaSquadra,3,FALSE),-1)=IFERROR(VLOOKUP($AE60,areaCercaPuntiClassificaSquadra,3,FALSE),-2)),SUMIFS(Dati!$B$2:$B$761,Dati!$A$2:$A$761,$H60,Dati!$H$2:$H$761,$AE60)+SUMIFS(Dati!$I$2:$I$761,Dati!$H$2:$H$761,$H60,Dati!$A$2:$A$761,$AE60),"-")</f>
        <v/>
      </c>
      <c r="BB60" s="22">
        <f>IF(AND($H60&lt;&gt;"",$AF60&lt;&gt;"",$H60&lt;&gt;$AF60,IFERROR(VLOOKUP($H60,areaCercaPuntiClassificaSquadra,3,FALSE),-1)=IFERROR(VLOOKUP($AF60,areaCercaPuntiClassificaSquadra,3,FALSE),-2)),SUMIFS(Dati!$B$2:$B$761,Dati!$A$2:$A$761,$H60,Dati!$H$2:$H$761,$AF60)+SUMIFS(Dati!$I$2:$I$761,Dati!$H$2:$H$761,$H60,Dati!$A$2:$A$761,$AF60),"-")</f>
        <v/>
      </c>
      <c r="BC60" s="22">
        <f>IF(AND($H60&lt;&gt;"",$AG60&lt;&gt;"",$H60&lt;&gt;$AG60,IFERROR(VLOOKUP($H60,areaCercaPuntiClassificaSquadra,3,FALSE),-1)=IFERROR(VLOOKUP($AG60,areaCercaPuntiClassificaSquadra,3,FALSE),-2)),SUMIFS(Dati!$B$2:$B$761,Dati!$A$2:$A$761,$H60,Dati!$H$2:$H$761,$AG60)+SUMIFS(Dati!$I$2:$I$761,Dati!$H$2:$H$761,$H60,Dati!$A$2:$A$761,$AG60),"-")</f>
        <v/>
      </c>
      <c r="BD60" s="22">
        <f>IF(AND($H60&lt;&gt;"",$AH60&lt;&gt;"",$H60&lt;&gt;$AH60,IFERROR(VLOOKUP($H60,areaCercaPuntiClassificaSquadra,3,FALSE),-1)=IFERROR(VLOOKUP($AH60,areaCercaPuntiClassificaSquadra,3,FALSE),-2)),SUMIFS(Dati!$B$2:$B$761,Dati!$A$2:$A$761,$H60,Dati!$H$2:$H$761,$AH60)+SUMIFS(Dati!$I$2:$I$761,Dati!$H$2:$H$761,$H60,Dati!$A$2:$A$761,$AH60),"-")</f>
        <v/>
      </c>
      <c r="BE60" s="22">
        <f>IF(AND($H60&lt;&gt;"",$AI60&lt;&gt;"",$H60&lt;&gt;$AI60,IFERROR(VLOOKUP($H60,areaCercaPuntiClassificaSquadra,3,FALSE),-1)=IFERROR(VLOOKUP($AI60,areaCercaPuntiClassificaSquadra,3,FALSE),-2)),SUMIFS(Dati!$B$2:$B$761,Dati!$A$2:$A$761,$H60,Dati!$H$2:$H$761,$AI60)+SUMIFS(Dati!$I$2:$I$761,Dati!$H$2:$H$761,$H60,Dati!$A$2:$A$761,$AI60),"-")</f>
        <v/>
      </c>
      <c r="BF60" s="22">
        <f>IF(AND($H60&lt;&gt;"",$AJ60&lt;&gt;"",$H60&lt;&gt;$AJ60,IFERROR(VLOOKUP($H60,areaCercaPuntiClassificaSquadra,3,FALSE),-1)=IFERROR(VLOOKUP($AJ60,areaCercaPuntiClassificaSquadra,3,FALSE),-2)),SUMIFS(Dati!$B$2:$B$761,Dati!$A$2:$A$761,$H60,Dati!$H$2:$H$761,$AJ60)+SUMIFS(Dati!$I$2:$I$761,Dati!$H$2:$H$761,$H60,Dati!$A$2:$A$761,$AJ60),"-")</f>
        <v/>
      </c>
      <c r="BG60" s="22">
        <f>IF(AND($H60&lt;&gt;"",$AK60&lt;&gt;"",$H60&lt;&gt;$AK60,IFERROR(VLOOKUP($H60,areaCercaPuntiClassificaSquadra,3,FALSE),-1)=IFERROR(VLOOKUP($AK60,areaCercaPuntiClassificaSquadra,3,FALSE),-2)),SUMIFS(Dati!$B$2:$B$761,Dati!$A$2:$A$761,$H60,Dati!$H$2:$H$761,$AK60)+SUMIFS(Dati!$I$2:$I$761,Dati!$H$2:$H$761,$H60,Dati!$A$2:$A$761,$AK60),"-")</f>
        <v/>
      </c>
      <c r="BH60" s="22">
        <f>IF(AND($H60&lt;&gt;"",$AL60&lt;&gt;"",$H60&lt;&gt;$AL60,IFERROR(VLOOKUP($H60,areaCercaPuntiClassificaSquadra,3,FALSE),-1)=IFERROR(VLOOKUP($AL60,areaCercaPuntiClassificaSquadra,3,FALSE),-2)),SUMIFS(Dati!$B$2:$B$761,Dati!$A$2:$A$761,$H60,Dati!$H$2:$H$761,$AL60)+SUMIFS(Dati!$I$2:$I$761,Dati!$H$2:$H$761,$H60,Dati!$A$2:$A$761,$AL60),"-")</f>
        <v/>
      </c>
      <c r="BI60" s="22">
        <f>IF(AND($H60&lt;&gt;"",$AM60&lt;&gt;"",$H60&lt;&gt;$AM60,IFERROR(VLOOKUP($H60,areaCercaPuntiClassificaSquadra,3,FALSE),-1)=IFERROR(VLOOKUP($AM60,areaCercaPuntiClassificaSquadra,3,FALSE),-2)),SUMIFS(Dati!$B$2:$B$761,Dati!$A$2:$A$761,$H60,Dati!$H$2:$H$761,$AM60)+SUMIFS(Dati!$I$2:$I$761,Dati!$H$2:$H$761,$H60,Dati!$A$2:$A$761,$AM60),"-")</f>
        <v/>
      </c>
      <c r="BJ60" s="22">
        <f>IF(AND($H60&lt;&gt;"",$AN60&lt;&gt;"",$H60&lt;&gt;$AN60,IFERROR(VLOOKUP($H60,areaCercaPuntiClassificaSquadra,3,FALSE),-1)=IFERROR(VLOOKUP($AN60,areaCercaPuntiClassificaSquadra,3,FALSE),-2)),SUMIFS(Dati!$B$2:$B$761,Dati!$A$2:$A$761,$H60,Dati!$H$2:$H$761,$AN60)+SUMIFS(Dati!$I$2:$I$761,Dati!$H$2:$H$761,$H60,Dati!$A$2:$A$761,$AN60),"-")</f>
        <v/>
      </c>
      <c r="BK60" s="22">
        <f>IF(AND($H60&lt;&gt;"",$AO60&lt;&gt;"",$H60&lt;&gt;$AO60,IFERROR(VLOOKUP($H60,areaCercaPuntiClassificaSquadra,3,FALSE),-1)=IFERROR(VLOOKUP($AO60,areaCercaPuntiClassificaSquadra,3,FALSE),-2)),SUMIFS(Dati!$B$2:$B$761,Dati!$A$2:$A$761,$H60,Dati!$H$2:$H$761,$AO60)+SUMIFS(Dati!$I$2:$I$761,Dati!$H$2:$H$761,$H60,Dati!$A$2:$A$761,$AO60),"-")</f>
        <v/>
      </c>
      <c r="BL60" s="22">
        <f>IF(AND($H60&lt;&gt;"",$AP60&lt;&gt;"",$H60&lt;&gt;$AP60,IFERROR(VLOOKUP($H60,areaCercaPuntiClassificaSquadra,3,FALSE),-1)=IFERROR(VLOOKUP($AP60,areaCercaPuntiClassificaSquadra,3,FALSE),-2)),SUMIFS(Dati!$B$2:$B$761,Dati!$A$2:$A$761,$H60,Dati!$H$2:$H$761,$AP60)+SUMIFS(Dati!$I$2:$I$761,Dati!$H$2:$H$761,$H60,Dati!$A$2:$A$761,$AP60),"-")</f>
        <v/>
      </c>
      <c r="BM60" s="22">
        <f>IF(AND($H60&lt;&gt;"",$AQ60&lt;&gt;"",$H60&lt;&gt;$AQ60,IFERROR(VLOOKUP($H60,areaCercaPuntiClassificaSquadra,3,FALSE),-1)=IFERROR(VLOOKUP($AQ60,areaCercaPuntiClassificaSquadra,3,FALSE),-2)),SUMIFS(Dati!$B$2:$B$761,Dati!$A$2:$A$761,$H60,Dati!$H$2:$H$761,$AQ60)+SUMIFS(Dati!$I$2:$I$761,Dati!$H$2:$H$761,$H60,Dati!$A$2:$A$761,$AQ60),"-")</f>
        <v/>
      </c>
      <c r="BN60" s="22">
        <f>IF(AND($H60&lt;&gt;"",$AR60&lt;&gt;"",$H60&lt;&gt;$AR60,IFERROR(VLOOKUP($H60,areaCercaPuntiClassificaSquadra,3,FALSE),-1)=IFERROR(VLOOKUP($AR60,areaCercaPuntiClassificaSquadra,3,FALSE),-2)),SUMIFS(Dati!$B$2:$B$761,Dati!$A$2:$A$761,$H60,Dati!$H$2:$H$761,$AR60)+SUMIFS(Dati!$I$2:$I$761,Dati!$H$2:$H$761,$H60,Dati!$A$2:$A$761,$AR60),"-")</f>
        <v/>
      </c>
      <c r="BP60" s="21">
        <f>$C60</f>
        <v/>
      </c>
      <c r="BQ60" s="22">
        <f>IF(AND($H60&lt;&gt;"",$Y60&lt;&gt;"",$H60&lt;&gt;$Y60,IFERROR(VLOOKUP($H60,areaCercaPuntiClassificaSquadra,3,FALSE),-1)=IFERROR(VLOOKUP($Y60,areaCercaPuntiClassificaSquadra,3,FALSE),-2)),SUMIFS(Dati!$D$2:$D$761,Dati!$A$2:$A$761,$H60,Dati!$H$2:$H$761,$Y60)+SUMIFS(Dati!$K$2:$K$761,Dati!$H$2:$H$761,$H60,Dati!$A$2:$A$761,$Y60)+SUMIFS(Dati!$C$2:$C$761,Dati!$A$2:$A$761,$H60,Dati!$H$2:$H$761,$Y60)+SUMIFS(Dati!$J$2:$J$761,Dati!$H$2:$H$761,$H60,Dati!$A$2:$A$761,$Y60),"-")</f>
        <v/>
      </c>
      <c r="BR60" s="22">
        <f>IF(AND($H60&lt;&gt;"",$Z60&lt;&gt;"",$H60&lt;&gt;$Z60,IFERROR(VLOOKUP($H60,areaCercaPuntiClassificaSquadra,3,FALSE),-1)=IFERROR(VLOOKUP($Z60,areaCercaPuntiClassificaSquadra,3,FALSE),-2)),SUMIFS(Dati!$D$2:$D$761,Dati!$A$2:$A$761,$H60,Dati!$H$2:$H$761,$Z60)+SUMIFS(Dati!$K$2:$K$761,Dati!$H$2:$H$761,$H60,Dati!$A$2:$A$761,$Z60)+SUMIFS(Dati!$C$2:$C$761,Dati!$A$2:$A$761,$H60,Dati!$H$2:$H$761,$Z60)+SUMIFS(Dati!$J$2:$J$761,Dati!$H$2:$H$761,$H60,Dati!$A$2:$A$761,$Z60),"-")</f>
        <v/>
      </c>
      <c r="BS60" s="22">
        <f>IF(AND($H60&lt;&gt;"",$AA60&lt;&gt;"",$H60&lt;&gt;$AA60,IFERROR(VLOOKUP($H60,areaCercaPuntiClassificaSquadra,3,FALSE),-1)=IFERROR(VLOOKUP($AA60,areaCercaPuntiClassificaSquadra,3,FALSE),-2)),SUMIFS(Dati!$D$2:$D$761,Dati!$A$2:$A$761,$H60,Dati!$H$2:$H$761,$AA60)+SUMIFS(Dati!$K$2:$K$761,Dati!$H$2:$H$761,$H60,Dati!$A$2:$A$761,$AA60)+SUMIFS(Dati!$C$2:$C$761,Dati!$A$2:$A$761,$H60,Dati!$H$2:$H$761,$AA60)+SUMIFS(Dati!$J$2:$J$761,Dati!$H$2:$H$761,$H60,Dati!$A$2:$A$761,$AA60),"-")</f>
        <v/>
      </c>
      <c r="BT60" s="22">
        <f>IF(AND($H60&lt;&gt;"",$AB60&lt;&gt;"",$H60&lt;&gt;$AB60,IFERROR(VLOOKUP($H60,areaCercaPuntiClassificaSquadra,3,FALSE),-1)=IFERROR(VLOOKUP($AB60,areaCercaPuntiClassificaSquadra,3,FALSE),-2)),SUMIFS(Dati!$D$2:$D$761,Dati!$A$2:$A$761,$H60,Dati!$H$2:$H$761,$AB60)+SUMIFS(Dati!$K$2:$K$761,Dati!$H$2:$H$761,$H60,Dati!$A$2:$A$761,$AB60)+SUMIFS(Dati!$C$2:$C$761,Dati!$A$2:$A$761,$H60,Dati!$H$2:$H$761,$AB60)+SUMIFS(Dati!$J$2:$J$761,Dati!$H$2:$H$761,$H60,Dati!$A$2:$A$761,$AB60),"-")</f>
        <v/>
      </c>
      <c r="BU60" s="22">
        <f>IF(AND($H60&lt;&gt;"",$AC60&lt;&gt;"",$H60&lt;&gt;$AC60,IFERROR(VLOOKUP($H60,areaCercaPuntiClassificaSquadra,3,FALSE),-1)=IFERROR(VLOOKUP($AC60,areaCercaPuntiClassificaSquadra,3,FALSE),-2)),SUMIFS(Dati!$D$2:$D$761,Dati!$A$2:$A$761,$H60,Dati!$H$2:$H$761,$AC60)+SUMIFS(Dati!$K$2:$K$761,Dati!$H$2:$H$761,$H60,Dati!$A$2:$A$761,$AC60)+SUMIFS(Dati!$C$2:$C$761,Dati!$A$2:$A$761,$H60,Dati!$H$2:$H$761,$AC60)+SUMIFS(Dati!$J$2:$J$761,Dati!$H$2:$H$761,$H60,Dati!$A$2:$A$761,$AC60),"-")</f>
        <v/>
      </c>
      <c r="BV60" s="22">
        <f>IF(AND($H60&lt;&gt;"",$AD60&lt;&gt;"",$H60&lt;&gt;$AD60,IFERROR(VLOOKUP($H60,areaCercaPuntiClassificaSquadra,3,FALSE),-1)=IFERROR(VLOOKUP($AD60,areaCercaPuntiClassificaSquadra,3,FALSE),-2)),SUMIFS(Dati!$D$2:$D$761,Dati!$A$2:$A$761,$H60,Dati!$H$2:$H$761,$AD60)+SUMIFS(Dati!$K$2:$K$761,Dati!$H$2:$H$761,$H60,Dati!$A$2:$A$761,$AD60)+SUMIFS(Dati!$C$2:$C$761,Dati!$A$2:$A$761,$H60,Dati!$H$2:$H$761,$AD60)+SUMIFS(Dati!$J$2:$J$761,Dati!$H$2:$H$761,$H60,Dati!$A$2:$A$761,$AD60),"-")</f>
        <v/>
      </c>
      <c r="BW60" s="22">
        <f>IF(AND($H60&lt;&gt;"",$AE60&lt;&gt;"",$H60&lt;&gt;$AE60,IFERROR(VLOOKUP($H60,areaCercaPuntiClassificaSquadra,3,FALSE),-1)=IFERROR(VLOOKUP($AE60,areaCercaPuntiClassificaSquadra,3,FALSE),-2)),SUMIFS(Dati!$D$2:$D$761,Dati!$A$2:$A$761,$H60,Dati!$H$2:$H$761,$AE60)+SUMIFS(Dati!$K$2:$K$761,Dati!$H$2:$H$761,$H60,Dati!$A$2:$A$761,$AE60)+SUMIFS(Dati!$C$2:$C$761,Dati!$A$2:$A$761,$H60,Dati!$H$2:$H$761,$AE60)+SUMIFS(Dati!$J$2:$J$761,Dati!$H$2:$H$761,$H60,Dati!$A$2:$A$761,$AE60),"-")</f>
        <v/>
      </c>
      <c r="BX60" s="22">
        <f>IF(AND($H60&lt;&gt;"",$AF60&lt;&gt;"",$H60&lt;&gt;$AF60,IFERROR(VLOOKUP($H60,areaCercaPuntiClassificaSquadra,3,FALSE),-1)=IFERROR(VLOOKUP($AF60,areaCercaPuntiClassificaSquadra,3,FALSE),-2)),SUMIFS(Dati!$D$2:$D$761,Dati!$A$2:$A$761,$H60,Dati!$H$2:$H$761,$AF60)+SUMIFS(Dati!$K$2:$K$761,Dati!$H$2:$H$761,$H60,Dati!$A$2:$A$761,$AF60)+SUMIFS(Dati!$C$2:$C$761,Dati!$A$2:$A$761,$H60,Dati!$H$2:$H$761,$AF60)+SUMIFS(Dati!$J$2:$J$761,Dati!$H$2:$H$761,$H60,Dati!$A$2:$A$761,$AF60),"-")</f>
        <v/>
      </c>
      <c r="BY60" s="22">
        <f>IF(AND($H60&lt;&gt;"",$AG60&lt;&gt;"",$H60&lt;&gt;$AG60,IFERROR(VLOOKUP($H60,areaCercaPuntiClassificaSquadra,3,FALSE),-1)=IFERROR(VLOOKUP($AG60,areaCercaPuntiClassificaSquadra,3,FALSE),-2)),SUMIFS(Dati!$D$2:$D$761,Dati!$A$2:$A$761,$H60,Dati!$H$2:$H$761,$AG60)+SUMIFS(Dati!$K$2:$K$761,Dati!$H$2:$H$761,$H60,Dati!$A$2:$A$761,$AG60)+SUMIFS(Dati!$C$2:$C$761,Dati!$A$2:$A$761,$H60,Dati!$H$2:$H$761,$AG60)+SUMIFS(Dati!$J$2:$J$761,Dati!$H$2:$H$761,$H60,Dati!$A$2:$A$761,$AG60),"-")</f>
        <v/>
      </c>
      <c r="BZ60" s="22">
        <f>IF(AND($H60&lt;&gt;"",$AH60&lt;&gt;"",$H60&lt;&gt;$AH60,IFERROR(VLOOKUP($H60,areaCercaPuntiClassificaSquadra,3,FALSE),-1)=IFERROR(VLOOKUP($AH60,areaCercaPuntiClassificaSquadra,3,FALSE),-2)),SUMIFS(Dati!$D$2:$D$761,Dati!$A$2:$A$761,$H60,Dati!$H$2:$H$761,$AH60)+SUMIFS(Dati!$K$2:$K$761,Dati!$H$2:$H$761,$H60,Dati!$A$2:$A$761,$AH60)+SUMIFS(Dati!$C$2:$C$761,Dati!$A$2:$A$761,$H60,Dati!$H$2:$H$761,$AH60)+SUMIFS(Dati!$J$2:$J$761,Dati!$H$2:$H$761,$H60,Dati!$A$2:$A$761,$AH60),"-")</f>
        <v/>
      </c>
      <c r="CA60" s="22">
        <f>IF(AND($H60&lt;&gt;"",$AI60&lt;&gt;"",$H60&lt;&gt;$AI60,IFERROR(VLOOKUP($H60,areaCercaPuntiClassificaSquadra,3,FALSE),-1)=IFERROR(VLOOKUP($AI60,areaCercaPuntiClassificaSquadra,3,FALSE),-2)),SUMIFS(Dati!$D$2:$D$761,Dati!$A$2:$A$761,$H60,Dati!$H$2:$H$761,$AI60)+SUMIFS(Dati!$K$2:$K$761,Dati!$H$2:$H$761,$H60,Dati!$A$2:$A$761,$AI60)+SUMIFS(Dati!$C$2:$C$761,Dati!$A$2:$A$761,$H60,Dati!$H$2:$H$761,$AI60)+SUMIFS(Dati!$J$2:$J$761,Dati!$H$2:$H$761,$H60,Dati!$A$2:$A$761,$AI60),"-")</f>
        <v/>
      </c>
      <c r="CB60" s="22">
        <f>IF(AND($H60&lt;&gt;"",$AJ60&lt;&gt;"",$H60&lt;&gt;$AJ60,IFERROR(VLOOKUP($H60,areaCercaPuntiClassificaSquadra,3,FALSE),-1)=IFERROR(VLOOKUP($AJ60,areaCercaPuntiClassificaSquadra,3,FALSE),-2)),SUMIFS(Dati!$D$2:$D$761,Dati!$A$2:$A$761,$H60,Dati!$H$2:$H$761,$AJ60)+SUMIFS(Dati!$K$2:$K$761,Dati!$H$2:$H$761,$H60,Dati!$A$2:$A$761,$AJ60)+SUMIFS(Dati!$C$2:$C$761,Dati!$A$2:$A$761,$H60,Dati!$H$2:$H$761,$AJ60)+SUMIFS(Dati!$J$2:$J$761,Dati!$H$2:$H$761,$H60,Dati!$A$2:$A$761,$AJ60),"-")</f>
        <v/>
      </c>
      <c r="CC60" s="22">
        <f>IF(AND($H60&lt;&gt;"",$AK60&lt;&gt;"",$H60&lt;&gt;$AK60,IFERROR(VLOOKUP($H60,areaCercaPuntiClassificaSquadra,3,FALSE),-1)=IFERROR(VLOOKUP($AK60,areaCercaPuntiClassificaSquadra,3,FALSE),-2)),SUMIFS(Dati!$D$2:$D$761,Dati!$A$2:$A$761,$H60,Dati!$H$2:$H$761,$AK60)+SUMIFS(Dati!$K$2:$K$761,Dati!$H$2:$H$761,$H60,Dati!$A$2:$A$761,$AK60)+SUMIFS(Dati!$C$2:$C$761,Dati!$A$2:$A$761,$H60,Dati!$H$2:$H$761,$AK60)+SUMIFS(Dati!$J$2:$J$761,Dati!$H$2:$H$761,$H60,Dati!$A$2:$A$761,$AK60),"-")</f>
        <v/>
      </c>
      <c r="CD60" s="22">
        <f>IF(AND($H60&lt;&gt;"",$AL60&lt;&gt;"",$H60&lt;&gt;$AL60,IFERROR(VLOOKUP($H60,areaCercaPuntiClassificaSquadra,3,FALSE),-1)=IFERROR(VLOOKUP($AL60,areaCercaPuntiClassificaSquadra,3,FALSE),-2)),SUMIFS(Dati!$D$2:$D$761,Dati!$A$2:$A$761,$H60,Dati!$H$2:$H$761,$AL60)+SUMIFS(Dati!$K$2:$K$761,Dati!$H$2:$H$761,$H60,Dati!$A$2:$A$761,$AL60)+SUMIFS(Dati!$C$2:$C$761,Dati!$A$2:$A$761,$H60,Dati!$H$2:$H$761,$AL60)+SUMIFS(Dati!$J$2:$J$761,Dati!$H$2:$H$761,$H60,Dati!$A$2:$A$761,$AL60),"-")</f>
        <v/>
      </c>
      <c r="CE60" s="22">
        <f>IF(AND($H60&lt;&gt;"",$AM60&lt;&gt;"",$H60&lt;&gt;$AM60,IFERROR(VLOOKUP($H60,areaCercaPuntiClassificaSquadra,3,FALSE),-1)=IFERROR(VLOOKUP($AM60,areaCercaPuntiClassificaSquadra,3,FALSE),-2)),SUMIFS(Dati!$D$2:$D$761,Dati!$A$2:$A$761,$H60,Dati!$H$2:$H$761,$AM60)+SUMIFS(Dati!$K$2:$K$761,Dati!$H$2:$H$761,$H60,Dati!$A$2:$A$761,$AM60)+SUMIFS(Dati!$C$2:$C$761,Dati!$A$2:$A$761,$H60,Dati!$H$2:$H$761,$AM60)+SUMIFS(Dati!$J$2:$J$761,Dati!$H$2:$H$761,$H60,Dati!$A$2:$A$761,$AM60),"-")</f>
        <v/>
      </c>
      <c r="CF60" s="22">
        <f>IF(AND($H60&lt;&gt;"",$AN60&lt;&gt;"",$H60&lt;&gt;$AN60,IFERROR(VLOOKUP($H60,areaCercaPuntiClassificaSquadra,3,FALSE),-1)=IFERROR(VLOOKUP($AN60,areaCercaPuntiClassificaSquadra,3,FALSE),-2)),SUMIFS(Dati!$D$2:$D$761,Dati!$A$2:$A$761,$H60,Dati!$H$2:$H$761,$AN60)+SUMIFS(Dati!$K$2:$K$761,Dati!$H$2:$H$761,$H60,Dati!$A$2:$A$761,$AN60)+SUMIFS(Dati!$C$2:$C$761,Dati!$A$2:$A$761,$H60,Dati!$H$2:$H$761,$AN60)+SUMIFS(Dati!$J$2:$J$761,Dati!$H$2:$H$761,$H60,Dati!$A$2:$A$761,$AN60),"-")</f>
        <v/>
      </c>
      <c r="CG60" s="22">
        <f>IF(AND($H60&lt;&gt;"",$AO60&lt;&gt;"",$H60&lt;&gt;$AO60,IFERROR(VLOOKUP($H60,areaCercaPuntiClassificaSquadra,3,FALSE),-1)=IFERROR(VLOOKUP($AO60,areaCercaPuntiClassificaSquadra,3,FALSE),-2)),SUMIFS(Dati!$D$2:$D$761,Dati!$A$2:$A$761,$H60,Dati!$H$2:$H$761,$AO60)+SUMIFS(Dati!$K$2:$K$761,Dati!$H$2:$H$761,$H60,Dati!$A$2:$A$761,$AO60)+SUMIFS(Dati!$C$2:$C$761,Dati!$A$2:$A$761,$H60,Dati!$H$2:$H$761,$AO60)+SUMIFS(Dati!$J$2:$J$761,Dati!$H$2:$H$761,$H60,Dati!$A$2:$A$761,$AO60),"-")</f>
        <v/>
      </c>
      <c r="CH60" s="22">
        <f>IF(AND($H60&lt;&gt;"",$AP60&lt;&gt;"",$H60&lt;&gt;$AP60,IFERROR(VLOOKUP($H60,areaCercaPuntiClassificaSquadra,3,FALSE),-1)=IFERROR(VLOOKUP($AP60,areaCercaPuntiClassificaSquadra,3,FALSE),-2)),SUMIFS(Dati!$D$2:$D$761,Dati!$A$2:$A$761,$H60,Dati!$H$2:$H$761,$AP60)+SUMIFS(Dati!$K$2:$K$761,Dati!$H$2:$H$761,$H60,Dati!$A$2:$A$761,$AP60)+SUMIFS(Dati!$C$2:$C$761,Dati!$A$2:$A$761,$H60,Dati!$H$2:$H$761,$AP60)+SUMIFS(Dati!$J$2:$J$761,Dati!$H$2:$H$761,$H60,Dati!$A$2:$A$761,$AP60),"-")</f>
        <v/>
      </c>
      <c r="CI60" s="22">
        <f>IF(AND($H60&lt;&gt;"",$AQ60&lt;&gt;"",$H60&lt;&gt;$AQ60,IFERROR(VLOOKUP($H60,areaCercaPuntiClassificaSquadra,3,FALSE),-1)=IFERROR(VLOOKUP($AQ60,areaCercaPuntiClassificaSquadra,3,FALSE),-2)),SUMIFS(Dati!$D$2:$D$761,Dati!$A$2:$A$761,$H60,Dati!$H$2:$H$761,$AQ60)+SUMIFS(Dati!$K$2:$K$761,Dati!$H$2:$H$761,$H60,Dati!$A$2:$A$761,$AQ60)+SUMIFS(Dati!$C$2:$C$761,Dati!$A$2:$A$761,$H60,Dati!$H$2:$H$761,$AQ60)+SUMIFS(Dati!$J$2:$J$761,Dati!$H$2:$H$761,$H60,Dati!$A$2:$A$761,$AQ60),"-")</f>
        <v/>
      </c>
      <c r="CJ60" s="22">
        <f>IF(AND($H60&lt;&gt;"",$AR60&lt;&gt;"",$H60&lt;&gt;$AR60,IFERROR(VLOOKUP($H60,areaCercaPuntiClassificaSquadra,3,FALSE),-1)=IFERROR(VLOOKUP($AR60,areaCercaPuntiClassificaSquadra,3,FALSE),-2)),SUMIFS(Dati!$D$2:$D$761,Dati!$A$2:$A$761,$H60,Dati!$H$2:$H$761,$AR60)+SUMIFS(Dati!$K$2:$K$761,Dati!$H$2:$H$761,$H60,Dati!$A$2:$A$761,$AR60)+SUMIFS(Dati!$C$2:$C$761,Dati!$A$2:$A$761,$H60,Dati!$H$2:$H$761,$AR60)+SUMIFS(Dati!$J$2:$J$761,Dati!$H$2:$H$761,$H60,Dati!$A$2:$A$761,$AR60),"-")</f>
        <v/>
      </c>
      <c r="CL60" s="21">
        <f>$C60</f>
        <v/>
      </c>
      <c r="CM60" s="22">
        <f>IF(AND($H60&lt;&gt;"",$Y60&lt;&gt;"",$H60&lt;&gt;$Y60,IFERROR(VLOOKUP($H60,areaCercaPuntiClassificaSquadra,3,FALSE),-1)=IFERROR(VLOOKUP($Y60,areaCercaPuntiClassificaSquadra,3,FALSE),-2)),SUMIFS(Dati!$E$2:$E$761,Dati!$A$2:$A$761,$H60,Dati!$H$2:$H$761,$Y60)+SUMIFS(Dati!$L$2:$L$761,Dati!$H$2:$H$761,$H60,Dati!$A$2:$A$761,$Y60),"-")</f>
        <v/>
      </c>
      <c r="CN60" s="22">
        <f>IF(AND($H60&lt;&gt;"",$Z60&lt;&gt;"",$H60&lt;&gt;$Z60,IFERROR(VLOOKUP($H60,areaCercaPuntiClassificaSquadra,3,FALSE),-1)=IFERROR(VLOOKUP($Z60,areaCercaPuntiClassificaSquadra,3,FALSE),-2)),SUMIFS(Dati!$E$2:$E$761,Dati!$A$2:$A$761,$H60,Dati!$H$2:$H$761,$Z60)+SUMIFS(Dati!$L$2:$L$761,Dati!$H$2:$H$761,$H60,Dati!$A$2:$A$761,$Z60),"-")</f>
        <v/>
      </c>
      <c r="CO60" s="22">
        <f>IF(AND($H60&lt;&gt;"",$AA60&lt;&gt;"",$H60&lt;&gt;$AA60,IFERROR(VLOOKUP($H60,areaCercaPuntiClassificaSquadra,3,FALSE),-1)=IFERROR(VLOOKUP($AA60,areaCercaPuntiClassificaSquadra,3,FALSE),-2)),SUMIFS(Dati!$E$2:$E$761,Dati!$A$2:$A$761,$H60,Dati!$H$2:$H$761,$AA60)+SUMIFS(Dati!$L$2:$L$761,Dati!$H$2:$H$761,$H60,Dati!$A$2:$A$761,$AA60),"-")</f>
        <v/>
      </c>
      <c r="CP60" s="22">
        <f>IF(AND($H60&lt;&gt;"",$AB60&lt;&gt;"",$H60&lt;&gt;$AB60,IFERROR(VLOOKUP($H60,areaCercaPuntiClassificaSquadra,3,FALSE),-1)=IFERROR(VLOOKUP($AB60,areaCercaPuntiClassificaSquadra,3,FALSE),-2)),SUMIFS(Dati!$E$2:$E$761,Dati!$A$2:$A$761,$H60,Dati!$H$2:$H$761,$AB60)+SUMIFS(Dati!$L$2:$L$761,Dati!$H$2:$H$761,$H60,Dati!$A$2:$A$761,$AB60),"-")</f>
        <v/>
      </c>
      <c r="CQ60" s="22">
        <f>IF(AND($H60&lt;&gt;"",$AC60&lt;&gt;"",$H60&lt;&gt;$AC60,IFERROR(VLOOKUP($H60,areaCercaPuntiClassificaSquadra,3,FALSE),-1)=IFERROR(VLOOKUP($AC60,areaCercaPuntiClassificaSquadra,3,FALSE),-2)),SUMIFS(Dati!$E$2:$E$761,Dati!$A$2:$A$761,$H60,Dati!$H$2:$H$761,$AC60)+SUMIFS(Dati!$L$2:$L$761,Dati!$H$2:$H$761,$H60,Dati!$A$2:$A$761,$AC60),"-")</f>
        <v/>
      </c>
      <c r="CR60" s="22">
        <f>IF(AND($H60&lt;&gt;"",$AD60&lt;&gt;"",$H60&lt;&gt;$AD60,IFERROR(VLOOKUP($H60,areaCercaPuntiClassificaSquadra,3,FALSE),-1)=IFERROR(VLOOKUP($AD60,areaCercaPuntiClassificaSquadra,3,FALSE),-2)),SUMIFS(Dati!$E$2:$E$761,Dati!$A$2:$A$761,$H60,Dati!$H$2:$H$761,$AD60)+SUMIFS(Dati!$L$2:$L$761,Dati!$H$2:$H$761,$H60,Dati!$A$2:$A$761,$AD60),"-")</f>
        <v/>
      </c>
      <c r="CS60" s="22">
        <f>IF(AND($H60&lt;&gt;"",$AE60&lt;&gt;"",$H60&lt;&gt;$AE60,IFERROR(VLOOKUP($H60,areaCercaPuntiClassificaSquadra,3,FALSE),-1)=IFERROR(VLOOKUP($AE60,areaCercaPuntiClassificaSquadra,3,FALSE),-2)),SUMIFS(Dati!$E$2:$E$761,Dati!$A$2:$A$761,$H60,Dati!$H$2:$H$761,$AE60)+SUMIFS(Dati!$L$2:$L$761,Dati!$H$2:$H$761,$H60,Dati!$A$2:$A$761,$AE60),"-")</f>
        <v/>
      </c>
      <c r="CT60" s="22">
        <f>IF(AND($H60&lt;&gt;"",$AF60&lt;&gt;"",$H60&lt;&gt;$AF60,IFERROR(VLOOKUP($H60,areaCercaPuntiClassificaSquadra,3,FALSE),-1)=IFERROR(VLOOKUP($AF60,areaCercaPuntiClassificaSquadra,3,FALSE),-2)),SUMIFS(Dati!$E$2:$E$761,Dati!$A$2:$A$761,$H60,Dati!$H$2:$H$761,$AF60)+SUMIFS(Dati!$L$2:$L$761,Dati!$H$2:$H$761,$H60,Dati!$A$2:$A$761,$AF60),"-")</f>
        <v/>
      </c>
      <c r="CU60" s="22">
        <f>IF(AND($H60&lt;&gt;"",$AG60&lt;&gt;"",$H60&lt;&gt;$AG60,IFERROR(VLOOKUP($H60,areaCercaPuntiClassificaSquadra,3,FALSE),-1)=IFERROR(VLOOKUP($AG60,areaCercaPuntiClassificaSquadra,3,FALSE),-2)),SUMIFS(Dati!$E$2:$E$761,Dati!$A$2:$A$761,$H60,Dati!$H$2:$H$761,$AG60)+SUMIFS(Dati!$L$2:$L$761,Dati!$H$2:$H$761,$H60,Dati!$A$2:$A$761,$AG60),"-")</f>
        <v/>
      </c>
      <c r="CV60" s="22">
        <f>IF(AND($H60&lt;&gt;"",$AH60&lt;&gt;"",$H60&lt;&gt;$AH60,IFERROR(VLOOKUP($H60,areaCercaPuntiClassificaSquadra,3,FALSE),-1)=IFERROR(VLOOKUP($AH60,areaCercaPuntiClassificaSquadra,3,FALSE),-2)),SUMIFS(Dati!$E$2:$E$761,Dati!$A$2:$A$761,$H60,Dati!$H$2:$H$761,$AH60)+SUMIFS(Dati!$L$2:$L$761,Dati!$H$2:$H$761,$H60,Dati!$A$2:$A$761,$AH60),"-")</f>
        <v/>
      </c>
      <c r="CW60" s="22">
        <f>IF(AND($H60&lt;&gt;"",$AI60&lt;&gt;"",$H60&lt;&gt;$AI60,IFERROR(VLOOKUP($H60,areaCercaPuntiClassificaSquadra,3,FALSE),-1)=IFERROR(VLOOKUP($AI60,areaCercaPuntiClassificaSquadra,3,FALSE),-2)),SUMIFS(Dati!$E$2:$E$761,Dati!$A$2:$A$761,$H60,Dati!$H$2:$H$761,$AI60)+SUMIFS(Dati!$L$2:$L$761,Dati!$H$2:$H$761,$H60,Dati!$A$2:$A$761,$AI60),"-")</f>
        <v/>
      </c>
      <c r="CX60" s="22">
        <f>IF(AND($H60&lt;&gt;"",$AJ60&lt;&gt;"",$H60&lt;&gt;$AJ60,IFERROR(VLOOKUP($H60,areaCercaPuntiClassificaSquadra,3,FALSE),-1)=IFERROR(VLOOKUP($AJ60,areaCercaPuntiClassificaSquadra,3,FALSE),-2)),SUMIFS(Dati!$E$2:$E$761,Dati!$A$2:$A$761,$H60,Dati!$H$2:$H$761,$AJ60)+SUMIFS(Dati!$L$2:$L$761,Dati!$H$2:$H$761,$H60,Dati!$A$2:$A$761,$AJ60),"-")</f>
        <v/>
      </c>
      <c r="CY60" s="22">
        <f>IF(AND($H60&lt;&gt;"",$AK60&lt;&gt;"",$H60&lt;&gt;$AK60,IFERROR(VLOOKUP($H60,areaCercaPuntiClassificaSquadra,3,FALSE),-1)=IFERROR(VLOOKUP($AK60,areaCercaPuntiClassificaSquadra,3,FALSE),-2)),SUMIFS(Dati!$E$2:$E$761,Dati!$A$2:$A$761,$H60,Dati!$H$2:$H$761,$AK60)+SUMIFS(Dati!$L$2:$L$761,Dati!$H$2:$H$761,$H60,Dati!$A$2:$A$761,$AK60),"-")</f>
        <v/>
      </c>
      <c r="CZ60" s="22">
        <f>IF(AND($H60&lt;&gt;"",$AL60&lt;&gt;"",$H60&lt;&gt;$AL60,IFERROR(VLOOKUP($H60,areaCercaPuntiClassificaSquadra,3,FALSE),-1)=IFERROR(VLOOKUP($AL60,areaCercaPuntiClassificaSquadra,3,FALSE),-2)),SUMIFS(Dati!$E$2:$E$761,Dati!$A$2:$A$761,$H60,Dati!$H$2:$H$761,$AL60)+SUMIFS(Dati!$L$2:$L$761,Dati!$H$2:$H$761,$H60,Dati!$A$2:$A$761,$AL60),"-")</f>
        <v/>
      </c>
      <c r="DA60" s="22">
        <f>IF(AND($H60&lt;&gt;"",$AM60&lt;&gt;"",$H60&lt;&gt;$AM60,IFERROR(VLOOKUP($H60,areaCercaPuntiClassificaSquadra,3,FALSE),-1)=IFERROR(VLOOKUP($AM60,areaCercaPuntiClassificaSquadra,3,FALSE),-2)),SUMIFS(Dati!$E$2:$E$761,Dati!$A$2:$A$761,$H60,Dati!$H$2:$H$761,$AM60)+SUMIFS(Dati!$L$2:$L$761,Dati!$H$2:$H$761,$H60,Dati!$A$2:$A$761,$AM60),"-")</f>
        <v/>
      </c>
      <c r="DB60" s="22">
        <f>IF(AND($H60&lt;&gt;"",$AN60&lt;&gt;"",$H60&lt;&gt;$AN60,IFERROR(VLOOKUP($H60,areaCercaPuntiClassificaSquadra,3,FALSE),-1)=IFERROR(VLOOKUP($AN60,areaCercaPuntiClassificaSquadra,3,FALSE),-2)),SUMIFS(Dati!$E$2:$E$761,Dati!$A$2:$A$761,$H60,Dati!$H$2:$H$761,$AN60)+SUMIFS(Dati!$L$2:$L$761,Dati!$H$2:$H$761,$H60,Dati!$A$2:$A$761,$AN60),"-")</f>
        <v/>
      </c>
      <c r="DC60" s="22">
        <f>IF(AND($H60&lt;&gt;"",$AO60&lt;&gt;"",$H60&lt;&gt;$AO60,IFERROR(VLOOKUP($H60,areaCercaPuntiClassificaSquadra,3,FALSE),-1)=IFERROR(VLOOKUP($AO60,areaCercaPuntiClassificaSquadra,3,FALSE),-2)),SUMIFS(Dati!$E$2:$E$761,Dati!$A$2:$A$761,$H60,Dati!$H$2:$H$761,$AO60)+SUMIFS(Dati!$L$2:$L$761,Dati!$H$2:$H$761,$H60,Dati!$A$2:$A$761,$AO60),"-")</f>
        <v/>
      </c>
      <c r="DD60" s="22">
        <f>IF(AND($H60&lt;&gt;"",$AP60&lt;&gt;"",$H60&lt;&gt;$AP60,IFERROR(VLOOKUP($H60,areaCercaPuntiClassificaSquadra,3,FALSE),-1)=IFERROR(VLOOKUP($AP60,areaCercaPuntiClassificaSquadra,3,FALSE),-2)),SUMIFS(Dati!$E$2:$E$761,Dati!$A$2:$A$761,$H60,Dati!$H$2:$H$761,$AP60)+SUMIFS(Dati!$L$2:$L$761,Dati!$H$2:$H$761,$H60,Dati!$A$2:$A$761,$AP60),"-")</f>
        <v/>
      </c>
      <c r="DE60" s="22">
        <f>IF(AND($H60&lt;&gt;"",$AQ60&lt;&gt;"",$H60&lt;&gt;$AQ60,IFERROR(VLOOKUP($H60,areaCercaPuntiClassificaSquadra,3,FALSE),-1)=IFERROR(VLOOKUP($AQ60,areaCercaPuntiClassificaSquadra,3,FALSE),-2)),SUMIFS(Dati!$E$2:$E$761,Dati!$A$2:$A$761,$H60,Dati!$H$2:$H$761,$AQ60)+SUMIFS(Dati!$L$2:$L$761,Dati!$H$2:$H$761,$H60,Dati!$A$2:$A$761,$AQ60),"-")</f>
        <v/>
      </c>
      <c r="DF60" s="22">
        <f>IF(AND($H60&lt;&gt;"",$AR60&lt;&gt;"",$H60&lt;&gt;$AR60,IFERROR(VLOOKUP($H60,areaCercaPuntiClassificaSquadra,3,FALSE),-1)=IFERROR(VLOOKUP($AR60,areaCercaPuntiClassificaSquadra,3,FALSE),-2)),SUMIFS(Dati!$E$2:$E$761,Dati!$A$2:$A$761,$H60,Dati!$H$2:$H$761,$AR60)+SUMIFS(Dati!$L$2:$L$761,Dati!$H$2:$H$761,$H60,Dati!$A$2:$A$761,$AR60),"-")</f>
        <v/>
      </c>
      <c r="DH60" s="21">
        <f>$C60</f>
        <v/>
      </c>
      <c r="DI60" s="22">
        <f>IF(AND($H60&lt;&gt;"",$Y60&lt;&gt;"",$H60&lt;&gt;$Y60,IFERROR(VLOOKUP($H60,areaCercaPuntiClassificaSquadra,3,FALSE),-1)=IFERROR(VLOOKUP($Y60,areaCercaPuntiClassificaSquadra,3,FALSE),-2)),SUMIFS(Dati!$F$2:$F$761,Dati!$A$2:$A$761,$H60,Dati!$H$2:$H$761,$Y60)+SUMIFS(Dati!$M$2:$M$761,Dati!$H$2:$H$761,$H60,Dati!$A$2:$A$761,$Y60),"-")</f>
        <v/>
      </c>
      <c r="DJ60" s="22">
        <f>IF(AND($H60&lt;&gt;"",$Z60&lt;&gt;"",$H60&lt;&gt;$Z60,IFERROR(VLOOKUP($H60,areaCercaPuntiClassificaSquadra,3,FALSE),-1)=IFERROR(VLOOKUP($Z60,areaCercaPuntiClassificaSquadra,3,FALSE),-2)),SUMIFS(Dati!$F$2:$F$761,Dati!$A$2:$A$761,$H60,Dati!$H$2:$H$761,$Z60)+SUMIFS(Dati!$M$2:$M$761,Dati!$H$2:$H$761,$H60,Dati!$A$2:$A$761,$Z60),"-")</f>
        <v/>
      </c>
      <c r="DK60" s="22">
        <f>IF(AND($H60&lt;&gt;"",$AA60&lt;&gt;"",$H60&lt;&gt;$AA60,IFERROR(VLOOKUP($H60,areaCercaPuntiClassificaSquadra,3,FALSE),-1)=IFERROR(VLOOKUP($AA60,areaCercaPuntiClassificaSquadra,3,FALSE),-2)),SUMIFS(Dati!$F$2:$F$761,Dati!$A$2:$A$761,$H60,Dati!$H$2:$H$761,$AA60)+SUMIFS(Dati!$M$2:$M$761,Dati!$H$2:$H$761,$H60,Dati!$A$2:$A$761,$AA60),"-")</f>
        <v/>
      </c>
      <c r="DL60" s="22">
        <f>IF(AND($H60&lt;&gt;"",$AB60&lt;&gt;"",$H60&lt;&gt;$AB60,IFERROR(VLOOKUP($H60,areaCercaPuntiClassificaSquadra,3,FALSE),-1)=IFERROR(VLOOKUP($AB60,areaCercaPuntiClassificaSquadra,3,FALSE),-2)),SUMIFS(Dati!$F$2:$F$761,Dati!$A$2:$A$761,$H60,Dati!$H$2:$H$761,$AB60)+SUMIFS(Dati!$M$2:$M$761,Dati!$H$2:$H$761,$H60,Dati!$A$2:$A$761,$AB60),"-")</f>
        <v/>
      </c>
      <c r="DM60" s="22">
        <f>IF(AND($H60&lt;&gt;"",$AC60&lt;&gt;"",$H60&lt;&gt;$AC60,IFERROR(VLOOKUP($H60,areaCercaPuntiClassificaSquadra,3,FALSE),-1)=IFERROR(VLOOKUP($AC60,areaCercaPuntiClassificaSquadra,3,FALSE),-2)),SUMIFS(Dati!$F$2:$F$761,Dati!$A$2:$A$761,$H60,Dati!$H$2:$H$761,$AC60)+SUMIFS(Dati!$M$2:$M$761,Dati!$H$2:$H$761,$H60,Dati!$A$2:$A$761,$AC60),"-")</f>
        <v/>
      </c>
      <c r="DN60" s="22">
        <f>IF(AND($H60&lt;&gt;"",$AD60&lt;&gt;"",$H60&lt;&gt;$AD60,IFERROR(VLOOKUP($H60,areaCercaPuntiClassificaSquadra,3,FALSE),-1)=IFERROR(VLOOKUP($AD60,areaCercaPuntiClassificaSquadra,3,FALSE),-2)),SUMIFS(Dati!$F$2:$F$761,Dati!$A$2:$A$761,$H60,Dati!$H$2:$H$761,$AD60)+SUMIFS(Dati!$M$2:$M$761,Dati!$H$2:$H$761,$H60,Dati!$A$2:$A$761,$AD60),"-")</f>
        <v/>
      </c>
      <c r="DO60" s="22">
        <f>IF(AND($H60&lt;&gt;"",$AE60&lt;&gt;"",$H60&lt;&gt;$AE60,IFERROR(VLOOKUP($H60,areaCercaPuntiClassificaSquadra,3,FALSE),-1)=IFERROR(VLOOKUP($AE60,areaCercaPuntiClassificaSquadra,3,FALSE),-2)),SUMIFS(Dati!$F$2:$F$761,Dati!$A$2:$A$761,$H60,Dati!$H$2:$H$761,$AE60)+SUMIFS(Dati!$M$2:$M$761,Dati!$H$2:$H$761,$H60,Dati!$A$2:$A$761,$AE60),"-")</f>
        <v/>
      </c>
      <c r="DP60" s="22">
        <f>IF(AND($H60&lt;&gt;"",$AF60&lt;&gt;"",$H60&lt;&gt;$AF60,IFERROR(VLOOKUP($H60,areaCercaPuntiClassificaSquadra,3,FALSE),-1)=IFERROR(VLOOKUP($AF60,areaCercaPuntiClassificaSquadra,3,FALSE),-2)),SUMIFS(Dati!$F$2:$F$761,Dati!$A$2:$A$761,$H60,Dati!$H$2:$H$761,$AF60)+SUMIFS(Dati!$M$2:$M$761,Dati!$H$2:$H$761,$H60,Dati!$A$2:$A$761,$AF60),"-")</f>
        <v/>
      </c>
      <c r="DQ60" s="22">
        <f>IF(AND($H60&lt;&gt;"",$AG60&lt;&gt;"",$H60&lt;&gt;$AG60,IFERROR(VLOOKUP($H60,areaCercaPuntiClassificaSquadra,3,FALSE),-1)=IFERROR(VLOOKUP($AG60,areaCercaPuntiClassificaSquadra,3,FALSE),-2)),SUMIFS(Dati!$F$2:$F$761,Dati!$A$2:$A$761,$H60,Dati!$H$2:$H$761,$AG60)+SUMIFS(Dati!$M$2:$M$761,Dati!$H$2:$H$761,$H60,Dati!$A$2:$A$761,$AG60),"-")</f>
        <v/>
      </c>
      <c r="DR60" s="22">
        <f>IF(AND($H60&lt;&gt;"",$AH60&lt;&gt;"",$H60&lt;&gt;$AH60,IFERROR(VLOOKUP($H60,areaCercaPuntiClassificaSquadra,3,FALSE),-1)=IFERROR(VLOOKUP($AH60,areaCercaPuntiClassificaSquadra,3,FALSE),-2)),SUMIFS(Dati!$F$2:$F$761,Dati!$A$2:$A$761,$H60,Dati!$H$2:$H$761,$AH60)+SUMIFS(Dati!$M$2:$M$761,Dati!$H$2:$H$761,$H60,Dati!$A$2:$A$761,$AH60),"-")</f>
        <v/>
      </c>
      <c r="DS60" s="22">
        <f>IF(AND($H60&lt;&gt;"",$AI60&lt;&gt;"",$H60&lt;&gt;$AI60,IFERROR(VLOOKUP($H60,areaCercaPuntiClassificaSquadra,3,FALSE),-1)=IFERROR(VLOOKUP($AI60,areaCercaPuntiClassificaSquadra,3,FALSE),-2)),SUMIFS(Dati!$F$2:$F$761,Dati!$A$2:$A$761,$H60,Dati!$H$2:$H$761,$AI60)+SUMIFS(Dati!$M$2:$M$761,Dati!$H$2:$H$761,$H60,Dati!$A$2:$A$761,$AI60),"-")</f>
        <v/>
      </c>
      <c r="DT60" s="22">
        <f>IF(AND($H60&lt;&gt;"",$AJ60&lt;&gt;"",$H60&lt;&gt;$AJ60,IFERROR(VLOOKUP($H60,areaCercaPuntiClassificaSquadra,3,FALSE),-1)=IFERROR(VLOOKUP($AJ60,areaCercaPuntiClassificaSquadra,3,FALSE),-2)),SUMIFS(Dati!$F$2:$F$761,Dati!$A$2:$A$761,$H60,Dati!$H$2:$H$761,$AJ60)+SUMIFS(Dati!$M$2:$M$761,Dati!$H$2:$H$761,$H60,Dati!$A$2:$A$761,$AJ60),"-")</f>
        <v/>
      </c>
      <c r="DU60" s="22">
        <f>IF(AND($H60&lt;&gt;"",$AK60&lt;&gt;"",$H60&lt;&gt;$AK60,IFERROR(VLOOKUP($H60,areaCercaPuntiClassificaSquadra,3,FALSE),-1)=IFERROR(VLOOKUP($AK60,areaCercaPuntiClassificaSquadra,3,FALSE),-2)),SUMIFS(Dati!$F$2:$F$761,Dati!$A$2:$A$761,$H60,Dati!$H$2:$H$761,$AK60)+SUMIFS(Dati!$M$2:$M$761,Dati!$H$2:$H$761,$H60,Dati!$A$2:$A$761,$AK60),"-")</f>
        <v/>
      </c>
      <c r="DV60" s="22">
        <f>IF(AND($H60&lt;&gt;"",$AL60&lt;&gt;"",$H60&lt;&gt;$AL60,IFERROR(VLOOKUP($H60,areaCercaPuntiClassificaSquadra,3,FALSE),-1)=IFERROR(VLOOKUP($AL60,areaCercaPuntiClassificaSquadra,3,FALSE),-2)),SUMIFS(Dati!$F$2:$F$761,Dati!$A$2:$A$761,$H60,Dati!$H$2:$H$761,$AL60)+SUMIFS(Dati!$M$2:$M$761,Dati!$H$2:$H$761,$H60,Dati!$A$2:$A$761,$AL60),"-")</f>
        <v/>
      </c>
      <c r="DW60" s="22">
        <f>IF(AND($H60&lt;&gt;"",$AM60&lt;&gt;"",$H60&lt;&gt;$AM60,IFERROR(VLOOKUP($H60,areaCercaPuntiClassificaSquadra,3,FALSE),-1)=IFERROR(VLOOKUP($AM60,areaCercaPuntiClassificaSquadra,3,FALSE),-2)),SUMIFS(Dati!$F$2:$F$761,Dati!$A$2:$A$761,$H60,Dati!$H$2:$H$761,$AM60)+SUMIFS(Dati!$M$2:$M$761,Dati!$H$2:$H$761,$H60,Dati!$A$2:$A$761,$AM60),"-")</f>
        <v/>
      </c>
      <c r="DX60" s="22">
        <f>IF(AND($H60&lt;&gt;"",$AN60&lt;&gt;"",$H60&lt;&gt;$AN60,IFERROR(VLOOKUP($H60,areaCercaPuntiClassificaSquadra,3,FALSE),-1)=IFERROR(VLOOKUP($AN60,areaCercaPuntiClassificaSquadra,3,FALSE),-2)),SUMIFS(Dati!$F$2:$F$761,Dati!$A$2:$A$761,$H60,Dati!$H$2:$H$761,$AN60)+SUMIFS(Dati!$M$2:$M$761,Dati!$H$2:$H$761,$H60,Dati!$A$2:$A$761,$AN60),"-")</f>
        <v/>
      </c>
      <c r="DY60" s="22">
        <f>IF(AND($H60&lt;&gt;"",$AO60&lt;&gt;"",$H60&lt;&gt;$AO60,IFERROR(VLOOKUP($H60,areaCercaPuntiClassificaSquadra,3,FALSE),-1)=IFERROR(VLOOKUP($AO60,areaCercaPuntiClassificaSquadra,3,FALSE),-2)),SUMIFS(Dati!$F$2:$F$761,Dati!$A$2:$A$761,$H60,Dati!$H$2:$H$761,$AO60)+SUMIFS(Dati!$M$2:$M$761,Dati!$H$2:$H$761,$H60,Dati!$A$2:$A$761,$AO60),"-")</f>
        <v/>
      </c>
      <c r="DZ60" s="22">
        <f>IF(AND($H60&lt;&gt;"",$AP60&lt;&gt;"",$H60&lt;&gt;$AP60,IFERROR(VLOOKUP($H60,areaCercaPuntiClassificaSquadra,3,FALSE),-1)=IFERROR(VLOOKUP($AP60,areaCercaPuntiClassificaSquadra,3,FALSE),-2)),SUMIFS(Dati!$F$2:$F$761,Dati!$A$2:$A$761,$H60,Dati!$H$2:$H$761,$AP60)+SUMIFS(Dati!$M$2:$M$761,Dati!$H$2:$H$761,$H60,Dati!$A$2:$A$761,$AP60),"-")</f>
        <v/>
      </c>
      <c r="EA60" s="22">
        <f>IF(AND($H60&lt;&gt;"",$AQ60&lt;&gt;"",$H60&lt;&gt;$AQ60,IFERROR(VLOOKUP($H60,areaCercaPuntiClassificaSquadra,3,FALSE),-1)=IFERROR(VLOOKUP($AQ60,areaCercaPuntiClassificaSquadra,3,FALSE),-2)),SUMIFS(Dati!$F$2:$F$761,Dati!$A$2:$A$761,$H60,Dati!$H$2:$H$761,$AQ60)+SUMIFS(Dati!$M$2:$M$761,Dati!$H$2:$H$761,$H60,Dati!$A$2:$A$761,$AQ60),"-")</f>
        <v/>
      </c>
      <c r="EB60" s="22">
        <f>IF(AND($H60&lt;&gt;"",$AR60&lt;&gt;"",$H60&lt;&gt;$AR60,IFERROR(VLOOKUP($H60,areaCercaPuntiClassificaSquadra,3,FALSE),-1)=IFERROR(VLOOKUP($AR60,areaCercaPuntiClassificaSquadra,3,FALSE),-2)),SUMIFS(Dati!$F$2:$F$761,Dati!$A$2:$A$761,$H60,Dati!$H$2:$H$761,$AR60)+SUMIFS(Dati!$M$2:$M$761,Dati!$H$2:$H$761,$H60,Dati!$A$2:$A$761,$AR60),"-")</f>
        <v/>
      </c>
      <c r="ED60" s="22">
        <f>IF($C60="","",SUM(AU60:BN60))</f>
        <v/>
      </c>
    </row>
    <row r="61">
      <c r="B61" s="12" t="inlineStr">
        <is>
          <t>C08</t>
        </is>
      </c>
      <c r="C61" s="13" t="inlineStr">
        <is>
          <t>Ricci Regali-Ricciopoli RI</t>
        </is>
      </c>
      <c r="D61" s="14" t="n"/>
      <c r="E61" s="25" t="inlineStr">
        <is>
          <t>C</t>
        </is>
      </c>
      <c r="G61" s="26">
        <f>IF($C61="","",$E61&amp;(COUNTIFS(I$14:I$93,"&gt;"&amp;I61,E$14:E$93,"="&amp;E61,C$14:C$93,"&lt;&gt;")+COUNTIFS(I$14:I$93,"="&amp;I61,H$14:H$93,"&lt;="&amp;H61,E$14:E$93,"="&amp;E61,C$14:C$93,"&lt;&gt;")))</f>
        <v/>
      </c>
      <c r="H61" s="17">
        <f>IF($C61="","",IFERROR(LEFT($C61,FIND("-",$C61)-1),$C61))</f>
        <v/>
      </c>
      <c r="I61" s="12">
        <f>TEXT(1000000000+J61,"|0000000000|")&amp;TEXT(SUM(AU61:BN61),"0000000000|")&amp;IF(SUM(DI61:EB61)=0,"0000000000|",TEXT(ROUND(SUM(CM61:DF61)/SUM(DI61:EB61),4)*100000,"0000000000|"))&amp;IF(P61=0,"0000000000|",TEXT(ROUND(O61/P61,4)*100000,"0000000000|"))</f>
        <v/>
      </c>
      <c r="J61" s="26">
        <f>L61*constPuntiVittoria+M61*constPuntiSconfitta+N61*constPuntiForfait+IF(D61="",0,D61)</f>
        <v/>
      </c>
      <c r="K61" s="12">
        <f>SUM(L61:N61)</f>
        <v/>
      </c>
      <c r="L61" s="12">
        <f>IF($H61="",0,SUMIF(Dati!$A$2:$A$761,$H61,Dati!$B$2:$B$761)+SUMIF(Dati!$H$2:$H$761,$H61,Dati!$I$2:$I$761))</f>
        <v/>
      </c>
      <c r="M61" s="12">
        <f>IF($H61="",0,SUMIF(Dati!$A$2:$A$761,$H61,Dati!$D$2:$D$761)+SUMIF(Dati!$H$2:$H$761,$H61,Dati!$K$2:$K$761))</f>
        <v/>
      </c>
      <c r="N61" s="12">
        <f>IF($H61="",0,SUMIF(Dati!$A$2:$A$761,$H61,Dati!$C$2:$C$761)+SUMIF(Dati!$H$2:$H$761,$H61,Dati!$J$2:$J$761))</f>
        <v/>
      </c>
      <c r="O61" s="12">
        <f>IF($H61="",0,SUMIF(Dati!$A$2:$A$761,$H61,Dati!$E$2:$E$761)+SUMIF(Dati!$H$2:$H$761,$H61,Dati!$L$2:$L$761))</f>
        <v/>
      </c>
      <c r="P61" s="12">
        <f>IF($H61="",0,SUMIF(Dati!$A$2:$A$761,$H61,Dati!$F$2:$F$761)+SUMIF(Dati!$H$2:$H$761,$H61,Dati!$M$2:$M$761))</f>
        <v/>
      </c>
      <c r="Q61" s="12">
        <f>IF($H61="",0,SUMIF(Dati!$A$2:$A$761,$H61,Dati!$G$2:$G$761)+SUMIF(Dati!$H$2:$H$761,$H61,Dati!$N$2:$N$761))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IF(COUNTIFS($E$14:$E$93,$E61,$J$14:$J$93,$J61,$C$14:$C$93,"&lt;&gt;")&lt;=1,"-",SUM(AU61:BN61)&amp;"-"&amp;SUM(BQ61:CJ61))</f>
        <v/>
      </c>
      <c r="V61" s="18">
        <f>IF(COUNTIFS($E$14:$E$93,$E61,$J$14:$J$93,$J61,$C$14:$C$93,"&lt;&gt;",$ED$14:$ED$93,$ED61)&lt;=1,"-",IF(SUM(DI61:EB61)=0,0,ROUND(SUM(CM61:DF61)/SUM(DI61:EB61),3)))</f>
        <v/>
      </c>
      <c r="W61" s="18">
        <f>IF(COUNTIFS($E$14:$E$93,$E61,$J$14:$J$93,$J61,$C$14:$C$93,"&lt;&gt;",$ED$14:$ED$93,$ED61,$V$14:$V$93,$V61)&lt;=1,"-",IF(P61=0,0,ROUND(O61/P61,3)))</f>
        <v/>
      </c>
      <c r="X61" s="19">
        <f>IF($C61="","",$E61&amp;"#"&amp;COUNTIFS($E$14:$E61,$E61,$C$14:$C61,"&lt;&gt;"))</f>
        <v/>
      </c>
      <c r="Y61" s="20">
        <f>IFERROR(INDEX($H$14:$H$93,MATCH($E61&amp;"#1",$X$14:$X$93,0)),"")</f>
        <v/>
      </c>
      <c r="Z61" s="20">
        <f>IFERROR(INDEX($H$14:$H$93,MATCH($E61&amp;"#2",$X$14:$X$93,0)),"")</f>
        <v/>
      </c>
      <c r="AA61" s="20">
        <f>IFERROR(INDEX($H$14:$H$93,MATCH($E61&amp;"#3",$X$14:$X$93,0)),"")</f>
        <v/>
      </c>
      <c r="AB61" s="20">
        <f>IFERROR(INDEX($H$14:$H$93,MATCH($E61&amp;"#4",$X$14:$X$93,0)),"")</f>
        <v/>
      </c>
      <c r="AC61" s="20">
        <f>IFERROR(INDEX($H$14:$H$93,MATCH($E61&amp;"#5",$X$14:$X$93,0)),"")</f>
        <v/>
      </c>
      <c r="AD61" s="20">
        <f>IFERROR(INDEX($H$14:$H$93,MATCH($E61&amp;"#6",$X$14:$X$93,0)),"")</f>
        <v/>
      </c>
      <c r="AE61" s="20">
        <f>IFERROR(INDEX($H$14:$H$93,MATCH($E61&amp;"#7",$X$14:$X$93,0)),"")</f>
        <v/>
      </c>
      <c r="AF61" s="20">
        <f>IFERROR(INDEX($H$14:$H$93,MATCH($E61&amp;"#8",$X$14:$X$93,0)),"")</f>
        <v/>
      </c>
      <c r="AG61" s="20">
        <f>IFERROR(INDEX($H$14:$H$93,MATCH($E61&amp;"#9",$X$14:$X$93,0)),"")</f>
        <v/>
      </c>
      <c r="AH61" s="20">
        <f>IFERROR(INDEX($H$14:$H$93,MATCH($E61&amp;"#10",$X$14:$X$93,0)),"")</f>
        <v/>
      </c>
      <c r="AI61" s="20">
        <f>IFERROR(INDEX($H$14:$H$93,MATCH($E61&amp;"#11",$X$14:$X$93,0)),"")</f>
        <v/>
      </c>
      <c r="AJ61" s="20">
        <f>IFERROR(INDEX($H$14:$H$93,MATCH($E61&amp;"#12",$X$14:$X$93,0)),"")</f>
        <v/>
      </c>
      <c r="AK61" s="20">
        <f>IFERROR(INDEX($H$14:$H$93,MATCH($E61&amp;"#13",$X$14:$X$93,0)),"")</f>
        <v/>
      </c>
      <c r="AL61" s="20">
        <f>IFERROR(INDEX($H$14:$H$93,MATCH($E61&amp;"#14",$X$14:$X$93,0)),"")</f>
        <v/>
      </c>
      <c r="AM61" s="20">
        <f>IFERROR(INDEX($H$14:$H$93,MATCH($E61&amp;"#15",$X$14:$X$93,0)),"")</f>
        <v/>
      </c>
      <c r="AN61" s="20">
        <f>IFERROR(INDEX($H$14:$H$93,MATCH($E61&amp;"#16",$X$14:$X$93,0)),"")</f>
        <v/>
      </c>
      <c r="AO61" s="20">
        <f>IFERROR(INDEX($H$14:$H$93,MATCH($E61&amp;"#17",$X$14:$X$93,0)),"")</f>
        <v/>
      </c>
      <c r="AP61" s="20">
        <f>IFERROR(INDEX($H$14:$H$93,MATCH($E61&amp;"#18",$X$14:$X$93,0)),"")</f>
        <v/>
      </c>
      <c r="AQ61" s="20">
        <f>IFERROR(INDEX($H$14:$H$93,MATCH($E61&amp;"#19",$X$14:$X$93,0)),"")</f>
        <v/>
      </c>
      <c r="AR61" s="20">
        <f>IFERROR(INDEX($H$14:$H$93,MATCH($E61&amp;"#20",$X$14:$X$93,0)),"")</f>
        <v/>
      </c>
      <c r="AT61" s="21">
        <f>$C61</f>
        <v/>
      </c>
      <c r="AU61" s="22">
        <f>IF(AND($H61&lt;&gt;"",$Y61&lt;&gt;"",$H61&lt;&gt;$Y61,IFERROR(VLOOKUP($H61,areaCercaPuntiClassificaSquadra,3,FALSE),-1)=IFERROR(VLOOKUP($Y61,areaCercaPuntiClassificaSquadra,3,FALSE),-2)),SUMIFS(Dati!$B$2:$B$761,Dati!$A$2:$A$761,$H61,Dati!$H$2:$H$761,$Y61)+SUMIFS(Dati!$I$2:$I$761,Dati!$H$2:$H$761,$H61,Dati!$A$2:$A$761,$Y61),"-")</f>
        <v/>
      </c>
      <c r="AV61" s="22">
        <f>IF(AND($H61&lt;&gt;"",$Z61&lt;&gt;"",$H61&lt;&gt;$Z61,IFERROR(VLOOKUP($H61,areaCercaPuntiClassificaSquadra,3,FALSE),-1)=IFERROR(VLOOKUP($Z61,areaCercaPuntiClassificaSquadra,3,FALSE),-2)),SUMIFS(Dati!$B$2:$B$761,Dati!$A$2:$A$761,$H61,Dati!$H$2:$H$761,$Z61)+SUMIFS(Dati!$I$2:$I$761,Dati!$H$2:$H$761,$H61,Dati!$A$2:$A$761,$Z61),"-")</f>
        <v/>
      </c>
      <c r="AW61" s="22">
        <f>IF(AND($H61&lt;&gt;"",$AA61&lt;&gt;"",$H61&lt;&gt;$AA61,IFERROR(VLOOKUP($H61,areaCercaPuntiClassificaSquadra,3,FALSE),-1)=IFERROR(VLOOKUP($AA61,areaCercaPuntiClassificaSquadra,3,FALSE),-2)),SUMIFS(Dati!$B$2:$B$761,Dati!$A$2:$A$761,$H61,Dati!$H$2:$H$761,$AA61)+SUMIFS(Dati!$I$2:$I$761,Dati!$H$2:$H$761,$H61,Dati!$A$2:$A$761,$AA61),"-")</f>
        <v/>
      </c>
      <c r="AX61" s="22">
        <f>IF(AND($H61&lt;&gt;"",$AB61&lt;&gt;"",$H61&lt;&gt;$AB61,IFERROR(VLOOKUP($H61,areaCercaPuntiClassificaSquadra,3,FALSE),-1)=IFERROR(VLOOKUP($AB61,areaCercaPuntiClassificaSquadra,3,FALSE),-2)),SUMIFS(Dati!$B$2:$B$761,Dati!$A$2:$A$761,$H61,Dati!$H$2:$H$761,$AB61)+SUMIFS(Dati!$I$2:$I$761,Dati!$H$2:$H$761,$H61,Dati!$A$2:$A$761,$AB61),"-")</f>
        <v/>
      </c>
      <c r="AY61" s="22">
        <f>IF(AND($H61&lt;&gt;"",$AC61&lt;&gt;"",$H61&lt;&gt;$AC61,IFERROR(VLOOKUP($H61,areaCercaPuntiClassificaSquadra,3,FALSE),-1)=IFERROR(VLOOKUP($AC61,areaCercaPuntiClassificaSquadra,3,FALSE),-2)),SUMIFS(Dati!$B$2:$B$761,Dati!$A$2:$A$761,$H61,Dati!$H$2:$H$761,$AC61)+SUMIFS(Dati!$I$2:$I$761,Dati!$H$2:$H$761,$H61,Dati!$A$2:$A$761,$AC61),"-")</f>
        <v/>
      </c>
      <c r="AZ61" s="22">
        <f>IF(AND($H61&lt;&gt;"",$AD61&lt;&gt;"",$H61&lt;&gt;$AD61,IFERROR(VLOOKUP($H61,areaCercaPuntiClassificaSquadra,3,FALSE),-1)=IFERROR(VLOOKUP($AD61,areaCercaPuntiClassificaSquadra,3,FALSE),-2)),SUMIFS(Dati!$B$2:$B$761,Dati!$A$2:$A$761,$H61,Dati!$H$2:$H$761,$AD61)+SUMIFS(Dati!$I$2:$I$761,Dati!$H$2:$H$761,$H61,Dati!$A$2:$A$761,$AD61),"-")</f>
        <v/>
      </c>
      <c r="BA61" s="22">
        <f>IF(AND($H61&lt;&gt;"",$AE61&lt;&gt;"",$H61&lt;&gt;$AE61,IFERROR(VLOOKUP($H61,areaCercaPuntiClassificaSquadra,3,FALSE),-1)=IFERROR(VLOOKUP($AE61,areaCercaPuntiClassificaSquadra,3,FALSE),-2)),SUMIFS(Dati!$B$2:$B$761,Dati!$A$2:$A$761,$H61,Dati!$H$2:$H$761,$AE61)+SUMIFS(Dati!$I$2:$I$761,Dati!$H$2:$H$761,$H61,Dati!$A$2:$A$761,$AE61),"-")</f>
        <v/>
      </c>
      <c r="BB61" s="22">
        <f>IF(AND($H61&lt;&gt;"",$AF61&lt;&gt;"",$H61&lt;&gt;$AF61,IFERROR(VLOOKUP($H61,areaCercaPuntiClassificaSquadra,3,FALSE),-1)=IFERROR(VLOOKUP($AF61,areaCercaPuntiClassificaSquadra,3,FALSE),-2)),SUMIFS(Dati!$B$2:$B$761,Dati!$A$2:$A$761,$H61,Dati!$H$2:$H$761,$AF61)+SUMIFS(Dati!$I$2:$I$761,Dati!$H$2:$H$761,$H61,Dati!$A$2:$A$761,$AF61),"-")</f>
        <v/>
      </c>
      <c r="BC61" s="22">
        <f>IF(AND($H61&lt;&gt;"",$AG61&lt;&gt;"",$H61&lt;&gt;$AG61,IFERROR(VLOOKUP($H61,areaCercaPuntiClassificaSquadra,3,FALSE),-1)=IFERROR(VLOOKUP($AG61,areaCercaPuntiClassificaSquadra,3,FALSE),-2)),SUMIFS(Dati!$B$2:$B$761,Dati!$A$2:$A$761,$H61,Dati!$H$2:$H$761,$AG61)+SUMIFS(Dati!$I$2:$I$761,Dati!$H$2:$H$761,$H61,Dati!$A$2:$A$761,$AG61),"-")</f>
        <v/>
      </c>
      <c r="BD61" s="22">
        <f>IF(AND($H61&lt;&gt;"",$AH61&lt;&gt;"",$H61&lt;&gt;$AH61,IFERROR(VLOOKUP($H61,areaCercaPuntiClassificaSquadra,3,FALSE),-1)=IFERROR(VLOOKUP($AH61,areaCercaPuntiClassificaSquadra,3,FALSE),-2)),SUMIFS(Dati!$B$2:$B$761,Dati!$A$2:$A$761,$H61,Dati!$H$2:$H$761,$AH61)+SUMIFS(Dati!$I$2:$I$761,Dati!$H$2:$H$761,$H61,Dati!$A$2:$A$761,$AH61),"-")</f>
        <v/>
      </c>
      <c r="BE61" s="22">
        <f>IF(AND($H61&lt;&gt;"",$AI61&lt;&gt;"",$H61&lt;&gt;$AI61,IFERROR(VLOOKUP($H61,areaCercaPuntiClassificaSquadra,3,FALSE),-1)=IFERROR(VLOOKUP($AI61,areaCercaPuntiClassificaSquadra,3,FALSE),-2)),SUMIFS(Dati!$B$2:$B$761,Dati!$A$2:$A$761,$H61,Dati!$H$2:$H$761,$AI61)+SUMIFS(Dati!$I$2:$I$761,Dati!$H$2:$H$761,$H61,Dati!$A$2:$A$761,$AI61),"-")</f>
        <v/>
      </c>
      <c r="BF61" s="22">
        <f>IF(AND($H61&lt;&gt;"",$AJ61&lt;&gt;"",$H61&lt;&gt;$AJ61,IFERROR(VLOOKUP($H61,areaCercaPuntiClassificaSquadra,3,FALSE),-1)=IFERROR(VLOOKUP($AJ61,areaCercaPuntiClassificaSquadra,3,FALSE),-2)),SUMIFS(Dati!$B$2:$B$761,Dati!$A$2:$A$761,$H61,Dati!$H$2:$H$761,$AJ61)+SUMIFS(Dati!$I$2:$I$761,Dati!$H$2:$H$761,$H61,Dati!$A$2:$A$761,$AJ61),"-")</f>
        <v/>
      </c>
      <c r="BG61" s="22">
        <f>IF(AND($H61&lt;&gt;"",$AK61&lt;&gt;"",$H61&lt;&gt;$AK61,IFERROR(VLOOKUP($H61,areaCercaPuntiClassificaSquadra,3,FALSE),-1)=IFERROR(VLOOKUP($AK61,areaCercaPuntiClassificaSquadra,3,FALSE),-2)),SUMIFS(Dati!$B$2:$B$761,Dati!$A$2:$A$761,$H61,Dati!$H$2:$H$761,$AK61)+SUMIFS(Dati!$I$2:$I$761,Dati!$H$2:$H$761,$H61,Dati!$A$2:$A$761,$AK61),"-")</f>
        <v/>
      </c>
      <c r="BH61" s="22">
        <f>IF(AND($H61&lt;&gt;"",$AL61&lt;&gt;"",$H61&lt;&gt;$AL61,IFERROR(VLOOKUP($H61,areaCercaPuntiClassificaSquadra,3,FALSE),-1)=IFERROR(VLOOKUP($AL61,areaCercaPuntiClassificaSquadra,3,FALSE),-2)),SUMIFS(Dati!$B$2:$B$761,Dati!$A$2:$A$761,$H61,Dati!$H$2:$H$761,$AL61)+SUMIFS(Dati!$I$2:$I$761,Dati!$H$2:$H$761,$H61,Dati!$A$2:$A$761,$AL61),"-")</f>
        <v/>
      </c>
      <c r="BI61" s="22">
        <f>IF(AND($H61&lt;&gt;"",$AM61&lt;&gt;"",$H61&lt;&gt;$AM61,IFERROR(VLOOKUP($H61,areaCercaPuntiClassificaSquadra,3,FALSE),-1)=IFERROR(VLOOKUP($AM61,areaCercaPuntiClassificaSquadra,3,FALSE),-2)),SUMIFS(Dati!$B$2:$B$761,Dati!$A$2:$A$761,$H61,Dati!$H$2:$H$761,$AM61)+SUMIFS(Dati!$I$2:$I$761,Dati!$H$2:$H$761,$H61,Dati!$A$2:$A$761,$AM61),"-")</f>
        <v/>
      </c>
      <c r="BJ61" s="22">
        <f>IF(AND($H61&lt;&gt;"",$AN61&lt;&gt;"",$H61&lt;&gt;$AN61,IFERROR(VLOOKUP($H61,areaCercaPuntiClassificaSquadra,3,FALSE),-1)=IFERROR(VLOOKUP($AN61,areaCercaPuntiClassificaSquadra,3,FALSE),-2)),SUMIFS(Dati!$B$2:$B$761,Dati!$A$2:$A$761,$H61,Dati!$H$2:$H$761,$AN61)+SUMIFS(Dati!$I$2:$I$761,Dati!$H$2:$H$761,$H61,Dati!$A$2:$A$761,$AN61),"-")</f>
        <v/>
      </c>
      <c r="BK61" s="22">
        <f>IF(AND($H61&lt;&gt;"",$AO61&lt;&gt;"",$H61&lt;&gt;$AO61,IFERROR(VLOOKUP($H61,areaCercaPuntiClassificaSquadra,3,FALSE),-1)=IFERROR(VLOOKUP($AO61,areaCercaPuntiClassificaSquadra,3,FALSE),-2)),SUMIFS(Dati!$B$2:$B$761,Dati!$A$2:$A$761,$H61,Dati!$H$2:$H$761,$AO61)+SUMIFS(Dati!$I$2:$I$761,Dati!$H$2:$H$761,$H61,Dati!$A$2:$A$761,$AO61),"-")</f>
        <v/>
      </c>
      <c r="BL61" s="22">
        <f>IF(AND($H61&lt;&gt;"",$AP61&lt;&gt;"",$H61&lt;&gt;$AP61,IFERROR(VLOOKUP($H61,areaCercaPuntiClassificaSquadra,3,FALSE),-1)=IFERROR(VLOOKUP($AP61,areaCercaPuntiClassificaSquadra,3,FALSE),-2)),SUMIFS(Dati!$B$2:$B$761,Dati!$A$2:$A$761,$H61,Dati!$H$2:$H$761,$AP61)+SUMIFS(Dati!$I$2:$I$761,Dati!$H$2:$H$761,$H61,Dati!$A$2:$A$761,$AP61),"-")</f>
        <v/>
      </c>
      <c r="BM61" s="22">
        <f>IF(AND($H61&lt;&gt;"",$AQ61&lt;&gt;"",$H61&lt;&gt;$AQ61,IFERROR(VLOOKUP($H61,areaCercaPuntiClassificaSquadra,3,FALSE),-1)=IFERROR(VLOOKUP($AQ61,areaCercaPuntiClassificaSquadra,3,FALSE),-2)),SUMIFS(Dati!$B$2:$B$761,Dati!$A$2:$A$761,$H61,Dati!$H$2:$H$761,$AQ61)+SUMIFS(Dati!$I$2:$I$761,Dati!$H$2:$H$761,$H61,Dati!$A$2:$A$761,$AQ61),"-")</f>
        <v/>
      </c>
      <c r="BN61" s="22">
        <f>IF(AND($H61&lt;&gt;"",$AR61&lt;&gt;"",$H61&lt;&gt;$AR61,IFERROR(VLOOKUP($H61,areaCercaPuntiClassificaSquadra,3,FALSE),-1)=IFERROR(VLOOKUP($AR61,areaCercaPuntiClassificaSquadra,3,FALSE),-2)),SUMIFS(Dati!$B$2:$B$761,Dati!$A$2:$A$761,$H61,Dati!$H$2:$H$761,$AR61)+SUMIFS(Dati!$I$2:$I$761,Dati!$H$2:$H$761,$H61,Dati!$A$2:$A$761,$AR61),"-")</f>
        <v/>
      </c>
      <c r="BP61" s="21">
        <f>$C61</f>
        <v/>
      </c>
      <c r="BQ61" s="22">
        <f>IF(AND($H61&lt;&gt;"",$Y61&lt;&gt;"",$H61&lt;&gt;$Y61,IFERROR(VLOOKUP($H61,areaCercaPuntiClassificaSquadra,3,FALSE),-1)=IFERROR(VLOOKUP($Y61,areaCercaPuntiClassificaSquadra,3,FALSE),-2)),SUMIFS(Dati!$D$2:$D$761,Dati!$A$2:$A$761,$H61,Dati!$H$2:$H$761,$Y61)+SUMIFS(Dati!$K$2:$K$761,Dati!$H$2:$H$761,$H61,Dati!$A$2:$A$761,$Y61)+SUMIFS(Dati!$C$2:$C$761,Dati!$A$2:$A$761,$H61,Dati!$H$2:$H$761,$Y61)+SUMIFS(Dati!$J$2:$J$761,Dati!$H$2:$H$761,$H61,Dati!$A$2:$A$761,$Y61),"-")</f>
        <v/>
      </c>
      <c r="BR61" s="22">
        <f>IF(AND($H61&lt;&gt;"",$Z61&lt;&gt;"",$H61&lt;&gt;$Z61,IFERROR(VLOOKUP($H61,areaCercaPuntiClassificaSquadra,3,FALSE),-1)=IFERROR(VLOOKUP($Z61,areaCercaPuntiClassificaSquadra,3,FALSE),-2)),SUMIFS(Dati!$D$2:$D$761,Dati!$A$2:$A$761,$H61,Dati!$H$2:$H$761,$Z61)+SUMIFS(Dati!$K$2:$K$761,Dati!$H$2:$H$761,$H61,Dati!$A$2:$A$761,$Z61)+SUMIFS(Dati!$C$2:$C$761,Dati!$A$2:$A$761,$H61,Dati!$H$2:$H$761,$Z61)+SUMIFS(Dati!$J$2:$J$761,Dati!$H$2:$H$761,$H61,Dati!$A$2:$A$761,$Z61),"-")</f>
        <v/>
      </c>
      <c r="BS61" s="22">
        <f>IF(AND($H61&lt;&gt;"",$AA61&lt;&gt;"",$H61&lt;&gt;$AA61,IFERROR(VLOOKUP($H61,areaCercaPuntiClassificaSquadra,3,FALSE),-1)=IFERROR(VLOOKUP($AA61,areaCercaPuntiClassificaSquadra,3,FALSE),-2)),SUMIFS(Dati!$D$2:$D$761,Dati!$A$2:$A$761,$H61,Dati!$H$2:$H$761,$AA61)+SUMIFS(Dati!$K$2:$K$761,Dati!$H$2:$H$761,$H61,Dati!$A$2:$A$761,$AA61)+SUMIFS(Dati!$C$2:$C$761,Dati!$A$2:$A$761,$H61,Dati!$H$2:$H$761,$AA61)+SUMIFS(Dati!$J$2:$J$761,Dati!$H$2:$H$761,$H61,Dati!$A$2:$A$761,$AA61),"-")</f>
        <v/>
      </c>
      <c r="BT61" s="22">
        <f>IF(AND($H61&lt;&gt;"",$AB61&lt;&gt;"",$H61&lt;&gt;$AB61,IFERROR(VLOOKUP($H61,areaCercaPuntiClassificaSquadra,3,FALSE),-1)=IFERROR(VLOOKUP($AB61,areaCercaPuntiClassificaSquadra,3,FALSE),-2)),SUMIFS(Dati!$D$2:$D$761,Dati!$A$2:$A$761,$H61,Dati!$H$2:$H$761,$AB61)+SUMIFS(Dati!$K$2:$K$761,Dati!$H$2:$H$761,$H61,Dati!$A$2:$A$761,$AB61)+SUMIFS(Dati!$C$2:$C$761,Dati!$A$2:$A$761,$H61,Dati!$H$2:$H$761,$AB61)+SUMIFS(Dati!$J$2:$J$761,Dati!$H$2:$H$761,$H61,Dati!$A$2:$A$761,$AB61),"-")</f>
        <v/>
      </c>
      <c r="BU61" s="22">
        <f>IF(AND($H61&lt;&gt;"",$AC61&lt;&gt;"",$H61&lt;&gt;$AC61,IFERROR(VLOOKUP($H61,areaCercaPuntiClassificaSquadra,3,FALSE),-1)=IFERROR(VLOOKUP($AC61,areaCercaPuntiClassificaSquadra,3,FALSE),-2)),SUMIFS(Dati!$D$2:$D$761,Dati!$A$2:$A$761,$H61,Dati!$H$2:$H$761,$AC61)+SUMIFS(Dati!$K$2:$K$761,Dati!$H$2:$H$761,$H61,Dati!$A$2:$A$761,$AC61)+SUMIFS(Dati!$C$2:$C$761,Dati!$A$2:$A$761,$H61,Dati!$H$2:$H$761,$AC61)+SUMIFS(Dati!$J$2:$J$761,Dati!$H$2:$H$761,$H61,Dati!$A$2:$A$761,$AC61),"-")</f>
        <v/>
      </c>
      <c r="BV61" s="22">
        <f>IF(AND($H61&lt;&gt;"",$AD61&lt;&gt;"",$H61&lt;&gt;$AD61,IFERROR(VLOOKUP($H61,areaCercaPuntiClassificaSquadra,3,FALSE),-1)=IFERROR(VLOOKUP($AD61,areaCercaPuntiClassificaSquadra,3,FALSE),-2)),SUMIFS(Dati!$D$2:$D$761,Dati!$A$2:$A$761,$H61,Dati!$H$2:$H$761,$AD61)+SUMIFS(Dati!$K$2:$K$761,Dati!$H$2:$H$761,$H61,Dati!$A$2:$A$761,$AD61)+SUMIFS(Dati!$C$2:$C$761,Dati!$A$2:$A$761,$H61,Dati!$H$2:$H$761,$AD61)+SUMIFS(Dati!$J$2:$J$761,Dati!$H$2:$H$761,$H61,Dati!$A$2:$A$761,$AD61),"-")</f>
        <v/>
      </c>
      <c r="BW61" s="22">
        <f>IF(AND($H61&lt;&gt;"",$AE61&lt;&gt;"",$H61&lt;&gt;$AE61,IFERROR(VLOOKUP($H61,areaCercaPuntiClassificaSquadra,3,FALSE),-1)=IFERROR(VLOOKUP($AE61,areaCercaPuntiClassificaSquadra,3,FALSE),-2)),SUMIFS(Dati!$D$2:$D$761,Dati!$A$2:$A$761,$H61,Dati!$H$2:$H$761,$AE61)+SUMIFS(Dati!$K$2:$K$761,Dati!$H$2:$H$761,$H61,Dati!$A$2:$A$761,$AE61)+SUMIFS(Dati!$C$2:$C$761,Dati!$A$2:$A$761,$H61,Dati!$H$2:$H$761,$AE61)+SUMIFS(Dati!$J$2:$J$761,Dati!$H$2:$H$761,$H61,Dati!$A$2:$A$761,$AE61),"-")</f>
        <v/>
      </c>
      <c r="BX61" s="22">
        <f>IF(AND($H61&lt;&gt;"",$AF61&lt;&gt;"",$H61&lt;&gt;$AF61,IFERROR(VLOOKUP($H61,areaCercaPuntiClassificaSquadra,3,FALSE),-1)=IFERROR(VLOOKUP($AF61,areaCercaPuntiClassificaSquadra,3,FALSE),-2)),SUMIFS(Dati!$D$2:$D$761,Dati!$A$2:$A$761,$H61,Dati!$H$2:$H$761,$AF61)+SUMIFS(Dati!$K$2:$K$761,Dati!$H$2:$H$761,$H61,Dati!$A$2:$A$761,$AF61)+SUMIFS(Dati!$C$2:$C$761,Dati!$A$2:$A$761,$H61,Dati!$H$2:$H$761,$AF61)+SUMIFS(Dati!$J$2:$J$761,Dati!$H$2:$H$761,$H61,Dati!$A$2:$A$761,$AF61),"-")</f>
        <v/>
      </c>
      <c r="BY61" s="22">
        <f>IF(AND($H61&lt;&gt;"",$AG61&lt;&gt;"",$H61&lt;&gt;$AG61,IFERROR(VLOOKUP($H61,areaCercaPuntiClassificaSquadra,3,FALSE),-1)=IFERROR(VLOOKUP($AG61,areaCercaPuntiClassificaSquadra,3,FALSE),-2)),SUMIFS(Dati!$D$2:$D$761,Dati!$A$2:$A$761,$H61,Dati!$H$2:$H$761,$AG61)+SUMIFS(Dati!$K$2:$K$761,Dati!$H$2:$H$761,$H61,Dati!$A$2:$A$761,$AG61)+SUMIFS(Dati!$C$2:$C$761,Dati!$A$2:$A$761,$H61,Dati!$H$2:$H$761,$AG61)+SUMIFS(Dati!$J$2:$J$761,Dati!$H$2:$H$761,$H61,Dati!$A$2:$A$761,$AG61),"-")</f>
        <v/>
      </c>
      <c r="BZ61" s="22">
        <f>IF(AND($H61&lt;&gt;"",$AH61&lt;&gt;"",$H61&lt;&gt;$AH61,IFERROR(VLOOKUP($H61,areaCercaPuntiClassificaSquadra,3,FALSE),-1)=IFERROR(VLOOKUP($AH61,areaCercaPuntiClassificaSquadra,3,FALSE),-2)),SUMIFS(Dati!$D$2:$D$761,Dati!$A$2:$A$761,$H61,Dati!$H$2:$H$761,$AH61)+SUMIFS(Dati!$K$2:$K$761,Dati!$H$2:$H$761,$H61,Dati!$A$2:$A$761,$AH61)+SUMIFS(Dati!$C$2:$C$761,Dati!$A$2:$A$761,$H61,Dati!$H$2:$H$761,$AH61)+SUMIFS(Dati!$J$2:$J$761,Dati!$H$2:$H$761,$H61,Dati!$A$2:$A$761,$AH61),"-")</f>
        <v/>
      </c>
      <c r="CA61" s="22">
        <f>IF(AND($H61&lt;&gt;"",$AI61&lt;&gt;"",$H61&lt;&gt;$AI61,IFERROR(VLOOKUP($H61,areaCercaPuntiClassificaSquadra,3,FALSE),-1)=IFERROR(VLOOKUP($AI61,areaCercaPuntiClassificaSquadra,3,FALSE),-2)),SUMIFS(Dati!$D$2:$D$761,Dati!$A$2:$A$761,$H61,Dati!$H$2:$H$761,$AI61)+SUMIFS(Dati!$K$2:$K$761,Dati!$H$2:$H$761,$H61,Dati!$A$2:$A$761,$AI61)+SUMIFS(Dati!$C$2:$C$761,Dati!$A$2:$A$761,$H61,Dati!$H$2:$H$761,$AI61)+SUMIFS(Dati!$J$2:$J$761,Dati!$H$2:$H$761,$H61,Dati!$A$2:$A$761,$AI61),"-")</f>
        <v/>
      </c>
      <c r="CB61" s="22">
        <f>IF(AND($H61&lt;&gt;"",$AJ61&lt;&gt;"",$H61&lt;&gt;$AJ61,IFERROR(VLOOKUP($H61,areaCercaPuntiClassificaSquadra,3,FALSE),-1)=IFERROR(VLOOKUP($AJ61,areaCercaPuntiClassificaSquadra,3,FALSE),-2)),SUMIFS(Dati!$D$2:$D$761,Dati!$A$2:$A$761,$H61,Dati!$H$2:$H$761,$AJ61)+SUMIFS(Dati!$K$2:$K$761,Dati!$H$2:$H$761,$H61,Dati!$A$2:$A$761,$AJ61)+SUMIFS(Dati!$C$2:$C$761,Dati!$A$2:$A$761,$H61,Dati!$H$2:$H$761,$AJ61)+SUMIFS(Dati!$J$2:$J$761,Dati!$H$2:$H$761,$H61,Dati!$A$2:$A$761,$AJ61),"-")</f>
        <v/>
      </c>
      <c r="CC61" s="22">
        <f>IF(AND($H61&lt;&gt;"",$AK61&lt;&gt;"",$H61&lt;&gt;$AK61,IFERROR(VLOOKUP($H61,areaCercaPuntiClassificaSquadra,3,FALSE),-1)=IFERROR(VLOOKUP($AK61,areaCercaPuntiClassificaSquadra,3,FALSE),-2)),SUMIFS(Dati!$D$2:$D$761,Dati!$A$2:$A$761,$H61,Dati!$H$2:$H$761,$AK61)+SUMIFS(Dati!$K$2:$K$761,Dati!$H$2:$H$761,$H61,Dati!$A$2:$A$761,$AK61)+SUMIFS(Dati!$C$2:$C$761,Dati!$A$2:$A$761,$H61,Dati!$H$2:$H$761,$AK61)+SUMIFS(Dati!$J$2:$J$761,Dati!$H$2:$H$761,$H61,Dati!$A$2:$A$761,$AK61),"-")</f>
        <v/>
      </c>
      <c r="CD61" s="22">
        <f>IF(AND($H61&lt;&gt;"",$AL61&lt;&gt;"",$H61&lt;&gt;$AL61,IFERROR(VLOOKUP($H61,areaCercaPuntiClassificaSquadra,3,FALSE),-1)=IFERROR(VLOOKUP($AL61,areaCercaPuntiClassificaSquadra,3,FALSE),-2)),SUMIFS(Dati!$D$2:$D$761,Dati!$A$2:$A$761,$H61,Dati!$H$2:$H$761,$AL61)+SUMIFS(Dati!$K$2:$K$761,Dati!$H$2:$H$761,$H61,Dati!$A$2:$A$761,$AL61)+SUMIFS(Dati!$C$2:$C$761,Dati!$A$2:$A$761,$H61,Dati!$H$2:$H$761,$AL61)+SUMIFS(Dati!$J$2:$J$761,Dati!$H$2:$H$761,$H61,Dati!$A$2:$A$761,$AL61),"-")</f>
        <v/>
      </c>
      <c r="CE61" s="22">
        <f>IF(AND($H61&lt;&gt;"",$AM61&lt;&gt;"",$H61&lt;&gt;$AM61,IFERROR(VLOOKUP($H61,areaCercaPuntiClassificaSquadra,3,FALSE),-1)=IFERROR(VLOOKUP($AM61,areaCercaPuntiClassificaSquadra,3,FALSE),-2)),SUMIFS(Dati!$D$2:$D$761,Dati!$A$2:$A$761,$H61,Dati!$H$2:$H$761,$AM61)+SUMIFS(Dati!$K$2:$K$761,Dati!$H$2:$H$761,$H61,Dati!$A$2:$A$761,$AM61)+SUMIFS(Dati!$C$2:$C$761,Dati!$A$2:$A$761,$H61,Dati!$H$2:$H$761,$AM61)+SUMIFS(Dati!$J$2:$J$761,Dati!$H$2:$H$761,$H61,Dati!$A$2:$A$761,$AM61),"-")</f>
        <v/>
      </c>
      <c r="CF61" s="22">
        <f>IF(AND($H61&lt;&gt;"",$AN61&lt;&gt;"",$H61&lt;&gt;$AN61,IFERROR(VLOOKUP($H61,areaCercaPuntiClassificaSquadra,3,FALSE),-1)=IFERROR(VLOOKUP($AN61,areaCercaPuntiClassificaSquadra,3,FALSE),-2)),SUMIFS(Dati!$D$2:$D$761,Dati!$A$2:$A$761,$H61,Dati!$H$2:$H$761,$AN61)+SUMIFS(Dati!$K$2:$K$761,Dati!$H$2:$H$761,$H61,Dati!$A$2:$A$761,$AN61)+SUMIFS(Dati!$C$2:$C$761,Dati!$A$2:$A$761,$H61,Dati!$H$2:$H$761,$AN61)+SUMIFS(Dati!$J$2:$J$761,Dati!$H$2:$H$761,$H61,Dati!$A$2:$A$761,$AN61),"-")</f>
        <v/>
      </c>
      <c r="CG61" s="22">
        <f>IF(AND($H61&lt;&gt;"",$AO61&lt;&gt;"",$H61&lt;&gt;$AO61,IFERROR(VLOOKUP($H61,areaCercaPuntiClassificaSquadra,3,FALSE),-1)=IFERROR(VLOOKUP($AO61,areaCercaPuntiClassificaSquadra,3,FALSE),-2)),SUMIFS(Dati!$D$2:$D$761,Dati!$A$2:$A$761,$H61,Dati!$H$2:$H$761,$AO61)+SUMIFS(Dati!$K$2:$K$761,Dati!$H$2:$H$761,$H61,Dati!$A$2:$A$761,$AO61)+SUMIFS(Dati!$C$2:$C$761,Dati!$A$2:$A$761,$H61,Dati!$H$2:$H$761,$AO61)+SUMIFS(Dati!$J$2:$J$761,Dati!$H$2:$H$761,$H61,Dati!$A$2:$A$761,$AO61),"-")</f>
        <v/>
      </c>
      <c r="CH61" s="22">
        <f>IF(AND($H61&lt;&gt;"",$AP61&lt;&gt;"",$H61&lt;&gt;$AP61,IFERROR(VLOOKUP($H61,areaCercaPuntiClassificaSquadra,3,FALSE),-1)=IFERROR(VLOOKUP($AP61,areaCercaPuntiClassificaSquadra,3,FALSE),-2)),SUMIFS(Dati!$D$2:$D$761,Dati!$A$2:$A$761,$H61,Dati!$H$2:$H$761,$AP61)+SUMIFS(Dati!$K$2:$K$761,Dati!$H$2:$H$761,$H61,Dati!$A$2:$A$761,$AP61)+SUMIFS(Dati!$C$2:$C$761,Dati!$A$2:$A$761,$H61,Dati!$H$2:$H$761,$AP61)+SUMIFS(Dati!$J$2:$J$761,Dati!$H$2:$H$761,$H61,Dati!$A$2:$A$761,$AP61),"-")</f>
        <v/>
      </c>
      <c r="CI61" s="22">
        <f>IF(AND($H61&lt;&gt;"",$AQ61&lt;&gt;"",$H61&lt;&gt;$AQ61,IFERROR(VLOOKUP($H61,areaCercaPuntiClassificaSquadra,3,FALSE),-1)=IFERROR(VLOOKUP($AQ61,areaCercaPuntiClassificaSquadra,3,FALSE),-2)),SUMIFS(Dati!$D$2:$D$761,Dati!$A$2:$A$761,$H61,Dati!$H$2:$H$761,$AQ61)+SUMIFS(Dati!$K$2:$K$761,Dati!$H$2:$H$761,$H61,Dati!$A$2:$A$761,$AQ61)+SUMIFS(Dati!$C$2:$C$761,Dati!$A$2:$A$761,$H61,Dati!$H$2:$H$761,$AQ61)+SUMIFS(Dati!$J$2:$J$761,Dati!$H$2:$H$761,$H61,Dati!$A$2:$A$761,$AQ61),"-")</f>
        <v/>
      </c>
      <c r="CJ61" s="22">
        <f>IF(AND($H61&lt;&gt;"",$AR61&lt;&gt;"",$H61&lt;&gt;$AR61,IFERROR(VLOOKUP($H61,areaCercaPuntiClassificaSquadra,3,FALSE),-1)=IFERROR(VLOOKUP($AR61,areaCercaPuntiClassificaSquadra,3,FALSE),-2)),SUMIFS(Dati!$D$2:$D$761,Dati!$A$2:$A$761,$H61,Dati!$H$2:$H$761,$AR61)+SUMIFS(Dati!$K$2:$K$761,Dati!$H$2:$H$761,$H61,Dati!$A$2:$A$761,$AR61)+SUMIFS(Dati!$C$2:$C$761,Dati!$A$2:$A$761,$H61,Dati!$H$2:$H$761,$AR61)+SUMIFS(Dati!$J$2:$J$761,Dati!$H$2:$H$761,$H61,Dati!$A$2:$A$761,$AR61),"-")</f>
        <v/>
      </c>
      <c r="CL61" s="21">
        <f>$C61</f>
        <v/>
      </c>
      <c r="CM61" s="22">
        <f>IF(AND($H61&lt;&gt;"",$Y61&lt;&gt;"",$H61&lt;&gt;$Y61,IFERROR(VLOOKUP($H61,areaCercaPuntiClassificaSquadra,3,FALSE),-1)=IFERROR(VLOOKUP($Y61,areaCercaPuntiClassificaSquadra,3,FALSE),-2)),SUMIFS(Dati!$E$2:$E$761,Dati!$A$2:$A$761,$H61,Dati!$H$2:$H$761,$Y61)+SUMIFS(Dati!$L$2:$L$761,Dati!$H$2:$H$761,$H61,Dati!$A$2:$A$761,$Y61),"-")</f>
        <v/>
      </c>
      <c r="CN61" s="22">
        <f>IF(AND($H61&lt;&gt;"",$Z61&lt;&gt;"",$H61&lt;&gt;$Z61,IFERROR(VLOOKUP($H61,areaCercaPuntiClassificaSquadra,3,FALSE),-1)=IFERROR(VLOOKUP($Z61,areaCercaPuntiClassificaSquadra,3,FALSE),-2)),SUMIFS(Dati!$E$2:$E$761,Dati!$A$2:$A$761,$H61,Dati!$H$2:$H$761,$Z61)+SUMIFS(Dati!$L$2:$L$761,Dati!$H$2:$H$761,$H61,Dati!$A$2:$A$761,$Z61),"-")</f>
        <v/>
      </c>
      <c r="CO61" s="22">
        <f>IF(AND($H61&lt;&gt;"",$AA61&lt;&gt;"",$H61&lt;&gt;$AA61,IFERROR(VLOOKUP($H61,areaCercaPuntiClassificaSquadra,3,FALSE),-1)=IFERROR(VLOOKUP($AA61,areaCercaPuntiClassificaSquadra,3,FALSE),-2)),SUMIFS(Dati!$E$2:$E$761,Dati!$A$2:$A$761,$H61,Dati!$H$2:$H$761,$AA61)+SUMIFS(Dati!$L$2:$L$761,Dati!$H$2:$H$761,$H61,Dati!$A$2:$A$761,$AA61),"-")</f>
        <v/>
      </c>
      <c r="CP61" s="22">
        <f>IF(AND($H61&lt;&gt;"",$AB61&lt;&gt;"",$H61&lt;&gt;$AB61,IFERROR(VLOOKUP($H61,areaCercaPuntiClassificaSquadra,3,FALSE),-1)=IFERROR(VLOOKUP($AB61,areaCercaPuntiClassificaSquadra,3,FALSE),-2)),SUMIFS(Dati!$E$2:$E$761,Dati!$A$2:$A$761,$H61,Dati!$H$2:$H$761,$AB61)+SUMIFS(Dati!$L$2:$L$761,Dati!$H$2:$H$761,$H61,Dati!$A$2:$A$761,$AB61),"-")</f>
        <v/>
      </c>
      <c r="CQ61" s="22">
        <f>IF(AND($H61&lt;&gt;"",$AC61&lt;&gt;"",$H61&lt;&gt;$AC61,IFERROR(VLOOKUP($H61,areaCercaPuntiClassificaSquadra,3,FALSE),-1)=IFERROR(VLOOKUP($AC61,areaCercaPuntiClassificaSquadra,3,FALSE),-2)),SUMIFS(Dati!$E$2:$E$761,Dati!$A$2:$A$761,$H61,Dati!$H$2:$H$761,$AC61)+SUMIFS(Dati!$L$2:$L$761,Dati!$H$2:$H$761,$H61,Dati!$A$2:$A$761,$AC61),"-")</f>
        <v/>
      </c>
      <c r="CR61" s="22">
        <f>IF(AND($H61&lt;&gt;"",$AD61&lt;&gt;"",$H61&lt;&gt;$AD61,IFERROR(VLOOKUP($H61,areaCercaPuntiClassificaSquadra,3,FALSE),-1)=IFERROR(VLOOKUP($AD61,areaCercaPuntiClassificaSquadra,3,FALSE),-2)),SUMIFS(Dati!$E$2:$E$761,Dati!$A$2:$A$761,$H61,Dati!$H$2:$H$761,$AD61)+SUMIFS(Dati!$L$2:$L$761,Dati!$H$2:$H$761,$H61,Dati!$A$2:$A$761,$AD61),"-")</f>
        <v/>
      </c>
      <c r="CS61" s="22">
        <f>IF(AND($H61&lt;&gt;"",$AE61&lt;&gt;"",$H61&lt;&gt;$AE61,IFERROR(VLOOKUP($H61,areaCercaPuntiClassificaSquadra,3,FALSE),-1)=IFERROR(VLOOKUP($AE61,areaCercaPuntiClassificaSquadra,3,FALSE),-2)),SUMIFS(Dati!$E$2:$E$761,Dati!$A$2:$A$761,$H61,Dati!$H$2:$H$761,$AE61)+SUMIFS(Dati!$L$2:$L$761,Dati!$H$2:$H$761,$H61,Dati!$A$2:$A$761,$AE61),"-")</f>
        <v/>
      </c>
      <c r="CT61" s="22">
        <f>IF(AND($H61&lt;&gt;"",$AF61&lt;&gt;"",$H61&lt;&gt;$AF61,IFERROR(VLOOKUP($H61,areaCercaPuntiClassificaSquadra,3,FALSE),-1)=IFERROR(VLOOKUP($AF61,areaCercaPuntiClassificaSquadra,3,FALSE),-2)),SUMIFS(Dati!$E$2:$E$761,Dati!$A$2:$A$761,$H61,Dati!$H$2:$H$761,$AF61)+SUMIFS(Dati!$L$2:$L$761,Dati!$H$2:$H$761,$H61,Dati!$A$2:$A$761,$AF61),"-")</f>
        <v/>
      </c>
      <c r="CU61" s="22">
        <f>IF(AND($H61&lt;&gt;"",$AG61&lt;&gt;"",$H61&lt;&gt;$AG61,IFERROR(VLOOKUP($H61,areaCercaPuntiClassificaSquadra,3,FALSE),-1)=IFERROR(VLOOKUP($AG61,areaCercaPuntiClassificaSquadra,3,FALSE),-2)),SUMIFS(Dati!$E$2:$E$761,Dati!$A$2:$A$761,$H61,Dati!$H$2:$H$761,$AG61)+SUMIFS(Dati!$L$2:$L$761,Dati!$H$2:$H$761,$H61,Dati!$A$2:$A$761,$AG61),"-")</f>
        <v/>
      </c>
      <c r="CV61" s="22">
        <f>IF(AND($H61&lt;&gt;"",$AH61&lt;&gt;"",$H61&lt;&gt;$AH61,IFERROR(VLOOKUP($H61,areaCercaPuntiClassificaSquadra,3,FALSE),-1)=IFERROR(VLOOKUP($AH61,areaCercaPuntiClassificaSquadra,3,FALSE),-2)),SUMIFS(Dati!$E$2:$E$761,Dati!$A$2:$A$761,$H61,Dati!$H$2:$H$761,$AH61)+SUMIFS(Dati!$L$2:$L$761,Dati!$H$2:$H$761,$H61,Dati!$A$2:$A$761,$AH61),"-")</f>
        <v/>
      </c>
      <c r="CW61" s="22">
        <f>IF(AND($H61&lt;&gt;"",$AI61&lt;&gt;"",$H61&lt;&gt;$AI61,IFERROR(VLOOKUP($H61,areaCercaPuntiClassificaSquadra,3,FALSE),-1)=IFERROR(VLOOKUP($AI61,areaCercaPuntiClassificaSquadra,3,FALSE),-2)),SUMIFS(Dati!$E$2:$E$761,Dati!$A$2:$A$761,$H61,Dati!$H$2:$H$761,$AI61)+SUMIFS(Dati!$L$2:$L$761,Dati!$H$2:$H$761,$H61,Dati!$A$2:$A$761,$AI61),"-")</f>
        <v/>
      </c>
      <c r="CX61" s="22">
        <f>IF(AND($H61&lt;&gt;"",$AJ61&lt;&gt;"",$H61&lt;&gt;$AJ61,IFERROR(VLOOKUP($H61,areaCercaPuntiClassificaSquadra,3,FALSE),-1)=IFERROR(VLOOKUP($AJ61,areaCercaPuntiClassificaSquadra,3,FALSE),-2)),SUMIFS(Dati!$E$2:$E$761,Dati!$A$2:$A$761,$H61,Dati!$H$2:$H$761,$AJ61)+SUMIFS(Dati!$L$2:$L$761,Dati!$H$2:$H$761,$H61,Dati!$A$2:$A$761,$AJ61),"-")</f>
        <v/>
      </c>
      <c r="CY61" s="22">
        <f>IF(AND($H61&lt;&gt;"",$AK61&lt;&gt;"",$H61&lt;&gt;$AK61,IFERROR(VLOOKUP($H61,areaCercaPuntiClassificaSquadra,3,FALSE),-1)=IFERROR(VLOOKUP($AK61,areaCercaPuntiClassificaSquadra,3,FALSE),-2)),SUMIFS(Dati!$E$2:$E$761,Dati!$A$2:$A$761,$H61,Dati!$H$2:$H$761,$AK61)+SUMIFS(Dati!$L$2:$L$761,Dati!$H$2:$H$761,$H61,Dati!$A$2:$A$761,$AK61),"-")</f>
        <v/>
      </c>
      <c r="CZ61" s="22">
        <f>IF(AND($H61&lt;&gt;"",$AL61&lt;&gt;"",$H61&lt;&gt;$AL61,IFERROR(VLOOKUP($H61,areaCercaPuntiClassificaSquadra,3,FALSE),-1)=IFERROR(VLOOKUP($AL61,areaCercaPuntiClassificaSquadra,3,FALSE),-2)),SUMIFS(Dati!$E$2:$E$761,Dati!$A$2:$A$761,$H61,Dati!$H$2:$H$761,$AL61)+SUMIFS(Dati!$L$2:$L$761,Dati!$H$2:$H$761,$H61,Dati!$A$2:$A$761,$AL61),"-")</f>
        <v/>
      </c>
      <c r="DA61" s="22">
        <f>IF(AND($H61&lt;&gt;"",$AM61&lt;&gt;"",$H61&lt;&gt;$AM61,IFERROR(VLOOKUP($H61,areaCercaPuntiClassificaSquadra,3,FALSE),-1)=IFERROR(VLOOKUP($AM61,areaCercaPuntiClassificaSquadra,3,FALSE),-2)),SUMIFS(Dati!$E$2:$E$761,Dati!$A$2:$A$761,$H61,Dati!$H$2:$H$761,$AM61)+SUMIFS(Dati!$L$2:$L$761,Dati!$H$2:$H$761,$H61,Dati!$A$2:$A$761,$AM61),"-")</f>
        <v/>
      </c>
      <c r="DB61" s="22">
        <f>IF(AND($H61&lt;&gt;"",$AN61&lt;&gt;"",$H61&lt;&gt;$AN61,IFERROR(VLOOKUP($H61,areaCercaPuntiClassificaSquadra,3,FALSE),-1)=IFERROR(VLOOKUP($AN61,areaCercaPuntiClassificaSquadra,3,FALSE),-2)),SUMIFS(Dati!$E$2:$E$761,Dati!$A$2:$A$761,$H61,Dati!$H$2:$H$761,$AN61)+SUMIFS(Dati!$L$2:$L$761,Dati!$H$2:$H$761,$H61,Dati!$A$2:$A$761,$AN61),"-")</f>
        <v/>
      </c>
      <c r="DC61" s="22">
        <f>IF(AND($H61&lt;&gt;"",$AO61&lt;&gt;"",$H61&lt;&gt;$AO61,IFERROR(VLOOKUP($H61,areaCercaPuntiClassificaSquadra,3,FALSE),-1)=IFERROR(VLOOKUP($AO61,areaCercaPuntiClassificaSquadra,3,FALSE),-2)),SUMIFS(Dati!$E$2:$E$761,Dati!$A$2:$A$761,$H61,Dati!$H$2:$H$761,$AO61)+SUMIFS(Dati!$L$2:$L$761,Dati!$H$2:$H$761,$H61,Dati!$A$2:$A$761,$AO61),"-")</f>
        <v/>
      </c>
      <c r="DD61" s="22">
        <f>IF(AND($H61&lt;&gt;"",$AP61&lt;&gt;"",$H61&lt;&gt;$AP61,IFERROR(VLOOKUP($H61,areaCercaPuntiClassificaSquadra,3,FALSE),-1)=IFERROR(VLOOKUP($AP61,areaCercaPuntiClassificaSquadra,3,FALSE),-2)),SUMIFS(Dati!$E$2:$E$761,Dati!$A$2:$A$761,$H61,Dati!$H$2:$H$761,$AP61)+SUMIFS(Dati!$L$2:$L$761,Dati!$H$2:$H$761,$H61,Dati!$A$2:$A$761,$AP61),"-")</f>
        <v/>
      </c>
      <c r="DE61" s="22">
        <f>IF(AND($H61&lt;&gt;"",$AQ61&lt;&gt;"",$H61&lt;&gt;$AQ61,IFERROR(VLOOKUP($H61,areaCercaPuntiClassificaSquadra,3,FALSE),-1)=IFERROR(VLOOKUP($AQ61,areaCercaPuntiClassificaSquadra,3,FALSE),-2)),SUMIFS(Dati!$E$2:$E$761,Dati!$A$2:$A$761,$H61,Dati!$H$2:$H$761,$AQ61)+SUMIFS(Dati!$L$2:$L$761,Dati!$H$2:$H$761,$H61,Dati!$A$2:$A$761,$AQ61),"-")</f>
        <v/>
      </c>
      <c r="DF61" s="22">
        <f>IF(AND($H61&lt;&gt;"",$AR61&lt;&gt;"",$H61&lt;&gt;$AR61,IFERROR(VLOOKUP($H61,areaCercaPuntiClassificaSquadra,3,FALSE),-1)=IFERROR(VLOOKUP($AR61,areaCercaPuntiClassificaSquadra,3,FALSE),-2)),SUMIFS(Dati!$E$2:$E$761,Dati!$A$2:$A$761,$H61,Dati!$H$2:$H$761,$AR61)+SUMIFS(Dati!$L$2:$L$761,Dati!$H$2:$H$761,$H61,Dati!$A$2:$A$761,$AR61),"-")</f>
        <v/>
      </c>
      <c r="DH61" s="21">
        <f>$C61</f>
        <v/>
      </c>
      <c r="DI61" s="22">
        <f>IF(AND($H61&lt;&gt;"",$Y61&lt;&gt;"",$H61&lt;&gt;$Y61,IFERROR(VLOOKUP($H61,areaCercaPuntiClassificaSquadra,3,FALSE),-1)=IFERROR(VLOOKUP($Y61,areaCercaPuntiClassificaSquadra,3,FALSE),-2)),SUMIFS(Dati!$F$2:$F$761,Dati!$A$2:$A$761,$H61,Dati!$H$2:$H$761,$Y61)+SUMIFS(Dati!$M$2:$M$761,Dati!$H$2:$H$761,$H61,Dati!$A$2:$A$761,$Y61),"-")</f>
        <v/>
      </c>
      <c r="DJ61" s="22">
        <f>IF(AND($H61&lt;&gt;"",$Z61&lt;&gt;"",$H61&lt;&gt;$Z61,IFERROR(VLOOKUP($H61,areaCercaPuntiClassificaSquadra,3,FALSE),-1)=IFERROR(VLOOKUP($Z61,areaCercaPuntiClassificaSquadra,3,FALSE),-2)),SUMIFS(Dati!$F$2:$F$761,Dati!$A$2:$A$761,$H61,Dati!$H$2:$H$761,$Z61)+SUMIFS(Dati!$M$2:$M$761,Dati!$H$2:$H$761,$H61,Dati!$A$2:$A$761,$Z61),"-")</f>
        <v/>
      </c>
      <c r="DK61" s="22">
        <f>IF(AND($H61&lt;&gt;"",$AA61&lt;&gt;"",$H61&lt;&gt;$AA61,IFERROR(VLOOKUP($H61,areaCercaPuntiClassificaSquadra,3,FALSE),-1)=IFERROR(VLOOKUP($AA61,areaCercaPuntiClassificaSquadra,3,FALSE),-2)),SUMIFS(Dati!$F$2:$F$761,Dati!$A$2:$A$761,$H61,Dati!$H$2:$H$761,$AA61)+SUMIFS(Dati!$M$2:$M$761,Dati!$H$2:$H$761,$H61,Dati!$A$2:$A$761,$AA61),"-")</f>
        <v/>
      </c>
      <c r="DL61" s="22">
        <f>IF(AND($H61&lt;&gt;"",$AB61&lt;&gt;"",$H61&lt;&gt;$AB61,IFERROR(VLOOKUP($H61,areaCercaPuntiClassificaSquadra,3,FALSE),-1)=IFERROR(VLOOKUP($AB61,areaCercaPuntiClassificaSquadra,3,FALSE),-2)),SUMIFS(Dati!$F$2:$F$761,Dati!$A$2:$A$761,$H61,Dati!$H$2:$H$761,$AB61)+SUMIFS(Dati!$M$2:$M$761,Dati!$H$2:$H$761,$H61,Dati!$A$2:$A$761,$AB61),"-")</f>
        <v/>
      </c>
      <c r="DM61" s="22">
        <f>IF(AND($H61&lt;&gt;"",$AC61&lt;&gt;"",$H61&lt;&gt;$AC61,IFERROR(VLOOKUP($H61,areaCercaPuntiClassificaSquadra,3,FALSE),-1)=IFERROR(VLOOKUP($AC61,areaCercaPuntiClassificaSquadra,3,FALSE),-2)),SUMIFS(Dati!$F$2:$F$761,Dati!$A$2:$A$761,$H61,Dati!$H$2:$H$761,$AC61)+SUMIFS(Dati!$M$2:$M$761,Dati!$H$2:$H$761,$H61,Dati!$A$2:$A$761,$AC61),"-")</f>
        <v/>
      </c>
      <c r="DN61" s="22">
        <f>IF(AND($H61&lt;&gt;"",$AD61&lt;&gt;"",$H61&lt;&gt;$AD61,IFERROR(VLOOKUP($H61,areaCercaPuntiClassificaSquadra,3,FALSE),-1)=IFERROR(VLOOKUP($AD61,areaCercaPuntiClassificaSquadra,3,FALSE),-2)),SUMIFS(Dati!$F$2:$F$761,Dati!$A$2:$A$761,$H61,Dati!$H$2:$H$761,$AD61)+SUMIFS(Dati!$M$2:$M$761,Dati!$H$2:$H$761,$H61,Dati!$A$2:$A$761,$AD61),"-")</f>
        <v/>
      </c>
      <c r="DO61" s="22">
        <f>IF(AND($H61&lt;&gt;"",$AE61&lt;&gt;"",$H61&lt;&gt;$AE61,IFERROR(VLOOKUP($H61,areaCercaPuntiClassificaSquadra,3,FALSE),-1)=IFERROR(VLOOKUP($AE61,areaCercaPuntiClassificaSquadra,3,FALSE),-2)),SUMIFS(Dati!$F$2:$F$761,Dati!$A$2:$A$761,$H61,Dati!$H$2:$H$761,$AE61)+SUMIFS(Dati!$M$2:$M$761,Dati!$H$2:$H$761,$H61,Dati!$A$2:$A$761,$AE61),"-")</f>
        <v/>
      </c>
      <c r="DP61" s="22">
        <f>IF(AND($H61&lt;&gt;"",$AF61&lt;&gt;"",$H61&lt;&gt;$AF61,IFERROR(VLOOKUP($H61,areaCercaPuntiClassificaSquadra,3,FALSE),-1)=IFERROR(VLOOKUP($AF61,areaCercaPuntiClassificaSquadra,3,FALSE),-2)),SUMIFS(Dati!$F$2:$F$761,Dati!$A$2:$A$761,$H61,Dati!$H$2:$H$761,$AF61)+SUMIFS(Dati!$M$2:$M$761,Dati!$H$2:$H$761,$H61,Dati!$A$2:$A$761,$AF61),"-")</f>
        <v/>
      </c>
      <c r="DQ61" s="22">
        <f>IF(AND($H61&lt;&gt;"",$AG61&lt;&gt;"",$H61&lt;&gt;$AG61,IFERROR(VLOOKUP($H61,areaCercaPuntiClassificaSquadra,3,FALSE),-1)=IFERROR(VLOOKUP($AG61,areaCercaPuntiClassificaSquadra,3,FALSE),-2)),SUMIFS(Dati!$F$2:$F$761,Dati!$A$2:$A$761,$H61,Dati!$H$2:$H$761,$AG61)+SUMIFS(Dati!$M$2:$M$761,Dati!$H$2:$H$761,$H61,Dati!$A$2:$A$761,$AG61),"-")</f>
        <v/>
      </c>
      <c r="DR61" s="22">
        <f>IF(AND($H61&lt;&gt;"",$AH61&lt;&gt;"",$H61&lt;&gt;$AH61,IFERROR(VLOOKUP($H61,areaCercaPuntiClassificaSquadra,3,FALSE),-1)=IFERROR(VLOOKUP($AH61,areaCercaPuntiClassificaSquadra,3,FALSE),-2)),SUMIFS(Dati!$F$2:$F$761,Dati!$A$2:$A$761,$H61,Dati!$H$2:$H$761,$AH61)+SUMIFS(Dati!$M$2:$M$761,Dati!$H$2:$H$761,$H61,Dati!$A$2:$A$761,$AH61),"-")</f>
        <v/>
      </c>
      <c r="DS61" s="22">
        <f>IF(AND($H61&lt;&gt;"",$AI61&lt;&gt;"",$H61&lt;&gt;$AI61,IFERROR(VLOOKUP($H61,areaCercaPuntiClassificaSquadra,3,FALSE),-1)=IFERROR(VLOOKUP($AI61,areaCercaPuntiClassificaSquadra,3,FALSE),-2)),SUMIFS(Dati!$F$2:$F$761,Dati!$A$2:$A$761,$H61,Dati!$H$2:$H$761,$AI61)+SUMIFS(Dati!$M$2:$M$761,Dati!$H$2:$H$761,$H61,Dati!$A$2:$A$761,$AI61),"-")</f>
        <v/>
      </c>
      <c r="DT61" s="22">
        <f>IF(AND($H61&lt;&gt;"",$AJ61&lt;&gt;"",$H61&lt;&gt;$AJ61,IFERROR(VLOOKUP($H61,areaCercaPuntiClassificaSquadra,3,FALSE),-1)=IFERROR(VLOOKUP($AJ61,areaCercaPuntiClassificaSquadra,3,FALSE),-2)),SUMIFS(Dati!$F$2:$F$761,Dati!$A$2:$A$761,$H61,Dati!$H$2:$H$761,$AJ61)+SUMIFS(Dati!$M$2:$M$761,Dati!$H$2:$H$761,$H61,Dati!$A$2:$A$761,$AJ61),"-")</f>
        <v/>
      </c>
      <c r="DU61" s="22">
        <f>IF(AND($H61&lt;&gt;"",$AK61&lt;&gt;"",$H61&lt;&gt;$AK61,IFERROR(VLOOKUP($H61,areaCercaPuntiClassificaSquadra,3,FALSE),-1)=IFERROR(VLOOKUP($AK61,areaCercaPuntiClassificaSquadra,3,FALSE),-2)),SUMIFS(Dati!$F$2:$F$761,Dati!$A$2:$A$761,$H61,Dati!$H$2:$H$761,$AK61)+SUMIFS(Dati!$M$2:$M$761,Dati!$H$2:$H$761,$H61,Dati!$A$2:$A$761,$AK61),"-")</f>
        <v/>
      </c>
      <c r="DV61" s="22">
        <f>IF(AND($H61&lt;&gt;"",$AL61&lt;&gt;"",$H61&lt;&gt;$AL61,IFERROR(VLOOKUP($H61,areaCercaPuntiClassificaSquadra,3,FALSE),-1)=IFERROR(VLOOKUP($AL61,areaCercaPuntiClassificaSquadra,3,FALSE),-2)),SUMIFS(Dati!$F$2:$F$761,Dati!$A$2:$A$761,$H61,Dati!$H$2:$H$761,$AL61)+SUMIFS(Dati!$M$2:$M$761,Dati!$H$2:$H$761,$H61,Dati!$A$2:$A$761,$AL61),"-")</f>
        <v/>
      </c>
      <c r="DW61" s="22">
        <f>IF(AND($H61&lt;&gt;"",$AM61&lt;&gt;"",$H61&lt;&gt;$AM61,IFERROR(VLOOKUP($H61,areaCercaPuntiClassificaSquadra,3,FALSE),-1)=IFERROR(VLOOKUP($AM61,areaCercaPuntiClassificaSquadra,3,FALSE),-2)),SUMIFS(Dati!$F$2:$F$761,Dati!$A$2:$A$761,$H61,Dati!$H$2:$H$761,$AM61)+SUMIFS(Dati!$M$2:$M$761,Dati!$H$2:$H$761,$H61,Dati!$A$2:$A$761,$AM61),"-")</f>
        <v/>
      </c>
      <c r="DX61" s="22">
        <f>IF(AND($H61&lt;&gt;"",$AN61&lt;&gt;"",$H61&lt;&gt;$AN61,IFERROR(VLOOKUP($H61,areaCercaPuntiClassificaSquadra,3,FALSE),-1)=IFERROR(VLOOKUP($AN61,areaCercaPuntiClassificaSquadra,3,FALSE),-2)),SUMIFS(Dati!$F$2:$F$761,Dati!$A$2:$A$761,$H61,Dati!$H$2:$H$761,$AN61)+SUMIFS(Dati!$M$2:$M$761,Dati!$H$2:$H$761,$H61,Dati!$A$2:$A$761,$AN61),"-")</f>
        <v/>
      </c>
      <c r="DY61" s="22">
        <f>IF(AND($H61&lt;&gt;"",$AO61&lt;&gt;"",$H61&lt;&gt;$AO61,IFERROR(VLOOKUP($H61,areaCercaPuntiClassificaSquadra,3,FALSE),-1)=IFERROR(VLOOKUP($AO61,areaCercaPuntiClassificaSquadra,3,FALSE),-2)),SUMIFS(Dati!$F$2:$F$761,Dati!$A$2:$A$761,$H61,Dati!$H$2:$H$761,$AO61)+SUMIFS(Dati!$M$2:$M$761,Dati!$H$2:$H$761,$H61,Dati!$A$2:$A$761,$AO61),"-")</f>
        <v/>
      </c>
      <c r="DZ61" s="22">
        <f>IF(AND($H61&lt;&gt;"",$AP61&lt;&gt;"",$H61&lt;&gt;$AP61,IFERROR(VLOOKUP($H61,areaCercaPuntiClassificaSquadra,3,FALSE),-1)=IFERROR(VLOOKUP($AP61,areaCercaPuntiClassificaSquadra,3,FALSE),-2)),SUMIFS(Dati!$F$2:$F$761,Dati!$A$2:$A$761,$H61,Dati!$H$2:$H$761,$AP61)+SUMIFS(Dati!$M$2:$M$761,Dati!$H$2:$H$761,$H61,Dati!$A$2:$A$761,$AP61),"-")</f>
        <v/>
      </c>
      <c r="EA61" s="22">
        <f>IF(AND($H61&lt;&gt;"",$AQ61&lt;&gt;"",$H61&lt;&gt;$AQ61,IFERROR(VLOOKUP($H61,areaCercaPuntiClassificaSquadra,3,FALSE),-1)=IFERROR(VLOOKUP($AQ61,areaCercaPuntiClassificaSquadra,3,FALSE),-2)),SUMIFS(Dati!$F$2:$F$761,Dati!$A$2:$A$761,$H61,Dati!$H$2:$H$761,$AQ61)+SUMIFS(Dati!$M$2:$M$761,Dati!$H$2:$H$761,$H61,Dati!$A$2:$A$761,$AQ61),"-")</f>
        <v/>
      </c>
      <c r="EB61" s="22">
        <f>IF(AND($H61&lt;&gt;"",$AR61&lt;&gt;"",$H61&lt;&gt;$AR61,IFERROR(VLOOKUP($H61,areaCercaPuntiClassificaSquadra,3,FALSE),-1)=IFERROR(VLOOKUP($AR61,areaCercaPuntiClassificaSquadra,3,FALSE),-2)),SUMIFS(Dati!$F$2:$F$761,Dati!$A$2:$A$761,$H61,Dati!$H$2:$H$761,$AR61)+SUMIFS(Dati!$M$2:$M$761,Dati!$H$2:$H$761,$H61,Dati!$A$2:$A$761,$AR61),"-")</f>
        <v/>
      </c>
      <c r="ED61" s="22">
        <f>IF($C61="","",SUM(AU61:BN61))</f>
        <v/>
      </c>
    </row>
    <row r="62">
      <c r="B62" s="12" t="inlineStr">
        <is>
          <t>C09</t>
        </is>
      </c>
      <c r="C62" s="13" t="inlineStr">
        <is>
          <t>Scoiattoli Sagaci-Scoiattoliopoli SO</t>
        </is>
      </c>
      <c r="D62" s="14" t="n"/>
      <c r="E62" s="25" t="inlineStr">
        <is>
          <t>C</t>
        </is>
      </c>
      <c r="G62" s="26">
        <f>IF($C62="","",$E62&amp;(COUNTIFS(I$14:I$93,"&gt;"&amp;I62,E$14:E$93,"="&amp;E62,C$14:C$93,"&lt;&gt;")+COUNTIFS(I$14:I$93,"="&amp;I62,H$14:H$93,"&lt;="&amp;H62,E$14:E$93,"="&amp;E62,C$14:C$93,"&lt;&gt;")))</f>
        <v/>
      </c>
      <c r="H62" s="17">
        <f>IF($C62="","",IFERROR(LEFT($C62,FIND("-",$C62)-1),$C62))</f>
        <v/>
      </c>
      <c r="I62" s="12">
        <f>TEXT(1000000000+J62,"|0000000000|")&amp;TEXT(SUM(AU62:BN62),"0000000000|")&amp;IF(SUM(DI62:EB62)=0,"0000000000|",TEXT(ROUND(SUM(CM62:DF62)/SUM(DI62:EB62),4)*100000,"0000000000|"))&amp;IF(P62=0,"0000000000|",TEXT(ROUND(O62/P62,4)*100000,"0000000000|"))</f>
        <v/>
      </c>
      <c r="J62" s="26">
        <f>L62*constPuntiVittoria+M62*constPuntiSconfitta+N62*constPuntiForfait+IF(D62="",0,D62)</f>
        <v/>
      </c>
      <c r="K62" s="12">
        <f>SUM(L62:N62)</f>
        <v/>
      </c>
      <c r="L62" s="12">
        <f>IF($H62="",0,SUMIF(Dati!$A$2:$A$761,$H62,Dati!$B$2:$B$761)+SUMIF(Dati!$H$2:$H$761,$H62,Dati!$I$2:$I$761))</f>
        <v/>
      </c>
      <c r="M62" s="12">
        <f>IF($H62="",0,SUMIF(Dati!$A$2:$A$761,$H62,Dati!$D$2:$D$761)+SUMIF(Dati!$H$2:$H$761,$H62,Dati!$K$2:$K$761))</f>
        <v/>
      </c>
      <c r="N62" s="12">
        <f>IF($H62="",0,SUMIF(Dati!$A$2:$A$761,$H62,Dati!$C$2:$C$761)+SUMIF(Dati!$H$2:$H$761,$H62,Dati!$J$2:$J$761))</f>
        <v/>
      </c>
      <c r="O62" s="12">
        <f>IF($H62="",0,SUMIF(Dati!$A$2:$A$761,$H62,Dati!$E$2:$E$761)+SUMIF(Dati!$H$2:$H$761,$H62,Dati!$L$2:$L$761))</f>
        <v/>
      </c>
      <c r="P62" s="12">
        <f>IF($H62="",0,SUMIF(Dati!$A$2:$A$761,$H62,Dati!$F$2:$F$761)+SUMIF(Dati!$H$2:$H$761,$H62,Dati!$M$2:$M$761))</f>
        <v/>
      </c>
      <c r="Q62" s="12">
        <f>IF($H62="",0,SUMIF(Dati!$A$2:$A$761,$H62,Dati!$G$2:$G$761)+SUMIF(Dati!$H$2:$H$761,$H62,Dati!$N$2:$N$761))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IF(COUNTIFS($E$14:$E$93,$E62,$J$14:$J$93,$J62,$C$14:$C$93,"&lt;&gt;")&lt;=1,"-",SUM(AU62:BN62)&amp;"-"&amp;SUM(BQ62:CJ62))</f>
        <v/>
      </c>
      <c r="V62" s="18">
        <f>IF(COUNTIFS($E$14:$E$93,$E62,$J$14:$J$93,$J62,$C$14:$C$93,"&lt;&gt;",$ED$14:$ED$93,$ED62)&lt;=1,"-",IF(SUM(DI62:EB62)=0,0,ROUND(SUM(CM62:DF62)/SUM(DI62:EB62),3)))</f>
        <v/>
      </c>
      <c r="W62" s="18">
        <f>IF(COUNTIFS($E$14:$E$93,$E62,$J$14:$J$93,$J62,$C$14:$C$93,"&lt;&gt;",$ED$14:$ED$93,$ED62,$V$14:$V$93,$V62)&lt;=1,"-",IF(P62=0,0,ROUND(O62/P62,3)))</f>
        <v/>
      </c>
      <c r="X62" s="19">
        <f>IF($C62="","",$E62&amp;"#"&amp;COUNTIFS($E$14:$E62,$E62,$C$14:$C62,"&lt;&gt;"))</f>
        <v/>
      </c>
      <c r="Y62" s="20">
        <f>IFERROR(INDEX($H$14:$H$93,MATCH($E62&amp;"#1",$X$14:$X$93,0)),"")</f>
        <v/>
      </c>
      <c r="Z62" s="20">
        <f>IFERROR(INDEX($H$14:$H$93,MATCH($E62&amp;"#2",$X$14:$X$93,0)),"")</f>
        <v/>
      </c>
      <c r="AA62" s="20">
        <f>IFERROR(INDEX($H$14:$H$93,MATCH($E62&amp;"#3",$X$14:$X$93,0)),"")</f>
        <v/>
      </c>
      <c r="AB62" s="20">
        <f>IFERROR(INDEX($H$14:$H$93,MATCH($E62&amp;"#4",$X$14:$X$93,0)),"")</f>
        <v/>
      </c>
      <c r="AC62" s="20">
        <f>IFERROR(INDEX($H$14:$H$93,MATCH($E62&amp;"#5",$X$14:$X$93,0)),"")</f>
        <v/>
      </c>
      <c r="AD62" s="20">
        <f>IFERROR(INDEX($H$14:$H$93,MATCH($E62&amp;"#6",$X$14:$X$93,0)),"")</f>
        <v/>
      </c>
      <c r="AE62" s="20">
        <f>IFERROR(INDEX($H$14:$H$93,MATCH($E62&amp;"#7",$X$14:$X$93,0)),"")</f>
        <v/>
      </c>
      <c r="AF62" s="20">
        <f>IFERROR(INDEX($H$14:$H$93,MATCH($E62&amp;"#8",$X$14:$X$93,0)),"")</f>
        <v/>
      </c>
      <c r="AG62" s="20">
        <f>IFERROR(INDEX($H$14:$H$93,MATCH($E62&amp;"#9",$X$14:$X$93,0)),"")</f>
        <v/>
      </c>
      <c r="AH62" s="20">
        <f>IFERROR(INDEX($H$14:$H$93,MATCH($E62&amp;"#10",$X$14:$X$93,0)),"")</f>
        <v/>
      </c>
      <c r="AI62" s="20">
        <f>IFERROR(INDEX($H$14:$H$93,MATCH($E62&amp;"#11",$X$14:$X$93,0)),"")</f>
        <v/>
      </c>
      <c r="AJ62" s="20">
        <f>IFERROR(INDEX($H$14:$H$93,MATCH($E62&amp;"#12",$X$14:$X$93,0)),"")</f>
        <v/>
      </c>
      <c r="AK62" s="20">
        <f>IFERROR(INDEX($H$14:$H$93,MATCH($E62&amp;"#13",$X$14:$X$93,0)),"")</f>
        <v/>
      </c>
      <c r="AL62" s="20">
        <f>IFERROR(INDEX($H$14:$H$93,MATCH($E62&amp;"#14",$X$14:$X$93,0)),"")</f>
        <v/>
      </c>
      <c r="AM62" s="20">
        <f>IFERROR(INDEX($H$14:$H$93,MATCH($E62&amp;"#15",$X$14:$X$93,0)),"")</f>
        <v/>
      </c>
      <c r="AN62" s="20">
        <f>IFERROR(INDEX($H$14:$H$93,MATCH($E62&amp;"#16",$X$14:$X$93,0)),"")</f>
        <v/>
      </c>
      <c r="AO62" s="20">
        <f>IFERROR(INDEX($H$14:$H$93,MATCH($E62&amp;"#17",$X$14:$X$93,0)),"")</f>
        <v/>
      </c>
      <c r="AP62" s="20">
        <f>IFERROR(INDEX($H$14:$H$93,MATCH($E62&amp;"#18",$X$14:$X$93,0)),"")</f>
        <v/>
      </c>
      <c r="AQ62" s="20">
        <f>IFERROR(INDEX($H$14:$H$93,MATCH($E62&amp;"#19",$X$14:$X$93,0)),"")</f>
        <v/>
      </c>
      <c r="AR62" s="20">
        <f>IFERROR(INDEX($H$14:$H$93,MATCH($E62&amp;"#20",$X$14:$X$93,0)),"")</f>
        <v/>
      </c>
      <c r="AT62" s="21">
        <f>$C62</f>
        <v/>
      </c>
      <c r="AU62" s="22">
        <f>IF(AND($H62&lt;&gt;"",$Y62&lt;&gt;"",$H62&lt;&gt;$Y62,IFERROR(VLOOKUP($H62,areaCercaPuntiClassificaSquadra,3,FALSE),-1)=IFERROR(VLOOKUP($Y62,areaCercaPuntiClassificaSquadra,3,FALSE),-2)),SUMIFS(Dati!$B$2:$B$761,Dati!$A$2:$A$761,$H62,Dati!$H$2:$H$761,$Y62)+SUMIFS(Dati!$I$2:$I$761,Dati!$H$2:$H$761,$H62,Dati!$A$2:$A$761,$Y62),"-")</f>
        <v/>
      </c>
      <c r="AV62" s="22">
        <f>IF(AND($H62&lt;&gt;"",$Z62&lt;&gt;"",$H62&lt;&gt;$Z62,IFERROR(VLOOKUP($H62,areaCercaPuntiClassificaSquadra,3,FALSE),-1)=IFERROR(VLOOKUP($Z62,areaCercaPuntiClassificaSquadra,3,FALSE),-2)),SUMIFS(Dati!$B$2:$B$761,Dati!$A$2:$A$761,$H62,Dati!$H$2:$H$761,$Z62)+SUMIFS(Dati!$I$2:$I$761,Dati!$H$2:$H$761,$H62,Dati!$A$2:$A$761,$Z62),"-")</f>
        <v/>
      </c>
      <c r="AW62" s="22">
        <f>IF(AND($H62&lt;&gt;"",$AA62&lt;&gt;"",$H62&lt;&gt;$AA62,IFERROR(VLOOKUP($H62,areaCercaPuntiClassificaSquadra,3,FALSE),-1)=IFERROR(VLOOKUP($AA62,areaCercaPuntiClassificaSquadra,3,FALSE),-2)),SUMIFS(Dati!$B$2:$B$761,Dati!$A$2:$A$761,$H62,Dati!$H$2:$H$761,$AA62)+SUMIFS(Dati!$I$2:$I$761,Dati!$H$2:$H$761,$H62,Dati!$A$2:$A$761,$AA62),"-")</f>
        <v/>
      </c>
      <c r="AX62" s="22">
        <f>IF(AND($H62&lt;&gt;"",$AB62&lt;&gt;"",$H62&lt;&gt;$AB62,IFERROR(VLOOKUP($H62,areaCercaPuntiClassificaSquadra,3,FALSE),-1)=IFERROR(VLOOKUP($AB62,areaCercaPuntiClassificaSquadra,3,FALSE),-2)),SUMIFS(Dati!$B$2:$B$761,Dati!$A$2:$A$761,$H62,Dati!$H$2:$H$761,$AB62)+SUMIFS(Dati!$I$2:$I$761,Dati!$H$2:$H$761,$H62,Dati!$A$2:$A$761,$AB62),"-")</f>
        <v/>
      </c>
      <c r="AY62" s="22">
        <f>IF(AND($H62&lt;&gt;"",$AC62&lt;&gt;"",$H62&lt;&gt;$AC62,IFERROR(VLOOKUP($H62,areaCercaPuntiClassificaSquadra,3,FALSE),-1)=IFERROR(VLOOKUP($AC62,areaCercaPuntiClassificaSquadra,3,FALSE),-2)),SUMIFS(Dati!$B$2:$B$761,Dati!$A$2:$A$761,$H62,Dati!$H$2:$H$761,$AC62)+SUMIFS(Dati!$I$2:$I$761,Dati!$H$2:$H$761,$H62,Dati!$A$2:$A$761,$AC62),"-")</f>
        <v/>
      </c>
      <c r="AZ62" s="22">
        <f>IF(AND($H62&lt;&gt;"",$AD62&lt;&gt;"",$H62&lt;&gt;$AD62,IFERROR(VLOOKUP($H62,areaCercaPuntiClassificaSquadra,3,FALSE),-1)=IFERROR(VLOOKUP($AD62,areaCercaPuntiClassificaSquadra,3,FALSE),-2)),SUMIFS(Dati!$B$2:$B$761,Dati!$A$2:$A$761,$H62,Dati!$H$2:$H$761,$AD62)+SUMIFS(Dati!$I$2:$I$761,Dati!$H$2:$H$761,$H62,Dati!$A$2:$A$761,$AD62),"-")</f>
        <v/>
      </c>
      <c r="BA62" s="22">
        <f>IF(AND($H62&lt;&gt;"",$AE62&lt;&gt;"",$H62&lt;&gt;$AE62,IFERROR(VLOOKUP($H62,areaCercaPuntiClassificaSquadra,3,FALSE),-1)=IFERROR(VLOOKUP($AE62,areaCercaPuntiClassificaSquadra,3,FALSE),-2)),SUMIFS(Dati!$B$2:$B$761,Dati!$A$2:$A$761,$H62,Dati!$H$2:$H$761,$AE62)+SUMIFS(Dati!$I$2:$I$761,Dati!$H$2:$H$761,$H62,Dati!$A$2:$A$761,$AE62),"-")</f>
        <v/>
      </c>
      <c r="BB62" s="22">
        <f>IF(AND($H62&lt;&gt;"",$AF62&lt;&gt;"",$H62&lt;&gt;$AF62,IFERROR(VLOOKUP($H62,areaCercaPuntiClassificaSquadra,3,FALSE),-1)=IFERROR(VLOOKUP($AF62,areaCercaPuntiClassificaSquadra,3,FALSE),-2)),SUMIFS(Dati!$B$2:$B$761,Dati!$A$2:$A$761,$H62,Dati!$H$2:$H$761,$AF62)+SUMIFS(Dati!$I$2:$I$761,Dati!$H$2:$H$761,$H62,Dati!$A$2:$A$761,$AF62),"-")</f>
        <v/>
      </c>
      <c r="BC62" s="22">
        <f>IF(AND($H62&lt;&gt;"",$AG62&lt;&gt;"",$H62&lt;&gt;$AG62,IFERROR(VLOOKUP($H62,areaCercaPuntiClassificaSquadra,3,FALSE),-1)=IFERROR(VLOOKUP($AG62,areaCercaPuntiClassificaSquadra,3,FALSE),-2)),SUMIFS(Dati!$B$2:$B$761,Dati!$A$2:$A$761,$H62,Dati!$H$2:$H$761,$AG62)+SUMIFS(Dati!$I$2:$I$761,Dati!$H$2:$H$761,$H62,Dati!$A$2:$A$761,$AG62),"-")</f>
        <v/>
      </c>
      <c r="BD62" s="22">
        <f>IF(AND($H62&lt;&gt;"",$AH62&lt;&gt;"",$H62&lt;&gt;$AH62,IFERROR(VLOOKUP($H62,areaCercaPuntiClassificaSquadra,3,FALSE),-1)=IFERROR(VLOOKUP($AH62,areaCercaPuntiClassificaSquadra,3,FALSE),-2)),SUMIFS(Dati!$B$2:$B$761,Dati!$A$2:$A$761,$H62,Dati!$H$2:$H$761,$AH62)+SUMIFS(Dati!$I$2:$I$761,Dati!$H$2:$H$761,$H62,Dati!$A$2:$A$761,$AH62),"-")</f>
        <v/>
      </c>
      <c r="BE62" s="22">
        <f>IF(AND($H62&lt;&gt;"",$AI62&lt;&gt;"",$H62&lt;&gt;$AI62,IFERROR(VLOOKUP($H62,areaCercaPuntiClassificaSquadra,3,FALSE),-1)=IFERROR(VLOOKUP($AI62,areaCercaPuntiClassificaSquadra,3,FALSE),-2)),SUMIFS(Dati!$B$2:$B$761,Dati!$A$2:$A$761,$H62,Dati!$H$2:$H$761,$AI62)+SUMIFS(Dati!$I$2:$I$761,Dati!$H$2:$H$761,$H62,Dati!$A$2:$A$761,$AI62),"-")</f>
        <v/>
      </c>
      <c r="BF62" s="22">
        <f>IF(AND($H62&lt;&gt;"",$AJ62&lt;&gt;"",$H62&lt;&gt;$AJ62,IFERROR(VLOOKUP($H62,areaCercaPuntiClassificaSquadra,3,FALSE),-1)=IFERROR(VLOOKUP($AJ62,areaCercaPuntiClassificaSquadra,3,FALSE),-2)),SUMIFS(Dati!$B$2:$B$761,Dati!$A$2:$A$761,$H62,Dati!$H$2:$H$761,$AJ62)+SUMIFS(Dati!$I$2:$I$761,Dati!$H$2:$H$761,$H62,Dati!$A$2:$A$761,$AJ62),"-")</f>
        <v/>
      </c>
      <c r="BG62" s="22">
        <f>IF(AND($H62&lt;&gt;"",$AK62&lt;&gt;"",$H62&lt;&gt;$AK62,IFERROR(VLOOKUP($H62,areaCercaPuntiClassificaSquadra,3,FALSE),-1)=IFERROR(VLOOKUP($AK62,areaCercaPuntiClassificaSquadra,3,FALSE),-2)),SUMIFS(Dati!$B$2:$B$761,Dati!$A$2:$A$761,$H62,Dati!$H$2:$H$761,$AK62)+SUMIFS(Dati!$I$2:$I$761,Dati!$H$2:$H$761,$H62,Dati!$A$2:$A$761,$AK62),"-")</f>
        <v/>
      </c>
      <c r="BH62" s="22">
        <f>IF(AND($H62&lt;&gt;"",$AL62&lt;&gt;"",$H62&lt;&gt;$AL62,IFERROR(VLOOKUP($H62,areaCercaPuntiClassificaSquadra,3,FALSE),-1)=IFERROR(VLOOKUP($AL62,areaCercaPuntiClassificaSquadra,3,FALSE),-2)),SUMIFS(Dati!$B$2:$B$761,Dati!$A$2:$A$761,$H62,Dati!$H$2:$H$761,$AL62)+SUMIFS(Dati!$I$2:$I$761,Dati!$H$2:$H$761,$H62,Dati!$A$2:$A$761,$AL62),"-")</f>
        <v/>
      </c>
      <c r="BI62" s="22">
        <f>IF(AND($H62&lt;&gt;"",$AM62&lt;&gt;"",$H62&lt;&gt;$AM62,IFERROR(VLOOKUP($H62,areaCercaPuntiClassificaSquadra,3,FALSE),-1)=IFERROR(VLOOKUP($AM62,areaCercaPuntiClassificaSquadra,3,FALSE),-2)),SUMIFS(Dati!$B$2:$B$761,Dati!$A$2:$A$761,$H62,Dati!$H$2:$H$761,$AM62)+SUMIFS(Dati!$I$2:$I$761,Dati!$H$2:$H$761,$H62,Dati!$A$2:$A$761,$AM62),"-")</f>
        <v/>
      </c>
      <c r="BJ62" s="22">
        <f>IF(AND($H62&lt;&gt;"",$AN62&lt;&gt;"",$H62&lt;&gt;$AN62,IFERROR(VLOOKUP($H62,areaCercaPuntiClassificaSquadra,3,FALSE),-1)=IFERROR(VLOOKUP($AN62,areaCercaPuntiClassificaSquadra,3,FALSE),-2)),SUMIFS(Dati!$B$2:$B$761,Dati!$A$2:$A$761,$H62,Dati!$H$2:$H$761,$AN62)+SUMIFS(Dati!$I$2:$I$761,Dati!$H$2:$H$761,$H62,Dati!$A$2:$A$761,$AN62),"-")</f>
        <v/>
      </c>
      <c r="BK62" s="22">
        <f>IF(AND($H62&lt;&gt;"",$AO62&lt;&gt;"",$H62&lt;&gt;$AO62,IFERROR(VLOOKUP($H62,areaCercaPuntiClassificaSquadra,3,FALSE),-1)=IFERROR(VLOOKUP($AO62,areaCercaPuntiClassificaSquadra,3,FALSE),-2)),SUMIFS(Dati!$B$2:$B$761,Dati!$A$2:$A$761,$H62,Dati!$H$2:$H$761,$AO62)+SUMIFS(Dati!$I$2:$I$761,Dati!$H$2:$H$761,$H62,Dati!$A$2:$A$761,$AO62),"-")</f>
        <v/>
      </c>
      <c r="BL62" s="22">
        <f>IF(AND($H62&lt;&gt;"",$AP62&lt;&gt;"",$H62&lt;&gt;$AP62,IFERROR(VLOOKUP($H62,areaCercaPuntiClassificaSquadra,3,FALSE),-1)=IFERROR(VLOOKUP($AP62,areaCercaPuntiClassificaSquadra,3,FALSE),-2)),SUMIFS(Dati!$B$2:$B$761,Dati!$A$2:$A$761,$H62,Dati!$H$2:$H$761,$AP62)+SUMIFS(Dati!$I$2:$I$761,Dati!$H$2:$H$761,$H62,Dati!$A$2:$A$761,$AP62),"-")</f>
        <v/>
      </c>
      <c r="BM62" s="22">
        <f>IF(AND($H62&lt;&gt;"",$AQ62&lt;&gt;"",$H62&lt;&gt;$AQ62,IFERROR(VLOOKUP($H62,areaCercaPuntiClassificaSquadra,3,FALSE),-1)=IFERROR(VLOOKUP($AQ62,areaCercaPuntiClassificaSquadra,3,FALSE),-2)),SUMIFS(Dati!$B$2:$B$761,Dati!$A$2:$A$761,$H62,Dati!$H$2:$H$761,$AQ62)+SUMIFS(Dati!$I$2:$I$761,Dati!$H$2:$H$761,$H62,Dati!$A$2:$A$761,$AQ62),"-")</f>
        <v/>
      </c>
      <c r="BN62" s="22">
        <f>IF(AND($H62&lt;&gt;"",$AR62&lt;&gt;"",$H62&lt;&gt;$AR62,IFERROR(VLOOKUP($H62,areaCercaPuntiClassificaSquadra,3,FALSE),-1)=IFERROR(VLOOKUP($AR62,areaCercaPuntiClassificaSquadra,3,FALSE),-2)),SUMIFS(Dati!$B$2:$B$761,Dati!$A$2:$A$761,$H62,Dati!$H$2:$H$761,$AR62)+SUMIFS(Dati!$I$2:$I$761,Dati!$H$2:$H$761,$H62,Dati!$A$2:$A$761,$AR62),"-")</f>
        <v/>
      </c>
      <c r="BP62" s="21">
        <f>$C62</f>
        <v/>
      </c>
      <c r="BQ62" s="22">
        <f>IF(AND($H62&lt;&gt;"",$Y62&lt;&gt;"",$H62&lt;&gt;$Y62,IFERROR(VLOOKUP($H62,areaCercaPuntiClassificaSquadra,3,FALSE),-1)=IFERROR(VLOOKUP($Y62,areaCercaPuntiClassificaSquadra,3,FALSE),-2)),SUMIFS(Dati!$D$2:$D$761,Dati!$A$2:$A$761,$H62,Dati!$H$2:$H$761,$Y62)+SUMIFS(Dati!$K$2:$K$761,Dati!$H$2:$H$761,$H62,Dati!$A$2:$A$761,$Y62)+SUMIFS(Dati!$C$2:$C$761,Dati!$A$2:$A$761,$H62,Dati!$H$2:$H$761,$Y62)+SUMIFS(Dati!$J$2:$J$761,Dati!$H$2:$H$761,$H62,Dati!$A$2:$A$761,$Y62),"-")</f>
        <v/>
      </c>
      <c r="BR62" s="22">
        <f>IF(AND($H62&lt;&gt;"",$Z62&lt;&gt;"",$H62&lt;&gt;$Z62,IFERROR(VLOOKUP($H62,areaCercaPuntiClassificaSquadra,3,FALSE),-1)=IFERROR(VLOOKUP($Z62,areaCercaPuntiClassificaSquadra,3,FALSE),-2)),SUMIFS(Dati!$D$2:$D$761,Dati!$A$2:$A$761,$H62,Dati!$H$2:$H$761,$Z62)+SUMIFS(Dati!$K$2:$K$761,Dati!$H$2:$H$761,$H62,Dati!$A$2:$A$761,$Z62)+SUMIFS(Dati!$C$2:$C$761,Dati!$A$2:$A$761,$H62,Dati!$H$2:$H$761,$Z62)+SUMIFS(Dati!$J$2:$J$761,Dati!$H$2:$H$761,$H62,Dati!$A$2:$A$761,$Z62),"-")</f>
        <v/>
      </c>
      <c r="BS62" s="22">
        <f>IF(AND($H62&lt;&gt;"",$AA62&lt;&gt;"",$H62&lt;&gt;$AA62,IFERROR(VLOOKUP($H62,areaCercaPuntiClassificaSquadra,3,FALSE),-1)=IFERROR(VLOOKUP($AA62,areaCercaPuntiClassificaSquadra,3,FALSE),-2)),SUMIFS(Dati!$D$2:$D$761,Dati!$A$2:$A$761,$H62,Dati!$H$2:$H$761,$AA62)+SUMIFS(Dati!$K$2:$K$761,Dati!$H$2:$H$761,$H62,Dati!$A$2:$A$761,$AA62)+SUMIFS(Dati!$C$2:$C$761,Dati!$A$2:$A$761,$H62,Dati!$H$2:$H$761,$AA62)+SUMIFS(Dati!$J$2:$J$761,Dati!$H$2:$H$761,$H62,Dati!$A$2:$A$761,$AA62),"-")</f>
        <v/>
      </c>
      <c r="BT62" s="22">
        <f>IF(AND($H62&lt;&gt;"",$AB62&lt;&gt;"",$H62&lt;&gt;$AB62,IFERROR(VLOOKUP($H62,areaCercaPuntiClassificaSquadra,3,FALSE),-1)=IFERROR(VLOOKUP($AB62,areaCercaPuntiClassificaSquadra,3,FALSE),-2)),SUMIFS(Dati!$D$2:$D$761,Dati!$A$2:$A$761,$H62,Dati!$H$2:$H$761,$AB62)+SUMIFS(Dati!$K$2:$K$761,Dati!$H$2:$H$761,$H62,Dati!$A$2:$A$761,$AB62)+SUMIFS(Dati!$C$2:$C$761,Dati!$A$2:$A$761,$H62,Dati!$H$2:$H$761,$AB62)+SUMIFS(Dati!$J$2:$J$761,Dati!$H$2:$H$761,$H62,Dati!$A$2:$A$761,$AB62),"-")</f>
        <v/>
      </c>
      <c r="BU62" s="22">
        <f>IF(AND($H62&lt;&gt;"",$AC62&lt;&gt;"",$H62&lt;&gt;$AC62,IFERROR(VLOOKUP($H62,areaCercaPuntiClassificaSquadra,3,FALSE),-1)=IFERROR(VLOOKUP($AC62,areaCercaPuntiClassificaSquadra,3,FALSE),-2)),SUMIFS(Dati!$D$2:$D$761,Dati!$A$2:$A$761,$H62,Dati!$H$2:$H$761,$AC62)+SUMIFS(Dati!$K$2:$K$761,Dati!$H$2:$H$761,$H62,Dati!$A$2:$A$761,$AC62)+SUMIFS(Dati!$C$2:$C$761,Dati!$A$2:$A$761,$H62,Dati!$H$2:$H$761,$AC62)+SUMIFS(Dati!$J$2:$J$761,Dati!$H$2:$H$761,$H62,Dati!$A$2:$A$761,$AC62),"-")</f>
        <v/>
      </c>
      <c r="BV62" s="22">
        <f>IF(AND($H62&lt;&gt;"",$AD62&lt;&gt;"",$H62&lt;&gt;$AD62,IFERROR(VLOOKUP($H62,areaCercaPuntiClassificaSquadra,3,FALSE),-1)=IFERROR(VLOOKUP($AD62,areaCercaPuntiClassificaSquadra,3,FALSE),-2)),SUMIFS(Dati!$D$2:$D$761,Dati!$A$2:$A$761,$H62,Dati!$H$2:$H$761,$AD62)+SUMIFS(Dati!$K$2:$K$761,Dati!$H$2:$H$761,$H62,Dati!$A$2:$A$761,$AD62)+SUMIFS(Dati!$C$2:$C$761,Dati!$A$2:$A$761,$H62,Dati!$H$2:$H$761,$AD62)+SUMIFS(Dati!$J$2:$J$761,Dati!$H$2:$H$761,$H62,Dati!$A$2:$A$761,$AD62),"-")</f>
        <v/>
      </c>
      <c r="BW62" s="22">
        <f>IF(AND($H62&lt;&gt;"",$AE62&lt;&gt;"",$H62&lt;&gt;$AE62,IFERROR(VLOOKUP($H62,areaCercaPuntiClassificaSquadra,3,FALSE),-1)=IFERROR(VLOOKUP($AE62,areaCercaPuntiClassificaSquadra,3,FALSE),-2)),SUMIFS(Dati!$D$2:$D$761,Dati!$A$2:$A$761,$H62,Dati!$H$2:$H$761,$AE62)+SUMIFS(Dati!$K$2:$K$761,Dati!$H$2:$H$761,$H62,Dati!$A$2:$A$761,$AE62)+SUMIFS(Dati!$C$2:$C$761,Dati!$A$2:$A$761,$H62,Dati!$H$2:$H$761,$AE62)+SUMIFS(Dati!$J$2:$J$761,Dati!$H$2:$H$761,$H62,Dati!$A$2:$A$761,$AE62),"-")</f>
        <v/>
      </c>
      <c r="BX62" s="22">
        <f>IF(AND($H62&lt;&gt;"",$AF62&lt;&gt;"",$H62&lt;&gt;$AF62,IFERROR(VLOOKUP($H62,areaCercaPuntiClassificaSquadra,3,FALSE),-1)=IFERROR(VLOOKUP($AF62,areaCercaPuntiClassificaSquadra,3,FALSE),-2)),SUMIFS(Dati!$D$2:$D$761,Dati!$A$2:$A$761,$H62,Dati!$H$2:$H$761,$AF62)+SUMIFS(Dati!$K$2:$K$761,Dati!$H$2:$H$761,$H62,Dati!$A$2:$A$761,$AF62)+SUMIFS(Dati!$C$2:$C$761,Dati!$A$2:$A$761,$H62,Dati!$H$2:$H$761,$AF62)+SUMIFS(Dati!$J$2:$J$761,Dati!$H$2:$H$761,$H62,Dati!$A$2:$A$761,$AF62),"-")</f>
        <v/>
      </c>
      <c r="BY62" s="22">
        <f>IF(AND($H62&lt;&gt;"",$AG62&lt;&gt;"",$H62&lt;&gt;$AG62,IFERROR(VLOOKUP($H62,areaCercaPuntiClassificaSquadra,3,FALSE),-1)=IFERROR(VLOOKUP($AG62,areaCercaPuntiClassificaSquadra,3,FALSE),-2)),SUMIFS(Dati!$D$2:$D$761,Dati!$A$2:$A$761,$H62,Dati!$H$2:$H$761,$AG62)+SUMIFS(Dati!$K$2:$K$761,Dati!$H$2:$H$761,$H62,Dati!$A$2:$A$761,$AG62)+SUMIFS(Dati!$C$2:$C$761,Dati!$A$2:$A$761,$H62,Dati!$H$2:$H$761,$AG62)+SUMIFS(Dati!$J$2:$J$761,Dati!$H$2:$H$761,$H62,Dati!$A$2:$A$761,$AG62),"-")</f>
        <v/>
      </c>
      <c r="BZ62" s="22">
        <f>IF(AND($H62&lt;&gt;"",$AH62&lt;&gt;"",$H62&lt;&gt;$AH62,IFERROR(VLOOKUP($H62,areaCercaPuntiClassificaSquadra,3,FALSE),-1)=IFERROR(VLOOKUP($AH62,areaCercaPuntiClassificaSquadra,3,FALSE),-2)),SUMIFS(Dati!$D$2:$D$761,Dati!$A$2:$A$761,$H62,Dati!$H$2:$H$761,$AH62)+SUMIFS(Dati!$K$2:$K$761,Dati!$H$2:$H$761,$H62,Dati!$A$2:$A$761,$AH62)+SUMIFS(Dati!$C$2:$C$761,Dati!$A$2:$A$761,$H62,Dati!$H$2:$H$761,$AH62)+SUMIFS(Dati!$J$2:$J$761,Dati!$H$2:$H$761,$H62,Dati!$A$2:$A$761,$AH62),"-")</f>
        <v/>
      </c>
      <c r="CA62" s="22">
        <f>IF(AND($H62&lt;&gt;"",$AI62&lt;&gt;"",$H62&lt;&gt;$AI62,IFERROR(VLOOKUP($H62,areaCercaPuntiClassificaSquadra,3,FALSE),-1)=IFERROR(VLOOKUP($AI62,areaCercaPuntiClassificaSquadra,3,FALSE),-2)),SUMIFS(Dati!$D$2:$D$761,Dati!$A$2:$A$761,$H62,Dati!$H$2:$H$761,$AI62)+SUMIFS(Dati!$K$2:$K$761,Dati!$H$2:$H$761,$H62,Dati!$A$2:$A$761,$AI62)+SUMIFS(Dati!$C$2:$C$761,Dati!$A$2:$A$761,$H62,Dati!$H$2:$H$761,$AI62)+SUMIFS(Dati!$J$2:$J$761,Dati!$H$2:$H$761,$H62,Dati!$A$2:$A$761,$AI62),"-")</f>
        <v/>
      </c>
      <c r="CB62" s="22">
        <f>IF(AND($H62&lt;&gt;"",$AJ62&lt;&gt;"",$H62&lt;&gt;$AJ62,IFERROR(VLOOKUP($H62,areaCercaPuntiClassificaSquadra,3,FALSE),-1)=IFERROR(VLOOKUP($AJ62,areaCercaPuntiClassificaSquadra,3,FALSE),-2)),SUMIFS(Dati!$D$2:$D$761,Dati!$A$2:$A$761,$H62,Dati!$H$2:$H$761,$AJ62)+SUMIFS(Dati!$K$2:$K$761,Dati!$H$2:$H$761,$H62,Dati!$A$2:$A$761,$AJ62)+SUMIFS(Dati!$C$2:$C$761,Dati!$A$2:$A$761,$H62,Dati!$H$2:$H$761,$AJ62)+SUMIFS(Dati!$J$2:$J$761,Dati!$H$2:$H$761,$H62,Dati!$A$2:$A$761,$AJ62),"-")</f>
        <v/>
      </c>
      <c r="CC62" s="22">
        <f>IF(AND($H62&lt;&gt;"",$AK62&lt;&gt;"",$H62&lt;&gt;$AK62,IFERROR(VLOOKUP($H62,areaCercaPuntiClassificaSquadra,3,FALSE),-1)=IFERROR(VLOOKUP($AK62,areaCercaPuntiClassificaSquadra,3,FALSE),-2)),SUMIFS(Dati!$D$2:$D$761,Dati!$A$2:$A$761,$H62,Dati!$H$2:$H$761,$AK62)+SUMIFS(Dati!$K$2:$K$761,Dati!$H$2:$H$761,$H62,Dati!$A$2:$A$761,$AK62)+SUMIFS(Dati!$C$2:$C$761,Dati!$A$2:$A$761,$H62,Dati!$H$2:$H$761,$AK62)+SUMIFS(Dati!$J$2:$J$761,Dati!$H$2:$H$761,$H62,Dati!$A$2:$A$761,$AK62),"-")</f>
        <v/>
      </c>
      <c r="CD62" s="22">
        <f>IF(AND($H62&lt;&gt;"",$AL62&lt;&gt;"",$H62&lt;&gt;$AL62,IFERROR(VLOOKUP($H62,areaCercaPuntiClassificaSquadra,3,FALSE),-1)=IFERROR(VLOOKUP($AL62,areaCercaPuntiClassificaSquadra,3,FALSE),-2)),SUMIFS(Dati!$D$2:$D$761,Dati!$A$2:$A$761,$H62,Dati!$H$2:$H$761,$AL62)+SUMIFS(Dati!$K$2:$K$761,Dati!$H$2:$H$761,$H62,Dati!$A$2:$A$761,$AL62)+SUMIFS(Dati!$C$2:$C$761,Dati!$A$2:$A$761,$H62,Dati!$H$2:$H$761,$AL62)+SUMIFS(Dati!$J$2:$J$761,Dati!$H$2:$H$761,$H62,Dati!$A$2:$A$761,$AL62),"-")</f>
        <v/>
      </c>
      <c r="CE62" s="22">
        <f>IF(AND($H62&lt;&gt;"",$AM62&lt;&gt;"",$H62&lt;&gt;$AM62,IFERROR(VLOOKUP($H62,areaCercaPuntiClassificaSquadra,3,FALSE),-1)=IFERROR(VLOOKUP($AM62,areaCercaPuntiClassificaSquadra,3,FALSE),-2)),SUMIFS(Dati!$D$2:$D$761,Dati!$A$2:$A$761,$H62,Dati!$H$2:$H$761,$AM62)+SUMIFS(Dati!$K$2:$K$761,Dati!$H$2:$H$761,$H62,Dati!$A$2:$A$761,$AM62)+SUMIFS(Dati!$C$2:$C$761,Dati!$A$2:$A$761,$H62,Dati!$H$2:$H$761,$AM62)+SUMIFS(Dati!$J$2:$J$761,Dati!$H$2:$H$761,$H62,Dati!$A$2:$A$761,$AM62),"-")</f>
        <v/>
      </c>
      <c r="CF62" s="22">
        <f>IF(AND($H62&lt;&gt;"",$AN62&lt;&gt;"",$H62&lt;&gt;$AN62,IFERROR(VLOOKUP($H62,areaCercaPuntiClassificaSquadra,3,FALSE),-1)=IFERROR(VLOOKUP($AN62,areaCercaPuntiClassificaSquadra,3,FALSE),-2)),SUMIFS(Dati!$D$2:$D$761,Dati!$A$2:$A$761,$H62,Dati!$H$2:$H$761,$AN62)+SUMIFS(Dati!$K$2:$K$761,Dati!$H$2:$H$761,$H62,Dati!$A$2:$A$761,$AN62)+SUMIFS(Dati!$C$2:$C$761,Dati!$A$2:$A$761,$H62,Dati!$H$2:$H$761,$AN62)+SUMIFS(Dati!$J$2:$J$761,Dati!$H$2:$H$761,$H62,Dati!$A$2:$A$761,$AN62),"-")</f>
        <v/>
      </c>
      <c r="CG62" s="22">
        <f>IF(AND($H62&lt;&gt;"",$AO62&lt;&gt;"",$H62&lt;&gt;$AO62,IFERROR(VLOOKUP($H62,areaCercaPuntiClassificaSquadra,3,FALSE),-1)=IFERROR(VLOOKUP($AO62,areaCercaPuntiClassificaSquadra,3,FALSE),-2)),SUMIFS(Dati!$D$2:$D$761,Dati!$A$2:$A$761,$H62,Dati!$H$2:$H$761,$AO62)+SUMIFS(Dati!$K$2:$K$761,Dati!$H$2:$H$761,$H62,Dati!$A$2:$A$761,$AO62)+SUMIFS(Dati!$C$2:$C$761,Dati!$A$2:$A$761,$H62,Dati!$H$2:$H$761,$AO62)+SUMIFS(Dati!$J$2:$J$761,Dati!$H$2:$H$761,$H62,Dati!$A$2:$A$761,$AO62),"-")</f>
        <v/>
      </c>
      <c r="CH62" s="22">
        <f>IF(AND($H62&lt;&gt;"",$AP62&lt;&gt;"",$H62&lt;&gt;$AP62,IFERROR(VLOOKUP($H62,areaCercaPuntiClassificaSquadra,3,FALSE),-1)=IFERROR(VLOOKUP($AP62,areaCercaPuntiClassificaSquadra,3,FALSE),-2)),SUMIFS(Dati!$D$2:$D$761,Dati!$A$2:$A$761,$H62,Dati!$H$2:$H$761,$AP62)+SUMIFS(Dati!$K$2:$K$761,Dati!$H$2:$H$761,$H62,Dati!$A$2:$A$761,$AP62)+SUMIFS(Dati!$C$2:$C$761,Dati!$A$2:$A$761,$H62,Dati!$H$2:$H$761,$AP62)+SUMIFS(Dati!$J$2:$J$761,Dati!$H$2:$H$761,$H62,Dati!$A$2:$A$761,$AP62),"-")</f>
        <v/>
      </c>
      <c r="CI62" s="22">
        <f>IF(AND($H62&lt;&gt;"",$AQ62&lt;&gt;"",$H62&lt;&gt;$AQ62,IFERROR(VLOOKUP($H62,areaCercaPuntiClassificaSquadra,3,FALSE),-1)=IFERROR(VLOOKUP($AQ62,areaCercaPuntiClassificaSquadra,3,FALSE),-2)),SUMIFS(Dati!$D$2:$D$761,Dati!$A$2:$A$761,$H62,Dati!$H$2:$H$761,$AQ62)+SUMIFS(Dati!$K$2:$K$761,Dati!$H$2:$H$761,$H62,Dati!$A$2:$A$761,$AQ62)+SUMIFS(Dati!$C$2:$C$761,Dati!$A$2:$A$761,$H62,Dati!$H$2:$H$761,$AQ62)+SUMIFS(Dati!$J$2:$J$761,Dati!$H$2:$H$761,$H62,Dati!$A$2:$A$761,$AQ62),"-")</f>
        <v/>
      </c>
      <c r="CJ62" s="22">
        <f>IF(AND($H62&lt;&gt;"",$AR62&lt;&gt;"",$H62&lt;&gt;$AR62,IFERROR(VLOOKUP($H62,areaCercaPuntiClassificaSquadra,3,FALSE),-1)=IFERROR(VLOOKUP($AR62,areaCercaPuntiClassificaSquadra,3,FALSE),-2)),SUMIFS(Dati!$D$2:$D$761,Dati!$A$2:$A$761,$H62,Dati!$H$2:$H$761,$AR62)+SUMIFS(Dati!$K$2:$K$761,Dati!$H$2:$H$761,$H62,Dati!$A$2:$A$761,$AR62)+SUMIFS(Dati!$C$2:$C$761,Dati!$A$2:$A$761,$H62,Dati!$H$2:$H$761,$AR62)+SUMIFS(Dati!$J$2:$J$761,Dati!$H$2:$H$761,$H62,Dati!$A$2:$A$761,$AR62),"-")</f>
        <v/>
      </c>
      <c r="CL62" s="21">
        <f>$C62</f>
        <v/>
      </c>
      <c r="CM62" s="22">
        <f>IF(AND($H62&lt;&gt;"",$Y62&lt;&gt;"",$H62&lt;&gt;$Y62,IFERROR(VLOOKUP($H62,areaCercaPuntiClassificaSquadra,3,FALSE),-1)=IFERROR(VLOOKUP($Y62,areaCercaPuntiClassificaSquadra,3,FALSE),-2)),SUMIFS(Dati!$E$2:$E$761,Dati!$A$2:$A$761,$H62,Dati!$H$2:$H$761,$Y62)+SUMIFS(Dati!$L$2:$L$761,Dati!$H$2:$H$761,$H62,Dati!$A$2:$A$761,$Y62),"-")</f>
        <v/>
      </c>
      <c r="CN62" s="22">
        <f>IF(AND($H62&lt;&gt;"",$Z62&lt;&gt;"",$H62&lt;&gt;$Z62,IFERROR(VLOOKUP($H62,areaCercaPuntiClassificaSquadra,3,FALSE),-1)=IFERROR(VLOOKUP($Z62,areaCercaPuntiClassificaSquadra,3,FALSE),-2)),SUMIFS(Dati!$E$2:$E$761,Dati!$A$2:$A$761,$H62,Dati!$H$2:$H$761,$Z62)+SUMIFS(Dati!$L$2:$L$761,Dati!$H$2:$H$761,$H62,Dati!$A$2:$A$761,$Z62),"-")</f>
        <v/>
      </c>
      <c r="CO62" s="22">
        <f>IF(AND($H62&lt;&gt;"",$AA62&lt;&gt;"",$H62&lt;&gt;$AA62,IFERROR(VLOOKUP($H62,areaCercaPuntiClassificaSquadra,3,FALSE),-1)=IFERROR(VLOOKUP($AA62,areaCercaPuntiClassificaSquadra,3,FALSE),-2)),SUMIFS(Dati!$E$2:$E$761,Dati!$A$2:$A$761,$H62,Dati!$H$2:$H$761,$AA62)+SUMIFS(Dati!$L$2:$L$761,Dati!$H$2:$H$761,$H62,Dati!$A$2:$A$761,$AA62),"-")</f>
        <v/>
      </c>
      <c r="CP62" s="22">
        <f>IF(AND($H62&lt;&gt;"",$AB62&lt;&gt;"",$H62&lt;&gt;$AB62,IFERROR(VLOOKUP($H62,areaCercaPuntiClassificaSquadra,3,FALSE),-1)=IFERROR(VLOOKUP($AB62,areaCercaPuntiClassificaSquadra,3,FALSE),-2)),SUMIFS(Dati!$E$2:$E$761,Dati!$A$2:$A$761,$H62,Dati!$H$2:$H$761,$AB62)+SUMIFS(Dati!$L$2:$L$761,Dati!$H$2:$H$761,$H62,Dati!$A$2:$A$761,$AB62),"-")</f>
        <v/>
      </c>
      <c r="CQ62" s="22">
        <f>IF(AND($H62&lt;&gt;"",$AC62&lt;&gt;"",$H62&lt;&gt;$AC62,IFERROR(VLOOKUP($H62,areaCercaPuntiClassificaSquadra,3,FALSE),-1)=IFERROR(VLOOKUP($AC62,areaCercaPuntiClassificaSquadra,3,FALSE),-2)),SUMIFS(Dati!$E$2:$E$761,Dati!$A$2:$A$761,$H62,Dati!$H$2:$H$761,$AC62)+SUMIFS(Dati!$L$2:$L$761,Dati!$H$2:$H$761,$H62,Dati!$A$2:$A$761,$AC62),"-")</f>
        <v/>
      </c>
      <c r="CR62" s="22">
        <f>IF(AND($H62&lt;&gt;"",$AD62&lt;&gt;"",$H62&lt;&gt;$AD62,IFERROR(VLOOKUP($H62,areaCercaPuntiClassificaSquadra,3,FALSE),-1)=IFERROR(VLOOKUP($AD62,areaCercaPuntiClassificaSquadra,3,FALSE),-2)),SUMIFS(Dati!$E$2:$E$761,Dati!$A$2:$A$761,$H62,Dati!$H$2:$H$761,$AD62)+SUMIFS(Dati!$L$2:$L$761,Dati!$H$2:$H$761,$H62,Dati!$A$2:$A$761,$AD62),"-")</f>
        <v/>
      </c>
      <c r="CS62" s="22">
        <f>IF(AND($H62&lt;&gt;"",$AE62&lt;&gt;"",$H62&lt;&gt;$AE62,IFERROR(VLOOKUP($H62,areaCercaPuntiClassificaSquadra,3,FALSE),-1)=IFERROR(VLOOKUP($AE62,areaCercaPuntiClassificaSquadra,3,FALSE),-2)),SUMIFS(Dati!$E$2:$E$761,Dati!$A$2:$A$761,$H62,Dati!$H$2:$H$761,$AE62)+SUMIFS(Dati!$L$2:$L$761,Dati!$H$2:$H$761,$H62,Dati!$A$2:$A$761,$AE62),"-")</f>
        <v/>
      </c>
      <c r="CT62" s="22">
        <f>IF(AND($H62&lt;&gt;"",$AF62&lt;&gt;"",$H62&lt;&gt;$AF62,IFERROR(VLOOKUP($H62,areaCercaPuntiClassificaSquadra,3,FALSE),-1)=IFERROR(VLOOKUP($AF62,areaCercaPuntiClassificaSquadra,3,FALSE),-2)),SUMIFS(Dati!$E$2:$E$761,Dati!$A$2:$A$761,$H62,Dati!$H$2:$H$761,$AF62)+SUMIFS(Dati!$L$2:$L$761,Dati!$H$2:$H$761,$H62,Dati!$A$2:$A$761,$AF62),"-")</f>
        <v/>
      </c>
      <c r="CU62" s="22">
        <f>IF(AND($H62&lt;&gt;"",$AG62&lt;&gt;"",$H62&lt;&gt;$AG62,IFERROR(VLOOKUP($H62,areaCercaPuntiClassificaSquadra,3,FALSE),-1)=IFERROR(VLOOKUP($AG62,areaCercaPuntiClassificaSquadra,3,FALSE),-2)),SUMIFS(Dati!$E$2:$E$761,Dati!$A$2:$A$761,$H62,Dati!$H$2:$H$761,$AG62)+SUMIFS(Dati!$L$2:$L$761,Dati!$H$2:$H$761,$H62,Dati!$A$2:$A$761,$AG62),"-")</f>
        <v/>
      </c>
      <c r="CV62" s="22">
        <f>IF(AND($H62&lt;&gt;"",$AH62&lt;&gt;"",$H62&lt;&gt;$AH62,IFERROR(VLOOKUP($H62,areaCercaPuntiClassificaSquadra,3,FALSE),-1)=IFERROR(VLOOKUP($AH62,areaCercaPuntiClassificaSquadra,3,FALSE),-2)),SUMIFS(Dati!$E$2:$E$761,Dati!$A$2:$A$761,$H62,Dati!$H$2:$H$761,$AH62)+SUMIFS(Dati!$L$2:$L$761,Dati!$H$2:$H$761,$H62,Dati!$A$2:$A$761,$AH62),"-")</f>
        <v/>
      </c>
      <c r="CW62" s="22">
        <f>IF(AND($H62&lt;&gt;"",$AI62&lt;&gt;"",$H62&lt;&gt;$AI62,IFERROR(VLOOKUP($H62,areaCercaPuntiClassificaSquadra,3,FALSE),-1)=IFERROR(VLOOKUP($AI62,areaCercaPuntiClassificaSquadra,3,FALSE),-2)),SUMIFS(Dati!$E$2:$E$761,Dati!$A$2:$A$761,$H62,Dati!$H$2:$H$761,$AI62)+SUMIFS(Dati!$L$2:$L$761,Dati!$H$2:$H$761,$H62,Dati!$A$2:$A$761,$AI62),"-")</f>
        <v/>
      </c>
      <c r="CX62" s="22">
        <f>IF(AND($H62&lt;&gt;"",$AJ62&lt;&gt;"",$H62&lt;&gt;$AJ62,IFERROR(VLOOKUP($H62,areaCercaPuntiClassificaSquadra,3,FALSE),-1)=IFERROR(VLOOKUP($AJ62,areaCercaPuntiClassificaSquadra,3,FALSE),-2)),SUMIFS(Dati!$E$2:$E$761,Dati!$A$2:$A$761,$H62,Dati!$H$2:$H$761,$AJ62)+SUMIFS(Dati!$L$2:$L$761,Dati!$H$2:$H$761,$H62,Dati!$A$2:$A$761,$AJ62),"-")</f>
        <v/>
      </c>
      <c r="CY62" s="22">
        <f>IF(AND($H62&lt;&gt;"",$AK62&lt;&gt;"",$H62&lt;&gt;$AK62,IFERROR(VLOOKUP($H62,areaCercaPuntiClassificaSquadra,3,FALSE),-1)=IFERROR(VLOOKUP($AK62,areaCercaPuntiClassificaSquadra,3,FALSE),-2)),SUMIFS(Dati!$E$2:$E$761,Dati!$A$2:$A$761,$H62,Dati!$H$2:$H$761,$AK62)+SUMIFS(Dati!$L$2:$L$761,Dati!$H$2:$H$761,$H62,Dati!$A$2:$A$761,$AK62),"-")</f>
        <v/>
      </c>
      <c r="CZ62" s="22">
        <f>IF(AND($H62&lt;&gt;"",$AL62&lt;&gt;"",$H62&lt;&gt;$AL62,IFERROR(VLOOKUP($H62,areaCercaPuntiClassificaSquadra,3,FALSE),-1)=IFERROR(VLOOKUP($AL62,areaCercaPuntiClassificaSquadra,3,FALSE),-2)),SUMIFS(Dati!$E$2:$E$761,Dati!$A$2:$A$761,$H62,Dati!$H$2:$H$761,$AL62)+SUMIFS(Dati!$L$2:$L$761,Dati!$H$2:$H$761,$H62,Dati!$A$2:$A$761,$AL62),"-")</f>
        <v/>
      </c>
      <c r="DA62" s="22">
        <f>IF(AND($H62&lt;&gt;"",$AM62&lt;&gt;"",$H62&lt;&gt;$AM62,IFERROR(VLOOKUP($H62,areaCercaPuntiClassificaSquadra,3,FALSE),-1)=IFERROR(VLOOKUP($AM62,areaCercaPuntiClassificaSquadra,3,FALSE),-2)),SUMIFS(Dati!$E$2:$E$761,Dati!$A$2:$A$761,$H62,Dati!$H$2:$H$761,$AM62)+SUMIFS(Dati!$L$2:$L$761,Dati!$H$2:$H$761,$H62,Dati!$A$2:$A$761,$AM62),"-")</f>
        <v/>
      </c>
      <c r="DB62" s="22">
        <f>IF(AND($H62&lt;&gt;"",$AN62&lt;&gt;"",$H62&lt;&gt;$AN62,IFERROR(VLOOKUP($H62,areaCercaPuntiClassificaSquadra,3,FALSE),-1)=IFERROR(VLOOKUP($AN62,areaCercaPuntiClassificaSquadra,3,FALSE),-2)),SUMIFS(Dati!$E$2:$E$761,Dati!$A$2:$A$761,$H62,Dati!$H$2:$H$761,$AN62)+SUMIFS(Dati!$L$2:$L$761,Dati!$H$2:$H$761,$H62,Dati!$A$2:$A$761,$AN62),"-")</f>
        <v/>
      </c>
      <c r="DC62" s="22">
        <f>IF(AND($H62&lt;&gt;"",$AO62&lt;&gt;"",$H62&lt;&gt;$AO62,IFERROR(VLOOKUP($H62,areaCercaPuntiClassificaSquadra,3,FALSE),-1)=IFERROR(VLOOKUP($AO62,areaCercaPuntiClassificaSquadra,3,FALSE),-2)),SUMIFS(Dati!$E$2:$E$761,Dati!$A$2:$A$761,$H62,Dati!$H$2:$H$761,$AO62)+SUMIFS(Dati!$L$2:$L$761,Dati!$H$2:$H$761,$H62,Dati!$A$2:$A$761,$AO62),"-")</f>
        <v/>
      </c>
      <c r="DD62" s="22">
        <f>IF(AND($H62&lt;&gt;"",$AP62&lt;&gt;"",$H62&lt;&gt;$AP62,IFERROR(VLOOKUP($H62,areaCercaPuntiClassificaSquadra,3,FALSE),-1)=IFERROR(VLOOKUP($AP62,areaCercaPuntiClassificaSquadra,3,FALSE),-2)),SUMIFS(Dati!$E$2:$E$761,Dati!$A$2:$A$761,$H62,Dati!$H$2:$H$761,$AP62)+SUMIFS(Dati!$L$2:$L$761,Dati!$H$2:$H$761,$H62,Dati!$A$2:$A$761,$AP62),"-")</f>
        <v/>
      </c>
      <c r="DE62" s="22">
        <f>IF(AND($H62&lt;&gt;"",$AQ62&lt;&gt;"",$H62&lt;&gt;$AQ62,IFERROR(VLOOKUP($H62,areaCercaPuntiClassificaSquadra,3,FALSE),-1)=IFERROR(VLOOKUP($AQ62,areaCercaPuntiClassificaSquadra,3,FALSE),-2)),SUMIFS(Dati!$E$2:$E$761,Dati!$A$2:$A$761,$H62,Dati!$H$2:$H$761,$AQ62)+SUMIFS(Dati!$L$2:$L$761,Dati!$H$2:$H$761,$H62,Dati!$A$2:$A$761,$AQ62),"-")</f>
        <v/>
      </c>
      <c r="DF62" s="22">
        <f>IF(AND($H62&lt;&gt;"",$AR62&lt;&gt;"",$H62&lt;&gt;$AR62,IFERROR(VLOOKUP($H62,areaCercaPuntiClassificaSquadra,3,FALSE),-1)=IFERROR(VLOOKUP($AR62,areaCercaPuntiClassificaSquadra,3,FALSE),-2)),SUMIFS(Dati!$E$2:$E$761,Dati!$A$2:$A$761,$H62,Dati!$H$2:$H$761,$AR62)+SUMIFS(Dati!$L$2:$L$761,Dati!$H$2:$H$761,$H62,Dati!$A$2:$A$761,$AR62),"-")</f>
        <v/>
      </c>
      <c r="DH62" s="21">
        <f>$C62</f>
        <v/>
      </c>
      <c r="DI62" s="22">
        <f>IF(AND($H62&lt;&gt;"",$Y62&lt;&gt;"",$H62&lt;&gt;$Y62,IFERROR(VLOOKUP($H62,areaCercaPuntiClassificaSquadra,3,FALSE),-1)=IFERROR(VLOOKUP($Y62,areaCercaPuntiClassificaSquadra,3,FALSE),-2)),SUMIFS(Dati!$F$2:$F$761,Dati!$A$2:$A$761,$H62,Dati!$H$2:$H$761,$Y62)+SUMIFS(Dati!$M$2:$M$761,Dati!$H$2:$H$761,$H62,Dati!$A$2:$A$761,$Y62),"-")</f>
        <v/>
      </c>
      <c r="DJ62" s="22">
        <f>IF(AND($H62&lt;&gt;"",$Z62&lt;&gt;"",$H62&lt;&gt;$Z62,IFERROR(VLOOKUP($H62,areaCercaPuntiClassificaSquadra,3,FALSE),-1)=IFERROR(VLOOKUP($Z62,areaCercaPuntiClassificaSquadra,3,FALSE),-2)),SUMIFS(Dati!$F$2:$F$761,Dati!$A$2:$A$761,$H62,Dati!$H$2:$H$761,$Z62)+SUMIFS(Dati!$M$2:$M$761,Dati!$H$2:$H$761,$H62,Dati!$A$2:$A$761,$Z62),"-")</f>
        <v/>
      </c>
      <c r="DK62" s="22">
        <f>IF(AND($H62&lt;&gt;"",$AA62&lt;&gt;"",$H62&lt;&gt;$AA62,IFERROR(VLOOKUP($H62,areaCercaPuntiClassificaSquadra,3,FALSE),-1)=IFERROR(VLOOKUP($AA62,areaCercaPuntiClassificaSquadra,3,FALSE),-2)),SUMIFS(Dati!$F$2:$F$761,Dati!$A$2:$A$761,$H62,Dati!$H$2:$H$761,$AA62)+SUMIFS(Dati!$M$2:$M$761,Dati!$H$2:$H$761,$H62,Dati!$A$2:$A$761,$AA62),"-")</f>
        <v/>
      </c>
      <c r="DL62" s="22">
        <f>IF(AND($H62&lt;&gt;"",$AB62&lt;&gt;"",$H62&lt;&gt;$AB62,IFERROR(VLOOKUP($H62,areaCercaPuntiClassificaSquadra,3,FALSE),-1)=IFERROR(VLOOKUP($AB62,areaCercaPuntiClassificaSquadra,3,FALSE),-2)),SUMIFS(Dati!$F$2:$F$761,Dati!$A$2:$A$761,$H62,Dati!$H$2:$H$761,$AB62)+SUMIFS(Dati!$M$2:$M$761,Dati!$H$2:$H$761,$H62,Dati!$A$2:$A$761,$AB62),"-")</f>
        <v/>
      </c>
      <c r="DM62" s="22">
        <f>IF(AND($H62&lt;&gt;"",$AC62&lt;&gt;"",$H62&lt;&gt;$AC62,IFERROR(VLOOKUP($H62,areaCercaPuntiClassificaSquadra,3,FALSE),-1)=IFERROR(VLOOKUP($AC62,areaCercaPuntiClassificaSquadra,3,FALSE),-2)),SUMIFS(Dati!$F$2:$F$761,Dati!$A$2:$A$761,$H62,Dati!$H$2:$H$761,$AC62)+SUMIFS(Dati!$M$2:$M$761,Dati!$H$2:$H$761,$H62,Dati!$A$2:$A$761,$AC62),"-")</f>
        <v/>
      </c>
      <c r="DN62" s="22">
        <f>IF(AND($H62&lt;&gt;"",$AD62&lt;&gt;"",$H62&lt;&gt;$AD62,IFERROR(VLOOKUP($H62,areaCercaPuntiClassificaSquadra,3,FALSE),-1)=IFERROR(VLOOKUP($AD62,areaCercaPuntiClassificaSquadra,3,FALSE),-2)),SUMIFS(Dati!$F$2:$F$761,Dati!$A$2:$A$761,$H62,Dati!$H$2:$H$761,$AD62)+SUMIFS(Dati!$M$2:$M$761,Dati!$H$2:$H$761,$H62,Dati!$A$2:$A$761,$AD62),"-")</f>
        <v/>
      </c>
      <c r="DO62" s="22">
        <f>IF(AND($H62&lt;&gt;"",$AE62&lt;&gt;"",$H62&lt;&gt;$AE62,IFERROR(VLOOKUP($H62,areaCercaPuntiClassificaSquadra,3,FALSE),-1)=IFERROR(VLOOKUP($AE62,areaCercaPuntiClassificaSquadra,3,FALSE),-2)),SUMIFS(Dati!$F$2:$F$761,Dati!$A$2:$A$761,$H62,Dati!$H$2:$H$761,$AE62)+SUMIFS(Dati!$M$2:$M$761,Dati!$H$2:$H$761,$H62,Dati!$A$2:$A$761,$AE62),"-")</f>
        <v/>
      </c>
      <c r="DP62" s="22">
        <f>IF(AND($H62&lt;&gt;"",$AF62&lt;&gt;"",$H62&lt;&gt;$AF62,IFERROR(VLOOKUP($H62,areaCercaPuntiClassificaSquadra,3,FALSE),-1)=IFERROR(VLOOKUP($AF62,areaCercaPuntiClassificaSquadra,3,FALSE),-2)),SUMIFS(Dati!$F$2:$F$761,Dati!$A$2:$A$761,$H62,Dati!$H$2:$H$761,$AF62)+SUMIFS(Dati!$M$2:$M$761,Dati!$H$2:$H$761,$H62,Dati!$A$2:$A$761,$AF62),"-")</f>
        <v/>
      </c>
      <c r="DQ62" s="22">
        <f>IF(AND($H62&lt;&gt;"",$AG62&lt;&gt;"",$H62&lt;&gt;$AG62,IFERROR(VLOOKUP($H62,areaCercaPuntiClassificaSquadra,3,FALSE),-1)=IFERROR(VLOOKUP($AG62,areaCercaPuntiClassificaSquadra,3,FALSE),-2)),SUMIFS(Dati!$F$2:$F$761,Dati!$A$2:$A$761,$H62,Dati!$H$2:$H$761,$AG62)+SUMIFS(Dati!$M$2:$M$761,Dati!$H$2:$H$761,$H62,Dati!$A$2:$A$761,$AG62),"-")</f>
        <v/>
      </c>
      <c r="DR62" s="22">
        <f>IF(AND($H62&lt;&gt;"",$AH62&lt;&gt;"",$H62&lt;&gt;$AH62,IFERROR(VLOOKUP($H62,areaCercaPuntiClassificaSquadra,3,FALSE),-1)=IFERROR(VLOOKUP($AH62,areaCercaPuntiClassificaSquadra,3,FALSE),-2)),SUMIFS(Dati!$F$2:$F$761,Dati!$A$2:$A$761,$H62,Dati!$H$2:$H$761,$AH62)+SUMIFS(Dati!$M$2:$M$761,Dati!$H$2:$H$761,$H62,Dati!$A$2:$A$761,$AH62),"-")</f>
        <v/>
      </c>
      <c r="DS62" s="22">
        <f>IF(AND($H62&lt;&gt;"",$AI62&lt;&gt;"",$H62&lt;&gt;$AI62,IFERROR(VLOOKUP($H62,areaCercaPuntiClassificaSquadra,3,FALSE),-1)=IFERROR(VLOOKUP($AI62,areaCercaPuntiClassificaSquadra,3,FALSE),-2)),SUMIFS(Dati!$F$2:$F$761,Dati!$A$2:$A$761,$H62,Dati!$H$2:$H$761,$AI62)+SUMIFS(Dati!$M$2:$M$761,Dati!$H$2:$H$761,$H62,Dati!$A$2:$A$761,$AI62),"-")</f>
        <v/>
      </c>
      <c r="DT62" s="22">
        <f>IF(AND($H62&lt;&gt;"",$AJ62&lt;&gt;"",$H62&lt;&gt;$AJ62,IFERROR(VLOOKUP($H62,areaCercaPuntiClassificaSquadra,3,FALSE),-1)=IFERROR(VLOOKUP($AJ62,areaCercaPuntiClassificaSquadra,3,FALSE),-2)),SUMIFS(Dati!$F$2:$F$761,Dati!$A$2:$A$761,$H62,Dati!$H$2:$H$761,$AJ62)+SUMIFS(Dati!$M$2:$M$761,Dati!$H$2:$H$761,$H62,Dati!$A$2:$A$761,$AJ62),"-")</f>
        <v/>
      </c>
      <c r="DU62" s="22">
        <f>IF(AND($H62&lt;&gt;"",$AK62&lt;&gt;"",$H62&lt;&gt;$AK62,IFERROR(VLOOKUP($H62,areaCercaPuntiClassificaSquadra,3,FALSE),-1)=IFERROR(VLOOKUP($AK62,areaCercaPuntiClassificaSquadra,3,FALSE),-2)),SUMIFS(Dati!$F$2:$F$761,Dati!$A$2:$A$761,$H62,Dati!$H$2:$H$761,$AK62)+SUMIFS(Dati!$M$2:$M$761,Dati!$H$2:$H$761,$H62,Dati!$A$2:$A$761,$AK62),"-")</f>
        <v/>
      </c>
      <c r="DV62" s="22">
        <f>IF(AND($H62&lt;&gt;"",$AL62&lt;&gt;"",$H62&lt;&gt;$AL62,IFERROR(VLOOKUP($H62,areaCercaPuntiClassificaSquadra,3,FALSE),-1)=IFERROR(VLOOKUP($AL62,areaCercaPuntiClassificaSquadra,3,FALSE),-2)),SUMIFS(Dati!$F$2:$F$761,Dati!$A$2:$A$761,$H62,Dati!$H$2:$H$761,$AL62)+SUMIFS(Dati!$M$2:$M$761,Dati!$H$2:$H$761,$H62,Dati!$A$2:$A$761,$AL62),"-")</f>
        <v/>
      </c>
      <c r="DW62" s="22">
        <f>IF(AND($H62&lt;&gt;"",$AM62&lt;&gt;"",$H62&lt;&gt;$AM62,IFERROR(VLOOKUP($H62,areaCercaPuntiClassificaSquadra,3,FALSE),-1)=IFERROR(VLOOKUP($AM62,areaCercaPuntiClassificaSquadra,3,FALSE),-2)),SUMIFS(Dati!$F$2:$F$761,Dati!$A$2:$A$761,$H62,Dati!$H$2:$H$761,$AM62)+SUMIFS(Dati!$M$2:$M$761,Dati!$H$2:$H$761,$H62,Dati!$A$2:$A$761,$AM62),"-")</f>
        <v/>
      </c>
      <c r="DX62" s="22">
        <f>IF(AND($H62&lt;&gt;"",$AN62&lt;&gt;"",$H62&lt;&gt;$AN62,IFERROR(VLOOKUP($H62,areaCercaPuntiClassificaSquadra,3,FALSE),-1)=IFERROR(VLOOKUP($AN62,areaCercaPuntiClassificaSquadra,3,FALSE),-2)),SUMIFS(Dati!$F$2:$F$761,Dati!$A$2:$A$761,$H62,Dati!$H$2:$H$761,$AN62)+SUMIFS(Dati!$M$2:$M$761,Dati!$H$2:$H$761,$H62,Dati!$A$2:$A$761,$AN62),"-")</f>
        <v/>
      </c>
      <c r="DY62" s="22">
        <f>IF(AND($H62&lt;&gt;"",$AO62&lt;&gt;"",$H62&lt;&gt;$AO62,IFERROR(VLOOKUP($H62,areaCercaPuntiClassificaSquadra,3,FALSE),-1)=IFERROR(VLOOKUP($AO62,areaCercaPuntiClassificaSquadra,3,FALSE),-2)),SUMIFS(Dati!$F$2:$F$761,Dati!$A$2:$A$761,$H62,Dati!$H$2:$H$761,$AO62)+SUMIFS(Dati!$M$2:$M$761,Dati!$H$2:$H$761,$H62,Dati!$A$2:$A$761,$AO62),"-")</f>
        <v/>
      </c>
      <c r="DZ62" s="22">
        <f>IF(AND($H62&lt;&gt;"",$AP62&lt;&gt;"",$H62&lt;&gt;$AP62,IFERROR(VLOOKUP($H62,areaCercaPuntiClassificaSquadra,3,FALSE),-1)=IFERROR(VLOOKUP($AP62,areaCercaPuntiClassificaSquadra,3,FALSE),-2)),SUMIFS(Dati!$F$2:$F$761,Dati!$A$2:$A$761,$H62,Dati!$H$2:$H$761,$AP62)+SUMIFS(Dati!$M$2:$M$761,Dati!$H$2:$H$761,$H62,Dati!$A$2:$A$761,$AP62),"-")</f>
        <v/>
      </c>
      <c r="EA62" s="22">
        <f>IF(AND($H62&lt;&gt;"",$AQ62&lt;&gt;"",$H62&lt;&gt;$AQ62,IFERROR(VLOOKUP($H62,areaCercaPuntiClassificaSquadra,3,FALSE),-1)=IFERROR(VLOOKUP($AQ62,areaCercaPuntiClassificaSquadra,3,FALSE),-2)),SUMIFS(Dati!$F$2:$F$761,Dati!$A$2:$A$761,$H62,Dati!$H$2:$H$761,$AQ62)+SUMIFS(Dati!$M$2:$M$761,Dati!$H$2:$H$761,$H62,Dati!$A$2:$A$761,$AQ62),"-")</f>
        <v/>
      </c>
      <c r="EB62" s="22">
        <f>IF(AND($H62&lt;&gt;"",$AR62&lt;&gt;"",$H62&lt;&gt;$AR62,IFERROR(VLOOKUP($H62,areaCercaPuntiClassificaSquadra,3,FALSE),-1)=IFERROR(VLOOKUP($AR62,areaCercaPuntiClassificaSquadra,3,FALSE),-2)),SUMIFS(Dati!$F$2:$F$761,Dati!$A$2:$A$761,$H62,Dati!$H$2:$H$761,$AR62)+SUMIFS(Dati!$M$2:$M$761,Dati!$H$2:$H$761,$H62,Dati!$A$2:$A$761,$AR62),"-")</f>
        <v/>
      </c>
      <c r="ED62" s="22">
        <f>IF($C62="","",SUM(AU62:BN62))</f>
        <v/>
      </c>
    </row>
    <row r="63">
      <c r="B63" s="12" t="inlineStr">
        <is>
          <t>C10</t>
        </is>
      </c>
      <c r="C63" s="13" t="inlineStr">
        <is>
          <t>Tassi Tenaci-Tassiopoli TU</t>
        </is>
      </c>
      <c r="D63" s="14" t="n"/>
      <c r="E63" s="25" t="inlineStr">
        <is>
          <t>C</t>
        </is>
      </c>
      <c r="G63" s="26">
        <f>IF($C63="","",$E63&amp;(COUNTIFS(I$14:I$93,"&gt;"&amp;I63,E$14:E$93,"="&amp;E63,C$14:C$93,"&lt;&gt;")+COUNTIFS(I$14:I$93,"="&amp;I63,H$14:H$93,"&lt;="&amp;H63,E$14:E$93,"="&amp;E63,C$14:C$93,"&lt;&gt;")))</f>
        <v/>
      </c>
      <c r="H63" s="17">
        <f>IF($C63="","",IFERROR(LEFT($C63,FIND("-",$C63)-1),$C63))</f>
        <v/>
      </c>
      <c r="I63" s="12">
        <f>TEXT(1000000000+J63,"|0000000000|")&amp;TEXT(SUM(AU63:BN63),"0000000000|")&amp;IF(SUM(DI63:EB63)=0,"0000000000|",TEXT(ROUND(SUM(CM63:DF63)/SUM(DI63:EB63),4)*100000,"0000000000|"))&amp;IF(P63=0,"0000000000|",TEXT(ROUND(O63/P63,4)*100000,"0000000000|"))</f>
        <v/>
      </c>
      <c r="J63" s="26">
        <f>L63*constPuntiVittoria+M63*constPuntiSconfitta+N63*constPuntiForfait+IF(D63="",0,D63)</f>
        <v/>
      </c>
      <c r="K63" s="12">
        <f>SUM(L63:N63)</f>
        <v/>
      </c>
      <c r="L63" s="12">
        <f>IF($H63="",0,SUMIF(Dati!$A$2:$A$761,$H63,Dati!$B$2:$B$761)+SUMIF(Dati!$H$2:$H$761,$H63,Dati!$I$2:$I$761))</f>
        <v/>
      </c>
      <c r="M63" s="12">
        <f>IF($H63="",0,SUMIF(Dati!$A$2:$A$761,$H63,Dati!$D$2:$D$761)+SUMIF(Dati!$H$2:$H$761,$H63,Dati!$K$2:$K$761))</f>
        <v/>
      </c>
      <c r="N63" s="12">
        <f>IF($H63="",0,SUMIF(Dati!$A$2:$A$761,$H63,Dati!$C$2:$C$761)+SUMIF(Dati!$H$2:$H$761,$H63,Dati!$J$2:$J$761))</f>
        <v/>
      </c>
      <c r="O63" s="12">
        <f>IF($H63="",0,SUMIF(Dati!$A$2:$A$761,$H63,Dati!$E$2:$E$761)+SUMIF(Dati!$H$2:$H$761,$H63,Dati!$L$2:$L$761))</f>
        <v/>
      </c>
      <c r="P63" s="12">
        <f>IF($H63="",0,SUMIF(Dati!$A$2:$A$761,$H63,Dati!$F$2:$F$761)+SUMIF(Dati!$H$2:$H$761,$H63,Dati!$M$2:$M$761))</f>
        <v/>
      </c>
      <c r="Q63" s="12">
        <f>IF($H63="",0,SUMIF(Dati!$A$2:$A$761,$H63,Dati!$G$2:$G$761)+SUMIF(Dati!$H$2:$H$761,$H63,Dati!$N$2:$N$761))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IF(COUNTIFS($E$14:$E$93,$E63,$J$14:$J$93,$J63,$C$14:$C$93,"&lt;&gt;")&lt;=1,"-",SUM(AU63:BN63)&amp;"-"&amp;SUM(BQ63:CJ63))</f>
        <v/>
      </c>
      <c r="V63" s="18">
        <f>IF(COUNTIFS($E$14:$E$93,$E63,$J$14:$J$93,$J63,$C$14:$C$93,"&lt;&gt;",$ED$14:$ED$93,$ED63)&lt;=1,"-",IF(SUM(DI63:EB63)=0,0,ROUND(SUM(CM63:DF63)/SUM(DI63:EB63),3)))</f>
        <v/>
      </c>
      <c r="W63" s="18">
        <f>IF(COUNTIFS($E$14:$E$93,$E63,$J$14:$J$93,$J63,$C$14:$C$93,"&lt;&gt;",$ED$14:$ED$93,$ED63,$V$14:$V$93,$V63)&lt;=1,"-",IF(P63=0,0,ROUND(O63/P63,3)))</f>
        <v/>
      </c>
      <c r="X63" s="19">
        <f>IF($C63="","",$E63&amp;"#"&amp;COUNTIFS($E$14:$E63,$E63,$C$14:$C63,"&lt;&gt;"))</f>
        <v/>
      </c>
      <c r="Y63" s="20">
        <f>IFERROR(INDEX($H$14:$H$93,MATCH($E63&amp;"#1",$X$14:$X$93,0)),"")</f>
        <v/>
      </c>
      <c r="Z63" s="20">
        <f>IFERROR(INDEX($H$14:$H$93,MATCH($E63&amp;"#2",$X$14:$X$93,0)),"")</f>
        <v/>
      </c>
      <c r="AA63" s="20">
        <f>IFERROR(INDEX($H$14:$H$93,MATCH($E63&amp;"#3",$X$14:$X$93,0)),"")</f>
        <v/>
      </c>
      <c r="AB63" s="20">
        <f>IFERROR(INDEX($H$14:$H$93,MATCH($E63&amp;"#4",$X$14:$X$93,0)),"")</f>
        <v/>
      </c>
      <c r="AC63" s="20">
        <f>IFERROR(INDEX($H$14:$H$93,MATCH($E63&amp;"#5",$X$14:$X$93,0)),"")</f>
        <v/>
      </c>
      <c r="AD63" s="20">
        <f>IFERROR(INDEX($H$14:$H$93,MATCH($E63&amp;"#6",$X$14:$X$93,0)),"")</f>
        <v/>
      </c>
      <c r="AE63" s="20">
        <f>IFERROR(INDEX($H$14:$H$93,MATCH($E63&amp;"#7",$X$14:$X$93,0)),"")</f>
        <v/>
      </c>
      <c r="AF63" s="20">
        <f>IFERROR(INDEX($H$14:$H$93,MATCH($E63&amp;"#8",$X$14:$X$93,0)),"")</f>
        <v/>
      </c>
      <c r="AG63" s="20">
        <f>IFERROR(INDEX($H$14:$H$93,MATCH($E63&amp;"#9",$X$14:$X$93,0)),"")</f>
        <v/>
      </c>
      <c r="AH63" s="20">
        <f>IFERROR(INDEX($H$14:$H$93,MATCH($E63&amp;"#10",$X$14:$X$93,0)),"")</f>
        <v/>
      </c>
      <c r="AI63" s="20">
        <f>IFERROR(INDEX($H$14:$H$93,MATCH($E63&amp;"#11",$X$14:$X$93,0)),"")</f>
        <v/>
      </c>
      <c r="AJ63" s="20">
        <f>IFERROR(INDEX($H$14:$H$93,MATCH($E63&amp;"#12",$X$14:$X$93,0)),"")</f>
        <v/>
      </c>
      <c r="AK63" s="20">
        <f>IFERROR(INDEX($H$14:$H$93,MATCH($E63&amp;"#13",$X$14:$X$93,0)),"")</f>
        <v/>
      </c>
      <c r="AL63" s="20">
        <f>IFERROR(INDEX($H$14:$H$93,MATCH($E63&amp;"#14",$X$14:$X$93,0)),"")</f>
        <v/>
      </c>
      <c r="AM63" s="20">
        <f>IFERROR(INDEX($H$14:$H$93,MATCH($E63&amp;"#15",$X$14:$X$93,0)),"")</f>
        <v/>
      </c>
      <c r="AN63" s="20">
        <f>IFERROR(INDEX($H$14:$H$93,MATCH($E63&amp;"#16",$X$14:$X$93,0)),"")</f>
        <v/>
      </c>
      <c r="AO63" s="20">
        <f>IFERROR(INDEX($H$14:$H$93,MATCH($E63&amp;"#17",$X$14:$X$93,0)),"")</f>
        <v/>
      </c>
      <c r="AP63" s="20">
        <f>IFERROR(INDEX($H$14:$H$93,MATCH($E63&amp;"#18",$X$14:$X$93,0)),"")</f>
        <v/>
      </c>
      <c r="AQ63" s="20">
        <f>IFERROR(INDEX($H$14:$H$93,MATCH($E63&amp;"#19",$X$14:$X$93,0)),"")</f>
        <v/>
      </c>
      <c r="AR63" s="20">
        <f>IFERROR(INDEX($H$14:$H$93,MATCH($E63&amp;"#20",$X$14:$X$93,0)),"")</f>
        <v/>
      </c>
      <c r="AT63" s="21">
        <f>$C63</f>
        <v/>
      </c>
      <c r="AU63" s="22">
        <f>IF(AND($H63&lt;&gt;"",$Y63&lt;&gt;"",$H63&lt;&gt;$Y63,IFERROR(VLOOKUP($H63,areaCercaPuntiClassificaSquadra,3,FALSE),-1)=IFERROR(VLOOKUP($Y63,areaCercaPuntiClassificaSquadra,3,FALSE),-2)),SUMIFS(Dati!$B$2:$B$761,Dati!$A$2:$A$761,$H63,Dati!$H$2:$H$761,$Y63)+SUMIFS(Dati!$I$2:$I$761,Dati!$H$2:$H$761,$H63,Dati!$A$2:$A$761,$Y63),"-")</f>
        <v/>
      </c>
      <c r="AV63" s="22">
        <f>IF(AND($H63&lt;&gt;"",$Z63&lt;&gt;"",$H63&lt;&gt;$Z63,IFERROR(VLOOKUP($H63,areaCercaPuntiClassificaSquadra,3,FALSE),-1)=IFERROR(VLOOKUP($Z63,areaCercaPuntiClassificaSquadra,3,FALSE),-2)),SUMIFS(Dati!$B$2:$B$761,Dati!$A$2:$A$761,$H63,Dati!$H$2:$H$761,$Z63)+SUMIFS(Dati!$I$2:$I$761,Dati!$H$2:$H$761,$H63,Dati!$A$2:$A$761,$Z63),"-")</f>
        <v/>
      </c>
      <c r="AW63" s="22">
        <f>IF(AND($H63&lt;&gt;"",$AA63&lt;&gt;"",$H63&lt;&gt;$AA63,IFERROR(VLOOKUP($H63,areaCercaPuntiClassificaSquadra,3,FALSE),-1)=IFERROR(VLOOKUP($AA63,areaCercaPuntiClassificaSquadra,3,FALSE),-2)),SUMIFS(Dati!$B$2:$B$761,Dati!$A$2:$A$761,$H63,Dati!$H$2:$H$761,$AA63)+SUMIFS(Dati!$I$2:$I$761,Dati!$H$2:$H$761,$H63,Dati!$A$2:$A$761,$AA63),"-")</f>
        <v/>
      </c>
      <c r="AX63" s="22">
        <f>IF(AND($H63&lt;&gt;"",$AB63&lt;&gt;"",$H63&lt;&gt;$AB63,IFERROR(VLOOKUP($H63,areaCercaPuntiClassificaSquadra,3,FALSE),-1)=IFERROR(VLOOKUP($AB63,areaCercaPuntiClassificaSquadra,3,FALSE),-2)),SUMIFS(Dati!$B$2:$B$761,Dati!$A$2:$A$761,$H63,Dati!$H$2:$H$761,$AB63)+SUMIFS(Dati!$I$2:$I$761,Dati!$H$2:$H$761,$H63,Dati!$A$2:$A$761,$AB63),"-")</f>
        <v/>
      </c>
      <c r="AY63" s="22">
        <f>IF(AND($H63&lt;&gt;"",$AC63&lt;&gt;"",$H63&lt;&gt;$AC63,IFERROR(VLOOKUP($H63,areaCercaPuntiClassificaSquadra,3,FALSE),-1)=IFERROR(VLOOKUP($AC63,areaCercaPuntiClassificaSquadra,3,FALSE),-2)),SUMIFS(Dati!$B$2:$B$761,Dati!$A$2:$A$761,$H63,Dati!$H$2:$H$761,$AC63)+SUMIFS(Dati!$I$2:$I$761,Dati!$H$2:$H$761,$H63,Dati!$A$2:$A$761,$AC63),"-")</f>
        <v/>
      </c>
      <c r="AZ63" s="22">
        <f>IF(AND($H63&lt;&gt;"",$AD63&lt;&gt;"",$H63&lt;&gt;$AD63,IFERROR(VLOOKUP($H63,areaCercaPuntiClassificaSquadra,3,FALSE),-1)=IFERROR(VLOOKUP($AD63,areaCercaPuntiClassificaSquadra,3,FALSE),-2)),SUMIFS(Dati!$B$2:$B$761,Dati!$A$2:$A$761,$H63,Dati!$H$2:$H$761,$AD63)+SUMIFS(Dati!$I$2:$I$761,Dati!$H$2:$H$761,$H63,Dati!$A$2:$A$761,$AD63),"-")</f>
        <v/>
      </c>
      <c r="BA63" s="22">
        <f>IF(AND($H63&lt;&gt;"",$AE63&lt;&gt;"",$H63&lt;&gt;$AE63,IFERROR(VLOOKUP($H63,areaCercaPuntiClassificaSquadra,3,FALSE),-1)=IFERROR(VLOOKUP($AE63,areaCercaPuntiClassificaSquadra,3,FALSE),-2)),SUMIFS(Dati!$B$2:$B$761,Dati!$A$2:$A$761,$H63,Dati!$H$2:$H$761,$AE63)+SUMIFS(Dati!$I$2:$I$761,Dati!$H$2:$H$761,$H63,Dati!$A$2:$A$761,$AE63),"-")</f>
        <v/>
      </c>
      <c r="BB63" s="22">
        <f>IF(AND($H63&lt;&gt;"",$AF63&lt;&gt;"",$H63&lt;&gt;$AF63,IFERROR(VLOOKUP($H63,areaCercaPuntiClassificaSquadra,3,FALSE),-1)=IFERROR(VLOOKUP($AF63,areaCercaPuntiClassificaSquadra,3,FALSE),-2)),SUMIFS(Dati!$B$2:$B$761,Dati!$A$2:$A$761,$H63,Dati!$H$2:$H$761,$AF63)+SUMIFS(Dati!$I$2:$I$761,Dati!$H$2:$H$761,$H63,Dati!$A$2:$A$761,$AF63),"-")</f>
        <v/>
      </c>
      <c r="BC63" s="22">
        <f>IF(AND($H63&lt;&gt;"",$AG63&lt;&gt;"",$H63&lt;&gt;$AG63,IFERROR(VLOOKUP($H63,areaCercaPuntiClassificaSquadra,3,FALSE),-1)=IFERROR(VLOOKUP($AG63,areaCercaPuntiClassificaSquadra,3,FALSE),-2)),SUMIFS(Dati!$B$2:$B$761,Dati!$A$2:$A$761,$H63,Dati!$H$2:$H$761,$AG63)+SUMIFS(Dati!$I$2:$I$761,Dati!$H$2:$H$761,$H63,Dati!$A$2:$A$761,$AG63),"-")</f>
        <v/>
      </c>
      <c r="BD63" s="22">
        <f>IF(AND($H63&lt;&gt;"",$AH63&lt;&gt;"",$H63&lt;&gt;$AH63,IFERROR(VLOOKUP($H63,areaCercaPuntiClassificaSquadra,3,FALSE),-1)=IFERROR(VLOOKUP($AH63,areaCercaPuntiClassificaSquadra,3,FALSE),-2)),SUMIFS(Dati!$B$2:$B$761,Dati!$A$2:$A$761,$H63,Dati!$H$2:$H$761,$AH63)+SUMIFS(Dati!$I$2:$I$761,Dati!$H$2:$H$761,$H63,Dati!$A$2:$A$761,$AH63),"-")</f>
        <v/>
      </c>
      <c r="BE63" s="22">
        <f>IF(AND($H63&lt;&gt;"",$AI63&lt;&gt;"",$H63&lt;&gt;$AI63,IFERROR(VLOOKUP($H63,areaCercaPuntiClassificaSquadra,3,FALSE),-1)=IFERROR(VLOOKUP($AI63,areaCercaPuntiClassificaSquadra,3,FALSE),-2)),SUMIFS(Dati!$B$2:$B$761,Dati!$A$2:$A$761,$H63,Dati!$H$2:$H$761,$AI63)+SUMIFS(Dati!$I$2:$I$761,Dati!$H$2:$H$761,$H63,Dati!$A$2:$A$761,$AI63),"-")</f>
        <v/>
      </c>
      <c r="BF63" s="22">
        <f>IF(AND($H63&lt;&gt;"",$AJ63&lt;&gt;"",$H63&lt;&gt;$AJ63,IFERROR(VLOOKUP($H63,areaCercaPuntiClassificaSquadra,3,FALSE),-1)=IFERROR(VLOOKUP($AJ63,areaCercaPuntiClassificaSquadra,3,FALSE),-2)),SUMIFS(Dati!$B$2:$B$761,Dati!$A$2:$A$761,$H63,Dati!$H$2:$H$761,$AJ63)+SUMIFS(Dati!$I$2:$I$761,Dati!$H$2:$H$761,$H63,Dati!$A$2:$A$761,$AJ63),"-")</f>
        <v/>
      </c>
      <c r="BG63" s="22">
        <f>IF(AND($H63&lt;&gt;"",$AK63&lt;&gt;"",$H63&lt;&gt;$AK63,IFERROR(VLOOKUP($H63,areaCercaPuntiClassificaSquadra,3,FALSE),-1)=IFERROR(VLOOKUP($AK63,areaCercaPuntiClassificaSquadra,3,FALSE),-2)),SUMIFS(Dati!$B$2:$B$761,Dati!$A$2:$A$761,$H63,Dati!$H$2:$H$761,$AK63)+SUMIFS(Dati!$I$2:$I$761,Dati!$H$2:$H$761,$H63,Dati!$A$2:$A$761,$AK63),"-")</f>
        <v/>
      </c>
      <c r="BH63" s="22">
        <f>IF(AND($H63&lt;&gt;"",$AL63&lt;&gt;"",$H63&lt;&gt;$AL63,IFERROR(VLOOKUP($H63,areaCercaPuntiClassificaSquadra,3,FALSE),-1)=IFERROR(VLOOKUP($AL63,areaCercaPuntiClassificaSquadra,3,FALSE),-2)),SUMIFS(Dati!$B$2:$B$761,Dati!$A$2:$A$761,$H63,Dati!$H$2:$H$761,$AL63)+SUMIFS(Dati!$I$2:$I$761,Dati!$H$2:$H$761,$H63,Dati!$A$2:$A$761,$AL63),"-")</f>
        <v/>
      </c>
      <c r="BI63" s="22">
        <f>IF(AND($H63&lt;&gt;"",$AM63&lt;&gt;"",$H63&lt;&gt;$AM63,IFERROR(VLOOKUP($H63,areaCercaPuntiClassificaSquadra,3,FALSE),-1)=IFERROR(VLOOKUP($AM63,areaCercaPuntiClassificaSquadra,3,FALSE),-2)),SUMIFS(Dati!$B$2:$B$761,Dati!$A$2:$A$761,$H63,Dati!$H$2:$H$761,$AM63)+SUMIFS(Dati!$I$2:$I$761,Dati!$H$2:$H$761,$H63,Dati!$A$2:$A$761,$AM63),"-")</f>
        <v/>
      </c>
      <c r="BJ63" s="22">
        <f>IF(AND($H63&lt;&gt;"",$AN63&lt;&gt;"",$H63&lt;&gt;$AN63,IFERROR(VLOOKUP($H63,areaCercaPuntiClassificaSquadra,3,FALSE),-1)=IFERROR(VLOOKUP($AN63,areaCercaPuntiClassificaSquadra,3,FALSE),-2)),SUMIFS(Dati!$B$2:$B$761,Dati!$A$2:$A$761,$H63,Dati!$H$2:$H$761,$AN63)+SUMIFS(Dati!$I$2:$I$761,Dati!$H$2:$H$761,$H63,Dati!$A$2:$A$761,$AN63),"-")</f>
        <v/>
      </c>
      <c r="BK63" s="22">
        <f>IF(AND($H63&lt;&gt;"",$AO63&lt;&gt;"",$H63&lt;&gt;$AO63,IFERROR(VLOOKUP($H63,areaCercaPuntiClassificaSquadra,3,FALSE),-1)=IFERROR(VLOOKUP($AO63,areaCercaPuntiClassificaSquadra,3,FALSE),-2)),SUMIFS(Dati!$B$2:$B$761,Dati!$A$2:$A$761,$H63,Dati!$H$2:$H$761,$AO63)+SUMIFS(Dati!$I$2:$I$761,Dati!$H$2:$H$761,$H63,Dati!$A$2:$A$761,$AO63),"-")</f>
        <v/>
      </c>
      <c r="BL63" s="22">
        <f>IF(AND($H63&lt;&gt;"",$AP63&lt;&gt;"",$H63&lt;&gt;$AP63,IFERROR(VLOOKUP($H63,areaCercaPuntiClassificaSquadra,3,FALSE),-1)=IFERROR(VLOOKUP($AP63,areaCercaPuntiClassificaSquadra,3,FALSE),-2)),SUMIFS(Dati!$B$2:$B$761,Dati!$A$2:$A$761,$H63,Dati!$H$2:$H$761,$AP63)+SUMIFS(Dati!$I$2:$I$761,Dati!$H$2:$H$761,$H63,Dati!$A$2:$A$761,$AP63),"-")</f>
        <v/>
      </c>
      <c r="BM63" s="22">
        <f>IF(AND($H63&lt;&gt;"",$AQ63&lt;&gt;"",$H63&lt;&gt;$AQ63,IFERROR(VLOOKUP($H63,areaCercaPuntiClassificaSquadra,3,FALSE),-1)=IFERROR(VLOOKUP($AQ63,areaCercaPuntiClassificaSquadra,3,FALSE),-2)),SUMIFS(Dati!$B$2:$B$761,Dati!$A$2:$A$761,$H63,Dati!$H$2:$H$761,$AQ63)+SUMIFS(Dati!$I$2:$I$761,Dati!$H$2:$H$761,$H63,Dati!$A$2:$A$761,$AQ63),"-")</f>
        <v/>
      </c>
      <c r="BN63" s="22">
        <f>IF(AND($H63&lt;&gt;"",$AR63&lt;&gt;"",$H63&lt;&gt;$AR63,IFERROR(VLOOKUP($H63,areaCercaPuntiClassificaSquadra,3,FALSE),-1)=IFERROR(VLOOKUP($AR63,areaCercaPuntiClassificaSquadra,3,FALSE),-2)),SUMIFS(Dati!$B$2:$B$761,Dati!$A$2:$A$761,$H63,Dati!$H$2:$H$761,$AR63)+SUMIFS(Dati!$I$2:$I$761,Dati!$H$2:$H$761,$H63,Dati!$A$2:$A$761,$AR63),"-")</f>
        <v/>
      </c>
      <c r="BP63" s="21">
        <f>$C63</f>
        <v/>
      </c>
      <c r="BQ63" s="22">
        <f>IF(AND($H63&lt;&gt;"",$Y63&lt;&gt;"",$H63&lt;&gt;$Y63,IFERROR(VLOOKUP($H63,areaCercaPuntiClassificaSquadra,3,FALSE),-1)=IFERROR(VLOOKUP($Y63,areaCercaPuntiClassificaSquadra,3,FALSE),-2)),SUMIFS(Dati!$D$2:$D$761,Dati!$A$2:$A$761,$H63,Dati!$H$2:$H$761,$Y63)+SUMIFS(Dati!$K$2:$K$761,Dati!$H$2:$H$761,$H63,Dati!$A$2:$A$761,$Y63)+SUMIFS(Dati!$C$2:$C$761,Dati!$A$2:$A$761,$H63,Dati!$H$2:$H$761,$Y63)+SUMIFS(Dati!$J$2:$J$761,Dati!$H$2:$H$761,$H63,Dati!$A$2:$A$761,$Y63),"-")</f>
        <v/>
      </c>
      <c r="BR63" s="22">
        <f>IF(AND($H63&lt;&gt;"",$Z63&lt;&gt;"",$H63&lt;&gt;$Z63,IFERROR(VLOOKUP($H63,areaCercaPuntiClassificaSquadra,3,FALSE),-1)=IFERROR(VLOOKUP($Z63,areaCercaPuntiClassificaSquadra,3,FALSE),-2)),SUMIFS(Dati!$D$2:$D$761,Dati!$A$2:$A$761,$H63,Dati!$H$2:$H$761,$Z63)+SUMIFS(Dati!$K$2:$K$761,Dati!$H$2:$H$761,$H63,Dati!$A$2:$A$761,$Z63)+SUMIFS(Dati!$C$2:$C$761,Dati!$A$2:$A$761,$H63,Dati!$H$2:$H$761,$Z63)+SUMIFS(Dati!$J$2:$J$761,Dati!$H$2:$H$761,$H63,Dati!$A$2:$A$761,$Z63),"-")</f>
        <v/>
      </c>
      <c r="BS63" s="22">
        <f>IF(AND($H63&lt;&gt;"",$AA63&lt;&gt;"",$H63&lt;&gt;$AA63,IFERROR(VLOOKUP($H63,areaCercaPuntiClassificaSquadra,3,FALSE),-1)=IFERROR(VLOOKUP($AA63,areaCercaPuntiClassificaSquadra,3,FALSE),-2)),SUMIFS(Dati!$D$2:$D$761,Dati!$A$2:$A$761,$H63,Dati!$H$2:$H$761,$AA63)+SUMIFS(Dati!$K$2:$K$761,Dati!$H$2:$H$761,$H63,Dati!$A$2:$A$761,$AA63)+SUMIFS(Dati!$C$2:$C$761,Dati!$A$2:$A$761,$H63,Dati!$H$2:$H$761,$AA63)+SUMIFS(Dati!$J$2:$J$761,Dati!$H$2:$H$761,$H63,Dati!$A$2:$A$761,$AA63),"-")</f>
        <v/>
      </c>
      <c r="BT63" s="22">
        <f>IF(AND($H63&lt;&gt;"",$AB63&lt;&gt;"",$H63&lt;&gt;$AB63,IFERROR(VLOOKUP($H63,areaCercaPuntiClassificaSquadra,3,FALSE),-1)=IFERROR(VLOOKUP($AB63,areaCercaPuntiClassificaSquadra,3,FALSE),-2)),SUMIFS(Dati!$D$2:$D$761,Dati!$A$2:$A$761,$H63,Dati!$H$2:$H$761,$AB63)+SUMIFS(Dati!$K$2:$K$761,Dati!$H$2:$H$761,$H63,Dati!$A$2:$A$761,$AB63)+SUMIFS(Dati!$C$2:$C$761,Dati!$A$2:$A$761,$H63,Dati!$H$2:$H$761,$AB63)+SUMIFS(Dati!$J$2:$J$761,Dati!$H$2:$H$761,$H63,Dati!$A$2:$A$761,$AB63),"-")</f>
        <v/>
      </c>
      <c r="BU63" s="22">
        <f>IF(AND($H63&lt;&gt;"",$AC63&lt;&gt;"",$H63&lt;&gt;$AC63,IFERROR(VLOOKUP($H63,areaCercaPuntiClassificaSquadra,3,FALSE),-1)=IFERROR(VLOOKUP($AC63,areaCercaPuntiClassificaSquadra,3,FALSE),-2)),SUMIFS(Dati!$D$2:$D$761,Dati!$A$2:$A$761,$H63,Dati!$H$2:$H$761,$AC63)+SUMIFS(Dati!$K$2:$K$761,Dati!$H$2:$H$761,$H63,Dati!$A$2:$A$761,$AC63)+SUMIFS(Dati!$C$2:$C$761,Dati!$A$2:$A$761,$H63,Dati!$H$2:$H$761,$AC63)+SUMIFS(Dati!$J$2:$J$761,Dati!$H$2:$H$761,$H63,Dati!$A$2:$A$761,$AC63),"-")</f>
        <v/>
      </c>
      <c r="BV63" s="22">
        <f>IF(AND($H63&lt;&gt;"",$AD63&lt;&gt;"",$H63&lt;&gt;$AD63,IFERROR(VLOOKUP($H63,areaCercaPuntiClassificaSquadra,3,FALSE),-1)=IFERROR(VLOOKUP($AD63,areaCercaPuntiClassificaSquadra,3,FALSE),-2)),SUMIFS(Dati!$D$2:$D$761,Dati!$A$2:$A$761,$H63,Dati!$H$2:$H$761,$AD63)+SUMIFS(Dati!$K$2:$K$761,Dati!$H$2:$H$761,$H63,Dati!$A$2:$A$761,$AD63)+SUMIFS(Dati!$C$2:$C$761,Dati!$A$2:$A$761,$H63,Dati!$H$2:$H$761,$AD63)+SUMIFS(Dati!$J$2:$J$761,Dati!$H$2:$H$761,$H63,Dati!$A$2:$A$761,$AD63),"-")</f>
        <v/>
      </c>
      <c r="BW63" s="22">
        <f>IF(AND($H63&lt;&gt;"",$AE63&lt;&gt;"",$H63&lt;&gt;$AE63,IFERROR(VLOOKUP($H63,areaCercaPuntiClassificaSquadra,3,FALSE),-1)=IFERROR(VLOOKUP($AE63,areaCercaPuntiClassificaSquadra,3,FALSE),-2)),SUMIFS(Dati!$D$2:$D$761,Dati!$A$2:$A$761,$H63,Dati!$H$2:$H$761,$AE63)+SUMIFS(Dati!$K$2:$K$761,Dati!$H$2:$H$761,$H63,Dati!$A$2:$A$761,$AE63)+SUMIFS(Dati!$C$2:$C$761,Dati!$A$2:$A$761,$H63,Dati!$H$2:$H$761,$AE63)+SUMIFS(Dati!$J$2:$J$761,Dati!$H$2:$H$761,$H63,Dati!$A$2:$A$761,$AE63),"-")</f>
        <v/>
      </c>
      <c r="BX63" s="22">
        <f>IF(AND($H63&lt;&gt;"",$AF63&lt;&gt;"",$H63&lt;&gt;$AF63,IFERROR(VLOOKUP($H63,areaCercaPuntiClassificaSquadra,3,FALSE),-1)=IFERROR(VLOOKUP($AF63,areaCercaPuntiClassificaSquadra,3,FALSE),-2)),SUMIFS(Dati!$D$2:$D$761,Dati!$A$2:$A$761,$H63,Dati!$H$2:$H$761,$AF63)+SUMIFS(Dati!$K$2:$K$761,Dati!$H$2:$H$761,$H63,Dati!$A$2:$A$761,$AF63)+SUMIFS(Dati!$C$2:$C$761,Dati!$A$2:$A$761,$H63,Dati!$H$2:$H$761,$AF63)+SUMIFS(Dati!$J$2:$J$761,Dati!$H$2:$H$761,$H63,Dati!$A$2:$A$761,$AF63),"-")</f>
        <v/>
      </c>
      <c r="BY63" s="22">
        <f>IF(AND($H63&lt;&gt;"",$AG63&lt;&gt;"",$H63&lt;&gt;$AG63,IFERROR(VLOOKUP($H63,areaCercaPuntiClassificaSquadra,3,FALSE),-1)=IFERROR(VLOOKUP($AG63,areaCercaPuntiClassificaSquadra,3,FALSE),-2)),SUMIFS(Dati!$D$2:$D$761,Dati!$A$2:$A$761,$H63,Dati!$H$2:$H$761,$AG63)+SUMIFS(Dati!$K$2:$K$761,Dati!$H$2:$H$761,$H63,Dati!$A$2:$A$761,$AG63)+SUMIFS(Dati!$C$2:$C$761,Dati!$A$2:$A$761,$H63,Dati!$H$2:$H$761,$AG63)+SUMIFS(Dati!$J$2:$J$761,Dati!$H$2:$H$761,$H63,Dati!$A$2:$A$761,$AG63),"-")</f>
        <v/>
      </c>
      <c r="BZ63" s="22">
        <f>IF(AND($H63&lt;&gt;"",$AH63&lt;&gt;"",$H63&lt;&gt;$AH63,IFERROR(VLOOKUP($H63,areaCercaPuntiClassificaSquadra,3,FALSE),-1)=IFERROR(VLOOKUP($AH63,areaCercaPuntiClassificaSquadra,3,FALSE),-2)),SUMIFS(Dati!$D$2:$D$761,Dati!$A$2:$A$761,$H63,Dati!$H$2:$H$761,$AH63)+SUMIFS(Dati!$K$2:$K$761,Dati!$H$2:$H$761,$H63,Dati!$A$2:$A$761,$AH63)+SUMIFS(Dati!$C$2:$C$761,Dati!$A$2:$A$761,$H63,Dati!$H$2:$H$761,$AH63)+SUMIFS(Dati!$J$2:$J$761,Dati!$H$2:$H$761,$H63,Dati!$A$2:$A$761,$AH63),"-")</f>
        <v/>
      </c>
      <c r="CA63" s="22">
        <f>IF(AND($H63&lt;&gt;"",$AI63&lt;&gt;"",$H63&lt;&gt;$AI63,IFERROR(VLOOKUP($H63,areaCercaPuntiClassificaSquadra,3,FALSE),-1)=IFERROR(VLOOKUP($AI63,areaCercaPuntiClassificaSquadra,3,FALSE),-2)),SUMIFS(Dati!$D$2:$D$761,Dati!$A$2:$A$761,$H63,Dati!$H$2:$H$761,$AI63)+SUMIFS(Dati!$K$2:$K$761,Dati!$H$2:$H$761,$H63,Dati!$A$2:$A$761,$AI63)+SUMIFS(Dati!$C$2:$C$761,Dati!$A$2:$A$761,$H63,Dati!$H$2:$H$761,$AI63)+SUMIFS(Dati!$J$2:$J$761,Dati!$H$2:$H$761,$H63,Dati!$A$2:$A$761,$AI63),"-")</f>
        <v/>
      </c>
      <c r="CB63" s="22">
        <f>IF(AND($H63&lt;&gt;"",$AJ63&lt;&gt;"",$H63&lt;&gt;$AJ63,IFERROR(VLOOKUP($H63,areaCercaPuntiClassificaSquadra,3,FALSE),-1)=IFERROR(VLOOKUP($AJ63,areaCercaPuntiClassificaSquadra,3,FALSE),-2)),SUMIFS(Dati!$D$2:$D$761,Dati!$A$2:$A$761,$H63,Dati!$H$2:$H$761,$AJ63)+SUMIFS(Dati!$K$2:$K$761,Dati!$H$2:$H$761,$H63,Dati!$A$2:$A$761,$AJ63)+SUMIFS(Dati!$C$2:$C$761,Dati!$A$2:$A$761,$H63,Dati!$H$2:$H$761,$AJ63)+SUMIFS(Dati!$J$2:$J$761,Dati!$H$2:$H$761,$H63,Dati!$A$2:$A$761,$AJ63),"-")</f>
        <v/>
      </c>
      <c r="CC63" s="22">
        <f>IF(AND($H63&lt;&gt;"",$AK63&lt;&gt;"",$H63&lt;&gt;$AK63,IFERROR(VLOOKUP($H63,areaCercaPuntiClassificaSquadra,3,FALSE),-1)=IFERROR(VLOOKUP($AK63,areaCercaPuntiClassificaSquadra,3,FALSE),-2)),SUMIFS(Dati!$D$2:$D$761,Dati!$A$2:$A$761,$H63,Dati!$H$2:$H$761,$AK63)+SUMIFS(Dati!$K$2:$K$761,Dati!$H$2:$H$761,$H63,Dati!$A$2:$A$761,$AK63)+SUMIFS(Dati!$C$2:$C$761,Dati!$A$2:$A$761,$H63,Dati!$H$2:$H$761,$AK63)+SUMIFS(Dati!$J$2:$J$761,Dati!$H$2:$H$761,$H63,Dati!$A$2:$A$761,$AK63),"-")</f>
        <v/>
      </c>
      <c r="CD63" s="22">
        <f>IF(AND($H63&lt;&gt;"",$AL63&lt;&gt;"",$H63&lt;&gt;$AL63,IFERROR(VLOOKUP($H63,areaCercaPuntiClassificaSquadra,3,FALSE),-1)=IFERROR(VLOOKUP($AL63,areaCercaPuntiClassificaSquadra,3,FALSE),-2)),SUMIFS(Dati!$D$2:$D$761,Dati!$A$2:$A$761,$H63,Dati!$H$2:$H$761,$AL63)+SUMIFS(Dati!$K$2:$K$761,Dati!$H$2:$H$761,$H63,Dati!$A$2:$A$761,$AL63)+SUMIFS(Dati!$C$2:$C$761,Dati!$A$2:$A$761,$H63,Dati!$H$2:$H$761,$AL63)+SUMIFS(Dati!$J$2:$J$761,Dati!$H$2:$H$761,$H63,Dati!$A$2:$A$761,$AL63),"-")</f>
        <v/>
      </c>
      <c r="CE63" s="22">
        <f>IF(AND($H63&lt;&gt;"",$AM63&lt;&gt;"",$H63&lt;&gt;$AM63,IFERROR(VLOOKUP($H63,areaCercaPuntiClassificaSquadra,3,FALSE),-1)=IFERROR(VLOOKUP($AM63,areaCercaPuntiClassificaSquadra,3,FALSE),-2)),SUMIFS(Dati!$D$2:$D$761,Dati!$A$2:$A$761,$H63,Dati!$H$2:$H$761,$AM63)+SUMIFS(Dati!$K$2:$K$761,Dati!$H$2:$H$761,$H63,Dati!$A$2:$A$761,$AM63)+SUMIFS(Dati!$C$2:$C$761,Dati!$A$2:$A$761,$H63,Dati!$H$2:$H$761,$AM63)+SUMIFS(Dati!$J$2:$J$761,Dati!$H$2:$H$761,$H63,Dati!$A$2:$A$761,$AM63),"-")</f>
        <v/>
      </c>
      <c r="CF63" s="22">
        <f>IF(AND($H63&lt;&gt;"",$AN63&lt;&gt;"",$H63&lt;&gt;$AN63,IFERROR(VLOOKUP($H63,areaCercaPuntiClassificaSquadra,3,FALSE),-1)=IFERROR(VLOOKUP($AN63,areaCercaPuntiClassificaSquadra,3,FALSE),-2)),SUMIFS(Dati!$D$2:$D$761,Dati!$A$2:$A$761,$H63,Dati!$H$2:$H$761,$AN63)+SUMIFS(Dati!$K$2:$K$761,Dati!$H$2:$H$761,$H63,Dati!$A$2:$A$761,$AN63)+SUMIFS(Dati!$C$2:$C$761,Dati!$A$2:$A$761,$H63,Dati!$H$2:$H$761,$AN63)+SUMIFS(Dati!$J$2:$J$761,Dati!$H$2:$H$761,$H63,Dati!$A$2:$A$761,$AN63),"-")</f>
        <v/>
      </c>
      <c r="CG63" s="22">
        <f>IF(AND($H63&lt;&gt;"",$AO63&lt;&gt;"",$H63&lt;&gt;$AO63,IFERROR(VLOOKUP($H63,areaCercaPuntiClassificaSquadra,3,FALSE),-1)=IFERROR(VLOOKUP($AO63,areaCercaPuntiClassificaSquadra,3,FALSE),-2)),SUMIFS(Dati!$D$2:$D$761,Dati!$A$2:$A$761,$H63,Dati!$H$2:$H$761,$AO63)+SUMIFS(Dati!$K$2:$K$761,Dati!$H$2:$H$761,$H63,Dati!$A$2:$A$761,$AO63)+SUMIFS(Dati!$C$2:$C$761,Dati!$A$2:$A$761,$H63,Dati!$H$2:$H$761,$AO63)+SUMIFS(Dati!$J$2:$J$761,Dati!$H$2:$H$761,$H63,Dati!$A$2:$A$761,$AO63),"-")</f>
        <v/>
      </c>
      <c r="CH63" s="22">
        <f>IF(AND($H63&lt;&gt;"",$AP63&lt;&gt;"",$H63&lt;&gt;$AP63,IFERROR(VLOOKUP($H63,areaCercaPuntiClassificaSquadra,3,FALSE),-1)=IFERROR(VLOOKUP($AP63,areaCercaPuntiClassificaSquadra,3,FALSE),-2)),SUMIFS(Dati!$D$2:$D$761,Dati!$A$2:$A$761,$H63,Dati!$H$2:$H$761,$AP63)+SUMIFS(Dati!$K$2:$K$761,Dati!$H$2:$H$761,$H63,Dati!$A$2:$A$761,$AP63)+SUMIFS(Dati!$C$2:$C$761,Dati!$A$2:$A$761,$H63,Dati!$H$2:$H$761,$AP63)+SUMIFS(Dati!$J$2:$J$761,Dati!$H$2:$H$761,$H63,Dati!$A$2:$A$761,$AP63),"-")</f>
        <v/>
      </c>
      <c r="CI63" s="22">
        <f>IF(AND($H63&lt;&gt;"",$AQ63&lt;&gt;"",$H63&lt;&gt;$AQ63,IFERROR(VLOOKUP($H63,areaCercaPuntiClassificaSquadra,3,FALSE),-1)=IFERROR(VLOOKUP($AQ63,areaCercaPuntiClassificaSquadra,3,FALSE),-2)),SUMIFS(Dati!$D$2:$D$761,Dati!$A$2:$A$761,$H63,Dati!$H$2:$H$761,$AQ63)+SUMIFS(Dati!$K$2:$K$761,Dati!$H$2:$H$761,$H63,Dati!$A$2:$A$761,$AQ63)+SUMIFS(Dati!$C$2:$C$761,Dati!$A$2:$A$761,$H63,Dati!$H$2:$H$761,$AQ63)+SUMIFS(Dati!$J$2:$J$761,Dati!$H$2:$H$761,$H63,Dati!$A$2:$A$761,$AQ63),"-")</f>
        <v/>
      </c>
      <c r="CJ63" s="22">
        <f>IF(AND($H63&lt;&gt;"",$AR63&lt;&gt;"",$H63&lt;&gt;$AR63,IFERROR(VLOOKUP($H63,areaCercaPuntiClassificaSquadra,3,FALSE),-1)=IFERROR(VLOOKUP($AR63,areaCercaPuntiClassificaSquadra,3,FALSE),-2)),SUMIFS(Dati!$D$2:$D$761,Dati!$A$2:$A$761,$H63,Dati!$H$2:$H$761,$AR63)+SUMIFS(Dati!$K$2:$K$761,Dati!$H$2:$H$761,$H63,Dati!$A$2:$A$761,$AR63)+SUMIFS(Dati!$C$2:$C$761,Dati!$A$2:$A$761,$H63,Dati!$H$2:$H$761,$AR63)+SUMIFS(Dati!$J$2:$J$761,Dati!$H$2:$H$761,$H63,Dati!$A$2:$A$761,$AR63),"-")</f>
        <v/>
      </c>
      <c r="CL63" s="21">
        <f>$C63</f>
        <v/>
      </c>
      <c r="CM63" s="22">
        <f>IF(AND($H63&lt;&gt;"",$Y63&lt;&gt;"",$H63&lt;&gt;$Y63,IFERROR(VLOOKUP($H63,areaCercaPuntiClassificaSquadra,3,FALSE),-1)=IFERROR(VLOOKUP($Y63,areaCercaPuntiClassificaSquadra,3,FALSE),-2)),SUMIFS(Dati!$E$2:$E$761,Dati!$A$2:$A$761,$H63,Dati!$H$2:$H$761,$Y63)+SUMIFS(Dati!$L$2:$L$761,Dati!$H$2:$H$761,$H63,Dati!$A$2:$A$761,$Y63),"-")</f>
        <v/>
      </c>
      <c r="CN63" s="22">
        <f>IF(AND($H63&lt;&gt;"",$Z63&lt;&gt;"",$H63&lt;&gt;$Z63,IFERROR(VLOOKUP($H63,areaCercaPuntiClassificaSquadra,3,FALSE),-1)=IFERROR(VLOOKUP($Z63,areaCercaPuntiClassificaSquadra,3,FALSE),-2)),SUMIFS(Dati!$E$2:$E$761,Dati!$A$2:$A$761,$H63,Dati!$H$2:$H$761,$Z63)+SUMIFS(Dati!$L$2:$L$761,Dati!$H$2:$H$761,$H63,Dati!$A$2:$A$761,$Z63),"-")</f>
        <v/>
      </c>
      <c r="CO63" s="22">
        <f>IF(AND($H63&lt;&gt;"",$AA63&lt;&gt;"",$H63&lt;&gt;$AA63,IFERROR(VLOOKUP($H63,areaCercaPuntiClassificaSquadra,3,FALSE),-1)=IFERROR(VLOOKUP($AA63,areaCercaPuntiClassificaSquadra,3,FALSE),-2)),SUMIFS(Dati!$E$2:$E$761,Dati!$A$2:$A$761,$H63,Dati!$H$2:$H$761,$AA63)+SUMIFS(Dati!$L$2:$L$761,Dati!$H$2:$H$761,$H63,Dati!$A$2:$A$761,$AA63),"-")</f>
        <v/>
      </c>
      <c r="CP63" s="22">
        <f>IF(AND($H63&lt;&gt;"",$AB63&lt;&gt;"",$H63&lt;&gt;$AB63,IFERROR(VLOOKUP($H63,areaCercaPuntiClassificaSquadra,3,FALSE),-1)=IFERROR(VLOOKUP($AB63,areaCercaPuntiClassificaSquadra,3,FALSE),-2)),SUMIFS(Dati!$E$2:$E$761,Dati!$A$2:$A$761,$H63,Dati!$H$2:$H$761,$AB63)+SUMIFS(Dati!$L$2:$L$761,Dati!$H$2:$H$761,$H63,Dati!$A$2:$A$761,$AB63),"-")</f>
        <v/>
      </c>
      <c r="CQ63" s="22">
        <f>IF(AND($H63&lt;&gt;"",$AC63&lt;&gt;"",$H63&lt;&gt;$AC63,IFERROR(VLOOKUP($H63,areaCercaPuntiClassificaSquadra,3,FALSE),-1)=IFERROR(VLOOKUP($AC63,areaCercaPuntiClassificaSquadra,3,FALSE),-2)),SUMIFS(Dati!$E$2:$E$761,Dati!$A$2:$A$761,$H63,Dati!$H$2:$H$761,$AC63)+SUMIFS(Dati!$L$2:$L$761,Dati!$H$2:$H$761,$H63,Dati!$A$2:$A$761,$AC63),"-")</f>
        <v/>
      </c>
      <c r="CR63" s="22">
        <f>IF(AND($H63&lt;&gt;"",$AD63&lt;&gt;"",$H63&lt;&gt;$AD63,IFERROR(VLOOKUP($H63,areaCercaPuntiClassificaSquadra,3,FALSE),-1)=IFERROR(VLOOKUP($AD63,areaCercaPuntiClassificaSquadra,3,FALSE),-2)),SUMIFS(Dati!$E$2:$E$761,Dati!$A$2:$A$761,$H63,Dati!$H$2:$H$761,$AD63)+SUMIFS(Dati!$L$2:$L$761,Dati!$H$2:$H$761,$H63,Dati!$A$2:$A$761,$AD63),"-")</f>
        <v/>
      </c>
      <c r="CS63" s="22">
        <f>IF(AND($H63&lt;&gt;"",$AE63&lt;&gt;"",$H63&lt;&gt;$AE63,IFERROR(VLOOKUP($H63,areaCercaPuntiClassificaSquadra,3,FALSE),-1)=IFERROR(VLOOKUP($AE63,areaCercaPuntiClassificaSquadra,3,FALSE),-2)),SUMIFS(Dati!$E$2:$E$761,Dati!$A$2:$A$761,$H63,Dati!$H$2:$H$761,$AE63)+SUMIFS(Dati!$L$2:$L$761,Dati!$H$2:$H$761,$H63,Dati!$A$2:$A$761,$AE63),"-")</f>
        <v/>
      </c>
      <c r="CT63" s="22">
        <f>IF(AND($H63&lt;&gt;"",$AF63&lt;&gt;"",$H63&lt;&gt;$AF63,IFERROR(VLOOKUP($H63,areaCercaPuntiClassificaSquadra,3,FALSE),-1)=IFERROR(VLOOKUP($AF63,areaCercaPuntiClassificaSquadra,3,FALSE),-2)),SUMIFS(Dati!$E$2:$E$761,Dati!$A$2:$A$761,$H63,Dati!$H$2:$H$761,$AF63)+SUMIFS(Dati!$L$2:$L$761,Dati!$H$2:$H$761,$H63,Dati!$A$2:$A$761,$AF63),"-")</f>
        <v/>
      </c>
      <c r="CU63" s="22">
        <f>IF(AND($H63&lt;&gt;"",$AG63&lt;&gt;"",$H63&lt;&gt;$AG63,IFERROR(VLOOKUP($H63,areaCercaPuntiClassificaSquadra,3,FALSE),-1)=IFERROR(VLOOKUP($AG63,areaCercaPuntiClassificaSquadra,3,FALSE),-2)),SUMIFS(Dati!$E$2:$E$761,Dati!$A$2:$A$761,$H63,Dati!$H$2:$H$761,$AG63)+SUMIFS(Dati!$L$2:$L$761,Dati!$H$2:$H$761,$H63,Dati!$A$2:$A$761,$AG63),"-")</f>
        <v/>
      </c>
      <c r="CV63" s="22">
        <f>IF(AND($H63&lt;&gt;"",$AH63&lt;&gt;"",$H63&lt;&gt;$AH63,IFERROR(VLOOKUP($H63,areaCercaPuntiClassificaSquadra,3,FALSE),-1)=IFERROR(VLOOKUP($AH63,areaCercaPuntiClassificaSquadra,3,FALSE),-2)),SUMIFS(Dati!$E$2:$E$761,Dati!$A$2:$A$761,$H63,Dati!$H$2:$H$761,$AH63)+SUMIFS(Dati!$L$2:$L$761,Dati!$H$2:$H$761,$H63,Dati!$A$2:$A$761,$AH63),"-")</f>
        <v/>
      </c>
      <c r="CW63" s="22">
        <f>IF(AND($H63&lt;&gt;"",$AI63&lt;&gt;"",$H63&lt;&gt;$AI63,IFERROR(VLOOKUP($H63,areaCercaPuntiClassificaSquadra,3,FALSE),-1)=IFERROR(VLOOKUP($AI63,areaCercaPuntiClassificaSquadra,3,FALSE),-2)),SUMIFS(Dati!$E$2:$E$761,Dati!$A$2:$A$761,$H63,Dati!$H$2:$H$761,$AI63)+SUMIFS(Dati!$L$2:$L$761,Dati!$H$2:$H$761,$H63,Dati!$A$2:$A$761,$AI63),"-")</f>
        <v/>
      </c>
      <c r="CX63" s="22">
        <f>IF(AND($H63&lt;&gt;"",$AJ63&lt;&gt;"",$H63&lt;&gt;$AJ63,IFERROR(VLOOKUP($H63,areaCercaPuntiClassificaSquadra,3,FALSE),-1)=IFERROR(VLOOKUP($AJ63,areaCercaPuntiClassificaSquadra,3,FALSE),-2)),SUMIFS(Dati!$E$2:$E$761,Dati!$A$2:$A$761,$H63,Dati!$H$2:$H$761,$AJ63)+SUMIFS(Dati!$L$2:$L$761,Dati!$H$2:$H$761,$H63,Dati!$A$2:$A$761,$AJ63),"-")</f>
        <v/>
      </c>
      <c r="CY63" s="22">
        <f>IF(AND($H63&lt;&gt;"",$AK63&lt;&gt;"",$H63&lt;&gt;$AK63,IFERROR(VLOOKUP($H63,areaCercaPuntiClassificaSquadra,3,FALSE),-1)=IFERROR(VLOOKUP($AK63,areaCercaPuntiClassificaSquadra,3,FALSE),-2)),SUMIFS(Dati!$E$2:$E$761,Dati!$A$2:$A$761,$H63,Dati!$H$2:$H$761,$AK63)+SUMIFS(Dati!$L$2:$L$761,Dati!$H$2:$H$761,$H63,Dati!$A$2:$A$761,$AK63),"-")</f>
        <v/>
      </c>
      <c r="CZ63" s="22">
        <f>IF(AND($H63&lt;&gt;"",$AL63&lt;&gt;"",$H63&lt;&gt;$AL63,IFERROR(VLOOKUP($H63,areaCercaPuntiClassificaSquadra,3,FALSE),-1)=IFERROR(VLOOKUP($AL63,areaCercaPuntiClassificaSquadra,3,FALSE),-2)),SUMIFS(Dati!$E$2:$E$761,Dati!$A$2:$A$761,$H63,Dati!$H$2:$H$761,$AL63)+SUMIFS(Dati!$L$2:$L$761,Dati!$H$2:$H$761,$H63,Dati!$A$2:$A$761,$AL63),"-")</f>
        <v/>
      </c>
      <c r="DA63" s="22">
        <f>IF(AND($H63&lt;&gt;"",$AM63&lt;&gt;"",$H63&lt;&gt;$AM63,IFERROR(VLOOKUP($H63,areaCercaPuntiClassificaSquadra,3,FALSE),-1)=IFERROR(VLOOKUP($AM63,areaCercaPuntiClassificaSquadra,3,FALSE),-2)),SUMIFS(Dati!$E$2:$E$761,Dati!$A$2:$A$761,$H63,Dati!$H$2:$H$761,$AM63)+SUMIFS(Dati!$L$2:$L$761,Dati!$H$2:$H$761,$H63,Dati!$A$2:$A$761,$AM63),"-")</f>
        <v/>
      </c>
      <c r="DB63" s="22">
        <f>IF(AND($H63&lt;&gt;"",$AN63&lt;&gt;"",$H63&lt;&gt;$AN63,IFERROR(VLOOKUP($H63,areaCercaPuntiClassificaSquadra,3,FALSE),-1)=IFERROR(VLOOKUP($AN63,areaCercaPuntiClassificaSquadra,3,FALSE),-2)),SUMIFS(Dati!$E$2:$E$761,Dati!$A$2:$A$761,$H63,Dati!$H$2:$H$761,$AN63)+SUMIFS(Dati!$L$2:$L$761,Dati!$H$2:$H$761,$H63,Dati!$A$2:$A$761,$AN63),"-")</f>
        <v/>
      </c>
      <c r="DC63" s="22">
        <f>IF(AND($H63&lt;&gt;"",$AO63&lt;&gt;"",$H63&lt;&gt;$AO63,IFERROR(VLOOKUP($H63,areaCercaPuntiClassificaSquadra,3,FALSE),-1)=IFERROR(VLOOKUP($AO63,areaCercaPuntiClassificaSquadra,3,FALSE),-2)),SUMIFS(Dati!$E$2:$E$761,Dati!$A$2:$A$761,$H63,Dati!$H$2:$H$761,$AO63)+SUMIFS(Dati!$L$2:$L$761,Dati!$H$2:$H$761,$H63,Dati!$A$2:$A$761,$AO63),"-")</f>
        <v/>
      </c>
      <c r="DD63" s="22">
        <f>IF(AND($H63&lt;&gt;"",$AP63&lt;&gt;"",$H63&lt;&gt;$AP63,IFERROR(VLOOKUP($H63,areaCercaPuntiClassificaSquadra,3,FALSE),-1)=IFERROR(VLOOKUP($AP63,areaCercaPuntiClassificaSquadra,3,FALSE),-2)),SUMIFS(Dati!$E$2:$E$761,Dati!$A$2:$A$761,$H63,Dati!$H$2:$H$761,$AP63)+SUMIFS(Dati!$L$2:$L$761,Dati!$H$2:$H$761,$H63,Dati!$A$2:$A$761,$AP63),"-")</f>
        <v/>
      </c>
      <c r="DE63" s="22">
        <f>IF(AND($H63&lt;&gt;"",$AQ63&lt;&gt;"",$H63&lt;&gt;$AQ63,IFERROR(VLOOKUP($H63,areaCercaPuntiClassificaSquadra,3,FALSE),-1)=IFERROR(VLOOKUP($AQ63,areaCercaPuntiClassificaSquadra,3,FALSE),-2)),SUMIFS(Dati!$E$2:$E$761,Dati!$A$2:$A$761,$H63,Dati!$H$2:$H$761,$AQ63)+SUMIFS(Dati!$L$2:$L$761,Dati!$H$2:$H$761,$H63,Dati!$A$2:$A$761,$AQ63),"-")</f>
        <v/>
      </c>
      <c r="DF63" s="22">
        <f>IF(AND($H63&lt;&gt;"",$AR63&lt;&gt;"",$H63&lt;&gt;$AR63,IFERROR(VLOOKUP($H63,areaCercaPuntiClassificaSquadra,3,FALSE),-1)=IFERROR(VLOOKUP($AR63,areaCercaPuntiClassificaSquadra,3,FALSE),-2)),SUMIFS(Dati!$E$2:$E$761,Dati!$A$2:$A$761,$H63,Dati!$H$2:$H$761,$AR63)+SUMIFS(Dati!$L$2:$L$761,Dati!$H$2:$H$761,$H63,Dati!$A$2:$A$761,$AR63),"-")</f>
        <v/>
      </c>
      <c r="DH63" s="21">
        <f>$C63</f>
        <v/>
      </c>
      <c r="DI63" s="22">
        <f>IF(AND($H63&lt;&gt;"",$Y63&lt;&gt;"",$H63&lt;&gt;$Y63,IFERROR(VLOOKUP($H63,areaCercaPuntiClassificaSquadra,3,FALSE),-1)=IFERROR(VLOOKUP($Y63,areaCercaPuntiClassificaSquadra,3,FALSE),-2)),SUMIFS(Dati!$F$2:$F$761,Dati!$A$2:$A$761,$H63,Dati!$H$2:$H$761,$Y63)+SUMIFS(Dati!$M$2:$M$761,Dati!$H$2:$H$761,$H63,Dati!$A$2:$A$761,$Y63),"-")</f>
        <v/>
      </c>
      <c r="DJ63" s="22">
        <f>IF(AND($H63&lt;&gt;"",$Z63&lt;&gt;"",$H63&lt;&gt;$Z63,IFERROR(VLOOKUP($H63,areaCercaPuntiClassificaSquadra,3,FALSE),-1)=IFERROR(VLOOKUP($Z63,areaCercaPuntiClassificaSquadra,3,FALSE),-2)),SUMIFS(Dati!$F$2:$F$761,Dati!$A$2:$A$761,$H63,Dati!$H$2:$H$761,$Z63)+SUMIFS(Dati!$M$2:$M$761,Dati!$H$2:$H$761,$H63,Dati!$A$2:$A$761,$Z63),"-")</f>
        <v/>
      </c>
      <c r="DK63" s="22">
        <f>IF(AND($H63&lt;&gt;"",$AA63&lt;&gt;"",$H63&lt;&gt;$AA63,IFERROR(VLOOKUP($H63,areaCercaPuntiClassificaSquadra,3,FALSE),-1)=IFERROR(VLOOKUP($AA63,areaCercaPuntiClassificaSquadra,3,FALSE),-2)),SUMIFS(Dati!$F$2:$F$761,Dati!$A$2:$A$761,$H63,Dati!$H$2:$H$761,$AA63)+SUMIFS(Dati!$M$2:$M$761,Dati!$H$2:$H$761,$H63,Dati!$A$2:$A$761,$AA63),"-")</f>
        <v/>
      </c>
      <c r="DL63" s="22">
        <f>IF(AND($H63&lt;&gt;"",$AB63&lt;&gt;"",$H63&lt;&gt;$AB63,IFERROR(VLOOKUP($H63,areaCercaPuntiClassificaSquadra,3,FALSE),-1)=IFERROR(VLOOKUP($AB63,areaCercaPuntiClassificaSquadra,3,FALSE),-2)),SUMIFS(Dati!$F$2:$F$761,Dati!$A$2:$A$761,$H63,Dati!$H$2:$H$761,$AB63)+SUMIFS(Dati!$M$2:$M$761,Dati!$H$2:$H$761,$H63,Dati!$A$2:$A$761,$AB63),"-")</f>
        <v/>
      </c>
      <c r="DM63" s="22">
        <f>IF(AND($H63&lt;&gt;"",$AC63&lt;&gt;"",$H63&lt;&gt;$AC63,IFERROR(VLOOKUP($H63,areaCercaPuntiClassificaSquadra,3,FALSE),-1)=IFERROR(VLOOKUP($AC63,areaCercaPuntiClassificaSquadra,3,FALSE),-2)),SUMIFS(Dati!$F$2:$F$761,Dati!$A$2:$A$761,$H63,Dati!$H$2:$H$761,$AC63)+SUMIFS(Dati!$M$2:$M$761,Dati!$H$2:$H$761,$H63,Dati!$A$2:$A$761,$AC63),"-")</f>
        <v/>
      </c>
      <c r="DN63" s="22">
        <f>IF(AND($H63&lt;&gt;"",$AD63&lt;&gt;"",$H63&lt;&gt;$AD63,IFERROR(VLOOKUP($H63,areaCercaPuntiClassificaSquadra,3,FALSE),-1)=IFERROR(VLOOKUP($AD63,areaCercaPuntiClassificaSquadra,3,FALSE),-2)),SUMIFS(Dati!$F$2:$F$761,Dati!$A$2:$A$761,$H63,Dati!$H$2:$H$761,$AD63)+SUMIFS(Dati!$M$2:$M$761,Dati!$H$2:$H$761,$H63,Dati!$A$2:$A$761,$AD63),"-")</f>
        <v/>
      </c>
      <c r="DO63" s="22">
        <f>IF(AND($H63&lt;&gt;"",$AE63&lt;&gt;"",$H63&lt;&gt;$AE63,IFERROR(VLOOKUP($H63,areaCercaPuntiClassificaSquadra,3,FALSE),-1)=IFERROR(VLOOKUP($AE63,areaCercaPuntiClassificaSquadra,3,FALSE),-2)),SUMIFS(Dati!$F$2:$F$761,Dati!$A$2:$A$761,$H63,Dati!$H$2:$H$761,$AE63)+SUMIFS(Dati!$M$2:$M$761,Dati!$H$2:$H$761,$H63,Dati!$A$2:$A$761,$AE63),"-")</f>
        <v/>
      </c>
      <c r="DP63" s="22">
        <f>IF(AND($H63&lt;&gt;"",$AF63&lt;&gt;"",$H63&lt;&gt;$AF63,IFERROR(VLOOKUP($H63,areaCercaPuntiClassificaSquadra,3,FALSE),-1)=IFERROR(VLOOKUP($AF63,areaCercaPuntiClassificaSquadra,3,FALSE),-2)),SUMIFS(Dati!$F$2:$F$761,Dati!$A$2:$A$761,$H63,Dati!$H$2:$H$761,$AF63)+SUMIFS(Dati!$M$2:$M$761,Dati!$H$2:$H$761,$H63,Dati!$A$2:$A$761,$AF63),"-")</f>
        <v/>
      </c>
      <c r="DQ63" s="22">
        <f>IF(AND($H63&lt;&gt;"",$AG63&lt;&gt;"",$H63&lt;&gt;$AG63,IFERROR(VLOOKUP($H63,areaCercaPuntiClassificaSquadra,3,FALSE),-1)=IFERROR(VLOOKUP($AG63,areaCercaPuntiClassificaSquadra,3,FALSE),-2)),SUMIFS(Dati!$F$2:$F$761,Dati!$A$2:$A$761,$H63,Dati!$H$2:$H$761,$AG63)+SUMIFS(Dati!$M$2:$M$761,Dati!$H$2:$H$761,$H63,Dati!$A$2:$A$761,$AG63),"-")</f>
        <v/>
      </c>
      <c r="DR63" s="22">
        <f>IF(AND($H63&lt;&gt;"",$AH63&lt;&gt;"",$H63&lt;&gt;$AH63,IFERROR(VLOOKUP($H63,areaCercaPuntiClassificaSquadra,3,FALSE),-1)=IFERROR(VLOOKUP($AH63,areaCercaPuntiClassificaSquadra,3,FALSE),-2)),SUMIFS(Dati!$F$2:$F$761,Dati!$A$2:$A$761,$H63,Dati!$H$2:$H$761,$AH63)+SUMIFS(Dati!$M$2:$M$761,Dati!$H$2:$H$761,$H63,Dati!$A$2:$A$761,$AH63),"-")</f>
        <v/>
      </c>
      <c r="DS63" s="22">
        <f>IF(AND($H63&lt;&gt;"",$AI63&lt;&gt;"",$H63&lt;&gt;$AI63,IFERROR(VLOOKUP($H63,areaCercaPuntiClassificaSquadra,3,FALSE),-1)=IFERROR(VLOOKUP($AI63,areaCercaPuntiClassificaSquadra,3,FALSE),-2)),SUMIFS(Dati!$F$2:$F$761,Dati!$A$2:$A$761,$H63,Dati!$H$2:$H$761,$AI63)+SUMIFS(Dati!$M$2:$M$761,Dati!$H$2:$H$761,$H63,Dati!$A$2:$A$761,$AI63),"-")</f>
        <v/>
      </c>
      <c r="DT63" s="22">
        <f>IF(AND($H63&lt;&gt;"",$AJ63&lt;&gt;"",$H63&lt;&gt;$AJ63,IFERROR(VLOOKUP($H63,areaCercaPuntiClassificaSquadra,3,FALSE),-1)=IFERROR(VLOOKUP($AJ63,areaCercaPuntiClassificaSquadra,3,FALSE),-2)),SUMIFS(Dati!$F$2:$F$761,Dati!$A$2:$A$761,$H63,Dati!$H$2:$H$761,$AJ63)+SUMIFS(Dati!$M$2:$M$761,Dati!$H$2:$H$761,$H63,Dati!$A$2:$A$761,$AJ63),"-")</f>
        <v/>
      </c>
      <c r="DU63" s="22">
        <f>IF(AND($H63&lt;&gt;"",$AK63&lt;&gt;"",$H63&lt;&gt;$AK63,IFERROR(VLOOKUP($H63,areaCercaPuntiClassificaSquadra,3,FALSE),-1)=IFERROR(VLOOKUP($AK63,areaCercaPuntiClassificaSquadra,3,FALSE),-2)),SUMIFS(Dati!$F$2:$F$761,Dati!$A$2:$A$761,$H63,Dati!$H$2:$H$761,$AK63)+SUMIFS(Dati!$M$2:$M$761,Dati!$H$2:$H$761,$H63,Dati!$A$2:$A$761,$AK63),"-")</f>
        <v/>
      </c>
      <c r="DV63" s="22">
        <f>IF(AND($H63&lt;&gt;"",$AL63&lt;&gt;"",$H63&lt;&gt;$AL63,IFERROR(VLOOKUP($H63,areaCercaPuntiClassificaSquadra,3,FALSE),-1)=IFERROR(VLOOKUP($AL63,areaCercaPuntiClassificaSquadra,3,FALSE),-2)),SUMIFS(Dati!$F$2:$F$761,Dati!$A$2:$A$761,$H63,Dati!$H$2:$H$761,$AL63)+SUMIFS(Dati!$M$2:$M$761,Dati!$H$2:$H$761,$H63,Dati!$A$2:$A$761,$AL63),"-")</f>
        <v/>
      </c>
      <c r="DW63" s="22">
        <f>IF(AND($H63&lt;&gt;"",$AM63&lt;&gt;"",$H63&lt;&gt;$AM63,IFERROR(VLOOKUP($H63,areaCercaPuntiClassificaSquadra,3,FALSE),-1)=IFERROR(VLOOKUP($AM63,areaCercaPuntiClassificaSquadra,3,FALSE),-2)),SUMIFS(Dati!$F$2:$F$761,Dati!$A$2:$A$761,$H63,Dati!$H$2:$H$761,$AM63)+SUMIFS(Dati!$M$2:$M$761,Dati!$H$2:$H$761,$H63,Dati!$A$2:$A$761,$AM63),"-")</f>
        <v/>
      </c>
      <c r="DX63" s="22">
        <f>IF(AND($H63&lt;&gt;"",$AN63&lt;&gt;"",$H63&lt;&gt;$AN63,IFERROR(VLOOKUP($H63,areaCercaPuntiClassificaSquadra,3,FALSE),-1)=IFERROR(VLOOKUP($AN63,areaCercaPuntiClassificaSquadra,3,FALSE),-2)),SUMIFS(Dati!$F$2:$F$761,Dati!$A$2:$A$761,$H63,Dati!$H$2:$H$761,$AN63)+SUMIFS(Dati!$M$2:$M$761,Dati!$H$2:$H$761,$H63,Dati!$A$2:$A$761,$AN63),"-")</f>
        <v/>
      </c>
      <c r="DY63" s="22">
        <f>IF(AND($H63&lt;&gt;"",$AO63&lt;&gt;"",$H63&lt;&gt;$AO63,IFERROR(VLOOKUP($H63,areaCercaPuntiClassificaSquadra,3,FALSE),-1)=IFERROR(VLOOKUP($AO63,areaCercaPuntiClassificaSquadra,3,FALSE),-2)),SUMIFS(Dati!$F$2:$F$761,Dati!$A$2:$A$761,$H63,Dati!$H$2:$H$761,$AO63)+SUMIFS(Dati!$M$2:$M$761,Dati!$H$2:$H$761,$H63,Dati!$A$2:$A$761,$AO63),"-")</f>
        <v/>
      </c>
      <c r="DZ63" s="22">
        <f>IF(AND($H63&lt;&gt;"",$AP63&lt;&gt;"",$H63&lt;&gt;$AP63,IFERROR(VLOOKUP($H63,areaCercaPuntiClassificaSquadra,3,FALSE),-1)=IFERROR(VLOOKUP($AP63,areaCercaPuntiClassificaSquadra,3,FALSE),-2)),SUMIFS(Dati!$F$2:$F$761,Dati!$A$2:$A$761,$H63,Dati!$H$2:$H$761,$AP63)+SUMIFS(Dati!$M$2:$M$761,Dati!$H$2:$H$761,$H63,Dati!$A$2:$A$761,$AP63),"-")</f>
        <v/>
      </c>
      <c r="EA63" s="22">
        <f>IF(AND($H63&lt;&gt;"",$AQ63&lt;&gt;"",$H63&lt;&gt;$AQ63,IFERROR(VLOOKUP($H63,areaCercaPuntiClassificaSquadra,3,FALSE),-1)=IFERROR(VLOOKUP($AQ63,areaCercaPuntiClassificaSquadra,3,FALSE),-2)),SUMIFS(Dati!$F$2:$F$761,Dati!$A$2:$A$761,$H63,Dati!$H$2:$H$761,$AQ63)+SUMIFS(Dati!$M$2:$M$761,Dati!$H$2:$H$761,$H63,Dati!$A$2:$A$761,$AQ63),"-")</f>
        <v/>
      </c>
      <c r="EB63" s="22">
        <f>IF(AND($H63&lt;&gt;"",$AR63&lt;&gt;"",$H63&lt;&gt;$AR63,IFERROR(VLOOKUP($H63,areaCercaPuntiClassificaSquadra,3,FALSE),-1)=IFERROR(VLOOKUP($AR63,areaCercaPuntiClassificaSquadra,3,FALSE),-2)),SUMIFS(Dati!$F$2:$F$761,Dati!$A$2:$A$761,$H63,Dati!$H$2:$H$761,$AR63)+SUMIFS(Dati!$M$2:$M$761,Dati!$H$2:$H$761,$H63,Dati!$A$2:$A$761,$AR63),"-")</f>
        <v/>
      </c>
      <c r="ED63" s="22">
        <f>IF($C63="","",SUM(AU63:BN63))</f>
        <v/>
      </c>
    </row>
    <row r="64">
      <c r="B64" s="12" t="inlineStr">
        <is>
          <t>C11</t>
        </is>
      </c>
      <c r="C64" s="13" t="inlineStr">
        <is>
          <t>Visoni Veloci-Visoniopoli VA</t>
        </is>
      </c>
      <c r="D64" s="14" t="n"/>
      <c r="E64" s="25" t="inlineStr">
        <is>
          <t>C</t>
        </is>
      </c>
      <c r="G64" s="26">
        <f>IF($C64="","",$E64&amp;(COUNTIFS(I$14:I$93,"&gt;"&amp;I64,E$14:E$93,"="&amp;E64,C$14:C$93,"&lt;&gt;")+COUNTIFS(I$14:I$93,"="&amp;I64,H$14:H$93,"&lt;="&amp;H64,E$14:E$93,"="&amp;E64,C$14:C$93,"&lt;&gt;")))</f>
        <v/>
      </c>
      <c r="H64" s="17">
        <f>IF($C64="","",IFERROR(LEFT($C64,FIND("-",$C64)-1),$C64))</f>
        <v/>
      </c>
      <c r="I64" s="12">
        <f>TEXT(1000000000+J64,"|0000000000|")&amp;TEXT(SUM(AU64:BN64),"0000000000|")&amp;IF(SUM(DI64:EB64)=0,"0000000000|",TEXT(ROUND(SUM(CM64:DF64)/SUM(DI64:EB64),4)*100000,"0000000000|"))&amp;IF(P64=0,"0000000000|",TEXT(ROUND(O64/P64,4)*100000,"0000000000|"))</f>
        <v/>
      </c>
      <c r="J64" s="26">
        <f>L64*constPuntiVittoria+M64*constPuntiSconfitta+N64*constPuntiForfait+IF(D64="",0,D64)</f>
        <v/>
      </c>
      <c r="K64" s="12">
        <f>SUM(L64:N64)</f>
        <v/>
      </c>
      <c r="L64" s="12">
        <f>IF($H64="",0,SUMIF(Dati!$A$2:$A$761,$H64,Dati!$B$2:$B$761)+SUMIF(Dati!$H$2:$H$761,$H64,Dati!$I$2:$I$761))</f>
        <v/>
      </c>
      <c r="M64" s="12">
        <f>IF($H64="",0,SUMIF(Dati!$A$2:$A$761,$H64,Dati!$D$2:$D$761)+SUMIF(Dati!$H$2:$H$761,$H64,Dati!$K$2:$K$761))</f>
        <v/>
      </c>
      <c r="N64" s="12">
        <f>IF($H64="",0,SUMIF(Dati!$A$2:$A$761,$H64,Dati!$C$2:$C$761)+SUMIF(Dati!$H$2:$H$761,$H64,Dati!$J$2:$J$761))</f>
        <v/>
      </c>
      <c r="O64" s="12">
        <f>IF($H64="",0,SUMIF(Dati!$A$2:$A$761,$H64,Dati!$E$2:$E$761)+SUMIF(Dati!$H$2:$H$761,$H64,Dati!$L$2:$L$761))</f>
        <v/>
      </c>
      <c r="P64" s="12">
        <f>IF($H64="",0,SUMIF(Dati!$A$2:$A$761,$H64,Dati!$F$2:$F$761)+SUMIF(Dati!$H$2:$H$761,$H64,Dati!$M$2:$M$761))</f>
        <v/>
      </c>
      <c r="Q64" s="12">
        <f>IF($H64="",0,SUMIF(Dati!$A$2:$A$761,$H64,Dati!$G$2:$G$761)+SUMIF(Dati!$H$2:$H$761,$H64,Dati!$N$2:$N$761))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IF(COUNTIFS($E$14:$E$93,$E64,$J$14:$J$93,$J64,$C$14:$C$93,"&lt;&gt;")&lt;=1,"-",SUM(AU64:BN64)&amp;"-"&amp;SUM(BQ64:CJ64))</f>
        <v/>
      </c>
      <c r="V64" s="18">
        <f>IF(COUNTIFS($E$14:$E$93,$E64,$J$14:$J$93,$J64,$C$14:$C$93,"&lt;&gt;",$ED$14:$ED$93,$ED64)&lt;=1,"-",IF(SUM(DI64:EB64)=0,0,ROUND(SUM(CM64:DF64)/SUM(DI64:EB64),3)))</f>
        <v/>
      </c>
      <c r="W64" s="18">
        <f>IF(COUNTIFS($E$14:$E$93,$E64,$J$14:$J$93,$J64,$C$14:$C$93,"&lt;&gt;",$ED$14:$ED$93,$ED64,$V$14:$V$93,$V64)&lt;=1,"-",IF(P64=0,0,ROUND(O64/P64,3)))</f>
        <v/>
      </c>
      <c r="X64" s="19">
        <f>IF($C64="","",$E64&amp;"#"&amp;COUNTIFS($E$14:$E64,$E64,$C$14:$C64,"&lt;&gt;"))</f>
        <v/>
      </c>
      <c r="Y64" s="20">
        <f>IFERROR(INDEX($H$14:$H$93,MATCH($E64&amp;"#1",$X$14:$X$93,0)),"")</f>
        <v/>
      </c>
      <c r="Z64" s="20">
        <f>IFERROR(INDEX($H$14:$H$93,MATCH($E64&amp;"#2",$X$14:$X$93,0)),"")</f>
        <v/>
      </c>
      <c r="AA64" s="20">
        <f>IFERROR(INDEX($H$14:$H$93,MATCH($E64&amp;"#3",$X$14:$X$93,0)),"")</f>
        <v/>
      </c>
      <c r="AB64" s="20">
        <f>IFERROR(INDEX($H$14:$H$93,MATCH($E64&amp;"#4",$X$14:$X$93,0)),"")</f>
        <v/>
      </c>
      <c r="AC64" s="20">
        <f>IFERROR(INDEX($H$14:$H$93,MATCH($E64&amp;"#5",$X$14:$X$93,0)),"")</f>
        <v/>
      </c>
      <c r="AD64" s="20">
        <f>IFERROR(INDEX($H$14:$H$93,MATCH($E64&amp;"#6",$X$14:$X$93,0)),"")</f>
        <v/>
      </c>
      <c r="AE64" s="20">
        <f>IFERROR(INDEX($H$14:$H$93,MATCH($E64&amp;"#7",$X$14:$X$93,0)),"")</f>
        <v/>
      </c>
      <c r="AF64" s="20">
        <f>IFERROR(INDEX($H$14:$H$93,MATCH($E64&amp;"#8",$X$14:$X$93,0)),"")</f>
        <v/>
      </c>
      <c r="AG64" s="20">
        <f>IFERROR(INDEX($H$14:$H$93,MATCH($E64&amp;"#9",$X$14:$X$93,0)),"")</f>
        <v/>
      </c>
      <c r="AH64" s="20">
        <f>IFERROR(INDEX($H$14:$H$93,MATCH($E64&amp;"#10",$X$14:$X$93,0)),"")</f>
        <v/>
      </c>
      <c r="AI64" s="20">
        <f>IFERROR(INDEX($H$14:$H$93,MATCH($E64&amp;"#11",$X$14:$X$93,0)),"")</f>
        <v/>
      </c>
      <c r="AJ64" s="20">
        <f>IFERROR(INDEX($H$14:$H$93,MATCH($E64&amp;"#12",$X$14:$X$93,0)),"")</f>
        <v/>
      </c>
      <c r="AK64" s="20">
        <f>IFERROR(INDEX($H$14:$H$93,MATCH($E64&amp;"#13",$X$14:$X$93,0)),"")</f>
        <v/>
      </c>
      <c r="AL64" s="20">
        <f>IFERROR(INDEX($H$14:$H$93,MATCH($E64&amp;"#14",$X$14:$X$93,0)),"")</f>
        <v/>
      </c>
      <c r="AM64" s="20">
        <f>IFERROR(INDEX($H$14:$H$93,MATCH($E64&amp;"#15",$X$14:$X$93,0)),"")</f>
        <v/>
      </c>
      <c r="AN64" s="20">
        <f>IFERROR(INDEX($H$14:$H$93,MATCH($E64&amp;"#16",$X$14:$X$93,0)),"")</f>
        <v/>
      </c>
      <c r="AO64" s="20">
        <f>IFERROR(INDEX($H$14:$H$93,MATCH($E64&amp;"#17",$X$14:$X$93,0)),"")</f>
        <v/>
      </c>
      <c r="AP64" s="20">
        <f>IFERROR(INDEX($H$14:$H$93,MATCH($E64&amp;"#18",$X$14:$X$93,0)),"")</f>
        <v/>
      </c>
      <c r="AQ64" s="20">
        <f>IFERROR(INDEX($H$14:$H$93,MATCH($E64&amp;"#19",$X$14:$X$93,0)),"")</f>
        <v/>
      </c>
      <c r="AR64" s="20">
        <f>IFERROR(INDEX($H$14:$H$93,MATCH($E64&amp;"#20",$X$14:$X$93,0)),"")</f>
        <v/>
      </c>
      <c r="AT64" s="21">
        <f>$C64</f>
        <v/>
      </c>
      <c r="AU64" s="22">
        <f>IF(AND($H64&lt;&gt;"",$Y64&lt;&gt;"",$H64&lt;&gt;$Y64,IFERROR(VLOOKUP($H64,areaCercaPuntiClassificaSquadra,3,FALSE),-1)=IFERROR(VLOOKUP($Y64,areaCercaPuntiClassificaSquadra,3,FALSE),-2)),SUMIFS(Dati!$B$2:$B$761,Dati!$A$2:$A$761,$H64,Dati!$H$2:$H$761,$Y64)+SUMIFS(Dati!$I$2:$I$761,Dati!$H$2:$H$761,$H64,Dati!$A$2:$A$761,$Y64),"-")</f>
        <v/>
      </c>
      <c r="AV64" s="22">
        <f>IF(AND($H64&lt;&gt;"",$Z64&lt;&gt;"",$H64&lt;&gt;$Z64,IFERROR(VLOOKUP($H64,areaCercaPuntiClassificaSquadra,3,FALSE),-1)=IFERROR(VLOOKUP($Z64,areaCercaPuntiClassificaSquadra,3,FALSE),-2)),SUMIFS(Dati!$B$2:$B$761,Dati!$A$2:$A$761,$H64,Dati!$H$2:$H$761,$Z64)+SUMIFS(Dati!$I$2:$I$761,Dati!$H$2:$H$761,$H64,Dati!$A$2:$A$761,$Z64),"-")</f>
        <v/>
      </c>
      <c r="AW64" s="22">
        <f>IF(AND($H64&lt;&gt;"",$AA64&lt;&gt;"",$H64&lt;&gt;$AA64,IFERROR(VLOOKUP($H64,areaCercaPuntiClassificaSquadra,3,FALSE),-1)=IFERROR(VLOOKUP($AA64,areaCercaPuntiClassificaSquadra,3,FALSE),-2)),SUMIFS(Dati!$B$2:$B$761,Dati!$A$2:$A$761,$H64,Dati!$H$2:$H$761,$AA64)+SUMIFS(Dati!$I$2:$I$761,Dati!$H$2:$H$761,$H64,Dati!$A$2:$A$761,$AA64),"-")</f>
        <v/>
      </c>
      <c r="AX64" s="22">
        <f>IF(AND($H64&lt;&gt;"",$AB64&lt;&gt;"",$H64&lt;&gt;$AB64,IFERROR(VLOOKUP($H64,areaCercaPuntiClassificaSquadra,3,FALSE),-1)=IFERROR(VLOOKUP($AB64,areaCercaPuntiClassificaSquadra,3,FALSE),-2)),SUMIFS(Dati!$B$2:$B$761,Dati!$A$2:$A$761,$H64,Dati!$H$2:$H$761,$AB64)+SUMIFS(Dati!$I$2:$I$761,Dati!$H$2:$H$761,$H64,Dati!$A$2:$A$761,$AB64),"-")</f>
        <v/>
      </c>
      <c r="AY64" s="22">
        <f>IF(AND($H64&lt;&gt;"",$AC64&lt;&gt;"",$H64&lt;&gt;$AC64,IFERROR(VLOOKUP($H64,areaCercaPuntiClassificaSquadra,3,FALSE),-1)=IFERROR(VLOOKUP($AC64,areaCercaPuntiClassificaSquadra,3,FALSE),-2)),SUMIFS(Dati!$B$2:$B$761,Dati!$A$2:$A$761,$H64,Dati!$H$2:$H$761,$AC64)+SUMIFS(Dati!$I$2:$I$761,Dati!$H$2:$H$761,$H64,Dati!$A$2:$A$761,$AC64),"-")</f>
        <v/>
      </c>
      <c r="AZ64" s="22">
        <f>IF(AND($H64&lt;&gt;"",$AD64&lt;&gt;"",$H64&lt;&gt;$AD64,IFERROR(VLOOKUP($H64,areaCercaPuntiClassificaSquadra,3,FALSE),-1)=IFERROR(VLOOKUP($AD64,areaCercaPuntiClassificaSquadra,3,FALSE),-2)),SUMIFS(Dati!$B$2:$B$761,Dati!$A$2:$A$761,$H64,Dati!$H$2:$H$761,$AD64)+SUMIFS(Dati!$I$2:$I$761,Dati!$H$2:$H$761,$H64,Dati!$A$2:$A$761,$AD64),"-")</f>
        <v/>
      </c>
      <c r="BA64" s="22">
        <f>IF(AND($H64&lt;&gt;"",$AE64&lt;&gt;"",$H64&lt;&gt;$AE64,IFERROR(VLOOKUP($H64,areaCercaPuntiClassificaSquadra,3,FALSE),-1)=IFERROR(VLOOKUP($AE64,areaCercaPuntiClassificaSquadra,3,FALSE),-2)),SUMIFS(Dati!$B$2:$B$761,Dati!$A$2:$A$761,$H64,Dati!$H$2:$H$761,$AE64)+SUMIFS(Dati!$I$2:$I$761,Dati!$H$2:$H$761,$H64,Dati!$A$2:$A$761,$AE64),"-")</f>
        <v/>
      </c>
      <c r="BB64" s="22">
        <f>IF(AND($H64&lt;&gt;"",$AF64&lt;&gt;"",$H64&lt;&gt;$AF64,IFERROR(VLOOKUP($H64,areaCercaPuntiClassificaSquadra,3,FALSE),-1)=IFERROR(VLOOKUP($AF64,areaCercaPuntiClassificaSquadra,3,FALSE),-2)),SUMIFS(Dati!$B$2:$B$761,Dati!$A$2:$A$761,$H64,Dati!$H$2:$H$761,$AF64)+SUMIFS(Dati!$I$2:$I$761,Dati!$H$2:$H$761,$H64,Dati!$A$2:$A$761,$AF64),"-")</f>
        <v/>
      </c>
      <c r="BC64" s="22">
        <f>IF(AND($H64&lt;&gt;"",$AG64&lt;&gt;"",$H64&lt;&gt;$AG64,IFERROR(VLOOKUP($H64,areaCercaPuntiClassificaSquadra,3,FALSE),-1)=IFERROR(VLOOKUP($AG64,areaCercaPuntiClassificaSquadra,3,FALSE),-2)),SUMIFS(Dati!$B$2:$B$761,Dati!$A$2:$A$761,$H64,Dati!$H$2:$H$761,$AG64)+SUMIFS(Dati!$I$2:$I$761,Dati!$H$2:$H$761,$H64,Dati!$A$2:$A$761,$AG64),"-")</f>
        <v/>
      </c>
      <c r="BD64" s="22">
        <f>IF(AND($H64&lt;&gt;"",$AH64&lt;&gt;"",$H64&lt;&gt;$AH64,IFERROR(VLOOKUP($H64,areaCercaPuntiClassificaSquadra,3,FALSE),-1)=IFERROR(VLOOKUP($AH64,areaCercaPuntiClassificaSquadra,3,FALSE),-2)),SUMIFS(Dati!$B$2:$B$761,Dati!$A$2:$A$761,$H64,Dati!$H$2:$H$761,$AH64)+SUMIFS(Dati!$I$2:$I$761,Dati!$H$2:$H$761,$H64,Dati!$A$2:$A$761,$AH64),"-")</f>
        <v/>
      </c>
      <c r="BE64" s="22">
        <f>IF(AND($H64&lt;&gt;"",$AI64&lt;&gt;"",$H64&lt;&gt;$AI64,IFERROR(VLOOKUP($H64,areaCercaPuntiClassificaSquadra,3,FALSE),-1)=IFERROR(VLOOKUP($AI64,areaCercaPuntiClassificaSquadra,3,FALSE),-2)),SUMIFS(Dati!$B$2:$B$761,Dati!$A$2:$A$761,$H64,Dati!$H$2:$H$761,$AI64)+SUMIFS(Dati!$I$2:$I$761,Dati!$H$2:$H$761,$H64,Dati!$A$2:$A$761,$AI64),"-")</f>
        <v/>
      </c>
      <c r="BF64" s="22">
        <f>IF(AND($H64&lt;&gt;"",$AJ64&lt;&gt;"",$H64&lt;&gt;$AJ64,IFERROR(VLOOKUP($H64,areaCercaPuntiClassificaSquadra,3,FALSE),-1)=IFERROR(VLOOKUP($AJ64,areaCercaPuntiClassificaSquadra,3,FALSE),-2)),SUMIFS(Dati!$B$2:$B$761,Dati!$A$2:$A$761,$H64,Dati!$H$2:$H$761,$AJ64)+SUMIFS(Dati!$I$2:$I$761,Dati!$H$2:$H$761,$H64,Dati!$A$2:$A$761,$AJ64),"-")</f>
        <v/>
      </c>
      <c r="BG64" s="22">
        <f>IF(AND($H64&lt;&gt;"",$AK64&lt;&gt;"",$H64&lt;&gt;$AK64,IFERROR(VLOOKUP($H64,areaCercaPuntiClassificaSquadra,3,FALSE),-1)=IFERROR(VLOOKUP($AK64,areaCercaPuntiClassificaSquadra,3,FALSE),-2)),SUMIFS(Dati!$B$2:$B$761,Dati!$A$2:$A$761,$H64,Dati!$H$2:$H$761,$AK64)+SUMIFS(Dati!$I$2:$I$761,Dati!$H$2:$H$761,$H64,Dati!$A$2:$A$761,$AK64),"-")</f>
        <v/>
      </c>
      <c r="BH64" s="22">
        <f>IF(AND($H64&lt;&gt;"",$AL64&lt;&gt;"",$H64&lt;&gt;$AL64,IFERROR(VLOOKUP($H64,areaCercaPuntiClassificaSquadra,3,FALSE),-1)=IFERROR(VLOOKUP($AL64,areaCercaPuntiClassificaSquadra,3,FALSE),-2)),SUMIFS(Dati!$B$2:$B$761,Dati!$A$2:$A$761,$H64,Dati!$H$2:$H$761,$AL64)+SUMIFS(Dati!$I$2:$I$761,Dati!$H$2:$H$761,$H64,Dati!$A$2:$A$761,$AL64),"-")</f>
        <v/>
      </c>
      <c r="BI64" s="22">
        <f>IF(AND($H64&lt;&gt;"",$AM64&lt;&gt;"",$H64&lt;&gt;$AM64,IFERROR(VLOOKUP($H64,areaCercaPuntiClassificaSquadra,3,FALSE),-1)=IFERROR(VLOOKUP($AM64,areaCercaPuntiClassificaSquadra,3,FALSE),-2)),SUMIFS(Dati!$B$2:$B$761,Dati!$A$2:$A$761,$H64,Dati!$H$2:$H$761,$AM64)+SUMIFS(Dati!$I$2:$I$761,Dati!$H$2:$H$761,$H64,Dati!$A$2:$A$761,$AM64),"-")</f>
        <v/>
      </c>
      <c r="BJ64" s="22">
        <f>IF(AND($H64&lt;&gt;"",$AN64&lt;&gt;"",$H64&lt;&gt;$AN64,IFERROR(VLOOKUP($H64,areaCercaPuntiClassificaSquadra,3,FALSE),-1)=IFERROR(VLOOKUP($AN64,areaCercaPuntiClassificaSquadra,3,FALSE),-2)),SUMIFS(Dati!$B$2:$B$761,Dati!$A$2:$A$761,$H64,Dati!$H$2:$H$761,$AN64)+SUMIFS(Dati!$I$2:$I$761,Dati!$H$2:$H$761,$H64,Dati!$A$2:$A$761,$AN64),"-")</f>
        <v/>
      </c>
      <c r="BK64" s="22">
        <f>IF(AND($H64&lt;&gt;"",$AO64&lt;&gt;"",$H64&lt;&gt;$AO64,IFERROR(VLOOKUP($H64,areaCercaPuntiClassificaSquadra,3,FALSE),-1)=IFERROR(VLOOKUP($AO64,areaCercaPuntiClassificaSquadra,3,FALSE),-2)),SUMIFS(Dati!$B$2:$B$761,Dati!$A$2:$A$761,$H64,Dati!$H$2:$H$761,$AO64)+SUMIFS(Dati!$I$2:$I$761,Dati!$H$2:$H$761,$H64,Dati!$A$2:$A$761,$AO64),"-")</f>
        <v/>
      </c>
      <c r="BL64" s="22">
        <f>IF(AND($H64&lt;&gt;"",$AP64&lt;&gt;"",$H64&lt;&gt;$AP64,IFERROR(VLOOKUP($H64,areaCercaPuntiClassificaSquadra,3,FALSE),-1)=IFERROR(VLOOKUP($AP64,areaCercaPuntiClassificaSquadra,3,FALSE),-2)),SUMIFS(Dati!$B$2:$B$761,Dati!$A$2:$A$761,$H64,Dati!$H$2:$H$761,$AP64)+SUMIFS(Dati!$I$2:$I$761,Dati!$H$2:$H$761,$H64,Dati!$A$2:$A$761,$AP64),"-")</f>
        <v/>
      </c>
      <c r="BM64" s="22">
        <f>IF(AND($H64&lt;&gt;"",$AQ64&lt;&gt;"",$H64&lt;&gt;$AQ64,IFERROR(VLOOKUP($H64,areaCercaPuntiClassificaSquadra,3,FALSE),-1)=IFERROR(VLOOKUP($AQ64,areaCercaPuntiClassificaSquadra,3,FALSE),-2)),SUMIFS(Dati!$B$2:$B$761,Dati!$A$2:$A$761,$H64,Dati!$H$2:$H$761,$AQ64)+SUMIFS(Dati!$I$2:$I$761,Dati!$H$2:$H$761,$H64,Dati!$A$2:$A$761,$AQ64),"-")</f>
        <v/>
      </c>
      <c r="BN64" s="22">
        <f>IF(AND($H64&lt;&gt;"",$AR64&lt;&gt;"",$H64&lt;&gt;$AR64,IFERROR(VLOOKUP($H64,areaCercaPuntiClassificaSquadra,3,FALSE),-1)=IFERROR(VLOOKUP($AR64,areaCercaPuntiClassificaSquadra,3,FALSE),-2)),SUMIFS(Dati!$B$2:$B$761,Dati!$A$2:$A$761,$H64,Dati!$H$2:$H$761,$AR64)+SUMIFS(Dati!$I$2:$I$761,Dati!$H$2:$H$761,$H64,Dati!$A$2:$A$761,$AR64),"-")</f>
        <v/>
      </c>
      <c r="BP64" s="21">
        <f>$C64</f>
        <v/>
      </c>
      <c r="BQ64" s="22">
        <f>IF(AND($H64&lt;&gt;"",$Y64&lt;&gt;"",$H64&lt;&gt;$Y64,IFERROR(VLOOKUP($H64,areaCercaPuntiClassificaSquadra,3,FALSE),-1)=IFERROR(VLOOKUP($Y64,areaCercaPuntiClassificaSquadra,3,FALSE),-2)),SUMIFS(Dati!$D$2:$D$761,Dati!$A$2:$A$761,$H64,Dati!$H$2:$H$761,$Y64)+SUMIFS(Dati!$K$2:$K$761,Dati!$H$2:$H$761,$H64,Dati!$A$2:$A$761,$Y64)+SUMIFS(Dati!$C$2:$C$761,Dati!$A$2:$A$761,$H64,Dati!$H$2:$H$761,$Y64)+SUMIFS(Dati!$J$2:$J$761,Dati!$H$2:$H$761,$H64,Dati!$A$2:$A$761,$Y64),"-")</f>
        <v/>
      </c>
      <c r="BR64" s="22">
        <f>IF(AND($H64&lt;&gt;"",$Z64&lt;&gt;"",$H64&lt;&gt;$Z64,IFERROR(VLOOKUP($H64,areaCercaPuntiClassificaSquadra,3,FALSE),-1)=IFERROR(VLOOKUP($Z64,areaCercaPuntiClassificaSquadra,3,FALSE),-2)),SUMIFS(Dati!$D$2:$D$761,Dati!$A$2:$A$761,$H64,Dati!$H$2:$H$761,$Z64)+SUMIFS(Dati!$K$2:$K$761,Dati!$H$2:$H$761,$H64,Dati!$A$2:$A$761,$Z64)+SUMIFS(Dati!$C$2:$C$761,Dati!$A$2:$A$761,$H64,Dati!$H$2:$H$761,$Z64)+SUMIFS(Dati!$J$2:$J$761,Dati!$H$2:$H$761,$H64,Dati!$A$2:$A$761,$Z64),"-")</f>
        <v/>
      </c>
      <c r="BS64" s="22">
        <f>IF(AND($H64&lt;&gt;"",$AA64&lt;&gt;"",$H64&lt;&gt;$AA64,IFERROR(VLOOKUP($H64,areaCercaPuntiClassificaSquadra,3,FALSE),-1)=IFERROR(VLOOKUP($AA64,areaCercaPuntiClassificaSquadra,3,FALSE),-2)),SUMIFS(Dati!$D$2:$D$761,Dati!$A$2:$A$761,$H64,Dati!$H$2:$H$761,$AA64)+SUMIFS(Dati!$K$2:$K$761,Dati!$H$2:$H$761,$H64,Dati!$A$2:$A$761,$AA64)+SUMIFS(Dati!$C$2:$C$761,Dati!$A$2:$A$761,$H64,Dati!$H$2:$H$761,$AA64)+SUMIFS(Dati!$J$2:$J$761,Dati!$H$2:$H$761,$H64,Dati!$A$2:$A$761,$AA64),"-")</f>
        <v/>
      </c>
      <c r="BT64" s="22">
        <f>IF(AND($H64&lt;&gt;"",$AB64&lt;&gt;"",$H64&lt;&gt;$AB64,IFERROR(VLOOKUP($H64,areaCercaPuntiClassificaSquadra,3,FALSE),-1)=IFERROR(VLOOKUP($AB64,areaCercaPuntiClassificaSquadra,3,FALSE),-2)),SUMIFS(Dati!$D$2:$D$761,Dati!$A$2:$A$761,$H64,Dati!$H$2:$H$761,$AB64)+SUMIFS(Dati!$K$2:$K$761,Dati!$H$2:$H$761,$H64,Dati!$A$2:$A$761,$AB64)+SUMIFS(Dati!$C$2:$C$761,Dati!$A$2:$A$761,$H64,Dati!$H$2:$H$761,$AB64)+SUMIFS(Dati!$J$2:$J$761,Dati!$H$2:$H$761,$H64,Dati!$A$2:$A$761,$AB64),"-")</f>
        <v/>
      </c>
      <c r="BU64" s="22">
        <f>IF(AND($H64&lt;&gt;"",$AC64&lt;&gt;"",$H64&lt;&gt;$AC64,IFERROR(VLOOKUP($H64,areaCercaPuntiClassificaSquadra,3,FALSE),-1)=IFERROR(VLOOKUP($AC64,areaCercaPuntiClassificaSquadra,3,FALSE),-2)),SUMIFS(Dati!$D$2:$D$761,Dati!$A$2:$A$761,$H64,Dati!$H$2:$H$761,$AC64)+SUMIFS(Dati!$K$2:$K$761,Dati!$H$2:$H$761,$H64,Dati!$A$2:$A$761,$AC64)+SUMIFS(Dati!$C$2:$C$761,Dati!$A$2:$A$761,$H64,Dati!$H$2:$H$761,$AC64)+SUMIFS(Dati!$J$2:$J$761,Dati!$H$2:$H$761,$H64,Dati!$A$2:$A$761,$AC64),"-")</f>
        <v/>
      </c>
      <c r="BV64" s="22">
        <f>IF(AND($H64&lt;&gt;"",$AD64&lt;&gt;"",$H64&lt;&gt;$AD64,IFERROR(VLOOKUP($H64,areaCercaPuntiClassificaSquadra,3,FALSE),-1)=IFERROR(VLOOKUP($AD64,areaCercaPuntiClassificaSquadra,3,FALSE),-2)),SUMIFS(Dati!$D$2:$D$761,Dati!$A$2:$A$761,$H64,Dati!$H$2:$H$761,$AD64)+SUMIFS(Dati!$K$2:$K$761,Dati!$H$2:$H$761,$H64,Dati!$A$2:$A$761,$AD64)+SUMIFS(Dati!$C$2:$C$761,Dati!$A$2:$A$761,$H64,Dati!$H$2:$H$761,$AD64)+SUMIFS(Dati!$J$2:$J$761,Dati!$H$2:$H$761,$H64,Dati!$A$2:$A$761,$AD64),"-")</f>
        <v/>
      </c>
      <c r="BW64" s="22">
        <f>IF(AND($H64&lt;&gt;"",$AE64&lt;&gt;"",$H64&lt;&gt;$AE64,IFERROR(VLOOKUP($H64,areaCercaPuntiClassificaSquadra,3,FALSE),-1)=IFERROR(VLOOKUP($AE64,areaCercaPuntiClassificaSquadra,3,FALSE),-2)),SUMIFS(Dati!$D$2:$D$761,Dati!$A$2:$A$761,$H64,Dati!$H$2:$H$761,$AE64)+SUMIFS(Dati!$K$2:$K$761,Dati!$H$2:$H$761,$H64,Dati!$A$2:$A$761,$AE64)+SUMIFS(Dati!$C$2:$C$761,Dati!$A$2:$A$761,$H64,Dati!$H$2:$H$761,$AE64)+SUMIFS(Dati!$J$2:$J$761,Dati!$H$2:$H$761,$H64,Dati!$A$2:$A$761,$AE64),"-")</f>
        <v/>
      </c>
      <c r="BX64" s="22">
        <f>IF(AND($H64&lt;&gt;"",$AF64&lt;&gt;"",$H64&lt;&gt;$AF64,IFERROR(VLOOKUP($H64,areaCercaPuntiClassificaSquadra,3,FALSE),-1)=IFERROR(VLOOKUP($AF64,areaCercaPuntiClassificaSquadra,3,FALSE),-2)),SUMIFS(Dati!$D$2:$D$761,Dati!$A$2:$A$761,$H64,Dati!$H$2:$H$761,$AF64)+SUMIFS(Dati!$K$2:$K$761,Dati!$H$2:$H$761,$H64,Dati!$A$2:$A$761,$AF64)+SUMIFS(Dati!$C$2:$C$761,Dati!$A$2:$A$761,$H64,Dati!$H$2:$H$761,$AF64)+SUMIFS(Dati!$J$2:$J$761,Dati!$H$2:$H$761,$H64,Dati!$A$2:$A$761,$AF64),"-")</f>
        <v/>
      </c>
      <c r="BY64" s="22">
        <f>IF(AND($H64&lt;&gt;"",$AG64&lt;&gt;"",$H64&lt;&gt;$AG64,IFERROR(VLOOKUP($H64,areaCercaPuntiClassificaSquadra,3,FALSE),-1)=IFERROR(VLOOKUP($AG64,areaCercaPuntiClassificaSquadra,3,FALSE),-2)),SUMIFS(Dati!$D$2:$D$761,Dati!$A$2:$A$761,$H64,Dati!$H$2:$H$761,$AG64)+SUMIFS(Dati!$K$2:$K$761,Dati!$H$2:$H$761,$H64,Dati!$A$2:$A$761,$AG64)+SUMIFS(Dati!$C$2:$C$761,Dati!$A$2:$A$761,$H64,Dati!$H$2:$H$761,$AG64)+SUMIFS(Dati!$J$2:$J$761,Dati!$H$2:$H$761,$H64,Dati!$A$2:$A$761,$AG64),"-")</f>
        <v/>
      </c>
      <c r="BZ64" s="22">
        <f>IF(AND($H64&lt;&gt;"",$AH64&lt;&gt;"",$H64&lt;&gt;$AH64,IFERROR(VLOOKUP($H64,areaCercaPuntiClassificaSquadra,3,FALSE),-1)=IFERROR(VLOOKUP($AH64,areaCercaPuntiClassificaSquadra,3,FALSE),-2)),SUMIFS(Dati!$D$2:$D$761,Dati!$A$2:$A$761,$H64,Dati!$H$2:$H$761,$AH64)+SUMIFS(Dati!$K$2:$K$761,Dati!$H$2:$H$761,$H64,Dati!$A$2:$A$761,$AH64)+SUMIFS(Dati!$C$2:$C$761,Dati!$A$2:$A$761,$H64,Dati!$H$2:$H$761,$AH64)+SUMIFS(Dati!$J$2:$J$761,Dati!$H$2:$H$761,$H64,Dati!$A$2:$A$761,$AH64),"-")</f>
        <v/>
      </c>
      <c r="CA64" s="22">
        <f>IF(AND($H64&lt;&gt;"",$AI64&lt;&gt;"",$H64&lt;&gt;$AI64,IFERROR(VLOOKUP($H64,areaCercaPuntiClassificaSquadra,3,FALSE),-1)=IFERROR(VLOOKUP($AI64,areaCercaPuntiClassificaSquadra,3,FALSE),-2)),SUMIFS(Dati!$D$2:$D$761,Dati!$A$2:$A$761,$H64,Dati!$H$2:$H$761,$AI64)+SUMIFS(Dati!$K$2:$K$761,Dati!$H$2:$H$761,$H64,Dati!$A$2:$A$761,$AI64)+SUMIFS(Dati!$C$2:$C$761,Dati!$A$2:$A$761,$H64,Dati!$H$2:$H$761,$AI64)+SUMIFS(Dati!$J$2:$J$761,Dati!$H$2:$H$761,$H64,Dati!$A$2:$A$761,$AI64),"-")</f>
        <v/>
      </c>
      <c r="CB64" s="22">
        <f>IF(AND($H64&lt;&gt;"",$AJ64&lt;&gt;"",$H64&lt;&gt;$AJ64,IFERROR(VLOOKUP($H64,areaCercaPuntiClassificaSquadra,3,FALSE),-1)=IFERROR(VLOOKUP($AJ64,areaCercaPuntiClassificaSquadra,3,FALSE),-2)),SUMIFS(Dati!$D$2:$D$761,Dati!$A$2:$A$761,$H64,Dati!$H$2:$H$761,$AJ64)+SUMIFS(Dati!$K$2:$K$761,Dati!$H$2:$H$761,$H64,Dati!$A$2:$A$761,$AJ64)+SUMIFS(Dati!$C$2:$C$761,Dati!$A$2:$A$761,$H64,Dati!$H$2:$H$761,$AJ64)+SUMIFS(Dati!$J$2:$J$761,Dati!$H$2:$H$761,$H64,Dati!$A$2:$A$761,$AJ64),"-")</f>
        <v/>
      </c>
      <c r="CC64" s="22">
        <f>IF(AND($H64&lt;&gt;"",$AK64&lt;&gt;"",$H64&lt;&gt;$AK64,IFERROR(VLOOKUP($H64,areaCercaPuntiClassificaSquadra,3,FALSE),-1)=IFERROR(VLOOKUP($AK64,areaCercaPuntiClassificaSquadra,3,FALSE),-2)),SUMIFS(Dati!$D$2:$D$761,Dati!$A$2:$A$761,$H64,Dati!$H$2:$H$761,$AK64)+SUMIFS(Dati!$K$2:$K$761,Dati!$H$2:$H$761,$H64,Dati!$A$2:$A$761,$AK64)+SUMIFS(Dati!$C$2:$C$761,Dati!$A$2:$A$761,$H64,Dati!$H$2:$H$761,$AK64)+SUMIFS(Dati!$J$2:$J$761,Dati!$H$2:$H$761,$H64,Dati!$A$2:$A$761,$AK64),"-")</f>
        <v/>
      </c>
      <c r="CD64" s="22">
        <f>IF(AND($H64&lt;&gt;"",$AL64&lt;&gt;"",$H64&lt;&gt;$AL64,IFERROR(VLOOKUP($H64,areaCercaPuntiClassificaSquadra,3,FALSE),-1)=IFERROR(VLOOKUP($AL64,areaCercaPuntiClassificaSquadra,3,FALSE),-2)),SUMIFS(Dati!$D$2:$D$761,Dati!$A$2:$A$761,$H64,Dati!$H$2:$H$761,$AL64)+SUMIFS(Dati!$K$2:$K$761,Dati!$H$2:$H$761,$H64,Dati!$A$2:$A$761,$AL64)+SUMIFS(Dati!$C$2:$C$761,Dati!$A$2:$A$761,$H64,Dati!$H$2:$H$761,$AL64)+SUMIFS(Dati!$J$2:$J$761,Dati!$H$2:$H$761,$H64,Dati!$A$2:$A$761,$AL64),"-")</f>
        <v/>
      </c>
      <c r="CE64" s="22">
        <f>IF(AND($H64&lt;&gt;"",$AM64&lt;&gt;"",$H64&lt;&gt;$AM64,IFERROR(VLOOKUP($H64,areaCercaPuntiClassificaSquadra,3,FALSE),-1)=IFERROR(VLOOKUP($AM64,areaCercaPuntiClassificaSquadra,3,FALSE),-2)),SUMIFS(Dati!$D$2:$D$761,Dati!$A$2:$A$761,$H64,Dati!$H$2:$H$761,$AM64)+SUMIFS(Dati!$K$2:$K$761,Dati!$H$2:$H$761,$H64,Dati!$A$2:$A$761,$AM64)+SUMIFS(Dati!$C$2:$C$761,Dati!$A$2:$A$761,$H64,Dati!$H$2:$H$761,$AM64)+SUMIFS(Dati!$J$2:$J$761,Dati!$H$2:$H$761,$H64,Dati!$A$2:$A$761,$AM64),"-")</f>
        <v/>
      </c>
      <c r="CF64" s="22">
        <f>IF(AND($H64&lt;&gt;"",$AN64&lt;&gt;"",$H64&lt;&gt;$AN64,IFERROR(VLOOKUP($H64,areaCercaPuntiClassificaSquadra,3,FALSE),-1)=IFERROR(VLOOKUP($AN64,areaCercaPuntiClassificaSquadra,3,FALSE),-2)),SUMIFS(Dati!$D$2:$D$761,Dati!$A$2:$A$761,$H64,Dati!$H$2:$H$761,$AN64)+SUMIFS(Dati!$K$2:$K$761,Dati!$H$2:$H$761,$H64,Dati!$A$2:$A$761,$AN64)+SUMIFS(Dati!$C$2:$C$761,Dati!$A$2:$A$761,$H64,Dati!$H$2:$H$761,$AN64)+SUMIFS(Dati!$J$2:$J$761,Dati!$H$2:$H$761,$H64,Dati!$A$2:$A$761,$AN64),"-")</f>
        <v/>
      </c>
      <c r="CG64" s="22">
        <f>IF(AND($H64&lt;&gt;"",$AO64&lt;&gt;"",$H64&lt;&gt;$AO64,IFERROR(VLOOKUP($H64,areaCercaPuntiClassificaSquadra,3,FALSE),-1)=IFERROR(VLOOKUP($AO64,areaCercaPuntiClassificaSquadra,3,FALSE),-2)),SUMIFS(Dati!$D$2:$D$761,Dati!$A$2:$A$761,$H64,Dati!$H$2:$H$761,$AO64)+SUMIFS(Dati!$K$2:$K$761,Dati!$H$2:$H$761,$H64,Dati!$A$2:$A$761,$AO64)+SUMIFS(Dati!$C$2:$C$761,Dati!$A$2:$A$761,$H64,Dati!$H$2:$H$761,$AO64)+SUMIFS(Dati!$J$2:$J$761,Dati!$H$2:$H$761,$H64,Dati!$A$2:$A$761,$AO64),"-")</f>
        <v/>
      </c>
      <c r="CH64" s="22">
        <f>IF(AND($H64&lt;&gt;"",$AP64&lt;&gt;"",$H64&lt;&gt;$AP64,IFERROR(VLOOKUP($H64,areaCercaPuntiClassificaSquadra,3,FALSE),-1)=IFERROR(VLOOKUP($AP64,areaCercaPuntiClassificaSquadra,3,FALSE),-2)),SUMIFS(Dati!$D$2:$D$761,Dati!$A$2:$A$761,$H64,Dati!$H$2:$H$761,$AP64)+SUMIFS(Dati!$K$2:$K$761,Dati!$H$2:$H$761,$H64,Dati!$A$2:$A$761,$AP64)+SUMIFS(Dati!$C$2:$C$761,Dati!$A$2:$A$761,$H64,Dati!$H$2:$H$761,$AP64)+SUMIFS(Dati!$J$2:$J$761,Dati!$H$2:$H$761,$H64,Dati!$A$2:$A$761,$AP64),"-")</f>
        <v/>
      </c>
      <c r="CI64" s="22">
        <f>IF(AND($H64&lt;&gt;"",$AQ64&lt;&gt;"",$H64&lt;&gt;$AQ64,IFERROR(VLOOKUP($H64,areaCercaPuntiClassificaSquadra,3,FALSE),-1)=IFERROR(VLOOKUP($AQ64,areaCercaPuntiClassificaSquadra,3,FALSE),-2)),SUMIFS(Dati!$D$2:$D$761,Dati!$A$2:$A$761,$H64,Dati!$H$2:$H$761,$AQ64)+SUMIFS(Dati!$K$2:$K$761,Dati!$H$2:$H$761,$H64,Dati!$A$2:$A$761,$AQ64)+SUMIFS(Dati!$C$2:$C$761,Dati!$A$2:$A$761,$H64,Dati!$H$2:$H$761,$AQ64)+SUMIFS(Dati!$J$2:$J$761,Dati!$H$2:$H$761,$H64,Dati!$A$2:$A$761,$AQ64),"-")</f>
        <v/>
      </c>
      <c r="CJ64" s="22">
        <f>IF(AND($H64&lt;&gt;"",$AR64&lt;&gt;"",$H64&lt;&gt;$AR64,IFERROR(VLOOKUP($H64,areaCercaPuntiClassificaSquadra,3,FALSE),-1)=IFERROR(VLOOKUP($AR64,areaCercaPuntiClassificaSquadra,3,FALSE),-2)),SUMIFS(Dati!$D$2:$D$761,Dati!$A$2:$A$761,$H64,Dati!$H$2:$H$761,$AR64)+SUMIFS(Dati!$K$2:$K$761,Dati!$H$2:$H$761,$H64,Dati!$A$2:$A$761,$AR64)+SUMIFS(Dati!$C$2:$C$761,Dati!$A$2:$A$761,$H64,Dati!$H$2:$H$761,$AR64)+SUMIFS(Dati!$J$2:$J$761,Dati!$H$2:$H$761,$H64,Dati!$A$2:$A$761,$AR64),"-")</f>
        <v/>
      </c>
      <c r="CL64" s="21">
        <f>$C64</f>
        <v/>
      </c>
      <c r="CM64" s="22">
        <f>IF(AND($H64&lt;&gt;"",$Y64&lt;&gt;"",$H64&lt;&gt;$Y64,IFERROR(VLOOKUP($H64,areaCercaPuntiClassificaSquadra,3,FALSE),-1)=IFERROR(VLOOKUP($Y64,areaCercaPuntiClassificaSquadra,3,FALSE),-2)),SUMIFS(Dati!$E$2:$E$761,Dati!$A$2:$A$761,$H64,Dati!$H$2:$H$761,$Y64)+SUMIFS(Dati!$L$2:$L$761,Dati!$H$2:$H$761,$H64,Dati!$A$2:$A$761,$Y64),"-")</f>
        <v/>
      </c>
      <c r="CN64" s="22">
        <f>IF(AND($H64&lt;&gt;"",$Z64&lt;&gt;"",$H64&lt;&gt;$Z64,IFERROR(VLOOKUP($H64,areaCercaPuntiClassificaSquadra,3,FALSE),-1)=IFERROR(VLOOKUP($Z64,areaCercaPuntiClassificaSquadra,3,FALSE),-2)),SUMIFS(Dati!$E$2:$E$761,Dati!$A$2:$A$761,$H64,Dati!$H$2:$H$761,$Z64)+SUMIFS(Dati!$L$2:$L$761,Dati!$H$2:$H$761,$H64,Dati!$A$2:$A$761,$Z64),"-")</f>
        <v/>
      </c>
      <c r="CO64" s="22">
        <f>IF(AND($H64&lt;&gt;"",$AA64&lt;&gt;"",$H64&lt;&gt;$AA64,IFERROR(VLOOKUP($H64,areaCercaPuntiClassificaSquadra,3,FALSE),-1)=IFERROR(VLOOKUP($AA64,areaCercaPuntiClassificaSquadra,3,FALSE),-2)),SUMIFS(Dati!$E$2:$E$761,Dati!$A$2:$A$761,$H64,Dati!$H$2:$H$761,$AA64)+SUMIFS(Dati!$L$2:$L$761,Dati!$H$2:$H$761,$H64,Dati!$A$2:$A$761,$AA64),"-")</f>
        <v/>
      </c>
      <c r="CP64" s="22">
        <f>IF(AND($H64&lt;&gt;"",$AB64&lt;&gt;"",$H64&lt;&gt;$AB64,IFERROR(VLOOKUP($H64,areaCercaPuntiClassificaSquadra,3,FALSE),-1)=IFERROR(VLOOKUP($AB64,areaCercaPuntiClassificaSquadra,3,FALSE),-2)),SUMIFS(Dati!$E$2:$E$761,Dati!$A$2:$A$761,$H64,Dati!$H$2:$H$761,$AB64)+SUMIFS(Dati!$L$2:$L$761,Dati!$H$2:$H$761,$H64,Dati!$A$2:$A$761,$AB64),"-")</f>
        <v/>
      </c>
      <c r="CQ64" s="22">
        <f>IF(AND($H64&lt;&gt;"",$AC64&lt;&gt;"",$H64&lt;&gt;$AC64,IFERROR(VLOOKUP($H64,areaCercaPuntiClassificaSquadra,3,FALSE),-1)=IFERROR(VLOOKUP($AC64,areaCercaPuntiClassificaSquadra,3,FALSE),-2)),SUMIFS(Dati!$E$2:$E$761,Dati!$A$2:$A$761,$H64,Dati!$H$2:$H$761,$AC64)+SUMIFS(Dati!$L$2:$L$761,Dati!$H$2:$H$761,$H64,Dati!$A$2:$A$761,$AC64),"-")</f>
        <v/>
      </c>
      <c r="CR64" s="22">
        <f>IF(AND($H64&lt;&gt;"",$AD64&lt;&gt;"",$H64&lt;&gt;$AD64,IFERROR(VLOOKUP($H64,areaCercaPuntiClassificaSquadra,3,FALSE),-1)=IFERROR(VLOOKUP($AD64,areaCercaPuntiClassificaSquadra,3,FALSE),-2)),SUMIFS(Dati!$E$2:$E$761,Dati!$A$2:$A$761,$H64,Dati!$H$2:$H$761,$AD64)+SUMIFS(Dati!$L$2:$L$761,Dati!$H$2:$H$761,$H64,Dati!$A$2:$A$761,$AD64),"-")</f>
        <v/>
      </c>
      <c r="CS64" s="22">
        <f>IF(AND($H64&lt;&gt;"",$AE64&lt;&gt;"",$H64&lt;&gt;$AE64,IFERROR(VLOOKUP($H64,areaCercaPuntiClassificaSquadra,3,FALSE),-1)=IFERROR(VLOOKUP($AE64,areaCercaPuntiClassificaSquadra,3,FALSE),-2)),SUMIFS(Dati!$E$2:$E$761,Dati!$A$2:$A$761,$H64,Dati!$H$2:$H$761,$AE64)+SUMIFS(Dati!$L$2:$L$761,Dati!$H$2:$H$761,$H64,Dati!$A$2:$A$761,$AE64),"-")</f>
        <v/>
      </c>
      <c r="CT64" s="22">
        <f>IF(AND($H64&lt;&gt;"",$AF64&lt;&gt;"",$H64&lt;&gt;$AF64,IFERROR(VLOOKUP($H64,areaCercaPuntiClassificaSquadra,3,FALSE),-1)=IFERROR(VLOOKUP($AF64,areaCercaPuntiClassificaSquadra,3,FALSE),-2)),SUMIFS(Dati!$E$2:$E$761,Dati!$A$2:$A$761,$H64,Dati!$H$2:$H$761,$AF64)+SUMIFS(Dati!$L$2:$L$761,Dati!$H$2:$H$761,$H64,Dati!$A$2:$A$761,$AF64),"-")</f>
        <v/>
      </c>
      <c r="CU64" s="22">
        <f>IF(AND($H64&lt;&gt;"",$AG64&lt;&gt;"",$H64&lt;&gt;$AG64,IFERROR(VLOOKUP($H64,areaCercaPuntiClassificaSquadra,3,FALSE),-1)=IFERROR(VLOOKUP($AG64,areaCercaPuntiClassificaSquadra,3,FALSE),-2)),SUMIFS(Dati!$E$2:$E$761,Dati!$A$2:$A$761,$H64,Dati!$H$2:$H$761,$AG64)+SUMIFS(Dati!$L$2:$L$761,Dati!$H$2:$H$761,$H64,Dati!$A$2:$A$761,$AG64),"-")</f>
        <v/>
      </c>
      <c r="CV64" s="22">
        <f>IF(AND($H64&lt;&gt;"",$AH64&lt;&gt;"",$H64&lt;&gt;$AH64,IFERROR(VLOOKUP($H64,areaCercaPuntiClassificaSquadra,3,FALSE),-1)=IFERROR(VLOOKUP($AH64,areaCercaPuntiClassificaSquadra,3,FALSE),-2)),SUMIFS(Dati!$E$2:$E$761,Dati!$A$2:$A$761,$H64,Dati!$H$2:$H$761,$AH64)+SUMIFS(Dati!$L$2:$L$761,Dati!$H$2:$H$761,$H64,Dati!$A$2:$A$761,$AH64),"-")</f>
        <v/>
      </c>
      <c r="CW64" s="22">
        <f>IF(AND($H64&lt;&gt;"",$AI64&lt;&gt;"",$H64&lt;&gt;$AI64,IFERROR(VLOOKUP($H64,areaCercaPuntiClassificaSquadra,3,FALSE),-1)=IFERROR(VLOOKUP($AI64,areaCercaPuntiClassificaSquadra,3,FALSE),-2)),SUMIFS(Dati!$E$2:$E$761,Dati!$A$2:$A$761,$H64,Dati!$H$2:$H$761,$AI64)+SUMIFS(Dati!$L$2:$L$761,Dati!$H$2:$H$761,$H64,Dati!$A$2:$A$761,$AI64),"-")</f>
        <v/>
      </c>
      <c r="CX64" s="22">
        <f>IF(AND($H64&lt;&gt;"",$AJ64&lt;&gt;"",$H64&lt;&gt;$AJ64,IFERROR(VLOOKUP($H64,areaCercaPuntiClassificaSquadra,3,FALSE),-1)=IFERROR(VLOOKUP($AJ64,areaCercaPuntiClassificaSquadra,3,FALSE),-2)),SUMIFS(Dati!$E$2:$E$761,Dati!$A$2:$A$761,$H64,Dati!$H$2:$H$761,$AJ64)+SUMIFS(Dati!$L$2:$L$761,Dati!$H$2:$H$761,$H64,Dati!$A$2:$A$761,$AJ64),"-")</f>
        <v/>
      </c>
      <c r="CY64" s="22">
        <f>IF(AND($H64&lt;&gt;"",$AK64&lt;&gt;"",$H64&lt;&gt;$AK64,IFERROR(VLOOKUP($H64,areaCercaPuntiClassificaSquadra,3,FALSE),-1)=IFERROR(VLOOKUP($AK64,areaCercaPuntiClassificaSquadra,3,FALSE),-2)),SUMIFS(Dati!$E$2:$E$761,Dati!$A$2:$A$761,$H64,Dati!$H$2:$H$761,$AK64)+SUMIFS(Dati!$L$2:$L$761,Dati!$H$2:$H$761,$H64,Dati!$A$2:$A$761,$AK64),"-")</f>
        <v/>
      </c>
      <c r="CZ64" s="22">
        <f>IF(AND($H64&lt;&gt;"",$AL64&lt;&gt;"",$H64&lt;&gt;$AL64,IFERROR(VLOOKUP($H64,areaCercaPuntiClassificaSquadra,3,FALSE),-1)=IFERROR(VLOOKUP($AL64,areaCercaPuntiClassificaSquadra,3,FALSE),-2)),SUMIFS(Dati!$E$2:$E$761,Dati!$A$2:$A$761,$H64,Dati!$H$2:$H$761,$AL64)+SUMIFS(Dati!$L$2:$L$761,Dati!$H$2:$H$761,$H64,Dati!$A$2:$A$761,$AL64),"-")</f>
        <v/>
      </c>
      <c r="DA64" s="22">
        <f>IF(AND($H64&lt;&gt;"",$AM64&lt;&gt;"",$H64&lt;&gt;$AM64,IFERROR(VLOOKUP($H64,areaCercaPuntiClassificaSquadra,3,FALSE),-1)=IFERROR(VLOOKUP($AM64,areaCercaPuntiClassificaSquadra,3,FALSE),-2)),SUMIFS(Dati!$E$2:$E$761,Dati!$A$2:$A$761,$H64,Dati!$H$2:$H$761,$AM64)+SUMIFS(Dati!$L$2:$L$761,Dati!$H$2:$H$761,$H64,Dati!$A$2:$A$761,$AM64),"-")</f>
        <v/>
      </c>
      <c r="DB64" s="22">
        <f>IF(AND($H64&lt;&gt;"",$AN64&lt;&gt;"",$H64&lt;&gt;$AN64,IFERROR(VLOOKUP($H64,areaCercaPuntiClassificaSquadra,3,FALSE),-1)=IFERROR(VLOOKUP($AN64,areaCercaPuntiClassificaSquadra,3,FALSE),-2)),SUMIFS(Dati!$E$2:$E$761,Dati!$A$2:$A$761,$H64,Dati!$H$2:$H$761,$AN64)+SUMIFS(Dati!$L$2:$L$761,Dati!$H$2:$H$761,$H64,Dati!$A$2:$A$761,$AN64),"-")</f>
        <v/>
      </c>
      <c r="DC64" s="22">
        <f>IF(AND($H64&lt;&gt;"",$AO64&lt;&gt;"",$H64&lt;&gt;$AO64,IFERROR(VLOOKUP($H64,areaCercaPuntiClassificaSquadra,3,FALSE),-1)=IFERROR(VLOOKUP($AO64,areaCercaPuntiClassificaSquadra,3,FALSE),-2)),SUMIFS(Dati!$E$2:$E$761,Dati!$A$2:$A$761,$H64,Dati!$H$2:$H$761,$AO64)+SUMIFS(Dati!$L$2:$L$761,Dati!$H$2:$H$761,$H64,Dati!$A$2:$A$761,$AO64),"-")</f>
        <v/>
      </c>
      <c r="DD64" s="22">
        <f>IF(AND($H64&lt;&gt;"",$AP64&lt;&gt;"",$H64&lt;&gt;$AP64,IFERROR(VLOOKUP($H64,areaCercaPuntiClassificaSquadra,3,FALSE),-1)=IFERROR(VLOOKUP($AP64,areaCercaPuntiClassificaSquadra,3,FALSE),-2)),SUMIFS(Dati!$E$2:$E$761,Dati!$A$2:$A$761,$H64,Dati!$H$2:$H$761,$AP64)+SUMIFS(Dati!$L$2:$L$761,Dati!$H$2:$H$761,$H64,Dati!$A$2:$A$761,$AP64),"-")</f>
        <v/>
      </c>
      <c r="DE64" s="22">
        <f>IF(AND($H64&lt;&gt;"",$AQ64&lt;&gt;"",$H64&lt;&gt;$AQ64,IFERROR(VLOOKUP($H64,areaCercaPuntiClassificaSquadra,3,FALSE),-1)=IFERROR(VLOOKUP($AQ64,areaCercaPuntiClassificaSquadra,3,FALSE),-2)),SUMIFS(Dati!$E$2:$E$761,Dati!$A$2:$A$761,$H64,Dati!$H$2:$H$761,$AQ64)+SUMIFS(Dati!$L$2:$L$761,Dati!$H$2:$H$761,$H64,Dati!$A$2:$A$761,$AQ64),"-")</f>
        <v/>
      </c>
      <c r="DF64" s="22">
        <f>IF(AND($H64&lt;&gt;"",$AR64&lt;&gt;"",$H64&lt;&gt;$AR64,IFERROR(VLOOKUP($H64,areaCercaPuntiClassificaSquadra,3,FALSE),-1)=IFERROR(VLOOKUP($AR64,areaCercaPuntiClassificaSquadra,3,FALSE),-2)),SUMIFS(Dati!$E$2:$E$761,Dati!$A$2:$A$761,$H64,Dati!$H$2:$H$761,$AR64)+SUMIFS(Dati!$L$2:$L$761,Dati!$H$2:$H$761,$H64,Dati!$A$2:$A$761,$AR64),"-")</f>
        <v/>
      </c>
      <c r="DH64" s="21">
        <f>$C64</f>
        <v/>
      </c>
      <c r="DI64" s="22">
        <f>IF(AND($H64&lt;&gt;"",$Y64&lt;&gt;"",$H64&lt;&gt;$Y64,IFERROR(VLOOKUP($H64,areaCercaPuntiClassificaSquadra,3,FALSE),-1)=IFERROR(VLOOKUP($Y64,areaCercaPuntiClassificaSquadra,3,FALSE),-2)),SUMIFS(Dati!$F$2:$F$761,Dati!$A$2:$A$761,$H64,Dati!$H$2:$H$761,$Y64)+SUMIFS(Dati!$M$2:$M$761,Dati!$H$2:$H$761,$H64,Dati!$A$2:$A$761,$Y64),"-")</f>
        <v/>
      </c>
      <c r="DJ64" s="22">
        <f>IF(AND($H64&lt;&gt;"",$Z64&lt;&gt;"",$H64&lt;&gt;$Z64,IFERROR(VLOOKUP($H64,areaCercaPuntiClassificaSquadra,3,FALSE),-1)=IFERROR(VLOOKUP($Z64,areaCercaPuntiClassificaSquadra,3,FALSE),-2)),SUMIFS(Dati!$F$2:$F$761,Dati!$A$2:$A$761,$H64,Dati!$H$2:$H$761,$Z64)+SUMIFS(Dati!$M$2:$M$761,Dati!$H$2:$H$761,$H64,Dati!$A$2:$A$761,$Z64),"-")</f>
        <v/>
      </c>
      <c r="DK64" s="22">
        <f>IF(AND($H64&lt;&gt;"",$AA64&lt;&gt;"",$H64&lt;&gt;$AA64,IFERROR(VLOOKUP($H64,areaCercaPuntiClassificaSquadra,3,FALSE),-1)=IFERROR(VLOOKUP($AA64,areaCercaPuntiClassificaSquadra,3,FALSE),-2)),SUMIFS(Dati!$F$2:$F$761,Dati!$A$2:$A$761,$H64,Dati!$H$2:$H$761,$AA64)+SUMIFS(Dati!$M$2:$M$761,Dati!$H$2:$H$761,$H64,Dati!$A$2:$A$761,$AA64),"-")</f>
        <v/>
      </c>
      <c r="DL64" s="22">
        <f>IF(AND($H64&lt;&gt;"",$AB64&lt;&gt;"",$H64&lt;&gt;$AB64,IFERROR(VLOOKUP($H64,areaCercaPuntiClassificaSquadra,3,FALSE),-1)=IFERROR(VLOOKUP($AB64,areaCercaPuntiClassificaSquadra,3,FALSE),-2)),SUMIFS(Dati!$F$2:$F$761,Dati!$A$2:$A$761,$H64,Dati!$H$2:$H$761,$AB64)+SUMIFS(Dati!$M$2:$M$761,Dati!$H$2:$H$761,$H64,Dati!$A$2:$A$761,$AB64),"-")</f>
        <v/>
      </c>
      <c r="DM64" s="22">
        <f>IF(AND($H64&lt;&gt;"",$AC64&lt;&gt;"",$H64&lt;&gt;$AC64,IFERROR(VLOOKUP($H64,areaCercaPuntiClassificaSquadra,3,FALSE),-1)=IFERROR(VLOOKUP($AC64,areaCercaPuntiClassificaSquadra,3,FALSE),-2)),SUMIFS(Dati!$F$2:$F$761,Dati!$A$2:$A$761,$H64,Dati!$H$2:$H$761,$AC64)+SUMIFS(Dati!$M$2:$M$761,Dati!$H$2:$H$761,$H64,Dati!$A$2:$A$761,$AC64),"-")</f>
        <v/>
      </c>
      <c r="DN64" s="22">
        <f>IF(AND($H64&lt;&gt;"",$AD64&lt;&gt;"",$H64&lt;&gt;$AD64,IFERROR(VLOOKUP($H64,areaCercaPuntiClassificaSquadra,3,FALSE),-1)=IFERROR(VLOOKUP($AD64,areaCercaPuntiClassificaSquadra,3,FALSE),-2)),SUMIFS(Dati!$F$2:$F$761,Dati!$A$2:$A$761,$H64,Dati!$H$2:$H$761,$AD64)+SUMIFS(Dati!$M$2:$M$761,Dati!$H$2:$H$761,$H64,Dati!$A$2:$A$761,$AD64),"-")</f>
        <v/>
      </c>
      <c r="DO64" s="22">
        <f>IF(AND($H64&lt;&gt;"",$AE64&lt;&gt;"",$H64&lt;&gt;$AE64,IFERROR(VLOOKUP($H64,areaCercaPuntiClassificaSquadra,3,FALSE),-1)=IFERROR(VLOOKUP($AE64,areaCercaPuntiClassificaSquadra,3,FALSE),-2)),SUMIFS(Dati!$F$2:$F$761,Dati!$A$2:$A$761,$H64,Dati!$H$2:$H$761,$AE64)+SUMIFS(Dati!$M$2:$M$761,Dati!$H$2:$H$761,$H64,Dati!$A$2:$A$761,$AE64),"-")</f>
        <v/>
      </c>
      <c r="DP64" s="22">
        <f>IF(AND($H64&lt;&gt;"",$AF64&lt;&gt;"",$H64&lt;&gt;$AF64,IFERROR(VLOOKUP($H64,areaCercaPuntiClassificaSquadra,3,FALSE),-1)=IFERROR(VLOOKUP($AF64,areaCercaPuntiClassificaSquadra,3,FALSE),-2)),SUMIFS(Dati!$F$2:$F$761,Dati!$A$2:$A$761,$H64,Dati!$H$2:$H$761,$AF64)+SUMIFS(Dati!$M$2:$M$761,Dati!$H$2:$H$761,$H64,Dati!$A$2:$A$761,$AF64),"-")</f>
        <v/>
      </c>
      <c r="DQ64" s="22">
        <f>IF(AND($H64&lt;&gt;"",$AG64&lt;&gt;"",$H64&lt;&gt;$AG64,IFERROR(VLOOKUP($H64,areaCercaPuntiClassificaSquadra,3,FALSE),-1)=IFERROR(VLOOKUP($AG64,areaCercaPuntiClassificaSquadra,3,FALSE),-2)),SUMIFS(Dati!$F$2:$F$761,Dati!$A$2:$A$761,$H64,Dati!$H$2:$H$761,$AG64)+SUMIFS(Dati!$M$2:$M$761,Dati!$H$2:$H$761,$H64,Dati!$A$2:$A$761,$AG64),"-")</f>
        <v/>
      </c>
      <c r="DR64" s="22">
        <f>IF(AND($H64&lt;&gt;"",$AH64&lt;&gt;"",$H64&lt;&gt;$AH64,IFERROR(VLOOKUP($H64,areaCercaPuntiClassificaSquadra,3,FALSE),-1)=IFERROR(VLOOKUP($AH64,areaCercaPuntiClassificaSquadra,3,FALSE),-2)),SUMIFS(Dati!$F$2:$F$761,Dati!$A$2:$A$761,$H64,Dati!$H$2:$H$761,$AH64)+SUMIFS(Dati!$M$2:$M$761,Dati!$H$2:$H$761,$H64,Dati!$A$2:$A$761,$AH64),"-")</f>
        <v/>
      </c>
      <c r="DS64" s="22">
        <f>IF(AND($H64&lt;&gt;"",$AI64&lt;&gt;"",$H64&lt;&gt;$AI64,IFERROR(VLOOKUP($H64,areaCercaPuntiClassificaSquadra,3,FALSE),-1)=IFERROR(VLOOKUP($AI64,areaCercaPuntiClassificaSquadra,3,FALSE),-2)),SUMIFS(Dati!$F$2:$F$761,Dati!$A$2:$A$761,$H64,Dati!$H$2:$H$761,$AI64)+SUMIFS(Dati!$M$2:$M$761,Dati!$H$2:$H$761,$H64,Dati!$A$2:$A$761,$AI64),"-")</f>
        <v/>
      </c>
      <c r="DT64" s="22">
        <f>IF(AND($H64&lt;&gt;"",$AJ64&lt;&gt;"",$H64&lt;&gt;$AJ64,IFERROR(VLOOKUP($H64,areaCercaPuntiClassificaSquadra,3,FALSE),-1)=IFERROR(VLOOKUP($AJ64,areaCercaPuntiClassificaSquadra,3,FALSE),-2)),SUMIFS(Dati!$F$2:$F$761,Dati!$A$2:$A$761,$H64,Dati!$H$2:$H$761,$AJ64)+SUMIFS(Dati!$M$2:$M$761,Dati!$H$2:$H$761,$H64,Dati!$A$2:$A$761,$AJ64),"-")</f>
        <v/>
      </c>
      <c r="DU64" s="22">
        <f>IF(AND($H64&lt;&gt;"",$AK64&lt;&gt;"",$H64&lt;&gt;$AK64,IFERROR(VLOOKUP($H64,areaCercaPuntiClassificaSquadra,3,FALSE),-1)=IFERROR(VLOOKUP($AK64,areaCercaPuntiClassificaSquadra,3,FALSE),-2)),SUMIFS(Dati!$F$2:$F$761,Dati!$A$2:$A$761,$H64,Dati!$H$2:$H$761,$AK64)+SUMIFS(Dati!$M$2:$M$761,Dati!$H$2:$H$761,$H64,Dati!$A$2:$A$761,$AK64),"-")</f>
        <v/>
      </c>
      <c r="DV64" s="22">
        <f>IF(AND($H64&lt;&gt;"",$AL64&lt;&gt;"",$H64&lt;&gt;$AL64,IFERROR(VLOOKUP($H64,areaCercaPuntiClassificaSquadra,3,FALSE),-1)=IFERROR(VLOOKUP($AL64,areaCercaPuntiClassificaSquadra,3,FALSE),-2)),SUMIFS(Dati!$F$2:$F$761,Dati!$A$2:$A$761,$H64,Dati!$H$2:$H$761,$AL64)+SUMIFS(Dati!$M$2:$M$761,Dati!$H$2:$H$761,$H64,Dati!$A$2:$A$761,$AL64),"-")</f>
        <v/>
      </c>
      <c r="DW64" s="22">
        <f>IF(AND($H64&lt;&gt;"",$AM64&lt;&gt;"",$H64&lt;&gt;$AM64,IFERROR(VLOOKUP($H64,areaCercaPuntiClassificaSquadra,3,FALSE),-1)=IFERROR(VLOOKUP($AM64,areaCercaPuntiClassificaSquadra,3,FALSE),-2)),SUMIFS(Dati!$F$2:$F$761,Dati!$A$2:$A$761,$H64,Dati!$H$2:$H$761,$AM64)+SUMIFS(Dati!$M$2:$M$761,Dati!$H$2:$H$761,$H64,Dati!$A$2:$A$761,$AM64),"-")</f>
        <v/>
      </c>
      <c r="DX64" s="22">
        <f>IF(AND($H64&lt;&gt;"",$AN64&lt;&gt;"",$H64&lt;&gt;$AN64,IFERROR(VLOOKUP($H64,areaCercaPuntiClassificaSquadra,3,FALSE),-1)=IFERROR(VLOOKUP($AN64,areaCercaPuntiClassificaSquadra,3,FALSE),-2)),SUMIFS(Dati!$F$2:$F$761,Dati!$A$2:$A$761,$H64,Dati!$H$2:$H$761,$AN64)+SUMIFS(Dati!$M$2:$M$761,Dati!$H$2:$H$761,$H64,Dati!$A$2:$A$761,$AN64),"-")</f>
        <v/>
      </c>
      <c r="DY64" s="22">
        <f>IF(AND($H64&lt;&gt;"",$AO64&lt;&gt;"",$H64&lt;&gt;$AO64,IFERROR(VLOOKUP($H64,areaCercaPuntiClassificaSquadra,3,FALSE),-1)=IFERROR(VLOOKUP($AO64,areaCercaPuntiClassificaSquadra,3,FALSE),-2)),SUMIFS(Dati!$F$2:$F$761,Dati!$A$2:$A$761,$H64,Dati!$H$2:$H$761,$AO64)+SUMIFS(Dati!$M$2:$M$761,Dati!$H$2:$H$761,$H64,Dati!$A$2:$A$761,$AO64),"-")</f>
        <v/>
      </c>
      <c r="DZ64" s="22">
        <f>IF(AND($H64&lt;&gt;"",$AP64&lt;&gt;"",$H64&lt;&gt;$AP64,IFERROR(VLOOKUP($H64,areaCercaPuntiClassificaSquadra,3,FALSE),-1)=IFERROR(VLOOKUP($AP64,areaCercaPuntiClassificaSquadra,3,FALSE),-2)),SUMIFS(Dati!$F$2:$F$761,Dati!$A$2:$A$761,$H64,Dati!$H$2:$H$761,$AP64)+SUMIFS(Dati!$M$2:$M$761,Dati!$H$2:$H$761,$H64,Dati!$A$2:$A$761,$AP64),"-")</f>
        <v/>
      </c>
      <c r="EA64" s="22">
        <f>IF(AND($H64&lt;&gt;"",$AQ64&lt;&gt;"",$H64&lt;&gt;$AQ64,IFERROR(VLOOKUP($H64,areaCercaPuntiClassificaSquadra,3,FALSE),-1)=IFERROR(VLOOKUP($AQ64,areaCercaPuntiClassificaSquadra,3,FALSE),-2)),SUMIFS(Dati!$F$2:$F$761,Dati!$A$2:$A$761,$H64,Dati!$H$2:$H$761,$AQ64)+SUMIFS(Dati!$M$2:$M$761,Dati!$H$2:$H$761,$H64,Dati!$A$2:$A$761,$AQ64),"-")</f>
        <v/>
      </c>
      <c r="EB64" s="22">
        <f>IF(AND($H64&lt;&gt;"",$AR64&lt;&gt;"",$H64&lt;&gt;$AR64,IFERROR(VLOOKUP($H64,areaCercaPuntiClassificaSquadra,3,FALSE),-1)=IFERROR(VLOOKUP($AR64,areaCercaPuntiClassificaSquadra,3,FALSE),-2)),SUMIFS(Dati!$F$2:$F$761,Dati!$A$2:$A$761,$H64,Dati!$H$2:$H$761,$AR64)+SUMIFS(Dati!$M$2:$M$761,Dati!$H$2:$H$761,$H64,Dati!$A$2:$A$761,$AR64),"-")</f>
        <v/>
      </c>
      <c r="ED64" s="22">
        <f>IF($C64="","",SUM(AU64:BN64))</f>
        <v/>
      </c>
    </row>
    <row r="65">
      <c r="B65" s="12" t="inlineStr">
        <is>
          <t>C12</t>
        </is>
      </c>
      <c r="C65" s="13" t="inlineStr">
        <is>
          <t>Api Audaci-Apiopoli AE</t>
        </is>
      </c>
      <c r="D65" s="14" t="n"/>
      <c r="E65" s="25" t="inlineStr">
        <is>
          <t>C</t>
        </is>
      </c>
      <c r="G65" s="26">
        <f>IF($C65="","",$E65&amp;(COUNTIFS(I$14:I$93,"&gt;"&amp;I65,E$14:E$93,"="&amp;E65,C$14:C$93,"&lt;&gt;")+COUNTIFS(I$14:I$93,"="&amp;I65,H$14:H$93,"&lt;="&amp;H65,E$14:E$93,"="&amp;E65,C$14:C$93,"&lt;&gt;")))</f>
        <v/>
      </c>
      <c r="H65" s="17">
        <f>IF($C65="","",IFERROR(LEFT($C65,FIND("-",$C65)-1),$C65))</f>
        <v/>
      </c>
      <c r="I65" s="12">
        <f>TEXT(1000000000+J65,"|0000000000|")&amp;TEXT(SUM(AU65:BN65),"0000000000|")&amp;IF(SUM(DI65:EB65)=0,"0000000000|",TEXT(ROUND(SUM(CM65:DF65)/SUM(DI65:EB65),4)*100000,"0000000000|"))&amp;IF(P65=0,"0000000000|",TEXT(ROUND(O65/P65,4)*100000,"0000000000|"))</f>
        <v/>
      </c>
      <c r="J65" s="26">
        <f>L65*constPuntiVittoria+M65*constPuntiSconfitta+N65*constPuntiForfait+IF(D65="",0,D65)</f>
        <v/>
      </c>
      <c r="K65" s="12">
        <f>SUM(L65:N65)</f>
        <v/>
      </c>
      <c r="L65" s="12">
        <f>IF($H65="",0,SUMIF(Dati!$A$2:$A$761,$H65,Dati!$B$2:$B$761)+SUMIF(Dati!$H$2:$H$761,$H65,Dati!$I$2:$I$761))</f>
        <v/>
      </c>
      <c r="M65" s="12">
        <f>IF($H65="",0,SUMIF(Dati!$A$2:$A$761,$H65,Dati!$D$2:$D$761)+SUMIF(Dati!$H$2:$H$761,$H65,Dati!$K$2:$K$761))</f>
        <v/>
      </c>
      <c r="N65" s="12">
        <f>IF($H65="",0,SUMIF(Dati!$A$2:$A$761,$H65,Dati!$C$2:$C$761)+SUMIF(Dati!$H$2:$H$761,$H65,Dati!$J$2:$J$761))</f>
        <v/>
      </c>
      <c r="O65" s="12">
        <f>IF($H65="",0,SUMIF(Dati!$A$2:$A$761,$H65,Dati!$E$2:$E$761)+SUMIF(Dati!$H$2:$H$761,$H65,Dati!$L$2:$L$761))</f>
        <v/>
      </c>
      <c r="P65" s="12">
        <f>IF($H65="",0,SUMIF(Dati!$A$2:$A$761,$H65,Dati!$F$2:$F$761)+SUMIF(Dati!$H$2:$H$761,$H65,Dati!$M$2:$M$761))</f>
        <v/>
      </c>
      <c r="Q65" s="12">
        <f>IF($H65="",0,SUMIF(Dati!$A$2:$A$761,$H65,Dati!$G$2:$G$761)+SUMIF(Dati!$H$2:$H$761,$H65,Dati!$N$2:$N$761))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IF(COUNTIFS($E$14:$E$93,$E65,$J$14:$J$93,$J65,$C$14:$C$93,"&lt;&gt;")&lt;=1,"-",SUM(AU65:BN65)&amp;"-"&amp;SUM(BQ65:CJ65))</f>
        <v/>
      </c>
      <c r="V65" s="18">
        <f>IF(COUNTIFS($E$14:$E$93,$E65,$J$14:$J$93,$J65,$C$14:$C$93,"&lt;&gt;",$ED$14:$ED$93,$ED65)&lt;=1,"-",IF(SUM(DI65:EB65)=0,0,ROUND(SUM(CM65:DF65)/SUM(DI65:EB65),3)))</f>
        <v/>
      </c>
      <c r="W65" s="18">
        <f>IF(COUNTIFS($E$14:$E$93,$E65,$J$14:$J$93,$J65,$C$14:$C$93,"&lt;&gt;",$ED$14:$ED$93,$ED65,$V$14:$V$93,$V65)&lt;=1,"-",IF(P65=0,0,ROUND(O65/P65,3)))</f>
        <v/>
      </c>
      <c r="X65" s="19">
        <f>IF($C65="","",$E65&amp;"#"&amp;COUNTIFS($E$14:$E65,$E65,$C$14:$C65,"&lt;&gt;"))</f>
        <v/>
      </c>
      <c r="Y65" s="20">
        <f>IFERROR(INDEX($H$14:$H$93,MATCH($E65&amp;"#1",$X$14:$X$93,0)),"")</f>
        <v/>
      </c>
      <c r="Z65" s="20">
        <f>IFERROR(INDEX($H$14:$H$93,MATCH($E65&amp;"#2",$X$14:$X$93,0)),"")</f>
        <v/>
      </c>
      <c r="AA65" s="20">
        <f>IFERROR(INDEX($H$14:$H$93,MATCH($E65&amp;"#3",$X$14:$X$93,0)),"")</f>
        <v/>
      </c>
      <c r="AB65" s="20">
        <f>IFERROR(INDEX($H$14:$H$93,MATCH($E65&amp;"#4",$X$14:$X$93,0)),"")</f>
        <v/>
      </c>
      <c r="AC65" s="20">
        <f>IFERROR(INDEX($H$14:$H$93,MATCH($E65&amp;"#5",$X$14:$X$93,0)),"")</f>
        <v/>
      </c>
      <c r="AD65" s="20">
        <f>IFERROR(INDEX($H$14:$H$93,MATCH($E65&amp;"#6",$X$14:$X$93,0)),"")</f>
        <v/>
      </c>
      <c r="AE65" s="20">
        <f>IFERROR(INDEX($H$14:$H$93,MATCH($E65&amp;"#7",$X$14:$X$93,0)),"")</f>
        <v/>
      </c>
      <c r="AF65" s="20">
        <f>IFERROR(INDEX($H$14:$H$93,MATCH($E65&amp;"#8",$X$14:$X$93,0)),"")</f>
        <v/>
      </c>
      <c r="AG65" s="20">
        <f>IFERROR(INDEX($H$14:$H$93,MATCH($E65&amp;"#9",$X$14:$X$93,0)),"")</f>
        <v/>
      </c>
      <c r="AH65" s="20">
        <f>IFERROR(INDEX($H$14:$H$93,MATCH($E65&amp;"#10",$X$14:$X$93,0)),"")</f>
        <v/>
      </c>
      <c r="AI65" s="20">
        <f>IFERROR(INDEX($H$14:$H$93,MATCH($E65&amp;"#11",$X$14:$X$93,0)),"")</f>
        <v/>
      </c>
      <c r="AJ65" s="20">
        <f>IFERROR(INDEX($H$14:$H$93,MATCH($E65&amp;"#12",$X$14:$X$93,0)),"")</f>
        <v/>
      </c>
      <c r="AK65" s="20">
        <f>IFERROR(INDEX($H$14:$H$93,MATCH($E65&amp;"#13",$X$14:$X$93,0)),"")</f>
        <v/>
      </c>
      <c r="AL65" s="20">
        <f>IFERROR(INDEX($H$14:$H$93,MATCH($E65&amp;"#14",$X$14:$X$93,0)),"")</f>
        <v/>
      </c>
      <c r="AM65" s="20">
        <f>IFERROR(INDEX($H$14:$H$93,MATCH($E65&amp;"#15",$X$14:$X$93,0)),"")</f>
        <v/>
      </c>
      <c r="AN65" s="20">
        <f>IFERROR(INDEX($H$14:$H$93,MATCH($E65&amp;"#16",$X$14:$X$93,0)),"")</f>
        <v/>
      </c>
      <c r="AO65" s="20">
        <f>IFERROR(INDEX($H$14:$H$93,MATCH($E65&amp;"#17",$X$14:$X$93,0)),"")</f>
        <v/>
      </c>
      <c r="AP65" s="20">
        <f>IFERROR(INDEX($H$14:$H$93,MATCH($E65&amp;"#18",$X$14:$X$93,0)),"")</f>
        <v/>
      </c>
      <c r="AQ65" s="20">
        <f>IFERROR(INDEX($H$14:$H$93,MATCH($E65&amp;"#19",$X$14:$X$93,0)),"")</f>
        <v/>
      </c>
      <c r="AR65" s="20">
        <f>IFERROR(INDEX($H$14:$H$93,MATCH($E65&amp;"#20",$X$14:$X$93,0)),"")</f>
        <v/>
      </c>
      <c r="AT65" s="21">
        <f>$C65</f>
        <v/>
      </c>
      <c r="AU65" s="22">
        <f>IF(AND($H65&lt;&gt;"",$Y65&lt;&gt;"",$H65&lt;&gt;$Y65,IFERROR(VLOOKUP($H65,areaCercaPuntiClassificaSquadra,3,FALSE),-1)=IFERROR(VLOOKUP($Y65,areaCercaPuntiClassificaSquadra,3,FALSE),-2)),SUMIFS(Dati!$B$2:$B$761,Dati!$A$2:$A$761,$H65,Dati!$H$2:$H$761,$Y65)+SUMIFS(Dati!$I$2:$I$761,Dati!$H$2:$H$761,$H65,Dati!$A$2:$A$761,$Y65),"-")</f>
        <v/>
      </c>
      <c r="AV65" s="22">
        <f>IF(AND($H65&lt;&gt;"",$Z65&lt;&gt;"",$H65&lt;&gt;$Z65,IFERROR(VLOOKUP($H65,areaCercaPuntiClassificaSquadra,3,FALSE),-1)=IFERROR(VLOOKUP($Z65,areaCercaPuntiClassificaSquadra,3,FALSE),-2)),SUMIFS(Dati!$B$2:$B$761,Dati!$A$2:$A$761,$H65,Dati!$H$2:$H$761,$Z65)+SUMIFS(Dati!$I$2:$I$761,Dati!$H$2:$H$761,$H65,Dati!$A$2:$A$761,$Z65),"-")</f>
        <v/>
      </c>
      <c r="AW65" s="22">
        <f>IF(AND($H65&lt;&gt;"",$AA65&lt;&gt;"",$H65&lt;&gt;$AA65,IFERROR(VLOOKUP($H65,areaCercaPuntiClassificaSquadra,3,FALSE),-1)=IFERROR(VLOOKUP($AA65,areaCercaPuntiClassificaSquadra,3,FALSE),-2)),SUMIFS(Dati!$B$2:$B$761,Dati!$A$2:$A$761,$H65,Dati!$H$2:$H$761,$AA65)+SUMIFS(Dati!$I$2:$I$761,Dati!$H$2:$H$761,$H65,Dati!$A$2:$A$761,$AA65),"-")</f>
        <v/>
      </c>
      <c r="AX65" s="22">
        <f>IF(AND($H65&lt;&gt;"",$AB65&lt;&gt;"",$H65&lt;&gt;$AB65,IFERROR(VLOOKUP($H65,areaCercaPuntiClassificaSquadra,3,FALSE),-1)=IFERROR(VLOOKUP($AB65,areaCercaPuntiClassificaSquadra,3,FALSE),-2)),SUMIFS(Dati!$B$2:$B$761,Dati!$A$2:$A$761,$H65,Dati!$H$2:$H$761,$AB65)+SUMIFS(Dati!$I$2:$I$761,Dati!$H$2:$H$761,$H65,Dati!$A$2:$A$761,$AB65),"-")</f>
        <v/>
      </c>
      <c r="AY65" s="22">
        <f>IF(AND($H65&lt;&gt;"",$AC65&lt;&gt;"",$H65&lt;&gt;$AC65,IFERROR(VLOOKUP($H65,areaCercaPuntiClassificaSquadra,3,FALSE),-1)=IFERROR(VLOOKUP($AC65,areaCercaPuntiClassificaSquadra,3,FALSE),-2)),SUMIFS(Dati!$B$2:$B$761,Dati!$A$2:$A$761,$H65,Dati!$H$2:$H$761,$AC65)+SUMIFS(Dati!$I$2:$I$761,Dati!$H$2:$H$761,$H65,Dati!$A$2:$A$761,$AC65),"-")</f>
        <v/>
      </c>
      <c r="AZ65" s="22">
        <f>IF(AND($H65&lt;&gt;"",$AD65&lt;&gt;"",$H65&lt;&gt;$AD65,IFERROR(VLOOKUP($H65,areaCercaPuntiClassificaSquadra,3,FALSE),-1)=IFERROR(VLOOKUP($AD65,areaCercaPuntiClassificaSquadra,3,FALSE),-2)),SUMIFS(Dati!$B$2:$B$761,Dati!$A$2:$A$761,$H65,Dati!$H$2:$H$761,$AD65)+SUMIFS(Dati!$I$2:$I$761,Dati!$H$2:$H$761,$H65,Dati!$A$2:$A$761,$AD65),"-")</f>
        <v/>
      </c>
      <c r="BA65" s="22">
        <f>IF(AND($H65&lt;&gt;"",$AE65&lt;&gt;"",$H65&lt;&gt;$AE65,IFERROR(VLOOKUP($H65,areaCercaPuntiClassificaSquadra,3,FALSE),-1)=IFERROR(VLOOKUP($AE65,areaCercaPuntiClassificaSquadra,3,FALSE),-2)),SUMIFS(Dati!$B$2:$B$761,Dati!$A$2:$A$761,$H65,Dati!$H$2:$H$761,$AE65)+SUMIFS(Dati!$I$2:$I$761,Dati!$H$2:$H$761,$H65,Dati!$A$2:$A$761,$AE65),"-")</f>
        <v/>
      </c>
      <c r="BB65" s="22">
        <f>IF(AND($H65&lt;&gt;"",$AF65&lt;&gt;"",$H65&lt;&gt;$AF65,IFERROR(VLOOKUP($H65,areaCercaPuntiClassificaSquadra,3,FALSE),-1)=IFERROR(VLOOKUP($AF65,areaCercaPuntiClassificaSquadra,3,FALSE),-2)),SUMIFS(Dati!$B$2:$B$761,Dati!$A$2:$A$761,$H65,Dati!$H$2:$H$761,$AF65)+SUMIFS(Dati!$I$2:$I$761,Dati!$H$2:$H$761,$H65,Dati!$A$2:$A$761,$AF65),"-")</f>
        <v/>
      </c>
      <c r="BC65" s="22">
        <f>IF(AND($H65&lt;&gt;"",$AG65&lt;&gt;"",$H65&lt;&gt;$AG65,IFERROR(VLOOKUP($H65,areaCercaPuntiClassificaSquadra,3,FALSE),-1)=IFERROR(VLOOKUP($AG65,areaCercaPuntiClassificaSquadra,3,FALSE),-2)),SUMIFS(Dati!$B$2:$B$761,Dati!$A$2:$A$761,$H65,Dati!$H$2:$H$761,$AG65)+SUMIFS(Dati!$I$2:$I$761,Dati!$H$2:$H$761,$H65,Dati!$A$2:$A$761,$AG65),"-")</f>
        <v/>
      </c>
      <c r="BD65" s="22">
        <f>IF(AND($H65&lt;&gt;"",$AH65&lt;&gt;"",$H65&lt;&gt;$AH65,IFERROR(VLOOKUP($H65,areaCercaPuntiClassificaSquadra,3,FALSE),-1)=IFERROR(VLOOKUP($AH65,areaCercaPuntiClassificaSquadra,3,FALSE),-2)),SUMIFS(Dati!$B$2:$B$761,Dati!$A$2:$A$761,$H65,Dati!$H$2:$H$761,$AH65)+SUMIFS(Dati!$I$2:$I$761,Dati!$H$2:$H$761,$H65,Dati!$A$2:$A$761,$AH65),"-")</f>
        <v/>
      </c>
      <c r="BE65" s="22">
        <f>IF(AND($H65&lt;&gt;"",$AI65&lt;&gt;"",$H65&lt;&gt;$AI65,IFERROR(VLOOKUP($H65,areaCercaPuntiClassificaSquadra,3,FALSE),-1)=IFERROR(VLOOKUP($AI65,areaCercaPuntiClassificaSquadra,3,FALSE),-2)),SUMIFS(Dati!$B$2:$B$761,Dati!$A$2:$A$761,$H65,Dati!$H$2:$H$761,$AI65)+SUMIFS(Dati!$I$2:$I$761,Dati!$H$2:$H$761,$H65,Dati!$A$2:$A$761,$AI65),"-")</f>
        <v/>
      </c>
      <c r="BF65" s="22">
        <f>IF(AND($H65&lt;&gt;"",$AJ65&lt;&gt;"",$H65&lt;&gt;$AJ65,IFERROR(VLOOKUP($H65,areaCercaPuntiClassificaSquadra,3,FALSE),-1)=IFERROR(VLOOKUP($AJ65,areaCercaPuntiClassificaSquadra,3,FALSE),-2)),SUMIFS(Dati!$B$2:$B$761,Dati!$A$2:$A$761,$H65,Dati!$H$2:$H$761,$AJ65)+SUMIFS(Dati!$I$2:$I$761,Dati!$H$2:$H$761,$H65,Dati!$A$2:$A$761,$AJ65),"-")</f>
        <v/>
      </c>
      <c r="BG65" s="22">
        <f>IF(AND($H65&lt;&gt;"",$AK65&lt;&gt;"",$H65&lt;&gt;$AK65,IFERROR(VLOOKUP($H65,areaCercaPuntiClassificaSquadra,3,FALSE),-1)=IFERROR(VLOOKUP($AK65,areaCercaPuntiClassificaSquadra,3,FALSE),-2)),SUMIFS(Dati!$B$2:$B$761,Dati!$A$2:$A$761,$H65,Dati!$H$2:$H$761,$AK65)+SUMIFS(Dati!$I$2:$I$761,Dati!$H$2:$H$761,$H65,Dati!$A$2:$A$761,$AK65),"-")</f>
        <v/>
      </c>
      <c r="BH65" s="22">
        <f>IF(AND($H65&lt;&gt;"",$AL65&lt;&gt;"",$H65&lt;&gt;$AL65,IFERROR(VLOOKUP($H65,areaCercaPuntiClassificaSquadra,3,FALSE),-1)=IFERROR(VLOOKUP($AL65,areaCercaPuntiClassificaSquadra,3,FALSE),-2)),SUMIFS(Dati!$B$2:$B$761,Dati!$A$2:$A$761,$H65,Dati!$H$2:$H$761,$AL65)+SUMIFS(Dati!$I$2:$I$761,Dati!$H$2:$H$761,$H65,Dati!$A$2:$A$761,$AL65),"-")</f>
        <v/>
      </c>
      <c r="BI65" s="22">
        <f>IF(AND($H65&lt;&gt;"",$AM65&lt;&gt;"",$H65&lt;&gt;$AM65,IFERROR(VLOOKUP($H65,areaCercaPuntiClassificaSquadra,3,FALSE),-1)=IFERROR(VLOOKUP($AM65,areaCercaPuntiClassificaSquadra,3,FALSE),-2)),SUMIFS(Dati!$B$2:$B$761,Dati!$A$2:$A$761,$H65,Dati!$H$2:$H$761,$AM65)+SUMIFS(Dati!$I$2:$I$761,Dati!$H$2:$H$761,$H65,Dati!$A$2:$A$761,$AM65),"-")</f>
        <v/>
      </c>
      <c r="BJ65" s="22">
        <f>IF(AND($H65&lt;&gt;"",$AN65&lt;&gt;"",$H65&lt;&gt;$AN65,IFERROR(VLOOKUP($H65,areaCercaPuntiClassificaSquadra,3,FALSE),-1)=IFERROR(VLOOKUP($AN65,areaCercaPuntiClassificaSquadra,3,FALSE),-2)),SUMIFS(Dati!$B$2:$B$761,Dati!$A$2:$A$761,$H65,Dati!$H$2:$H$761,$AN65)+SUMIFS(Dati!$I$2:$I$761,Dati!$H$2:$H$761,$H65,Dati!$A$2:$A$761,$AN65),"-")</f>
        <v/>
      </c>
      <c r="BK65" s="22">
        <f>IF(AND($H65&lt;&gt;"",$AO65&lt;&gt;"",$H65&lt;&gt;$AO65,IFERROR(VLOOKUP($H65,areaCercaPuntiClassificaSquadra,3,FALSE),-1)=IFERROR(VLOOKUP($AO65,areaCercaPuntiClassificaSquadra,3,FALSE),-2)),SUMIFS(Dati!$B$2:$B$761,Dati!$A$2:$A$761,$H65,Dati!$H$2:$H$761,$AO65)+SUMIFS(Dati!$I$2:$I$761,Dati!$H$2:$H$761,$H65,Dati!$A$2:$A$761,$AO65),"-")</f>
        <v/>
      </c>
      <c r="BL65" s="22">
        <f>IF(AND($H65&lt;&gt;"",$AP65&lt;&gt;"",$H65&lt;&gt;$AP65,IFERROR(VLOOKUP($H65,areaCercaPuntiClassificaSquadra,3,FALSE),-1)=IFERROR(VLOOKUP($AP65,areaCercaPuntiClassificaSquadra,3,FALSE),-2)),SUMIFS(Dati!$B$2:$B$761,Dati!$A$2:$A$761,$H65,Dati!$H$2:$H$761,$AP65)+SUMIFS(Dati!$I$2:$I$761,Dati!$H$2:$H$761,$H65,Dati!$A$2:$A$761,$AP65),"-")</f>
        <v/>
      </c>
      <c r="BM65" s="22">
        <f>IF(AND($H65&lt;&gt;"",$AQ65&lt;&gt;"",$H65&lt;&gt;$AQ65,IFERROR(VLOOKUP($H65,areaCercaPuntiClassificaSquadra,3,FALSE),-1)=IFERROR(VLOOKUP($AQ65,areaCercaPuntiClassificaSquadra,3,FALSE),-2)),SUMIFS(Dati!$B$2:$B$761,Dati!$A$2:$A$761,$H65,Dati!$H$2:$H$761,$AQ65)+SUMIFS(Dati!$I$2:$I$761,Dati!$H$2:$H$761,$H65,Dati!$A$2:$A$761,$AQ65),"-")</f>
        <v/>
      </c>
      <c r="BN65" s="22">
        <f>IF(AND($H65&lt;&gt;"",$AR65&lt;&gt;"",$H65&lt;&gt;$AR65,IFERROR(VLOOKUP($H65,areaCercaPuntiClassificaSquadra,3,FALSE),-1)=IFERROR(VLOOKUP($AR65,areaCercaPuntiClassificaSquadra,3,FALSE),-2)),SUMIFS(Dati!$B$2:$B$761,Dati!$A$2:$A$761,$H65,Dati!$H$2:$H$761,$AR65)+SUMIFS(Dati!$I$2:$I$761,Dati!$H$2:$H$761,$H65,Dati!$A$2:$A$761,$AR65),"-")</f>
        <v/>
      </c>
      <c r="BP65" s="21">
        <f>$C65</f>
        <v/>
      </c>
      <c r="BQ65" s="22">
        <f>IF(AND($H65&lt;&gt;"",$Y65&lt;&gt;"",$H65&lt;&gt;$Y65,IFERROR(VLOOKUP($H65,areaCercaPuntiClassificaSquadra,3,FALSE),-1)=IFERROR(VLOOKUP($Y65,areaCercaPuntiClassificaSquadra,3,FALSE),-2)),SUMIFS(Dati!$D$2:$D$761,Dati!$A$2:$A$761,$H65,Dati!$H$2:$H$761,$Y65)+SUMIFS(Dati!$K$2:$K$761,Dati!$H$2:$H$761,$H65,Dati!$A$2:$A$761,$Y65)+SUMIFS(Dati!$C$2:$C$761,Dati!$A$2:$A$761,$H65,Dati!$H$2:$H$761,$Y65)+SUMIFS(Dati!$J$2:$J$761,Dati!$H$2:$H$761,$H65,Dati!$A$2:$A$761,$Y65),"-")</f>
        <v/>
      </c>
      <c r="BR65" s="22">
        <f>IF(AND($H65&lt;&gt;"",$Z65&lt;&gt;"",$H65&lt;&gt;$Z65,IFERROR(VLOOKUP($H65,areaCercaPuntiClassificaSquadra,3,FALSE),-1)=IFERROR(VLOOKUP($Z65,areaCercaPuntiClassificaSquadra,3,FALSE),-2)),SUMIFS(Dati!$D$2:$D$761,Dati!$A$2:$A$761,$H65,Dati!$H$2:$H$761,$Z65)+SUMIFS(Dati!$K$2:$K$761,Dati!$H$2:$H$761,$H65,Dati!$A$2:$A$761,$Z65)+SUMIFS(Dati!$C$2:$C$761,Dati!$A$2:$A$761,$H65,Dati!$H$2:$H$761,$Z65)+SUMIFS(Dati!$J$2:$J$761,Dati!$H$2:$H$761,$H65,Dati!$A$2:$A$761,$Z65),"-")</f>
        <v/>
      </c>
      <c r="BS65" s="22">
        <f>IF(AND($H65&lt;&gt;"",$AA65&lt;&gt;"",$H65&lt;&gt;$AA65,IFERROR(VLOOKUP($H65,areaCercaPuntiClassificaSquadra,3,FALSE),-1)=IFERROR(VLOOKUP($AA65,areaCercaPuntiClassificaSquadra,3,FALSE),-2)),SUMIFS(Dati!$D$2:$D$761,Dati!$A$2:$A$761,$H65,Dati!$H$2:$H$761,$AA65)+SUMIFS(Dati!$K$2:$K$761,Dati!$H$2:$H$761,$H65,Dati!$A$2:$A$761,$AA65)+SUMIFS(Dati!$C$2:$C$761,Dati!$A$2:$A$761,$H65,Dati!$H$2:$H$761,$AA65)+SUMIFS(Dati!$J$2:$J$761,Dati!$H$2:$H$761,$H65,Dati!$A$2:$A$761,$AA65),"-")</f>
        <v/>
      </c>
      <c r="BT65" s="22">
        <f>IF(AND($H65&lt;&gt;"",$AB65&lt;&gt;"",$H65&lt;&gt;$AB65,IFERROR(VLOOKUP($H65,areaCercaPuntiClassificaSquadra,3,FALSE),-1)=IFERROR(VLOOKUP($AB65,areaCercaPuntiClassificaSquadra,3,FALSE),-2)),SUMIFS(Dati!$D$2:$D$761,Dati!$A$2:$A$761,$H65,Dati!$H$2:$H$761,$AB65)+SUMIFS(Dati!$K$2:$K$761,Dati!$H$2:$H$761,$H65,Dati!$A$2:$A$761,$AB65)+SUMIFS(Dati!$C$2:$C$761,Dati!$A$2:$A$761,$H65,Dati!$H$2:$H$761,$AB65)+SUMIFS(Dati!$J$2:$J$761,Dati!$H$2:$H$761,$H65,Dati!$A$2:$A$761,$AB65),"-")</f>
        <v/>
      </c>
      <c r="BU65" s="22">
        <f>IF(AND($H65&lt;&gt;"",$AC65&lt;&gt;"",$H65&lt;&gt;$AC65,IFERROR(VLOOKUP($H65,areaCercaPuntiClassificaSquadra,3,FALSE),-1)=IFERROR(VLOOKUP($AC65,areaCercaPuntiClassificaSquadra,3,FALSE),-2)),SUMIFS(Dati!$D$2:$D$761,Dati!$A$2:$A$761,$H65,Dati!$H$2:$H$761,$AC65)+SUMIFS(Dati!$K$2:$K$761,Dati!$H$2:$H$761,$H65,Dati!$A$2:$A$761,$AC65)+SUMIFS(Dati!$C$2:$C$761,Dati!$A$2:$A$761,$H65,Dati!$H$2:$H$761,$AC65)+SUMIFS(Dati!$J$2:$J$761,Dati!$H$2:$H$761,$H65,Dati!$A$2:$A$761,$AC65),"-")</f>
        <v/>
      </c>
      <c r="BV65" s="22">
        <f>IF(AND($H65&lt;&gt;"",$AD65&lt;&gt;"",$H65&lt;&gt;$AD65,IFERROR(VLOOKUP($H65,areaCercaPuntiClassificaSquadra,3,FALSE),-1)=IFERROR(VLOOKUP($AD65,areaCercaPuntiClassificaSquadra,3,FALSE),-2)),SUMIFS(Dati!$D$2:$D$761,Dati!$A$2:$A$761,$H65,Dati!$H$2:$H$761,$AD65)+SUMIFS(Dati!$K$2:$K$761,Dati!$H$2:$H$761,$H65,Dati!$A$2:$A$761,$AD65)+SUMIFS(Dati!$C$2:$C$761,Dati!$A$2:$A$761,$H65,Dati!$H$2:$H$761,$AD65)+SUMIFS(Dati!$J$2:$J$761,Dati!$H$2:$H$761,$H65,Dati!$A$2:$A$761,$AD65),"-")</f>
        <v/>
      </c>
      <c r="BW65" s="22">
        <f>IF(AND($H65&lt;&gt;"",$AE65&lt;&gt;"",$H65&lt;&gt;$AE65,IFERROR(VLOOKUP($H65,areaCercaPuntiClassificaSquadra,3,FALSE),-1)=IFERROR(VLOOKUP($AE65,areaCercaPuntiClassificaSquadra,3,FALSE),-2)),SUMIFS(Dati!$D$2:$D$761,Dati!$A$2:$A$761,$H65,Dati!$H$2:$H$761,$AE65)+SUMIFS(Dati!$K$2:$K$761,Dati!$H$2:$H$761,$H65,Dati!$A$2:$A$761,$AE65)+SUMIFS(Dati!$C$2:$C$761,Dati!$A$2:$A$761,$H65,Dati!$H$2:$H$761,$AE65)+SUMIFS(Dati!$J$2:$J$761,Dati!$H$2:$H$761,$H65,Dati!$A$2:$A$761,$AE65),"-")</f>
        <v/>
      </c>
      <c r="BX65" s="22">
        <f>IF(AND($H65&lt;&gt;"",$AF65&lt;&gt;"",$H65&lt;&gt;$AF65,IFERROR(VLOOKUP($H65,areaCercaPuntiClassificaSquadra,3,FALSE),-1)=IFERROR(VLOOKUP($AF65,areaCercaPuntiClassificaSquadra,3,FALSE),-2)),SUMIFS(Dati!$D$2:$D$761,Dati!$A$2:$A$761,$H65,Dati!$H$2:$H$761,$AF65)+SUMIFS(Dati!$K$2:$K$761,Dati!$H$2:$H$761,$H65,Dati!$A$2:$A$761,$AF65)+SUMIFS(Dati!$C$2:$C$761,Dati!$A$2:$A$761,$H65,Dati!$H$2:$H$761,$AF65)+SUMIFS(Dati!$J$2:$J$761,Dati!$H$2:$H$761,$H65,Dati!$A$2:$A$761,$AF65),"-")</f>
        <v/>
      </c>
      <c r="BY65" s="22">
        <f>IF(AND($H65&lt;&gt;"",$AG65&lt;&gt;"",$H65&lt;&gt;$AG65,IFERROR(VLOOKUP($H65,areaCercaPuntiClassificaSquadra,3,FALSE),-1)=IFERROR(VLOOKUP($AG65,areaCercaPuntiClassificaSquadra,3,FALSE),-2)),SUMIFS(Dati!$D$2:$D$761,Dati!$A$2:$A$761,$H65,Dati!$H$2:$H$761,$AG65)+SUMIFS(Dati!$K$2:$K$761,Dati!$H$2:$H$761,$H65,Dati!$A$2:$A$761,$AG65)+SUMIFS(Dati!$C$2:$C$761,Dati!$A$2:$A$761,$H65,Dati!$H$2:$H$761,$AG65)+SUMIFS(Dati!$J$2:$J$761,Dati!$H$2:$H$761,$H65,Dati!$A$2:$A$761,$AG65),"-")</f>
        <v/>
      </c>
      <c r="BZ65" s="22">
        <f>IF(AND($H65&lt;&gt;"",$AH65&lt;&gt;"",$H65&lt;&gt;$AH65,IFERROR(VLOOKUP($H65,areaCercaPuntiClassificaSquadra,3,FALSE),-1)=IFERROR(VLOOKUP($AH65,areaCercaPuntiClassificaSquadra,3,FALSE),-2)),SUMIFS(Dati!$D$2:$D$761,Dati!$A$2:$A$761,$H65,Dati!$H$2:$H$761,$AH65)+SUMIFS(Dati!$K$2:$K$761,Dati!$H$2:$H$761,$H65,Dati!$A$2:$A$761,$AH65)+SUMIFS(Dati!$C$2:$C$761,Dati!$A$2:$A$761,$H65,Dati!$H$2:$H$761,$AH65)+SUMIFS(Dati!$J$2:$J$761,Dati!$H$2:$H$761,$H65,Dati!$A$2:$A$761,$AH65),"-")</f>
        <v/>
      </c>
      <c r="CA65" s="22">
        <f>IF(AND($H65&lt;&gt;"",$AI65&lt;&gt;"",$H65&lt;&gt;$AI65,IFERROR(VLOOKUP($H65,areaCercaPuntiClassificaSquadra,3,FALSE),-1)=IFERROR(VLOOKUP($AI65,areaCercaPuntiClassificaSquadra,3,FALSE),-2)),SUMIFS(Dati!$D$2:$D$761,Dati!$A$2:$A$761,$H65,Dati!$H$2:$H$761,$AI65)+SUMIFS(Dati!$K$2:$K$761,Dati!$H$2:$H$761,$H65,Dati!$A$2:$A$761,$AI65)+SUMIFS(Dati!$C$2:$C$761,Dati!$A$2:$A$761,$H65,Dati!$H$2:$H$761,$AI65)+SUMIFS(Dati!$J$2:$J$761,Dati!$H$2:$H$761,$H65,Dati!$A$2:$A$761,$AI65),"-")</f>
        <v/>
      </c>
      <c r="CB65" s="22">
        <f>IF(AND($H65&lt;&gt;"",$AJ65&lt;&gt;"",$H65&lt;&gt;$AJ65,IFERROR(VLOOKUP($H65,areaCercaPuntiClassificaSquadra,3,FALSE),-1)=IFERROR(VLOOKUP($AJ65,areaCercaPuntiClassificaSquadra,3,FALSE),-2)),SUMIFS(Dati!$D$2:$D$761,Dati!$A$2:$A$761,$H65,Dati!$H$2:$H$761,$AJ65)+SUMIFS(Dati!$K$2:$K$761,Dati!$H$2:$H$761,$H65,Dati!$A$2:$A$761,$AJ65)+SUMIFS(Dati!$C$2:$C$761,Dati!$A$2:$A$761,$H65,Dati!$H$2:$H$761,$AJ65)+SUMIFS(Dati!$J$2:$J$761,Dati!$H$2:$H$761,$H65,Dati!$A$2:$A$761,$AJ65),"-")</f>
        <v/>
      </c>
      <c r="CC65" s="22">
        <f>IF(AND($H65&lt;&gt;"",$AK65&lt;&gt;"",$H65&lt;&gt;$AK65,IFERROR(VLOOKUP($H65,areaCercaPuntiClassificaSquadra,3,FALSE),-1)=IFERROR(VLOOKUP($AK65,areaCercaPuntiClassificaSquadra,3,FALSE),-2)),SUMIFS(Dati!$D$2:$D$761,Dati!$A$2:$A$761,$H65,Dati!$H$2:$H$761,$AK65)+SUMIFS(Dati!$K$2:$K$761,Dati!$H$2:$H$761,$H65,Dati!$A$2:$A$761,$AK65)+SUMIFS(Dati!$C$2:$C$761,Dati!$A$2:$A$761,$H65,Dati!$H$2:$H$761,$AK65)+SUMIFS(Dati!$J$2:$J$761,Dati!$H$2:$H$761,$H65,Dati!$A$2:$A$761,$AK65),"-")</f>
        <v/>
      </c>
      <c r="CD65" s="22">
        <f>IF(AND($H65&lt;&gt;"",$AL65&lt;&gt;"",$H65&lt;&gt;$AL65,IFERROR(VLOOKUP($H65,areaCercaPuntiClassificaSquadra,3,FALSE),-1)=IFERROR(VLOOKUP($AL65,areaCercaPuntiClassificaSquadra,3,FALSE),-2)),SUMIFS(Dati!$D$2:$D$761,Dati!$A$2:$A$761,$H65,Dati!$H$2:$H$761,$AL65)+SUMIFS(Dati!$K$2:$K$761,Dati!$H$2:$H$761,$H65,Dati!$A$2:$A$761,$AL65)+SUMIFS(Dati!$C$2:$C$761,Dati!$A$2:$A$761,$H65,Dati!$H$2:$H$761,$AL65)+SUMIFS(Dati!$J$2:$J$761,Dati!$H$2:$H$761,$H65,Dati!$A$2:$A$761,$AL65),"-")</f>
        <v/>
      </c>
      <c r="CE65" s="22">
        <f>IF(AND($H65&lt;&gt;"",$AM65&lt;&gt;"",$H65&lt;&gt;$AM65,IFERROR(VLOOKUP($H65,areaCercaPuntiClassificaSquadra,3,FALSE),-1)=IFERROR(VLOOKUP($AM65,areaCercaPuntiClassificaSquadra,3,FALSE),-2)),SUMIFS(Dati!$D$2:$D$761,Dati!$A$2:$A$761,$H65,Dati!$H$2:$H$761,$AM65)+SUMIFS(Dati!$K$2:$K$761,Dati!$H$2:$H$761,$H65,Dati!$A$2:$A$761,$AM65)+SUMIFS(Dati!$C$2:$C$761,Dati!$A$2:$A$761,$H65,Dati!$H$2:$H$761,$AM65)+SUMIFS(Dati!$J$2:$J$761,Dati!$H$2:$H$761,$H65,Dati!$A$2:$A$761,$AM65),"-")</f>
        <v/>
      </c>
      <c r="CF65" s="22">
        <f>IF(AND($H65&lt;&gt;"",$AN65&lt;&gt;"",$H65&lt;&gt;$AN65,IFERROR(VLOOKUP($H65,areaCercaPuntiClassificaSquadra,3,FALSE),-1)=IFERROR(VLOOKUP($AN65,areaCercaPuntiClassificaSquadra,3,FALSE),-2)),SUMIFS(Dati!$D$2:$D$761,Dati!$A$2:$A$761,$H65,Dati!$H$2:$H$761,$AN65)+SUMIFS(Dati!$K$2:$K$761,Dati!$H$2:$H$761,$H65,Dati!$A$2:$A$761,$AN65)+SUMIFS(Dati!$C$2:$C$761,Dati!$A$2:$A$761,$H65,Dati!$H$2:$H$761,$AN65)+SUMIFS(Dati!$J$2:$J$761,Dati!$H$2:$H$761,$H65,Dati!$A$2:$A$761,$AN65),"-")</f>
        <v/>
      </c>
      <c r="CG65" s="22">
        <f>IF(AND($H65&lt;&gt;"",$AO65&lt;&gt;"",$H65&lt;&gt;$AO65,IFERROR(VLOOKUP($H65,areaCercaPuntiClassificaSquadra,3,FALSE),-1)=IFERROR(VLOOKUP($AO65,areaCercaPuntiClassificaSquadra,3,FALSE),-2)),SUMIFS(Dati!$D$2:$D$761,Dati!$A$2:$A$761,$H65,Dati!$H$2:$H$761,$AO65)+SUMIFS(Dati!$K$2:$K$761,Dati!$H$2:$H$761,$H65,Dati!$A$2:$A$761,$AO65)+SUMIFS(Dati!$C$2:$C$761,Dati!$A$2:$A$761,$H65,Dati!$H$2:$H$761,$AO65)+SUMIFS(Dati!$J$2:$J$761,Dati!$H$2:$H$761,$H65,Dati!$A$2:$A$761,$AO65),"-")</f>
        <v/>
      </c>
      <c r="CH65" s="22">
        <f>IF(AND($H65&lt;&gt;"",$AP65&lt;&gt;"",$H65&lt;&gt;$AP65,IFERROR(VLOOKUP($H65,areaCercaPuntiClassificaSquadra,3,FALSE),-1)=IFERROR(VLOOKUP($AP65,areaCercaPuntiClassificaSquadra,3,FALSE),-2)),SUMIFS(Dati!$D$2:$D$761,Dati!$A$2:$A$761,$H65,Dati!$H$2:$H$761,$AP65)+SUMIFS(Dati!$K$2:$K$761,Dati!$H$2:$H$761,$H65,Dati!$A$2:$A$761,$AP65)+SUMIFS(Dati!$C$2:$C$761,Dati!$A$2:$A$761,$H65,Dati!$H$2:$H$761,$AP65)+SUMIFS(Dati!$J$2:$J$761,Dati!$H$2:$H$761,$H65,Dati!$A$2:$A$761,$AP65),"-")</f>
        <v/>
      </c>
      <c r="CI65" s="22">
        <f>IF(AND($H65&lt;&gt;"",$AQ65&lt;&gt;"",$H65&lt;&gt;$AQ65,IFERROR(VLOOKUP($H65,areaCercaPuntiClassificaSquadra,3,FALSE),-1)=IFERROR(VLOOKUP($AQ65,areaCercaPuntiClassificaSquadra,3,FALSE),-2)),SUMIFS(Dati!$D$2:$D$761,Dati!$A$2:$A$761,$H65,Dati!$H$2:$H$761,$AQ65)+SUMIFS(Dati!$K$2:$K$761,Dati!$H$2:$H$761,$H65,Dati!$A$2:$A$761,$AQ65)+SUMIFS(Dati!$C$2:$C$761,Dati!$A$2:$A$761,$H65,Dati!$H$2:$H$761,$AQ65)+SUMIFS(Dati!$J$2:$J$761,Dati!$H$2:$H$761,$H65,Dati!$A$2:$A$761,$AQ65),"-")</f>
        <v/>
      </c>
      <c r="CJ65" s="22">
        <f>IF(AND($H65&lt;&gt;"",$AR65&lt;&gt;"",$H65&lt;&gt;$AR65,IFERROR(VLOOKUP($H65,areaCercaPuntiClassificaSquadra,3,FALSE),-1)=IFERROR(VLOOKUP($AR65,areaCercaPuntiClassificaSquadra,3,FALSE),-2)),SUMIFS(Dati!$D$2:$D$761,Dati!$A$2:$A$761,$H65,Dati!$H$2:$H$761,$AR65)+SUMIFS(Dati!$K$2:$K$761,Dati!$H$2:$H$761,$H65,Dati!$A$2:$A$761,$AR65)+SUMIFS(Dati!$C$2:$C$761,Dati!$A$2:$A$761,$H65,Dati!$H$2:$H$761,$AR65)+SUMIFS(Dati!$J$2:$J$761,Dati!$H$2:$H$761,$H65,Dati!$A$2:$A$761,$AR65),"-")</f>
        <v/>
      </c>
      <c r="CL65" s="21">
        <f>$C65</f>
        <v/>
      </c>
      <c r="CM65" s="22">
        <f>IF(AND($H65&lt;&gt;"",$Y65&lt;&gt;"",$H65&lt;&gt;$Y65,IFERROR(VLOOKUP($H65,areaCercaPuntiClassificaSquadra,3,FALSE),-1)=IFERROR(VLOOKUP($Y65,areaCercaPuntiClassificaSquadra,3,FALSE),-2)),SUMIFS(Dati!$E$2:$E$761,Dati!$A$2:$A$761,$H65,Dati!$H$2:$H$761,$Y65)+SUMIFS(Dati!$L$2:$L$761,Dati!$H$2:$H$761,$H65,Dati!$A$2:$A$761,$Y65),"-")</f>
        <v/>
      </c>
      <c r="CN65" s="22">
        <f>IF(AND($H65&lt;&gt;"",$Z65&lt;&gt;"",$H65&lt;&gt;$Z65,IFERROR(VLOOKUP($H65,areaCercaPuntiClassificaSquadra,3,FALSE),-1)=IFERROR(VLOOKUP($Z65,areaCercaPuntiClassificaSquadra,3,FALSE),-2)),SUMIFS(Dati!$E$2:$E$761,Dati!$A$2:$A$761,$H65,Dati!$H$2:$H$761,$Z65)+SUMIFS(Dati!$L$2:$L$761,Dati!$H$2:$H$761,$H65,Dati!$A$2:$A$761,$Z65),"-")</f>
        <v/>
      </c>
      <c r="CO65" s="22">
        <f>IF(AND($H65&lt;&gt;"",$AA65&lt;&gt;"",$H65&lt;&gt;$AA65,IFERROR(VLOOKUP($H65,areaCercaPuntiClassificaSquadra,3,FALSE),-1)=IFERROR(VLOOKUP($AA65,areaCercaPuntiClassificaSquadra,3,FALSE),-2)),SUMIFS(Dati!$E$2:$E$761,Dati!$A$2:$A$761,$H65,Dati!$H$2:$H$761,$AA65)+SUMIFS(Dati!$L$2:$L$761,Dati!$H$2:$H$761,$H65,Dati!$A$2:$A$761,$AA65),"-")</f>
        <v/>
      </c>
      <c r="CP65" s="22">
        <f>IF(AND($H65&lt;&gt;"",$AB65&lt;&gt;"",$H65&lt;&gt;$AB65,IFERROR(VLOOKUP($H65,areaCercaPuntiClassificaSquadra,3,FALSE),-1)=IFERROR(VLOOKUP($AB65,areaCercaPuntiClassificaSquadra,3,FALSE),-2)),SUMIFS(Dati!$E$2:$E$761,Dati!$A$2:$A$761,$H65,Dati!$H$2:$H$761,$AB65)+SUMIFS(Dati!$L$2:$L$761,Dati!$H$2:$H$761,$H65,Dati!$A$2:$A$761,$AB65),"-")</f>
        <v/>
      </c>
      <c r="CQ65" s="22">
        <f>IF(AND($H65&lt;&gt;"",$AC65&lt;&gt;"",$H65&lt;&gt;$AC65,IFERROR(VLOOKUP($H65,areaCercaPuntiClassificaSquadra,3,FALSE),-1)=IFERROR(VLOOKUP($AC65,areaCercaPuntiClassificaSquadra,3,FALSE),-2)),SUMIFS(Dati!$E$2:$E$761,Dati!$A$2:$A$761,$H65,Dati!$H$2:$H$761,$AC65)+SUMIFS(Dati!$L$2:$L$761,Dati!$H$2:$H$761,$H65,Dati!$A$2:$A$761,$AC65),"-")</f>
        <v/>
      </c>
      <c r="CR65" s="22">
        <f>IF(AND($H65&lt;&gt;"",$AD65&lt;&gt;"",$H65&lt;&gt;$AD65,IFERROR(VLOOKUP($H65,areaCercaPuntiClassificaSquadra,3,FALSE),-1)=IFERROR(VLOOKUP($AD65,areaCercaPuntiClassificaSquadra,3,FALSE),-2)),SUMIFS(Dati!$E$2:$E$761,Dati!$A$2:$A$761,$H65,Dati!$H$2:$H$761,$AD65)+SUMIFS(Dati!$L$2:$L$761,Dati!$H$2:$H$761,$H65,Dati!$A$2:$A$761,$AD65),"-")</f>
        <v/>
      </c>
      <c r="CS65" s="22">
        <f>IF(AND($H65&lt;&gt;"",$AE65&lt;&gt;"",$H65&lt;&gt;$AE65,IFERROR(VLOOKUP($H65,areaCercaPuntiClassificaSquadra,3,FALSE),-1)=IFERROR(VLOOKUP($AE65,areaCercaPuntiClassificaSquadra,3,FALSE),-2)),SUMIFS(Dati!$E$2:$E$761,Dati!$A$2:$A$761,$H65,Dati!$H$2:$H$761,$AE65)+SUMIFS(Dati!$L$2:$L$761,Dati!$H$2:$H$761,$H65,Dati!$A$2:$A$761,$AE65),"-")</f>
        <v/>
      </c>
      <c r="CT65" s="22">
        <f>IF(AND($H65&lt;&gt;"",$AF65&lt;&gt;"",$H65&lt;&gt;$AF65,IFERROR(VLOOKUP($H65,areaCercaPuntiClassificaSquadra,3,FALSE),-1)=IFERROR(VLOOKUP($AF65,areaCercaPuntiClassificaSquadra,3,FALSE),-2)),SUMIFS(Dati!$E$2:$E$761,Dati!$A$2:$A$761,$H65,Dati!$H$2:$H$761,$AF65)+SUMIFS(Dati!$L$2:$L$761,Dati!$H$2:$H$761,$H65,Dati!$A$2:$A$761,$AF65),"-")</f>
        <v/>
      </c>
      <c r="CU65" s="22">
        <f>IF(AND($H65&lt;&gt;"",$AG65&lt;&gt;"",$H65&lt;&gt;$AG65,IFERROR(VLOOKUP($H65,areaCercaPuntiClassificaSquadra,3,FALSE),-1)=IFERROR(VLOOKUP($AG65,areaCercaPuntiClassificaSquadra,3,FALSE),-2)),SUMIFS(Dati!$E$2:$E$761,Dati!$A$2:$A$761,$H65,Dati!$H$2:$H$761,$AG65)+SUMIFS(Dati!$L$2:$L$761,Dati!$H$2:$H$761,$H65,Dati!$A$2:$A$761,$AG65),"-")</f>
        <v/>
      </c>
      <c r="CV65" s="22">
        <f>IF(AND($H65&lt;&gt;"",$AH65&lt;&gt;"",$H65&lt;&gt;$AH65,IFERROR(VLOOKUP($H65,areaCercaPuntiClassificaSquadra,3,FALSE),-1)=IFERROR(VLOOKUP($AH65,areaCercaPuntiClassificaSquadra,3,FALSE),-2)),SUMIFS(Dati!$E$2:$E$761,Dati!$A$2:$A$761,$H65,Dati!$H$2:$H$761,$AH65)+SUMIFS(Dati!$L$2:$L$761,Dati!$H$2:$H$761,$H65,Dati!$A$2:$A$761,$AH65),"-")</f>
        <v/>
      </c>
      <c r="CW65" s="22">
        <f>IF(AND($H65&lt;&gt;"",$AI65&lt;&gt;"",$H65&lt;&gt;$AI65,IFERROR(VLOOKUP($H65,areaCercaPuntiClassificaSquadra,3,FALSE),-1)=IFERROR(VLOOKUP($AI65,areaCercaPuntiClassificaSquadra,3,FALSE),-2)),SUMIFS(Dati!$E$2:$E$761,Dati!$A$2:$A$761,$H65,Dati!$H$2:$H$761,$AI65)+SUMIFS(Dati!$L$2:$L$761,Dati!$H$2:$H$761,$H65,Dati!$A$2:$A$761,$AI65),"-")</f>
        <v/>
      </c>
      <c r="CX65" s="22">
        <f>IF(AND($H65&lt;&gt;"",$AJ65&lt;&gt;"",$H65&lt;&gt;$AJ65,IFERROR(VLOOKUP($H65,areaCercaPuntiClassificaSquadra,3,FALSE),-1)=IFERROR(VLOOKUP($AJ65,areaCercaPuntiClassificaSquadra,3,FALSE),-2)),SUMIFS(Dati!$E$2:$E$761,Dati!$A$2:$A$761,$H65,Dati!$H$2:$H$761,$AJ65)+SUMIFS(Dati!$L$2:$L$761,Dati!$H$2:$H$761,$H65,Dati!$A$2:$A$761,$AJ65),"-")</f>
        <v/>
      </c>
      <c r="CY65" s="22">
        <f>IF(AND($H65&lt;&gt;"",$AK65&lt;&gt;"",$H65&lt;&gt;$AK65,IFERROR(VLOOKUP($H65,areaCercaPuntiClassificaSquadra,3,FALSE),-1)=IFERROR(VLOOKUP($AK65,areaCercaPuntiClassificaSquadra,3,FALSE),-2)),SUMIFS(Dati!$E$2:$E$761,Dati!$A$2:$A$761,$H65,Dati!$H$2:$H$761,$AK65)+SUMIFS(Dati!$L$2:$L$761,Dati!$H$2:$H$761,$H65,Dati!$A$2:$A$761,$AK65),"-")</f>
        <v/>
      </c>
      <c r="CZ65" s="22">
        <f>IF(AND($H65&lt;&gt;"",$AL65&lt;&gt;"",$H65&lt;&gt;$AL65,IFERROR(VLOOKUP($H65,areaCercaPuntiClassificaSquadra,3,FALSE),-1)=IFERROR(VLOOKUP($AL65,areaCercaPuntiClassificaSquadra,3,FALSE),-2)),SUMIFS(Dati!$E$2:$E$761,Dati!$A$2:$A$761,$H65,Dati!$H$2:$H$761,$AL65)+SUMIFS(Dati!$L$2:$L$761,Dati!$H$2:$H$761,$H65,Dati!$A$2:$A$761,$AL65),"-")</f>
        <v/>
      </c>
      <c r="DA65" s="22">
        <f>IF(AND($H65&lt;&gt;"",$AM65&lt;&gt;"",$H65&lt;&gt;$AM65,IFERROR(VLOOKUP($H65,areaCercaPuntiClassificaSquadra,3,FALSE),-1)=IFERROR(VLOOKUP($AM65,areaCercaPuntiClassificaSquadra,3,FALSE),-2)),SUMIFS(Dati!$E$2:$E$761,Dati!$A$2:$A$761,$H65,Dati!$H$2:$H$761,$AM65)+SUMIFS(Dati!$L$2:$L$761,Dati!$H$2:$H$761,$H65,Dati!$A$2:$A$761,$AM65),"-")</f>
        <v/>
      </c>
      <c r="DB65" s="22">
        <f>IF(AND($H65&lt;&gt;"",$AN65&lt;&gt;"",$H65&lt;&gt;$AN65,IFERROR(VLOOKUP($H65,areaCercaPuntiClassificaSquadra,3,FALSE),-1)=IFERROR(VLOOKUP($AN65,areaCercaPuntiClassificaSquadra,3,FALSE),-2)),SUMIFS(Dati!$E$2:$E$761,Dati!$A$2:$A$761,$H65,Dati!$H$2:$H$761,$AN65)+SUMIFS(Dati!$L$2:$L$761,Dati!$H$2:$H$761,$H65,Dati!$A$2:$A$761,$AN65),"-")</f>
        <v/>
      </c>
      <c r="DC65" s="22">
        <f>IF(AND($H65&lt;&gt;"",$AO65&lt;&gt;"",$H65&lt;&gt;$AO65,IFERROR(VLOOKUP($H65,areaCercaPuntiClassificaSquadra,3,FALSE),-1)=IFERROR(VLOOKUP($AO65,areaCercaPuntiClassificaSquadra,3,FALSE),-2)),SUMIFS(Dati!$E$2:$E$761,Dati!$A$2:$A$761,$H65,Dati!$H$2:$H$761,$AO65)+SUMIFS(Dati!$L$2:$L$761,Dati!$H$2:$H$761,$H65,Dati!$A$2:$A$761,$AO65),"-")</f>
        <v/>
      </c>
      <c r="DD65" s="22">
        <f>IF(AND($H65&lt;&gt;"",$AP65&lt;&gt;"",$H65&lt;&gt;$AP65,IFERROR(VLOOKUP($H65,areaCercaPuntiClassificaSquadra,3,FALSE),-1)=IFERROR(VLOOKUP($AP65,areaCercaPuntiClassificaSquadra,3,FALSE),-2)),SUMIFS(Dati!$E$2:$E$761,Dati!$A$2:$A$761,$H65,Dati!$H$2:$H$761,$AP65)+SUMIFS(Dati!$L$2:$L$761,Dati!$H$2:$H$761,$H65,Dati!$A$2:$A$761,$AP65),"-")</f>
        <v/>
      </c>
      <c r="DE65" s="22">
        <f>IF(AND($H65&lt;&gt;"",$AQ65&lt;&gt;"",$H65&lt;&gt;$AQ65,IFERROR(VLOOKUP($H65,areaCercaPuntiClassificaSquadra,3,FALSE),-1)=IFERROR(VLOOKUP($AQ65,areaCercaPuntiClassificaSquadra,3,FALSE),-2)),SUMIFS(Dati!$E$2:$E$761,Dati!$A$2:$A$761,$H65,Dati!$H$2:$H$761,$AQ65)+SUMIFS(Dati!$L$2:$L$761,Dati!$H$2:$H$761,$H65,Dati!$A$2:$A$761,$AQ65),"-")</f>
        <v/>
      </c>
      <c r="DF65" s="22">
        <f>IF(AND($H65&lt;&gt;"",$AR65&lt;&gt;"",$H65&lt;&gt;$AR65,IFERROR(VLOOKUP($H65,areaCercaPuntiClassificaSquadra,3,FALSE),-1)=IFERROR(VLOOKUP($AR65,areaCercaPuntiClassificaSquadra,3,FALSE),-2)),SUMIFS(Dati!$E$2:$E$761,Dati!$A$2:$A$761,$H65,Dati!$H$2:$H$761,$AR65)+SUMIFS(Dati!$L$2:$L$761,Dati!$H$2:$H$761,$H65,Dati!$A$2:$A$761,$AR65),"-")</f>
        <v/>
      </c>
      <c r="DH65" s="21">
        <f>$C65</f>
        <v/>
      </c>
      <c r="DI65" s="22">
        <f>IF(AND($H65&lt;&gt;"",$Y65&lt;&gt;"",$H65&lt;&gt;$Y65,IFERROR(VLOOKUP($H65,areaCercaPuntiClassificaSquadra,3,FALSE),-1)=IFERROR(VLOOKUP($Y65,areaCercaPuntiClassificaSquadra,3,FALSE),-2)),SUMIFS(Dati!$F$2:$F$761,Dati!$A$2:$A$761,$H65,Dati!$H$2:$H$761,$Y65)+SUMIFS(Dati!$M$2:$M$761,Dati!$H$2:$H$761,$H65,Dati!$A$2:$A$761,$Y65),"-")</f>
        <v/>
      </c>
      <c r="DJ65" s="22">
        <f>IF(AND($H65&lt;&gt;"",$Z65&lt;&gt;"",$H65&lt;&gt;$Z65,IFERROR(VLOOKUP($H65,areaCercaPuntiClassificaSquadra,3,FALSE),-1)=IFERROR(VLOOKUP($Z65,areaCercaPuntiClassificaSquadra,3,FALSE),-2)),SUMIFS(Dati!$F$2:$F$761,Dati!$A$2:$A$761,$H65,Dati!$H$2:$H$761,$Z65)+SUMIFS(Dati!$M$2:$M$761,Dati!$H$2:$H$761,$H65,Dati!$A$2:$A$761,$Z65),"-")</f>
        <v/>
      </c>
      <c r="DK65" s="22">
        <f>IF(AND($H65&lt;&gt;"",$AA65&lt;&gt;"",$H65&lt;&gt;$AA65,IFERROR(VLOOKUP($H65,areaCercaPuntiClassificaSquadra,3,FALSE),-1)=IFERROR(VLOOKUP($AA65,areaCercaPuntiClassificaSquadra,3,FALSE),-2)),SUMIFS(Dati!$F$2:$F$761,Dati!$A$2:$A$761,$H65,Dati!$H$2:$H$761,$AA65)+SUMIFS(Dati!$M$2:$M$761,Dati!$H$2:$H$761,$H65,Dati!$A$2:$A$761,$AA65),"-")</f>
        <v/>
      </c>
      <c r="DL65" s="22">
        <f>IF(AND($H65&lt;&gt;"",$AB65&lt;&gt;"",$H65&lt;&gt;$AB65,IFERROR(VLOOKUP($H65,areaCercaPuntiClassificaSquadra,3,FALSE),-1)=IFERROR(VLOOKUP($AB65,areaCercaPuntiClassificaSquadra,3,FALSE),-2)),SUMIFS(Dati!$F$2:$F$761,Dati!$A$2:$A$761,$H65,Dati!$H$2:$H$761,$AB65)+SUMIFS(Dati!$M$2:$M$761,Dati!$H$2:$H$761,$H65,Dati!$A$2:$A$761,$AB65),"-")</f>
        <v/>
      </c>
      <c r="DM65" s="22">
        <f>IF(AND($H65&lt;&gt;"",$AC65&lt;&gt;"",$H65&lt;&gt;$AC65,IFERROR(VLOOKUP($H65,areaCercaPuntiClassificaSquadra,3,FALSE),-1)=IFERROR(VLOOKUP($AC65,areaCercaPuntiClassificaSquadra,3,FALSE),-2)),SUMIFS(Dati!$F$2:$F$761,Dati!$A$2:$A$761,$H65,Dati!$H$2:$H$761,$AC65)+SUMIFS(Dati!$M$2:$M$761,Dati!$H$2:$H$761,$H65,Dati!$A$2:$A$761,$AC65),"-")</f>
        <v/>
      </c>
      <c r="DN65" s="22">
        <f>IF(AND($H65&lt;&gt;"",$AD65&lt;&gt;"",$H65&lt;&gt;$AD65,IFERROR(VLOOKUP($H65,areaCercaPuntiClassificaSquadra,3,FALSE),-1)=IFERROR(VLOOKUP($AD65,areaCercaPuntiClassificaSquadra,3,FALSE),-2)),SUMIFS(Dati!$F$2:$F$761,Dati!$A$2:$A$761,$H65,Dati!$H$2:$H$761,$AD65)+SUMIFS(Dati!$M$2:$M$761,Dati!$H$2:$H$761,$H65,Dati!$A$2:$A$761,$AD65),"-")</f>
        <v/>
      </c>
      <c r="DO65" s="22">
        <f>IF(AND($H65&lt;&gt;"",$AE65&lt;&gt;"",$H65&lt;&gt;$AE65,IFERROR(VLOOKUP($H65,areaCercaPuntiClassificaSquadra,3,FALSE),-1)=IFERROR(VLOOKUP($AE65,areaCercaPuntiClassificaSquadra,3,FALSE),-2)),SUMIFS(Dati!$F$2:$F$761,Dati!$A$2:$A$761,$H65,Dati!$H$2:$H$761,$AE65)+SUMIFS(Dati!$M$2:$M$761,Dati!$H$2:$H$761,$H65,Dati!$A$2:$A$761,$AE65),"-")</f>
        <v/>
      </c>
      <c r="DP65" s="22">
        <f>IF(AND($H65&lt;&gt;"",$AF65&lt;&gt;"",$H65&lt;&gt;$AF65,IFERROR(VLOOKUP($H65,areaCercaPuntiClassificaSquadra,3,FALSE),-1)=IFERROR(VLOOKUP($AF65,areaCercaPuntiClassificaSquadra,3,FALSE),-2)),SUMIFS(Dati!$F$2:$F$761,Dati!$A$2:$A$761,$H65,Dati!$H$2:$H$761,$AF65)+SUMIFS(Dati!$M$2:$M$761,Dati!$H$2:$H$761,$H65,Dati!$A$2:$A$761,$AF65),"-")</f>
        <v/>
      </c>
      <c r="DQ65" s="22">
        <f>IF(AND($H65&lt;&gt;"",$AG65&lt;&gt;"",$H65&lt;&gt;$AG65,IFERROR(VLOOKUP($H65,areaCercaPuntiClassificaSquadra,3,FALSE),-1)=IFERROR(VLOOKUP($AG65,areaCercaPuntiClassificaSquadra,3,FALSE),-2)),SUMIFS(Dati!$F$2:$F$761,Dati!$A$2:$A$761,$H65,Dati!$H$2:$H$761,$AG65)+SUMIFS(Dati!$M$2:$M$761,Dati!$H$2:$H$761,$H65,Dati!$A$2:$A$761,$AG65),"-")</f>
        <v/>
      </c>
      <c r="DR65" s="22">
        <f>IF(AND($H65&lt;&gt;"",$AH65&lt;&gt;"",$H65&lt;&gt;$AH65,IFERROR(VLOOKUP($H65,areaCercaPuntiClassificaSquadra,3,FALSE),-1)=IFERROR(VLOOKUP($AH65,areaCercaPuntiClassificaSquadra,3,FALSE),-2)),SUMIFS(Dati!$F$2:$F$761,Dati!$A$2:$A$761,$H65,Dati!$H$2:$H$761,$AH65)+SUMIFS(Dati!$M$2:$M$761,Dati!$H$2:$H$761,$H65,Dati!$A$2:$A$761,$AH65),"-")</f>
        <v/>
      </c>
      <c r="DS65" s="22">
        <f>IF(AND($H65&lt;&gt;"",$AI65&lt;&gt;"",$H65&lt;&gt;$AI65,IFERROR(VLOOKUP($H65,areaCercaPuntiClassificaSquadra,3,FALSE),-1)=IFERROR(VLOOKUP($AI65,areaCercaPuntiClassificaSquadra,3,FALSE),-2)),SUMIFS(Dati!$F$2:$F$761,Dati!$A$2:$A$761,$H65,Dati!$H$2:$H$761,$AI65)+SUMIFS(Dati!$M$2:$M$761,Dati!$H$2:$H$761,$H65,Dati!$A$2:$A$761,$AI65),"-")</f>
        <v/>
      </c>
      <c r="DT65" s="22">
        <f>IF(AND($H65&lt;&gt;"",$AJ65&lt;&gt;"",$H65&lt;&gt;$AJ65,IFERROR(VLOOKUP($H65,areaCercaPuntiClassificaSquadra,3,FALSE),-1)=IFERROR(VLOOKUP($AJ65,areaCercaPuntiClassificaSquadra,3,FALSE),-2)),SUMIFS(Dati!$F$2:$F$761,Dati!$A$2:$A$761,$H65,Dati!$H$2:$H$761,$AJ65)+SUMIFS(Dati!$M$2:$M$761,Dati!$H$2:$H$761,$H65,Dati!$A$2:$A$761,$AJ65),"-")</f>
        <v/>
      </c>
      <c r="DU65" s="22">
        <f>IF(AND($H65&lt;&gt;"",$AK65&lt;&gt;"",$H65&lt;&gt;$AK65,IFERROR(VLOOKUP($H65,areaCercaPuntiClassificaSquadra,3,FALSE),-1)=IFERROR(VLOOKUP($AK65,areaCercaPuntiClassificaSquadra,3,FALSE),-2)),SUMIFS(Dati!$F$2:$F$761,Dati!$A$2:$A$761,$H65,Dati!$H$2:$H$761,$AK65)+SUMIFS(Dati!$M$2:$M$761,Dati!$H$2:$H$761,$H65,Dati!$A$2:$A$761,$AK65),"-")</f>
        <v/>
      </c>
      <c r="DV65" s="22">
        <f>IF(AND($H65&lt;&gt;"",$AL65&lt;&gt;"",$H65&lt;&gt;$AL65,IFERROR(VLOOKUP($H65,areaCercaPuntiClassificaSquadra,3,FALSE),-1)=IFERROR(VLOOKUP($AL65,areaCercaPuntiClassificaSquadra,3,FALSE),-2)),SUMIFS(Dati!$F$2:$F$761,Dati!$A$2:$A$761,$H65,Dati!$H$2:$H$761,$AL65)+SUMIFS(Dati!$M$2:$M$761,Dati!$H$2:$H$761,$H65,Dati!$A$2:$A$761,$AL65),"-")</f>
        <v/>
      </c>
      <c r="DW65" s="22">
        <f>IF(AND($H65&lt;&gt;"",$AM65&lt;&gt;"",$H65&lt;&gt;$AM65,IFERROR(VLOOKUP($H65,areaCercaPuntiClassificaSquadra,3,FALSE),-1)=IFERROR(VLOOKUP($AM65,areaCercaPuntiClassificaSquadra,3,FALSE),-2)),SUMIFS(Dati!$F$2:$F$761,Dati!$A$2:$A$761,$H65,Dati!$H$2:$H$761,$AM65)+SUMIFS(Dati!$M$2:$M$761,Dati!$H$2:$H$761,$H65,Dati!$A$2:$A$761,$AM65),"-")</f>
        <v/>
      </c>
      <c r="DX65" s="22">
        <f>IF(AND($H65&lt;&gt;"",$AN65&lt;&gt;"",$H65&lt;&gt;$AN65,IFERROR(VLOOKUP($H65,areaCercaPuntiClassificaSquadra,3,FALSE),-1)=IFERROR(VLOOKUP($AN65,areaCercaPuntiClassificaSquadra,3,FALSE),-2)),SUMIFS(Dati!$F$2:$F$761,Dati!$A$2:$A$761,$H65,Dati!$H$2:$H$761,$AN65)+SUMIFS(Dati!$M$2:$M$761,Dati!$H$2:$H$761,$H65,Dati!$A$2:$A$761,$AN65),"-")</f>
        <v/>
      </c>
      <c r="DY65" s="22">
        <f>IF(AND($H65&lt;&gt;"",$AO65&lt;&gt;"",$H65&lt;&gt;$AO65,IFERROR(VLOOKUP($H65,areaCercaPuntiClassificaSquadra,3,FALSE),-1)=IFERROR(VLOOKUP($AO65,areaCercaPuntiClassificaSquadra,3,FALSE),-2)),SUMIFS(Dati!$F$2:$F$761,Dati!$A$2:$A$761,$H65,Dati!$H$2:$H$761,$AO65)+SUMIFS(Dati!$M$2:$M$761,Dati!$H$2:$H$761,$H65,Dati!$A$2:$A$761,$AO65),"-")</f>
        <v/>
      </c>
      <c r="DZ65" s="22">
        <f>IF(AND($H65&lt;&gt;"",$AP65&lt;&gt;"",$H65&lt;&gt;$AP65,IFERROR(VLOOKUP($H65,areaCercaPuntiClassificaSquadra,3,FALSE),-1)=IFERROR(VLOOKUP($AP65,areaCercaPuntiClassificaSquadra,3,FALSE),-2)),SUMIFS(Dati!$F$2:$F$761,Dati!$A$2:$A$761,$H65,Dati!$H$2:$H$761,$AP65)+SUMIFS(Dati!$M$2:$M$761,Dati!$H$2:$H$761,$H65,Dati!$A$2:$A$761,$AP65),"-")</f>
        <v/>
      </c>
      <c r="EA65" s="22">
        <f>IF(AND($H65&lt;&gt;"",$AQ65&lt;&gt;"",$H65&lt;&gt;$AQ65,IFERROR(VLOOKUP($H65,areaCercaPuntiClassificaSquadra,3,FALSE),-1)=IFERROR(VLOOKUP($AQ65,areaCercaPuntiClassificaSquadra,3,FALSE),-2)),SUMIFS(Dati!$F$2:$F$761,Dati!$A$2:$A$761,$H65,Dati!$H$2:$H$761,$AQ65)+SUMIFS(Dati!$M$2:$M$761,Dati!$H$2:$H$761,$H65,Dati!$A$2:$A$761,$AQ65),"-")</f>
        <v/>
      </c>
      <c r="EB65" s="22">
        <f>IF(AND($H65&lt;&gt;"",$AR65&lt;&gt;"",$H65&lt;&gt;$AR65,IFERROR(VLOOKUP($H65,areaCercaPuntiClassificaSquadra,3,FALSE),-1)=IFERROR(VLOOKUP($AR65,areaCercaPuntiClassificaSquadra,3,FALSE),-2)),SUMIFS(Dati!$F$2:$F$761,Dati!$A$2:$A$761,$H65,Dati!$H$2:$H$761,$AR65)+SUMIFS(Dati!$M$2:$M$761,Dati!$H$2:$H$761,$H65,Dati!$A$2:$A$761,$AR65),"-")</f>
        <v/>
      </c>
      <c r="ED65" s="22">
        <f>IF($C65="","",SUM(AU65:BN65))</f>
        <v/>
      </c>
    </row>
    <row r="66">
      <c r="B66" s="12" t="inlineStr">
        <is>
          <t>C13</t>
        </is>
      </c>
      <c r="C66" s="13" t="inlineStr">
        <is>
          <t>Bradipi Belligeranti-Bradipiopoli BI</t>
        </is>
      </c>
      <c r="D66" s="14" t="n"/>
      <c r="E66" s="25" t="inlineStr">
        <is>
          <t>C</t>
        </is>
      </c>
      <c r="G66" s="26">
        <f>IF($C66="","",$E66&amp;(COUNTIFS(I$14:I$93,"&gt;"&amp;I66,E$14:E$93,"="&amp;E66,C$14:C$93,"&lt;&gt;")+COUNTIFS(I$14:I$93,"="&amp;I66,H$14:H$93,"&lt;="&amp;H66,E$14:E$93,"="&amp;E66,C$14:C$93,"&lt;&gt;")))</f>
        <v/>
      </c>
      <c r="H66" s="17">
        <f>IF($C66="","",IFERROR(LEFT($C66,FIND("-",$C66)-1),$C66))</f>
        <v/>
      </c>
      <c r="I66" s="12">
        <f>TEXT(1000000000+J66,"|0000000000|")&amp;TEXT(SUM(AU66:BN66),"0000000000|")&amp;IF(SUM(DI66:EB66)=0,"0000000000|",TEXT(ROUND(SUM(CM66:DF66)/SUM(DI66:EB66),4)*100000,"0000000000|"))&amp;IF(P66=0,"0000000000|",TEXT(ROUND(O66/P66,4)*100000,"0000000000|"))</f>
        <v/>
      </c>
      <c r="J66" s="26">
        <f>L66*constPuntiVittoria+M66*constPuntiSconfitta+N66*constPuntiForfait+IF(D66="",0,D66)</f>
        <v/>
      </c>
      <c r="K66" s="12">
        <f>SUM(L66:N66)</f>
        <v/>
      </c>
      <c r="L66" s="12">
        <f>IF($H66="",0,SUMIF(Dati!$A$2:$A$761,$H66,Dati!$B$2:$B$761)+SUMIF(Dati!$H$2:$H$761,$H66,Dati!$I$2:$I$761))</f>
        <v/>
      </c>
      <c r="M66" s="12">
        <f>IF($H66="",0,SUMIF(Dati!$A$2:$A$761,$H66,Dati!$D$2:$D$761)+SUMIF(Dati!$H$2:$H$761,$H66,Dati!$K$2:$K$761))</f>
        <v/>
      </c>
      <c r="N66" s="12">
        <f>IF($H66="",0,SUMIF(Dati!$A$2:$A$761,$H66,Dati!$C$2:$C$761)+SUMIF(Dati!$H$2:$H$761,$H66,Dati!$J$2:$J$761))</f>
        <v/>
      </c>
      <c r="O66" s="12">
        <f>IF($H66="",0,SUMIF(Dati!$A$2:$A$761,$H66,Dati!$E$2:$E$761)+SUMIF(Dati!$H$2:$H$761,$H66,Dati!$L$2:$L$761))</f>
        <v/>
      </c>
      <c r="P66" s="12">
        <f>IF($H66="",0,SUMIF(Dati!$A$2:$A$761,$H66,Dati!$F$2:$F$761)+SUMIF(Dati!$H$2:$H$761,$H66,Dati!$M$2:$M$761))</f>
        <v/>
      </c>
      <c r="Q66" s="12">
        <f>IF($H66="",0,SUMIF(Dati!$A$2:$A$761,$H66,Dati!$G$2:$G$761)+SUMIF(Dati!$H$2:$H$761,$H66,Dati!$N$2:$N$761))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IF(COUNTIFS($E$14:$E$93,$E66,$J$14:$J$93,$J66,$C$14:$C$93,"&lt;&gt;")&lt;=1,"-",SUM(AU66:BN66)&amp;"-"&amp;SUM(BQ66:CJ66))</f>
        <v/>
      </c>
      <c r="V66" s="18">
        <f>IF(COUNTIFS($E$14:$E$93,$E66,$J$14:$J$93,$J66,$C$14:$C$93,"&lt;&gt;",$ED$14:$ED$93,$ED66)&lt;=1,"-",IF(SUM(DI66:EB66)=0,0,ROUND(SUM(CM66:DF66)/SUM(DI66:EB66),3)))</f>
        <v/>
      </c>
      <c r="W66" s="18">
        <f>IF(COUNTIFS($E$14:$E$93,$E66,$J$14:$J$93,$J66,$C$14:$C$93,"&lt;&gt;",$ED$14:$ED$93,$ED66,$V$14:$V$93,$V66)&lt;=1,"-",IF(P66=0,0,ROUND(O66/P66,3)))</f>
        <v/>
      </c>
      <c r="X66" s="19">
        <f>IF($C66="","",$E66&amp;"#"&amp;COUNTIFS($E$14:$E66,$E66,$C$14:$C66,"&lt;&gt;"))</f>
        <v/>
      </c>
      <c r="Y66" s="20">
        <f>IFERROR(INDEX($H$14:$H$93,MATCH($E66&amp;"#1",$X$14:$X$93,0)),"")</f>
        <v/>
      </c>
      <c r="Z66" s="20">
        <f>IFERROR(INDEX($H$14:$H$93,MATCH($E66&amp;"#2",$X$14:$X$93,0)),"")</f>
        <v/>
      </c>
      <c r="AA66" s="20">
        <f>IFERROR(INDEX($H$14:$H$93,MATCH($E66&amp;"#3",$X$14:$X$93,0)),"")</f>
        <v/>
      </c>
      <c r="AB66" s="20">
        <f>IFERROR(INDEX($H$14:$H$93,MATCH($E66&amp;"#4",$X$14:$X$93,0)),"")</f>
        <v/>
      </c>
      <c r="AC66" s="20">
        <f>IFERROR(INDEX($H$14:$H$93,MATCH($E66&amp;"#5",$X$14:$X$93,0)),"")</f>
        <v/>
      </c>
      <c r="AD66" s="20">
        <f>IFERROR(INDEX($H$14:$H$93,MATCH($E66&amp;"#6",$X$14:$X$93,0)),"")</f>
        <v/>
      </c>
      <c r="AE66" s="20">
        <f>IFERROR(INDEX($H$14:$H$93,MATCH($E66&amp;"#7",$X$14:$X$93,0)),"")</f>
        <v/>
      </c>
      <c r="AF66" s="20">
        <f>IFERROR(INDEX($H$14:$H$93,MATCH($E66&amp;"#8",$X$14:$X$93,0)),"")</f>
        <v/>
      </c>
      <c r="AG66" s="20">
        <f>IFERROR(INDEX($H$14:$H$93,MATCH($E66&amp;"#9",$X$14:$X$93,0)),"")</f>
        <v/>
      </c>
      <c r="AH66" s="20">
        <f>IFERROR(INDEX($H$14:$H$93,MATCH($E66&amp;"#10",$X$14:$X$93,0)),"")</f>
        <v/>
      </c>
      <c r="AI66" s="20">
        <f>IFERROR(INDEX($H$14:$H$93,MATCH($E66&amp;"#11",$X$14:$X$93,0)),"")</f>
        <v/>
      </c>
      <c r="AJ66" s="20">
        <f>IFERROR(INDEX($H$14:$H$93,MATCH($E66&amp;"#12",$X$14:$X$93,0)),"")</f>
        <v/>
      </c>
      <c r="AK66" s="20">
        <f>IFERROR(INDEX($H$14:$H$93,MATCH($E66&amp;"#13",$X$14:$X$93,0)),"")</f>
        <v/>
      </c>
      <c r="AL66" s="20">
        <f>IFERROR(INDEX($H$14:$H$93,MATCH($E66&amp;"#14",$X$14:$X$93,0)),"")</f>
        <v/>
      </c>
      <c r="AM66" s="20">
        <f>IFERROR(INDEX($H$14:$H$93,MATCH($E66&amp;"#15",$X$14:$X$93,0)),"")</f>
        <v/>
      </c>
      <c r="AN66" s="20">
        <f>IFERROR(INDEX($H$14:$H$93,MATCH($E66&amp;"#16",$X$14:$X$93,0)),"")</f>
        <v/>
      </c>
      <c r="AO66" s="20">
        <f>IFERROR(INDEX($H$14:$H$93,MATCH($E66&amp;"#17",$X$14:$X$93,0)),"")</f>
        <v/>
      </c>
      <c r="AP66" s="20">
        <f>IFERROR(INDEX($H$14:$H$93,MATCH($E66&amp;"#18",$X$14:$X$93,0)),"")</f>
        <v/>
      </c>
      <c r="AQ66" s="20">
        <f>IFERROR(INDEX($H$14:$H$93,MATCH($E66&amp;"#19",$X$14:$X$93,0)),"")</f>
        <v/>
      </c>
      <c r="AR66" s="20">
        <f>IFERROR(INDEX($H$14:$H$93,MATCH($E66&amp;"#20",$X$14:$X$93,0)),"")</f>
        <v/>
      </c>
      <c r="AT66" s="21">
        <f>$C66</f>
        <v/>
      </c>
      <c r="AU66" s="22">
        <f>IF(AND($H66&lt;&gt;"",$Y66&lt;&gt;"",$H66&lt;&gt;$Y66,IFERROR(VLOOKUP($H66,areaCercaPuntiClassificaSquadra,3,FALSE),-1)=IFERROR(VLOOKUP($Y66,areaCercaPuntiClassificaSquadra,3,FALSE),-2)),SUMIFS(Dati!$B$2:$B$761,Dati!$A$2:$A$761,$H66,Dati!$H$2:$H$761,$Y66)+SUMIFS(Dati!$I$2:$I$761,Dati!$H$2:$H$761,$H66,Dati!$A$2:$A$761,$Y66),"-")</f>
        <v/>
      </c>
      <c r="AV66" s="22">
        <f>IF(AND($H66&lt;&gt;"",$Z66&lt;&gt;"",$H66&lt;&gt;$Z66,IFERROR(VLOOKUP($H66,areaCercaPuntiClassificaSquadra,3,FALSE),-1)=IFERROR(VLOOKUP($Z66,areaCercaPuntiClassificaSquadra,3,FALSE),-2)),SUMIFS(Dati!$B$2:$B$761,Dati!$A$2:$A$761,$H66,Dati!$H$2:$H$761,$Z66)+SUMIFS(Dati!$I$2:$I$761,Dati!$H$2:$H$761,$H66,Dati!$A$2:$A$761,$Z66),"-")</f>
        <v/>
      </c>
      <c r="AW66" s="22">
        <f>IF(AND($H66&lt;&gt;"",$AA66&lt;&gt;"",$H66&lt;&gt;$AA66,IFERROR(VLOOKUP($H66,areaCercaPuntiClassificaSquadra,3,FALSE),-1)=IFERROR(VLOOKUP($AA66,areaCercaPuntiClassificaSquadra,3,FALSE),-2)),SUMIFS(Dati!$B$2:$B$761,Dati!$A$2:$A$761,$H66,Dati!$H$2:$H$761,$AA66)+SUMIFS(Dati!$I$2:$I$761,Dati!$H$2:$H$761,$H66,Dati!$A$2:$A$761,$AA66),"-")</f>
        <v/>
      </c>
      <c r="AX66" s="22">
        <f>IF(AND($H66&lt;&gt;"",$AB66&lt;&gt;"",$H66&lt;&gt;$AB66,IFERROR(VLOOKUP($H66,areaCercaPuntiClassificaSquadra,3,FALSE),-1)=IFERROR(VLOOKUP($AB66,areaCercaPuntiClassificaSquadra,3,FALSE),-2)),SUMIFS(Dati!$B$2:$B$761,Dati!$A$2:$A$761,$H66,Dati!$H$2:$H$761,$AB66)+SUMIFS(Dati!$I$2:$I$761,Dati!$H$2:$H$761,$H66,Dati!$A$2:$A$761,$AB66),"-")</f>
        <v/>
      </c>
      <c r="AY66" s="22">
        <f>IF(AND($H66&lt;&gt;"",$AC66&lt;&gt;"",$H66&lt;&gt;$AC66,IFERROR(VLOOKUP($H66,areaCercaPuntiClassificaSquadra,3,FALSE),-1)=IFERROR(VLOOKUP($AC66,areaCercaPuntiClassificaSquadra,3,FALSE),-2)),SUMIFS(Dati!$B$2:$B$761,Dati!$A$2:$A$761,$H66,Dati!$H$2:$H$761,$AC66)+SUMIFS(Dati!$I$2:$I$761,Dati!$H$2:$H$761,$H66,Dati!$A$2:$A$761,$AC66),"-")</f>
        <v/>
      </c>
      <c r="AZ66" s="22">
        <f>IF(AND($H66&lt;&gt;"",$AD66&lt;&gt;"",$H66&lt;&gt;$AD66,IFERROR(VLOOKUP($H66,areaCercaPuntiClassificaSquadra,3,FALSE),-1)=IFERROR(VLOOKUP($AD66,areaCercaPuntiClassificaSquadra,3,FALSE),-2)),SUMIFS(Dati!$B$2:$B$761,Dati!$A$2:$A$761,$H66,Dati!$H$2:$H$761,$AD66)+SUMIFS(Dati!$I$2:$I$761,Dati!$H$2:$H$761,$H66,Dati!$A$2:$A$761,$AD66),"-")</f>
        <v/>
      </c>
      <c r="BA66" s="22">
        <f>IF(AND($H66&lt;&gt;"",$AE66&lt;&gt;"",$H66&lt;&gt;$AE66,IFERROR(VLOOKUP($H66,areaCercaPuntiClassificaSquadra,3,FALSE),-1)=IFERROR(VLOOKUP($AE66,areaCercaPuntiClassificaSquadra,3,FALSE),-2)),SUMIFS(Dati!$B$2:$B$761,Dati!$A$2:$A$761,$H66,Dati!$H$2:$H$761,$AE66)+SUMIFS(Dati!$I$2:$I$761,Dati!$H$2:$H$761,$H66,Dati!$A$2:$A$761,$AE66),"-")</f>
        <v/>
      </c>
      <c r="BB66" s="22">
        <f>IF(AND($H66&lt;&gt;"",$AF66&lt;&gt;"",$H66&lt;&gt;$AF66,IFERROR(VLOOKUP($H66,areaCercaPuntiClassificaSquadra,3,FALSE),-1)=IFERROR(VLOOKUP($AF66,areaCercaPuntiClassificaSquadra,3,FALSE),-2)),SUMIFS(Dati!$B$2:$B$761,Dati!$A$2:$A$761,$H66,Dati!$H$2:$H$761,$AF66)+SUMIFS(Dati!$I$2:$I$761,Dati!$H$2:$H$761,$H66,Dati!$A$2:$A$761,$AF66),"-")</f>
        <v/>
      </c>
      <c r="BC66" s="22">
        <f>IF(AND($H66&lt;&gt;"",$AG66&lt;&gt;"",$H66&lt;&gt;$AG66,IFERROR(VLOOKUP($H66,areaCercaPuntiClassificaSquadra,3,FALSE),-1)=IFERROR(VLOOKUP($AG66,areaCercaPuntiClassificaSquadra,3,FALSE),-2)),SUMIFS(Dati!$B$2:$B$761,Dati!$A$2:$A$761,$H66,Dati!$H$2:$H$761,$AG66)+SUMIFS(Dati!$I$2:$I$761,Dati!$H$2:$H$761,$H66,Dati!$A$2:$A$761,$AG66),"-")</f>
        <v/>
      </c>
      <c r="BD66" s="22">
        <f>IF(AND($H66&lt;&gt;"",$AH66&lt;&gt;"",$H66&lt;&gt;$AH66,IFERROR(VLOOKUP($H66,areaCercaPuntiClassificaSquadra,3,FALSE),-1)=IFERROR(VLOOKUP($AH66,areaCercaPuntiClassificaSquadra,3,FALSE),-2)),SUMIFS(Dati!$B$2:$B$761,Dati!$A$2:$A$761,$H66,Dati!$H$2:$H$761,$AH66)+SUMIFS(Dati!$I$2:$I$761,Dati!$H$2:$H$761,$H66,Dati!$A$2:$A$761,$AH66),"-")</f>
        <v/>
      </c>
      <c r="BE66" s="22">
        <f>IF(AND($H66&lt;&gt;"",$AI66&lt;&gt;"",$H66&lt;&gt;$AI66,IFERROR(VLOOKUP($H66,areaCercaPuntiClassificaSquadra,3,FALSE),-1)=IFERROR(VLOOKUP($AI66,areaCercaPuntiClassificaSquadra,3,FALSE),-2)),SUMIFS(Dati!$B$2:$B$761,Dati!$A$2:$A$761,$H66,Dati!$H$2:$H$761,$AI66)+SUMIFS(Dati!$I$2:$I$761,Dati!$H$2:$H$761,$H66,Dati!$A$2:$A$761,$AI66),"-")</f>
        <v/>
      </c>
      <c r="BF66" s="22">
        <f>IF(AND($H66&lt;&gt;"",$AJ66&lt;&gt;"",$H66&lt;&gt;$AJ66,IFERROR(VLOOKUP($H66,areaCercaPuntiClassificaSquadra,3,FALSE),-1)=IFERROR(VLOOKUP($AJ66,areaCercaPuntiClassificaSquadra,3,FALSE),-2)),SUMIFS(Dati!$B$2:$B$761,Dati!$A$2:$A$761,$H66,Dati!$H$2:$H$761,$AJ66)+SUMIFS(Dati!$I$2:$I$761,Dati!$H$2:$H$761,$H66,Dati!$A$2:$A$761,$AJ66),"-")</f>
        <v/>
      </c>
      <c r="BG66" s="22">
        <f>IF(AND($H66&lt;&gt;"",$AK66&lt;&gt;"",$H66&lt;&gt;$AK66,IFERROR(VLOOKUP($H66,areaCercaPuntiClassificaSquadra,3,FALSE),-1)=IFERROR(VLOOKUP($AK66,areaCercaPuntiClassificaSquadra,3,FALSE),-2)),SUMIFS(Dati!$B$2:$B$761,Dati!$A$2:$A$761,$H66,Dati!$H$2:$H$761,$AK66)+SUMIFS(Dati!$I$2:$I$761,Dati!$H$2:$H$761,$H66,Dati!$A$2:$A$761,$AK66),"-")</f>
        <v/>
      </c>
      <c r="BH66" s="22">
        <f>IF(AND($H66&lt;&gt;"",$AL66&lt;&gt;"",$H66&lt;&gt;$AL66,IFERROR(VLOOKUP($H66,areaCercaPuntiClassificaSquadra,3,FALSE),-1)=IFERROR(VLOOKUP($AL66,areaCercaPuntiClassificaSquadra,3,FALSE),-2)),SUMIFS(Dati!$B$2:$B$761,Dati!$A$2:$A$761,$H66,Dati!$H$2:$H$761,$AL66)+SUMIFS(Dati!$I$2:$I$761,Dati!$H$2:$H$761,$H66,Dati!$A$2:$A$761,$AL66),"-")</f>
        <v/>
      </c>
      <c r="BI66" s="22">
        <f>IF(AND($H66&lt;&gt;"",$AM66&lt;&gt;"",$H66&lt;&gt;$AM66,IFERROR(VLOOKUP($H66,areaCercaPuntiClassificaSquadra,3,FALSE),-1)=IFERROR(VLOOKUP($AM66,areaCercaPuntiClassificaSquadra,3,FALSE),-2)),SUMIFS(Dati!$B$2:$B$761,Dati!$A$2:$A$761,$H66,Dati!$H$2:$H$761,$AM66)+SUMIFS(Dati!$I$2:$I$761,Dati!$H$2:$H$761,$H66,Dati!$A$2:$A$761,$AM66),"-")</f>
        <v/>
      </c>
      <c r="BJ66" s="22">
        <f>IF(AND($H66&lt;&gt;"",$AN66&lt;&gt;"",$H66&lt;&gt;$AN66,IFERROR(VLOOKUP($H66,areaCercaPuntiClassificaSquadra,3,FALSE),-1)=IFERROR(VLOOKUP($AN66,areaCercaPuntiClassificaSquadra,3,FALSE),-2)),SUMIFS(Dati!$B$2:$B$761,Dati!$A$2:$A$761,$H66,Dati!$H$2:$H$761,$AN66)+SUMIFS(Dati!$I$2:$I$761,Dati!$H$2:$H$761,$H66,Dati!$A$2:$A$761,$AN66),"-")</f>
        <v/>
      </c>
      <c r="BK66" s="22">
        <f>IF(AND($H66&lt;&gt;"",$AO66&lt;&gt;"",$H66&lt;&gt;$AO66,IFERROR(VLOOKUP($H66,areaCercaPuntiClassificaSquadra,3,FALSE),-1)=IFERROR(VLOOKUP($AO66,areaCercaPuntiClassificaSquadra,3,FALSE),-2)),SUMIFS(Dati!$B$2:$B$761,Dati!$A$2:$A$761,$H66,Dati!$H$2:$H$761,$AO66)+SUMIFS(Dati!$I$2:$I$761,Dati!$H$2:$H$761,$H66,Dati!$A$2:$A$761,$AO66),"-")</f>
        <v/>
      </c>
      <c r="BL66" s="22">
        <f>IF(AND($H66&lt;&gt;"",$AP66&lt;&gt;"",$H66&lt;&gt;$AP66,IFERROR(VLOOKUP($H66,areaCercaPuntiClassificaSquadra,3,FALSE),-1)=IFERROR(VLOOKUP($AP66,areaCercaPuntiClassificaSquadra,3,FALSE),-2)),SUMIFS(Dati!$B$2:$B$761,Dati!$A$2:$A$761,$H66,Dati!$H$2:$H$761,$AP66)+SUMIFS(Dati!$I$2:$I$761,Dati!$H$2:$H$761,$H66,Dati!$A$2:$A$761,$AP66),"-")</f>
        <v/>
      </c>
      <c r="BM66" s="22">
        <f>IF(AND($H66&lt;&gt;"",$AQ66&lt;&gt;"",$H66&lt;&gt;$AQ66,IFERROR(VLOOKUP($H66,areaCercaPuntiClassificaSquadra,3,FALSE),-1)=IFERROR(VLOOKUP($AQ66,areaCercaPuntiClassificaSquadra,3,FALSE),-2)),SUMIFS(Dati!$B$2:$B$761,Dati!$A$2:$A$761,$H66,Dati!$H$2:$H$761,$AQ66)+SUMIFS(Dati!$I$2:$I$761,Dati!$H$2:$H$761,$H66,Dati!$A$2:$A$761,$AQ66),"-")</f>
        <v/>
      </c>
      <c r="BN66" s="22">
        <f>IF(AND($H66&lt;&gt;"",$AR66&lt;&gt;"",$H66&lt;&gt;$AR66,IFERROR(VLOOKUP($H66,areaCercaPuntiClassificaSquadra,3,FALSE),-1)=IFERROR(VLOOKUP($AR66,areaCercaPuntiClassificaSquadra,3,FALSE),-2)),SUMIFS(Dati!$B$2:$B$761,Dati!$A$2:$A$761,$H66,Dati!$H$2:$H$761,$AR66)+SUMIFS(Dati!$I$2:$I$761,Dati!$H$2:$H$761,$H66,Dati!$A$2:$A$761,$AR66),"-")</f>
        <v/>
      </c>
      <c r="BP66" s="21">
        <f>$C66</f>
        <v/>
      </c>
      <c r="BQ66" s="22">
        <f>IF(AND($H66&lt;&gt;"",$Y66&lt;&gt;"",$H66&lt;&gt;$Y66,IFERROR(VLOOKUP($H66,areaCercaPuntiClassificaSquadra,3,FALSE),-1)=IFERROR(VLOOKUP($Y66,areaCercaPuntiClassificaSquadra,3,FALSE),-2)),SUMIFS(Dati!$D$2:$D$761,Dati!$A$2:$A$761,$H66,Dati!$H$2:$H$761,$Y66)+SUMIFS(Dati!$K$2:$K$761,Dati!$H$2:$H$761,$H66,Dati!$A$2:$A$761,$Y66)+SUMIFS(Dati!$C$2:$C$761,Dati!$A$2:$A$761,$H66,Dati!$H$2:$H$761,$Y66)+SUMIFS(Dati!$J$2:$J$761,Dati!$H$2:$H$761,$H66,Dati!$A$2:$A$761,$Y66),"-")</f>
        <v/>
      </c>
      <c r="BR66" s="22">
        <f>IF(AND($H66&lt;&gt;"",$Z66&lt;&gt;"",$H66&lt;&gt;$Z66,IFERROR(VLOOKUP($H66,areaCercaPuntiClassificaSquadra,3,FALSE),-1)=IFERROR(VLOOKUP($Z66,areaCercaPuntiClassificaSquadra,3,FALSE),-2)),SUMIFS(Dati!$D$2:$D$761,Dati!$A$2:$A$761,$H66,Dati!$H$2:$H$761,$Z66)+SUMIFS(Dati!$K$2:$K$761,Dati!$H$2:$H$761,$H66,Dati!$A$2:$A$761,$Z66)+SUMIFS(Dati!$C$2:$C$761,Dati!$A$2:$A$761,$H66,Dati!$H$2:$H$761,$Z66)+SUMIFS(Dati!$J$2:$J$761,Dati!$H$2:$H$761,$H66,Dati!$A$2:$A$761,$Z66),"-")</f>
        <v/>
      </c>
      <c r="BS66" s="22">
        <f>IF(AND($H66&lt;&gt;"",$AA66&lt;&gt;"",$H66&lt;&gt;$AA66,IFERROR(VLOOKUP($H66,areaCercaPuntiClassificaSquadra,3,FALSE),-1)=IFERROR(VLOOKUP($AA66,areaCercaPuntiClassificaSquadra,3,FALSE),-2)),SUMIFS(Dati!$D$2:$D$761,Dati!$A$2:$A$761,$H66,Dati!$H$2:$H$761,$AA66)+SUMIFS(Dati!$K$2:$K$761,Dati!$H$2:$H$761,$H66,Dati!$A$2:$A$761,$AA66)+SUMIFS(Dati!$C$2:$C$761,Dati!$A$2:$A$761,$H66,Dati!$H$2:$H$761,$AA66)+SUMIFS(Dati!$J$2:$J$761,Dati!$H$2:$H$761,$H66,Dati!$A$2:$A$761,$AA66),"-")</f>
        <v/>
      </c>
      <c r="BT66" s="22">
        <f>IF(AND($H66&lt;&gt;"",$AB66&lt;&gt;"",$H66&lt;&gt;$AB66,IFERROR(VLOOKUP($H66,areaCercaPuntiClassificaSquadra,3,FALSE),-1)=IFERROR(VLOOKUP($AB66,areaCercaPuntiClassificaSquadra,3,FALSE),-2)),SUMIFS(Dati!$D$2:$D$761,Dati!$A$2:$A$761,$H66,Dati!$H$2:$H$761,$AB66)+SUMIFS(Dati!$K$2:$K$761,Dati!$H$2:$H$761,$H66,Dati!$A$2:$A$761,$AB66)+SUMIFS(Dati!$C$2:$C$761,Dati!$A$2:$A$761,$H66,Dati!$H$2:$H$761,$AB66)+SUMIFS(Dati!$J$2:$J$761,Dati!$H$2:$H$761,$H66,Dati!$A$2:$A$761,$AB66),"-")</f>
        <v/>
      </c>
      <c r="BU66" s="22">
        <f>IF(AND($H66&lt;&gt;"",$AC66&lt;&gt;"",$H66&lt;&gt;$AC66,IFERROR(VLOOKUP($H66,areaCercaPuntiClassificaSquadra,3,FALSE),-1)=IFERROR(VLOOKUP($AC66,areaCercaPuntiClassificaSquadra,3,FALSE),-2)),SUMIFS(Dati!$D$2:$D$761,Dati!$A$2:$A$761,$H66,Dati!$H$2:$H$761,$AC66)+SUMIFS(Dati!$K$2:$K$761,Dati!$H$2:$H$761,$H66,Dati!$A$2:$A$761,$AC66)+SUMIFS(Dati!$C$2:$C$761,Dati!$A$2:$A$761,$H66,Dati!$H$2:$H$761,$AC66)+SUMIFS(Dati!$J$2:$J$761,Dati!$H$2:$H$761,$H66,Dati!$A$2:$A$761,$AC66),"-")</f>
        <v/>
      </c>
      <c r="BV66" s="22">
        <f>IF(AND($H66&lt;&gt;"",$AD66&lt;&gt;"",$H66&lt;&gt;$AD66,IFERROR(VLOOKUP($H66,areaCercaPuntiClassificaSquadra,3,FALSE),-1)=IFERROR(VLOOKUP($AD66,areaCercaPuntiClassificaSquadra,3,FALSE),-2)),SUMIFS(Dati!$D$2:$D$761,Dati!$A$2:$A$761,$H66,Dati!$H$2:$H$761,$AD66)+SUMIFS(Dati!$K$2:$K$761,Dati!$H$2:$H$761,$H66,Dati!$A$2:$A$761,$AD66)+SUMIFS(Dati!$C$2:$C$761,Dati!$A$2:$A$761,$H66,Dati!$H$2:$H$761,$AD66)+SUMIFS(Dati!$J$2:$J$761,Dati!$H$2:$H$761,$H66,Dati!$A$2:$A$761,$AD66),"-")</f>
        <v/>
      </c>
      <c r="BW66" s="22">
        <f>IF(AND($H66&lt;&gt;"",$AE66&lt;&gt;"",$H66&lt;&gt;$AE66,IFERROR(VLOOKUP($H66,areaCercaPuntiClassificaSquadra,3,FALSE),-1)=IFERROR(VLOOKUP($AE66,areaCercaPuntiClassificaSquadra,3,FALSE),-2)),SUMIFS(Dati!$D$2:$D$761,Dati!$A$2:$A$761,$H66,Dati!$H$2:$H$761,$AE66)+SUMIFS(Dati!$K$2:$K$761,Dati!$H$2:$H$761,$H66,Dati!$A$2:$A$761,$AE66)+SUMIFS(Dati!$C$2:$C$761,Dati!$A$2:$A$761,$H66,Dati!$H$2:$H$761,$AE66)+SUMIFS(Dati!$J$2:$J$761,Dati!$H$2:$H$761,$H66,Dati!$A$2:$A$761,$AE66),"-")</f>
        <v/>
      </c>
      <c r="BX66" s="22">
        <f>IF(AND($H66&lt;&gt;"",$AF66&lt;&gt;"",$H66&lt;&gt;$AF66,IFERROR(VLOOKUP($H66,areaCercaPuntiClassificaSquadra,3,FALSE),-1)=IFERROR(VLOOKUP($AF66,areaCercaPuntiClassificaSquadra,3,FALSE),-2)),SUMIFS(Dati!$D$2:$D$761,Dati!$A$2:$A$761,$H66,Dati!$H$2:$H$761,$AF66)+SUMIFS(Dati!$K$2:$K$761,Dati!$H$2:$H$761,$H66,Dati!$A$2:$A$761,$AF66)+SUMIFS(Dati!$C$2:$C$761,Dati!$A$2:$A$761,$H66,Dati!$H$2:$H$761,$AF66)+SUMIFS(Dati!$J$2:$J$761,Dati!$H$2:$H$761,$H66,Dati!$A$2:$A$761,$AF66),"-")</f>
        <v/>
      </c>
      <c r="BY66" s="22">
        <f>IF(AND($H66&lt;&gt;"",$AG66&lt;&gt;"",$H66&lt;&gt;$AG66,IFERROR(VLOOKUP($H66,areaCercaPuntiClassificaSquadra,3,FALSE),-1)=IFERROR(VLOOKUP($AG66,areaCercaPuntiClassificaSquadra,3,FALSE),-2)),SUMIFS(Dati!$D$2:$D$761,Dati!$A$2:$A$761,$H66,Dati!$H$2:$H$761,$AG66)+SUMIFS(Dati!$K$2:$K$761,Dati!$H$2:$H$761,$H66,Dati!$A$2:$A$761,$AG66)+SUMIFS(Dati!$C$2:$C$761,Dati!$A$2:$A$761,$H66,Dati!$H$2:$H$761,$AG66)+SUMIFS(Dati!$J$2:$J$761,Dati!$H$2:$H$761,$H66,Dati!$A$2:$A$761,$AG66),"-")</f>
        <v/>
      </c>
      <c r="BZ66" s="22">
        <f>IF(AND($H66&lt;&gt;"",$AH66&lt;&gt;"",$H66&lt;&gt;$AH66,IFERROR(VLOOKUP($H66,areaCercaPuntiClassificaSquadra,3,FALSE),-1)=IFERROR(VLOOKUP($AH66,areaCercaPuntiClassificaSquadra,3,FALSE),-2)),SUMIFS(Dati!$D$2:$D$761,Dati!$A$2:$A$761,$H66,Dati!$H$2:$H$761,$AH66)+SUMIFS(Dati!$K$2:$K$761,Dati!$H$2:$H$761,$H66,Dati!$A$2:$A$761,$AH66)+SUMIFS(Dati!$C$2:$C$761,Dati!$A$2:$A$761,$H66,Dati!$H$2:$H$761,$AH66)+SUMIFS(Dati!$J$2:$J$761,Dati!$H$2:$H$761,$H66,Dati!$A$2:$A$761,$AH66),"-")</f>
        <v/>
      </c>
      <c r="CA66" s="22">
        <f>IF(AND($H66&lt;&gt;"",$AI66&lt;&gt;"",$H66&lt;&gt;$AI66,IFERROR(VLOOKUP($H66,areaCercaPuntiClassificaSquadra,3,FALSE),-1)=IFERROR(VLOOKUP($AI66,areaCercaPuntiClassificaSquadra,3,FALSE),-2)),SUMIFS(Dati!$D$2:$D$761,Dati!$A$2:$A$761,$H66,Dati!$H$2:$H$761,$AI66)+SUMIFS(Dati!$K$2:$K$761,Dati!$H$2:$H$761,$H66,Dati!$A$2:$A$761,$AI66)+SUMIFS(Dati!$C$2:$C$761,Dati!$A$2:$A$761,$H66,Dati!$H$2:$H$761,$AI66)+SUMIFS(Dati!$J$2:$J$761,Dati!$H$2:$H$761,$H66,Dati!$A$2:$A$761,$AI66),"-")</f>
        <v/>
      </c>
      <c r="CB66" s="22">
        <f>IF(AND($H66&lt;&gt;"",$AJ66&lt;&gt;"",$H66&lt;&gt;$AJ66,IFERROR(VLOOKUP($H66,areaCercaPuntiClassificaSquadra,3,FALSE),-1)=IFERROR(VLOOKUP($AJ66,areaCercaPuntiClassificaSquadra,3,FALSE),-2)),SUMIFS(Dati!$D$2:$D$761,Dati!$A$2:$A$761,$H66,Dati!$H$2:$H$761,$AJ66)+SUMIFS(Dati!$K$2:$K$761,Dati!$H$2:$H$761,$H66,Dati!$A$2:$A$761,$AJ66)+SUMIFS(Dati!$C$2:$C$761,Dati!$A$2:$A$761,$H66,Dati!$H$2:$H$761,$AJ66)+SUMIFS(Dati!$J$2:$J$761,Dati!$H$2:$H$761,$H66,Dati!$A$2:$A$761,$AJ66),"-")</f>
        <v/>
      </c>
      <c r="CC66" s="22">
        <f>IF(AND($H66&lt;&gt;"",$AK66&lt;&gt;"",$H66&lt;&gt;$AK66,IFERROR(VLOOKUP($H66,areaCercaPuntiClassificaSquadra,3,FALSE),-1)=IFERROR(VLOOKUP($AK66,areaCercaPuntiClassificaSquadra,3,FALSE),-2)),SUMIFS(Dati!$D$2:$D$761,Dati!$A$2:$A$761,$H66,Dati!$H$2:$H$761,$AK66)+SUMIFS(Dati!$K$2:$K$761,Dati!$H$2:$H$761,$H66,Dati!$A$2:$A$761,$AK66)+SUMIFS(Dati!$C$2:$C$761,Dati!$A$2:$A$761,$H66,Dati!$H$2:$H$761,$AK66)+SUMIFS(Dati!$J$2:$J$761,Dati!$H$2:$H$761,$H66,Dati!$A$2:$A$761,$AK66),"-")</f>
        <v/>
      </c>
      <c r="CD66" s="22">
        <f>IF(AND($H66&lt;&gt;"",$AL66&lt;&gt;"",$H66&lt;&gt;$AL66,IFERROR(VLOOKUP($H66,areaCercaPuntiClassificaSquadra,3,FALSE),-1)=IFERROR(VLOOKUP($AL66,areaCercaPuntiClassificaSquadra,3,FALSE),-2)),SUMIFS(Dati!$D$2:$D$761,Dati!$A$2:$A$761,$H66,Dati!$H$2:$H$761,$AL66)+SUMIFS(Dati!$K$2:$K$761,Dati!$H$2:$H$761,$H66,Dati!$A$2:$A$761,$AL66)+SUMIFS(Dati!$C$2:$C$761,Dati!$A$2:$A$761,$H66,Dati!$H$2:$H$761,$AL66)+SUMIFS(Dati!$J$2:$J$761,Dati!$H$2:$H$761,$H66,Dati!$A$2:$A$761,$AL66),"-")</f>
        <v/>
      </c>
      <c r="CE66" s="22">
        <f>IF(AND($H66&lt;&gt;"",$AM66&lt;&gt;"",$H66&lt;&gt;$AM66,IFERROR(VLOOKUP($H66,areaCercaPuntiClassificaSquadra,3,FALSE),-1)=IFERROR(VLOOKUP($AM66,areaCercaPuntiClassificaSquadra,3,FALSE),-2)),SUMIFS(Dati!$D$2:$D$761,Dati!$A$2:$A$761,$H66,Dati!$H$2:$H$761,$AM66)+SUMIFS(Dati!$K$2:$K$761,Dati!$H$2:$H$761,$H66,Dati!$A$2:$A$761,$AM66)+SUMIFS(Dati!$C$2:$C$761,Dati!$A$2:$A$761,$H66,Dati!$H$2:$H$761,$AM66)+SUMIFS(Dati!$J$2:$J$761,Dati!$H$2:$H$761,$H66,Dati!$A$2:$A$761,$AM66),"-")</f>
        <v/>
      </c>
      <c r="CF66" s="22">
        <f>IF(AND($H66&lt;&gt;"",$AN66&lt;&gt;"",$H66&lt;&gt;$AN66,IFERROR(VLOOKUP($H66,areaCercaPuntiClassificaSquadra,3,FALSE),-1)=IFERROR(VLOOKUP($AN66,areaCercaPuntiClassificaSquadra,3,FALSE),-2)),SUMIFS(Dati!$D$2:$D$761,Dati!$A$2:$A$761,$H66,Dati!$H$2:$H$761,$AN66)+SUMIFS(Dati!$K$2:$K$761,Dati!$H$2:$H$761,$H66,Dati!$A$2:$A$761,$AN66)+SUMIFS(Dati!$C$2:$C$761,Dati!$A$2:$A$761,$H66,Dati!$H$2:$H$761,$AN66)+SUMIFS(Dati!$J$2:$J$761,Dati!$H$2:$H$761,$H66,Dati!$A$2:$A$761,$AN66),"-")</f>
        <v/>
      </c>
      <c r="CG66" s="22">
        <f>IF(AND($H66&lt;&gt;"",$AO66&lt;&gt;"",$H66&lt;&gt;$AO66,IFERROR(VLOOKUP($H66,areaCercaPuntiClassificaSquadra,3,FALSE),-1)=IFERROR(VLOOKUP($AO66,areaCercaPuntiClassificaSquadra,3,FALSE),-2)),SUMIFS(Dati!$D$2:$D$761,Dati!$A$2:$A$761,$H66,Dati!$H$2:$H$761,$AO66)+SUMIFS(Dati!$K$2:$K$761,Dati!$H$2:$H$761,$H66,Dati!$A$2:$A$761,$AO66)+SUMIFS(Dati!$C$2:$C$761,Dati!$A$2:$A$761,$H66,Dati!$H$2:$H$761,$AO66)+SUMIFS(Dati!$J$2:$J$761,Dati!$H$2:$H$761,$H66,Dati!$A$2:$A$761,$AO66),"-")</f>
        <v/>
      </c>
      <c r="CH66" s="22">
        <f>IF(AND($H66&lt;&gt;"",$AP66&lt;&gt;"",$H66&lt;&gt;$AP66,IFERROR(VLOOKUP($H66,areaCercaPuntiClassificaSquadra,3,FALSE),-1)=IFERROR(VLOOKUP($AP66,areaCercaPuntiClassificaSquadra,3,FALSE),-2)),SUMIFS(Dati!$D$2:$D$761,Dati!$A$2:$A$761,$H66,Dati!$H$2:$H$761,$AP66)+SUMIFS(Dati!$K$2:$K$761,Dati!$H$2:$H$761,$H66,Dati!$A$2:$A$761,$AP66)+SUMIFS(Dati!$C$2:$C$761,Dati!$A$2:$A$761,$H66,Dati!$H$2:$H$761,$AP66)+SUMIFS(Dati!$J$2:$J$761,Dati!$H$2:$H$761,$H66,Dati!$A$2:$A$761,$AP66),"-")</f>
        <v/>
      </c>
      <c r="CI66" s="22">
        <f>IF(AND($H66&lt;&gt;"",$AQ66&lt;&gt;"",$H66&lt;&gt;$AQ66,IFERROR(VLOOKUP($H66,areaCercaPuntiClassificaSquadra,3,FALSE),-1)=IFERROR(VLOOKUP($AQ66,areaCercaPuntiClassificaSquadra,3,FALSE),-2)),SUMIFS(Dati!$D$2:$D$761,Dati!$A$2:$A$761,$H66,Dati!$H$2:$H$761,$AQ66)+SUMIFS(Dati!$K$2:$K$761,Dati!$H$2:$H$761,$H66,Dati!$A$2:$A$761,$AQ66)+SUMIFS(Dati!$C$2:$C$761,Dati!$A$2:$A$761,$H66,Dati!$H$2:$H$761,$AQ66)+SUMIFS(Dati!$J$2:$J$761,Dati!$H$2:$H$761,$H66,Dati!$A$2:$A$761,$AQ66),"-")</f>
        <v/>
      </c>
      <c r="CJ66" s="22">
        <f>IF(AND($H66&lt;&gt;"",$AR66&lt;&gt;"",$H66&lt;&gt;$AR66,IFERROR(VLOOKUP($H66,areaCercaPuntiClassificaSquadra,3,FALSE),-1)=IFERROR(VLOOKUP($AR66,areaCercaPuntiClassificaSquadra,3,FALSE),-2)),SUMIFS(Dati!$D$2:$D$761,Dati!$A$2:$A$761,$H66,Dati!$H$2:$H$761,$AR66)+SUMIFS(Dati!$K$2:$K$761,Dati!$H$2:$H$761,$H66,Dati!$A$2:$A$761,$AR66)+SUMIFS(Dati!$C$2:$C$761,Dati!$A$2:$A$761,$H66,Dati!$H$2:$H$761,$AR66)+SUMIFS(Dati!$J$2:$J$761,Dati!$H$2:$H$761,$H66,Dati!$A$2:$A$761,$AR66),"-")</f>
        <v/>
      </c>
      <c r="CL66" s="21">
        <f>$C66</f>
        <v/>
      </c>
      <c r="CM66" s="22">
        <f>IF(AND($H66&lt;&gt;"",$Y66&lt;&gt;"",$H66&lt;&gt;$Y66,IFERROR(VLOOKUP($H66,areaCercaPuntiClassificaSquadra,3,FALSE),-1)=IFERROR(VLOOKUP($Y66,areaCercaPuntiClassificaSquadra,3,FALSE),-2)),SUMIFS(Dati!$E$2:$E$761,Dati!$A$2:$A$761,$H66,Dati!$H$2:$H$761,$Y66)+SUMIFS(Dati!$L$2:$L$761,Dati!$H$2:$H$761,$H66,Dati!$A$2:$A$761,$Y66),"-")</f>
        <v/>
      </c>
      <c r="CN66" s="22">
        <f>IF(AND($H66&lt;&gt;"",$Z66&lt;&gt;"",$H66&lt;&gt;$Z66,IFERROR(VLOOKUP($H66,areaCercaPuntiClassificaSquadra,3,FALSE),-1)=IFERROR(VLOOKUP($Z66,areaCercaPuntiClassificaSquadra,3,FALSE),-2)),SUMIFS(Dati!$E$2:$E$761,Dati!$A$2:$A$761,$H66,Dati!$H$2:$H$761,$Z66)+SUMIFS(Dati!$L$2:$L$761,Dati!$H$2:$H$761,$H66,Dati!$A$2:$A$761,$Z66),"-")</f>
        <v/>
      </c>
      <c r="CO66" s="22">
        <f>IF(AND($H66&lt;&gt;"",$AA66&lt;&gt;"",$H66&lt;&gt;$AA66,IFERROR(VLOOKUP($H66,areaCercaPuntiClassificaSquadra,3,FALSE),-1)=IFERROR(VLOOKUP($AA66,areaCercaPuntiClassificaSquadra,3,FALSE),-2)),SUMIFS(Dati!$E$2:$E$761,Dati!$A$2:$A$761,$H66,Dati!$H$2:$H$761,$AA66)+SUMIFS(Dati!$L$2:$L$761,Dati!$H$2:$H$761,$H66,Dati!$A$2:$A$761,$AA66),"-")</f>
        <v/>
      </c>
      <c r="CP66" s="22">
        <f>IF(AND($H66&lt;&gt;"",$AB66&lt;&gt;"",$H66&lt;&gt;$AB66,IFERROR(VLOOKUP($H66,areaCercaPuntiClassificaSquadra,3,FALSE),-1)=IFERROR(VLOOKUP($AB66,areaCercaPuntiClassificaSquadra,3,FALSE),-2)),SUMIFS(Dati!$E$2:$E$761,Dati!$A$2:$A$761,$H66,Dati!$H$2:$H$761,$AB66)+SUMIFS(Dati!$L$2:$L$761,Dati!$H$2:$H$761,$H66,Dati!$A$2:$A$761,$AB66),"-")</f>
        <v/>
      </c>
      <c r="CQ66" s="22">
        <f>IF(AND($H66&lt;&gt;"",$AC66&lt;&gt;"",$H66&lt;&gt;$AC66,IFERROR(VLOOKUP($H66,areaCercaPuntiClassificaSquadra,3,FALSE),-1)=IFERROR(VLOOKUP($AC66,areaCercaPuntiClassificaSquadra,3,FALSE),-2)),SUMIFS(Dati!$E$2:$E$761,Dati!$A$2:$A$761,$H66,Dati!$H$2:$H$761,$AC66)+SUMIFS(Dati!$L$2:$L$761,Dati!$H$2:$H$761,$H66,Dati!$A$2:$A$761,$AC66),"-")</f>
        <v/>
      </c>
      <c r="CR66" s="22">
        <f>IF(AND($H66&lt;&gt;"",$AD66&lt;&gt;"",$H66&lt;&gt;$AD66,IFERROR(VLOOKUP($H66,areaCercaPuntiClassificaSquadra,3,FALSE),-1)=IFERROR(VLOOKUP($AD66,areaCercaPuntiClassificaSquadra,3,FALSE),-2)),SUMIFS(Dati!$E$2:$E$761,Dati!$A$2:$A$761,$H66,Dati!$H$2:$H$761,$AD66)+SUMIFS(Dati!$L$2:$L$761,Dati!$H$2:$H$761,$H66,Dati!$A$2:$A$761,$AD66),"-")</f>
        <v/>
      </c>
      <c r="CS66" s="22">
        <f>IF(AND($H66&lt;&gt;"",$AE66&lt;&gt;"",$H66&lt;&gt;$AE66,IFERROR(VLOOKUP($H66,areaCercaPuntiClassificaSquadra,3,FALSE),-1)=IFERROR(VLOOKUP($AE66,areaCercaPuntiClassificaSquadra,3,FALSE),-2)),SUMIFS(Dati!$E$2:$E$761,Dati!$A$2:$A$761,$H66,Dati!$H$2:$H$761,$AE66)+SUMIFS(Dati!$L$2:$L$761,Dati!$H$2:$H$761,$H66,Dati!$A$2:$A$761,$AE66),"-")</f>
        <v/>
      </c>
      <c r="CT66" s="22">
        <f>IF(AND($H66&lt;&gt;"",$AF66&lt;&gt;"",$H66&lt;&gt;$AF66,IFERROR(VLOOKUP($H66,areaCercaPuntiClassificaSquadra,3,FALSE),-1)=IFERROR(VLOOKUP($AF66,areaCercaPuntiClassificaSquadra,3,FALSE),-2)),SUMIFS(Dati!$E$2:$E$761,Dati!$A$2:$A$761,$H66,Dati!$H$2:$H$761,$AF66)+SUMIFS(Dati!$L$2:$L$761,Dati!$H$2:$H$761,$H66,Dati!$A$2:$A$761,$AF66),"-")</f>
        <v/>
      </c>
      <c r="CU66" s="22">
        <f>IF(AND($H66&lt;&gt;"",$AG66&lt;&gt;"",$H66&lt;&gt;$AG66,IFERROR(VLOOKUP($H66,areaCercaPuntiClassificaSquadra,3,FALSE),-1)=IFERROR(VLOOKUP($AG66,areaCercaPuntiClassificaSquadra,3,FALSE),-2)),SUMIFS(Dati!$E$2:$E$761,Dati!$A$2:$A$761,$H66,Dati!$H$2:$H$761,$AG66)+SUMIFS(Dati!$L$2:$L$761,Dati!$H$2:$H$761,$H66,Dati!$A$2:$A$761,$AG66),"-")</f>
        <v/>
      </c>
      <c r="CV66" s="22">
        <f>IF(AND($H66&lt;&gt;"",$AH66&lt;&gt;"",$H66&lt;&gt;$AH66,IFERROR(VLOOKUP($H66,areaCercaPuntiClassificaSquadra,3,FALSE),-1)=IFERROR(VLOOKUP($AH66,areaCercaPuntiClassificaSquadra,3,FALSE),-2)),SUMIFS(Dati!$E$2:$E$761,Dati!$A$2:$A$761,$H66,Dati!$H$2:$H$761,$AH66)+SUMIFS(Dati!$L$2:$L$761,Dati!$H$2:$H$761,$H66,Dati!$A$2:$A$761,$AH66),"-")</f>
        <v/>
      </c>
      <c r="CW66" s="22">
        <f>IF(AND($H66&lt;&gt;"",$AI66&lt;&gt;"",$H66&lt;&gt;$AI66,IFERROR(VLOOKUP($H66,areaCercaPuntiClassificaSquadra,3,FALSE),-1)=IFERROR(VLOOKUP($AI66,areaCercaPuntiClassificaSquadra,3,FALSE),-2)),SUMIFS(Dati!$E$2:$E$761,Dati!$A$2:$A$761,$H66,Dati!$H$2:$H$761,$AI66)+SUMIFS(Dati!$L$2:$L$761,Dati!$H$2:$H$761,$H66,Dati!$A$2:$A$761,$AI66),"-")</f>
        <v/>
      </c>
      <c r="CX66" s="22">
        <f>IF(AND($H66&lt;&gt;"",$AJ66&lt;&gt;"",$H66&lt;&gt;$AJ66,IFERROR(VLOOKUP($H66,areaCercaPuntiClassificaSquadra,3,FALSE),-1)=IFERROR(VLOOKUP($AJ66,areaCercaPuntiClassificaSquadra,3,FALSE),-2)),SUMIFS(Dati!$E$2:$E$761,Dati!$A$2:$A$761,$H66,Dati!$H$2:$H$761,$AJ66)+SUMIFS(Dati!$L$2:$L$761,Dati!$H$2:$H$761,$H66,Dati!$A$2:$A$761,$AJ66),"-")</f>
        <v/>
      </c>
      <c r="CY66" s="22">
        <f>IF(AND($H66&lt;&gt;"",$AK66&lt;&gt;"",$H66&lt;&gt;$AK66,IFERROR(VLOOKUP($H66,areaCercaPuntiClassificaSquadra,3,FALSE),-1)=IFERROR(VLOOKUP($AK66,areaCercaPuntiClassificaSquadra,3,FALSE),-2)),SUMIFS(Dati!$E$2:$E$761,Dati!$A$2:$A$761,$H66,Dati!$H$2:$H$761,$AK66)+SUMIFS(Dati!$L$2:$L$761,Dati!$H$2:$H$761,$H66,Dati!$A$2:$A$761,$AK66),"-")</f>
        <v/>
      </c>
      <c r="CZ66" s="22">
        <f>IF(AND($H66&lt;&gt;"",$AL66&lt;&gt;"",$H66&lt;&gt;$AL66,IFERROR(VLOOKUP($H66,areaCercaPuntiClassificaSquadra,3,FALSE),-1)=IFERROR(VLOOKUP($AL66,areaCercaPuntiClassificaSquadra,3,FALSE),-2)),SUMIFS(Dati!$E$2:$E$761,Dati!$A$2:$A$761,$H66,Dati!$H$2:$H$761,$AL66)+SUMIFS(Dati!$L$2:$L$761,Dati!$H$2:$H$761,$H66,Dati!$A$2:$A$761,$AL66),"-")</f>
        <v/>
      </c>
      <c r="DA66" s="22">
        <f>IF(AND($H66&lt;&gt;"",$AM66&lt;&gt;"",$H66&lt;&gt;$AM66,IFERROR(VLOOKUP($H66,areaCercaPuntiClassificaSquadra,3,FALSE),-1)=IFERROR(VLOOKUP($AM66,areaCercaPuntiClassificaSquadra,3,FALSE),-2)),SUMIFS(Dati!$E$2:$E$761,Dati!$A$2:$A$761,$H66,Dati!$H$2:$H$761,$AM66)+SUMIFS(Dati!$L$2:$L$761,Dati!$H$2:$H$761,$H66,Dati!$A$2:$A$761,$AM66),"-")</f>
        <v/>
      </c>
      <c r="DB66" s="22">
        <f>IF(AND($H66&lt;&gt;"",$AN66&lt;&gt;"",$H66&lt;&gt;$AN66,IFERROR(VLOOKUP($H66,areaCercaPuntiClassificaSquadra,3,FALSE),-1)=IFERROR(VLOOKUP($AN66,areaCercaPuntiClassificaSquadra,3,FALSE),-2)),SUMIFS(Dati!$E$2:$E$761,Dati!$A$2:$A$761,$H66,Dati!$H$2:$H$761,$AN66)+SUMIFS(Dati!$L$2:$L$761,Dati!$H$2:$H$761,$H66,Dati!$A$2:$A$761,$AN66),"-")</f>
        <v/>
      </c>
      <c r="DC66" s="22">
        <f>IF(AND($H66&lt;&gt;"",$AO66&lt;&gt;"",$H66&lt;&gt;$AO66,IFERROR(VLOOKUP($H66,areaCercaPuntiClassificaSquadra,3,FALSE),-1)=IFERROR(VLOOKUP($AO66,areaCercaPuntiClassificaSquadra,3,FALSE),-2)),SUMIFS(Dati!$E$2:$E$761,Dati!$A$2:$A$761,$H66,Dati!$H$2:$H$761,$AO66)+SUMIFS(Dati!$L$2:$L$761,Dati!$H$2:$H$761,$H66,Dati!$A$2:$A$761,$AO66),"-")</f>
        <v/>
      </c>
      <c r="DD66" s="22">
        <f>IF(AND($H66&lt;&gt;"",$AP66&lt;&gt;"",$H66&lt;&gt;$AP66,IFERROR(VLOOKUP($H66,areaCercaPuntiClassificaSquadra,3,FALSE),-1)=IFERROR(VLOOKUP($AP66,areaCercaPuntiClassificaSquadra,3,FALSE),-2)),SUMIFS(Dati!$E$2:$E$761,Dati!$A$2:$A$761,$H66,Dati!$H$2:$H$761,$AP66)+SUMIFS(Dati!$L$2:$L$761,Dati!$H$2:$H$761,$H66,Dati!$A$2:$A$761,$AP66),"-")</f>
        <v/>
      </c>
      <c r="DE66" s="22">
        <f>IF(AND($H66&lt;&gt;"",$AQ66&lt;&gt;"",$H66&lt;&gt;$AQ66,IFERROR(VLOOKUP($H66,areaCercaPuntiClassificaSquadra,3,FALSE),-1)=IFERROR(VLOOKUP($AQ66,areaCercaPuntiClassificaSquadra,3,FALSE),-2)),SUMIFS(Dati!$E$2:$E$761,Dati!$A$2:$A$761,$H66,Dati!$H$2:$H$761,$AQ66)+SUMIFS(Dati!$L$2:$L$761,Dati!$H$2:$H$761,$H66,Dati!$A$2:$A$761,$AQ66),"-")</f>
        <v/>
      </c>
      <c r="DF66" s="22">
        <f>IF(AND($H66&lt;&gt;"",$AR66&lt;&gt;"",$H66&lt;&gt;$AR66,IFERROR(VLOOKUP($H66,areaCercaPuntiClassificaSquadra,3,FALSE),-1)=IFERROR(VLOOKUP($AR66,areaCercaPuntiClassificaSquadra,3,FALSE),-2)),SUMIFS(Dati!$E$2:$E$761,Dati!$A$2:$A$761,$H66,Dati!$H$2:$H$761,$AR66)+SUMIFS(Dati!$L$2:$L$761,Dati!$H$2:$H$761,$H66,Dati!$A$2:$A$761,$AR66),"-")</f>
        <v/>
      </c>
      <c r="DH66" s="21">
        <f>$C66</f>
        <v/>
      </c>
      <c r="DI66" s="22">
        <f>IF(AND($H66&lt;&gt;"",$Y66&lt;&gt;"",$H66&lt;&gt;$Y66,IFERROR(VLOOKUP($H66,areaCercaPuntiClassificaSquadra,3,FALSE),-1)=IFERROR(VLOOKUP($Y66,areaCercaPuntiClassificaSquadra,3,FALSE),-2)),SUMIFS(Dati!$F$2:$F$761,Dati!$A$2:$A$761,$H66,Dati!$H$2:$H$761,$Y66)+SUMIFS(Dati!$M$2:$M$761,Dati!$H$2:$H$761,$H66,Dati!$A$2:$A$761,$Y66),"-")</f>
        <v/>
      </c>
      <c r="DJ66" s="22">
        <f>IF(AND($H66&lt;&gt;"",$Z66&lt;&gt;"",$H66&lt;&gt;$Z66,IFERROR(VLOOKUP($H66,areaCercaPuntiClassificaSquadra,3,FALSE),-1)=IFERROR(VLOOKUP($Z66,areaCercaPuntiClassificaSquadra,3,FALSE),-2)),SUMIFS(Dati!$F$2:$F$761,Dati!$A$2:$A$761,$H66,Dati!$H$2:$H$761,$Z66)+SUMIFS(Dati!$M$2:$M$761,Dati!$H$2:$H$761,$H66,Dati!$A$2:$A$761,$Z66),"-")</f>
        <v/>
      </c>
      <c r="DK66" s="22">
        <f>IF(AND($H66&lt;&gt;"",$AA66&lt;&gt;"",$H66&lt;&gt;$AA66,IFERROR(VLOOKUP($H66,areaCercaPuntiClassificaSquadra,3,FALSE),-1)=IFERROR(VLOOKUP($AA66,areaCercaPuntiClassificaSquadra,3,FALSE),-2)),SUMIFS(Dati!$F$2:$F$761,Dati!$A$2:$A$761,$H66,Dati!$H$2:$H$761,$AA66)+SUMIFS(Dati!$M$2:$M$761,Dati!$H$2:$H$761,$H66,Dati!$A$2:$A$761,$AA66),"-")</f>
        <v/>
      </c>
      <c r="DL66" s="22">
        <f>IF(AND($H66&lt;&gt;"",$AB66&lt;&gt;"",$H66&lt;&gt;$AB66,IFERROR(VLOOKUP($H66,areaCercaPuntiClassificaSquadra,3,FALSE),-1)=IFERROR(VLOOKUP($AB66,areaCercaPuntiClassificaSquadra,3,FALSE),-2)),SUMIFS(Dati!$F$2:$F$761,Dati!$A$2:$A$761,$H66,Dati!$H$2:$H$761,$AB66)+SUMIFS(Dati!$M$2:$M$761,Dati!$H$2:$H$761,$H66,Dati!$A$2:$A$761,$AB66),"-")</f>
        <v/>
      </c>
      <c r="DM66" s="22">
        <f>IF(AND($H66&lt;&gt;"",$AC66&lt;&gt;"",$H66&lt;&gt;$AC66,IFERROR(VLOOKUP($H66,areaCercaPuntiClassificaSquadra,3,FALSE),-1)=IFERROR(VLOOKUP($AC66,areaCercaPuntiClassificaSquadra,3,FALSE),-2)),SUMIFS(Dati!$F$2:$F$761,Dati!$A$2:$A$761,$H66,Dati!$H$2:$H$761,$AC66)+SUMIFS(Dati!$M$2:$M$761,Dati!$H$2:$H$761,$H66,Dati!$A$2:$A$761,$AC66),"-")</f>
        <v/>
      </c>
      <c r="DN66" s="22">
        <f>IF(AND($H66&lt;&gt;"",$AD66&lt;&gt;"",$H66&lt;&gt;$AD66,IFERROR(VLOOKUP($H66,areaCercaPuntiClassificaSquadra,3,FALSE),-1)=IFERROR(VLOOKUP($AD66,areaCercaPuntiClassificaSquadra,3,FALSE),-2)),SUMIFS(Dati!$F$2:$F$761,Dati!$A$2:$A$761,$H66,Dati!$H$2:$H$761,$AD66)+SUMIFS(Dati!$M$2:$M$761,Dati!$H$2:$H$761,$H66,Dati!$A$2:$A$761,$AD66),"-")</f>
        <v/>
      </c>
      <c r="DO66" s="22">
        <f>IF(AND($H66&lt;&gt;"",$AE66&lt;&gt;"",$H66&lt;&gt;$AE66,IFERROR(VLOOKUP($H66,areaCercaPuntiClassificaSquadra,3,FALSE),-1)=IFERROR(VLOOKUP($AE66,areaCercaPuntiClassificaSquadra,3,FALSE),-2)),SUMIFS(Dati!$F$2:$F$761,Dati!$A$2:$A$761,$H66,Dati!$H$2:$H$761,$AE66)+SUMIFS(Dati!$M$2:$M$761,Dati!$H$2:$H$761,$H66,Dati!$A$2:$A$761,$AE66),"-")</f>
        <v/>
      </c>
      <c r="DP66" s="22">
        <f>IF(AND($H66&lt;&gt;"",$AF66&lt;&gt;"",$H66&lt;&gt;$AF66,IFERROR(VLOOKUP($H66,areaCercaPuntiClassificaSquadra,3,FALSE),-1)=IFERROR(VLOOKUP($AF66,areaCercaPuntiClassificaSquadra,3,FALSE),-2)),SUMIFS(Dati!$F$2:$F$761,Dati!$A$2:$A$761,$H66,Dati!$H$2:$H$761,$AF66)+SUMIFS(Dati!$M$2:$M$761,Dati!$H$2:$H$761,$H66,Dati!$A$2:$A$761,$AF66),"-")</f>
        <v/>
      </c>
      <c r="DQ66" s="22">
        <f>IF(AND($H66&lt;&gt;"",$AG66&lt;&gt;"",$H66&lt;&gt;$AG66,IFERROR(VLOOKUP($H66,areaCercaPuntiClassificaSquadra,3,FALSE),-1)=IFERROR(VLOOKUP($AG66,areaCercaPuntiClassificaSquadra,3,FALSE),-2)),SUMIFS(Dati!$F$2:$F$761,Dati!$A$2:$A$761,$H66,Dati!$H$2:$H$761,$AG66)+SUMIFS(Dati!$M$2:$M$761,Dati!$H$2:$H$761,$H66,Dati!$A$2:$A$761,$AG66),"-")</f>
        <v/>
      </c>
      <c r="DR66" s="22">
        <f>IF(AND($H66&lt;&gt;"",$AH66&lt;&gt;"",$H66&lt;&gt;$AH66,IFERROR(VLOOKUP($H66,areaCercaPuntiClassificaSquadra,3,FALSE),-1)=IFERROR(VLOOKUP($AH66,areaCercaPuntiClassificaSquadra,3,FALSE),-2)),SUMIFS(Dati!$F$2:$F$761,Dati!$A$2:$A$761,$H66,Dati!$H$2:$H$761,$AH66)+SUMIFS(Dati!$M$2:$M$761,Dati!$H$2:$H$761,$H66,Dati!$A$2:$A$761,$AH66),"-")</f>
        <v/>
      </c>
      <c r="DS66" s="22">
        <f>IF(AND($H66&lt;&gt;"",$AI66&lt;&gt;"",$H66&lt;&gt;$AI66,IFERROR(VLOOKUP($H66,areaCercaPuntiClassificaSquadra,3,FALSE),-1)=IFERROR(VLOOKUP($AI66,areaCercaPuntiClassificaSquadra,3,FALSE),-2)),SUMIFS(Dati!$F$2:$F$761,Dati!$A$2:$A$761,$H66,Dati!$H$2:$H$761,$AI66)+SUMIFS(Dati!$M$2:$M$761,Dati!$H$2:$H$761,$H66,Dati!$A$2:$A$761,$AI66),"-")</f>
        <v/>
      </c>
      <c r="DT66" s="22">
        <f>IF(AND($H66&lt;&gt;"",$AJ66&lt;&gt;"",$H66&lt;&gt;$AJ66,IFERROR(VLOOKUP($H66,areaCercaPuntiClassificaSquadra,3,FALSE),-1)=IFERROR(VLOOKUP($AJ66,areaCercaPuntiClassificaSquadra,3,FALSE),-2)),SUMIFS(Dati!$F$2:$F$761,Dati!$A$2:$A$761,$H66,Dati!$H$2:$H$761,$AJ66)+SUMIFS(Dati!$M$2:$M$761,Dati!$H$2:$H$761,$H66,Dati!$A$2:$A$761,$AJ66),"-")</f>
        <v/>
      </c>
      <c r="DU66" s="22">
        <f>IF(AND($H66&lt;&gt;"",$AK66&lt;&gt;"",$H66&lt;&gt;$AK66,IFERROR(VLOOKUP($H66,areaCercaPuntiClassificaSquadra,3,FALSE),-1)=IFERROR(VLOOKUP($AK66,areaCercaPuntiClassificaSquadra,3,FALSE),-2)),SUMIFS(Dati!$F$2:$F$761,Dati!$A$2:$A$761,$H66,Dati!$H$2:$H$761,$AK66)+SUMIFS(Dati!$M$2:$M$761,Dati!$H$2:$H$761,$H66,Dati!$A$2:$A$761,$AK66),"-")</f>
        <v/>
      </c>
      <c r="DV66" s="22">
        <f>IF(AND($H66&lt;&gt;"",$AL66&lt;&gt;"",$H66&lt;&gt;$AL66,IFERROR(VLOOKUP($H66,areaCercaPuntiClassificaSquadra,3,FALSE),-1)=IFERROR(VLOOKUP($AL66,areaCercaPuntiClassificaSquadra,3,FALSE),-2)),SUMIFS(Dati!$F$2:$F$761,Dati!$A$2:$A$761,$H66,Dati!$H$2:$H$761,$AL66)+SUMIFS(Dati!$M$2:$M$761,Dati!$H$2:$H$761,$H66,Dati!$A$2:$A$761,$AL66),"-")</f>
        <v/>
      </c>
      <c r="DW66" s="22">
        <f>IF(AND($H66&lt;&gt;"",$AM66&lt;&gt;"",$H66&lt;&gt;$AM66,IFERROR(VLOOKUP($H66,areaCercaPuntiClassificaSquadra,3,FALSE),-1)=IFERROR(VLOOKUP($AM66,areaCercaPuntiClassificaSquadra,3,FALSE),-2)),SUMIFS(Dati!$F$2:$F$761,Dati!$A$2:$A$761,$H66,Dati!$H$2:$H$761,$AM66)+SUMIFS(Dati!$M$2:$M$761,Dati!$H$2:$H$761,$H66,Dati!$A$2:$A$761,$AM66),"-")</f>
        <v/>
      </c>
      <c r="DX66" s="22">
        <f>IF(AND($H66&lt;&gt;"",$AN66&lt;&gt;"",$H66&lt;&gt;$AN66,IFERROR(VLOOKUP($H66,areaCercaPuntiClassificaSquadra,3,FALSE),-1)=IFERROR(VLOOKUP($AN66,areaCercaPuntiClassificaSquadra,3,FALSE),-2)),SUMIFS(Dati!$F$2:$F$761,Dati!$A$2:$A$761,$H66,Dati!$H$2:$H$761,$AN66)+SUMIFS(Dati!$M$2:$M$761,Dati!$H$2:$H$761,$H66,Dati!$A$2:$A$761,$AN66),"-")</f>
        <v/>
      </c>
      <c r="DY66" s="22">
        <f>IF(AND($H66&lt;&gt;"",$AO66&lt;&gt;"",$H66&lt;&gt;$AO66,IFERROR(VLOOKUP($H66,areaCercaPuntiClassificaSquadra,3,FALSE),-1)=IFERROR(VLOOKUP($AO66,areaCercaPuntiClassificaSquadra,3,FALSE),-2)),SUMIFS(Dati!$F$2:$F$761,Dati!$A$2:$A$761,$H66,Dati!$H$2:$H$761,$AO66)+SUMIFS(Dati!$M$2:$M$761,Dati!$H$2:$H$761,$H66,Dati!$A$2:$A$761,$AO66),"-")</f>
        <v/>
      </c>
      <c r="DZ66" s="22">
        <f>IF(AND($H66&lt;&gt;"",$AP66&lt;&gt;"",$H66&lt;&gt;$AP66,IFERROR(VLOOKUP($H66,areaCercaPuntiClassificaSquadra,3,FALSE),-1)=IFERROR(VLOOKUP($AP66,areaCercaPuntiClassificaSquadra,3,FALSE),-2)),SUMIFS(Dati!$F$2:$F$761,Dati!$A$2:$A$761,$H66,Dati!$H$2:$H$761,$AP66)+SUMIFS(Dati!$M$2:$M$761,Dati!$H$2:$H$761,$H66,Dati!$A$2:$A$761,$AP66),"-")</f>
        <v/>
      </c>
      <c r="EA66" s="22">
        <f>IF(AND($H66&lt;&gt;"",$AQ66&lt;&gt;"",$H66&lt;&gt;$AQ66,IFERROR(VLOOKUP($H66,areaCercaPuntiClassificaSquadra,3,FALSE),-1)=IFERROR(VLOOKUP($AQ66,areaCercaPuntiClassificaSquadra,3,FALSE),-2)),SUMIFS(Dati!$F$2:$F$761,Dati!$A$2:$A$761,$H66,Dati!$H$2:$H$761,$AQ66)+SUMIFS(Dati!$M$2:$M$761,Dati!$H$2:$H$761,$H66,Dati!$A$2:$A$761,$AQ66),"-")</f>
        <v/>
      </c>
      <c r="EB66" s="22">
        <f>IF(AND($H66&lt;&gt;"",$AR66&lt;&gt;"",$H66&lt;&gt;$AR66,IFERROR(VLOOKUP($H66,areaCercaPuntiClassificaSquadra,3,FALSE),-1)=IFERROR(VLOOKUP($AR66,areaCercaPuntiClassificaSquadra,3,FALSE),-2)),SUMIFS(Dati!$F$2:$F$761,Dati!$A$2:$A$761,$H66,Dati!$H$2:$H$761,$AR66)+SUMIFS(Dati!$M$2:$M$761,Dati!$H$2:$H$761,$H66,Dati!$A$2:$A$761,$AR66),"-")</f>
        <v/>
      </c>
      <c r="ED66" s="22">
        <f>IF($C66="","",SUM(AU66:BN66))</f>
        <v/>
      </c>
    </row>
    <row r="67">
      <c r="B67" s="12" t="inlineStr">
        <is>
          <t>C14</t>
        </is>
      </c>
      <c r="C67" s="13" t="inlineStr">
        <is>
          <t>Coccodrilli Celeri-Coccodrilliopoli CO</t>
        </is>
      </c>
      <c r="D67" s="14" t="n"/>
      <c r="E67" s="25" t="inlineStr">
        <is>
          <t>C</t>
        </is>
      </c>
      <c r="G67" s="26">
        <f>IF($C67="","",$E67&amp;(COUNTIFS(I$14:I$93,"&gt;"&amp;I67,E$14:E$93,"="&amp;E67,C$14:C$93,"&lt;&gt;")+COUNTIFS(I$14:I$93,"="&amp;I67,H$14:H$93,"&lt;="&amp;H67,E$14:E$93,"="&amp;E67,C$14:C$93,"&lt;&gt;")))</f>
        <v/>
      </c>
      <c r="H67" s="17">
        <f>IF($C67="","",IFERROR(LEFT($C67,FIND("-",$C67)-1),$C67))</f>
        <v/>
      </c>
      <c r="I67" s="12">
        <f>TEXT(1000000000+J67,"|0000000000|")&amp;TEXT(SUM(AU67:BN67),"0000000000|")&amp;IF(SUM(DI67:EB67)=0,"0000000000|",TEXT(ROUND(SUM(CM67:DF67)/SUM(DI67:EB67),4)*100000,"0000000000|"))&amp;IF(P67=0,"0000000000|",TEXT(ROUND(O67/P67,4)*100000,"0000000000|"))</f>
        <v/>
      </c>
      <c r="J67" s="26">
        <f>L67*constPuntiVittoria+M67*constPuntiSconfitta+N67*constPuntiForfait+IF(D67="",0,D67)</f>
        <v/>
      </c>
      <c r="K67" s="12">
        <f>SUM(L67:N67)</f>
        <v/>
      </c>
      <c r="L67" s="12">
        <f>IF($H67="",0,SUMIF(Dati!$A$2:$A$761,$H67,Dati!$B$2:$B$761)+SUMIF(Dati!$H$2:$H$761,$H67,Dati!$I$2:$I$761))</f>
        <v/>
      </c>
      <c r="M67" s="12">
        <f>IF($H67="",0,SUMIF(Dati!$A$2:$A$761,$H67,Dati!$D$2:$D$761)+SUMIF(Dati!$H$2:$H$761,$H67,Dati!$K$2:$K$761))</f>
        <v/>
      </c>
      <c r="N67" s="12">
        <f>IF($H67="",0,SUMIF(Dati!$A$2:$A$761,$H67,Dati!$C$2:$C$761)+SUMIF(Dati!$H$2:$H$761,$H67,Dati!$J$2:$J$761))</f>
        <v/>
      </c>
      <c r="O67" s="12">
        <f>IF($H67="",0,SUMIF(Dati!$A$2:$A$761,$H67,Dati!$E$2:$E$761)+SUMIF(Dati!$H$2:$H$761,$H67,Dati!$L$2:$L$761))</f>
        <v/>
      </c>
      <c r="P67" s="12">
        <f>IF($H67="",0,SUMIF(Dati!$A$2:$A$761,$H67,Dati!$F$2:$F$761)+SUMIF(Dati!$H$2:$H$761,$H67,Dati!$M$2:$M$761))</f>
        <v/>
      </c>
      <c r="Q67" s="12">
        <f>IF($H67="",0,SUMIF(Dati!$A$2:$A$761,$H67,Dati!$G$2:$G$761)+SUMIF(Dati!$H$2:$H$761,$H67,Dati!$N$2:$N$761))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IF(COUNTIFS($E$14:$E$93,$E67,$J$14:$J$93,$J67,$C$14:$C$93,"&lt;&gt;")&lt;=1,"-",SUM(AU67:BN67)&amp;"-"&amp;SUM(BQ67:CJ67))</f>
        <v/>
      </c>
      <c r="V67" s="18">
        <f>IF(COUNTIFS($E$14:$E$93,$E67,$J$14:$J$93,$J67,$C$14:$C$93,"&lt;&gt;",$ED$14:$ED$93,$ED67)&lt;=1,"-",IF(SUM(DI67:EB67)=0,0,ROUND(SUM(CM67:DF67)/SUM(DI67:EB67),3)))</f>
        <v/>
      </c>
      <c r="W67" s="18">
        <f>IF(COUNTIFS($E$14:$E$93,$E67,$J$14:$J$93,$J67,$C$14:$C$93,"&lt;&gt;",$ED$14:$ED$93,$ED67,$V$14:$V$93,$V67)&lt;=1,"-",IF(P67=0,0,ROUND(O67/P67,3)))</f>
        <v/>
      </c>
      <c r="X67" s="19">
        <f>IF($C67="","",$E67&amp;"#"&amp;COUNTIFS($E$14:$E67,$E67,$C$14:$C67,"&lt;&gt;"))</f>
        <v/>
      </c>
      <c r="Y67" s="20">
        <f>IFERROR(INDEX($H$14:$H$93,MATCH($E67&amp;"#1",$X$14:$X$93,0)),"")</f>
        <v/>
      </c>
      <c r="Z67" s="20">
        <f>IFERROR(INDEX($H$14:$H$93,MATCH($E67&amp;"#2",$X$14:$X$93,0)),"")</f>
        <v/>
      </c>
      <c r="AA67" s="20">
        <f>IFERROR(INDEX($H$14:$H$93,MATCH($E67&amp;"#3",$X$14:$X$93,0)),"")</f>
        <v/>
      </c>
      <c r="AB67" s="20">
        <f>IFERROR(INDEX($H$14:$H$93,MATCH($E67&amp;"#4",$X$14:$X$93,0)),"")</f>
        <v/>
      </c>
      <c r="AC67" s="20">
        <f>IFERROR(INDEX($H$14:$H$93,MATCH($E67&amp;"#5",$X$14:$X$93,0)),"")</f>
        <v/>
      </c>
      <c r="AD67" s="20">
        <f>IFERROR(INDEX($H$14:$H$93,MATCH($E67&amp;"#6",$X$14:$X$93,0)),"")</f>
        <v/>
      </c>
      <c r="AE67" s="20">
        <f>IFERROR(INDEX($H$14:$H$93,MATCH($E67&amp;"#7",$X$14:$X$93,0)),"")</f>
        <v/>
      </c>
      <c r="AF67" s="20">
        <f>IFERROR(INDEX($H$14:$H$93,MATCH($E67&amp;"#8",$X$14:$X$93,0)),"")</f>
        <v/>
      </c>
      <c r="AG67" s="20">
        <f>IFERROR(INDEX($H$14:$H$93,MATCH($E67&amp;"#9",$X$14:$X$93,0)),"")</f>
        <v/>
      </c>
      <c r="AH67" s="20">
        <f>IFERROR(INDEX($H$14:$H$93,MATCH($E67&amp;"#10",$X$14:$X$93,0)),"")</f>
        <v/>
      </c>
      <c r="AI67" s="20">
        <f>IFERROR(INDEX($H$14:$H$93,MATCH($E67&amp;"#11",$X$14:$X$93,0)),"")</f>
        <v/>
      </c>
      <c r="AJ67" s="20">
        <f>IFERROR(INDEX($H$14:$H$93,MATCH($E67&amp;"#12",$X$14:$X$93,0)),"")</f>
        <v/>
      </c>
      <c r="AK67" s="20">
        <f>IFERROR(INDEX($H$14:$H$93,MATCH($E67&amp;"#13",$X$14:$X$93,0)),"")</f>
        <v/>
      </c>
      <c r="AL67" s="20">
        <f>IFERROR(INDEX($H$14:$H$93,MATCH($E67&amp;"#14",$X$14:$X$93,0)),"")</f>
        <v/>
      </c>
      <c r="AM67" s="20">
        <f>IFERROR(INDEX($H$14:$H$93,MATCH($E67&amp;"#15",$X$14:$X$93,0)),"")</f>
        <v/>
      </c>
      <c r="AN67" s="20">
        <f>IFERROR(INDEX($H$14:$H$93,MATCH($E67&amp;"#16",$X$14:$X$93,0)),"")</f>
        <v/>
      </c>
      <c r="AO67" s="20">
        <f>IFERROR(INDEX($H$14:$H$93,MATCH($E67&amp;"#17",$X$14:$X$93,0)),"")</f>
        <v/>
      </c>
      <c r="AP67" s="20">
        <f>IFERROR(INDEX($H$14:$H$93,MATCH($E67&amp;"#18",$X$14:$X$93,0)),"")</f>
        <v/>
      </c>
      <c r="AQ67" s="20">
        <f>IFERROR(INDEX($H$14:$H$93,MATCH($E67&amp;"#19",$X$14:$X$93,0)),"")</f>
        <v/>
      </c>
      <c r="AR67" s="20">
        <f>IFERROR(INDEX($H$14:$H$93,MATCH($E67&amp;"#20",$X$14:$X$93,0)),"")</f>
        <v/>
      </c>
      <c r="AT67" s="21">
        <f>$C67</f>
        <v/>
      </c>
      <c r="AU67" s="22">
        <f>IF(AND($H67&lt;&gt;"",$Y67&lt;&gt;"",$H67&lt;&gt;$Y67,IFERROR(VLOOKUP($H67,areaCercaPuntiClassificaSquadra,3,FALSE),-1)=IFERROR(VLOOKUP($Y67,areaCercaPuntiClassificaSquadra,3,FALSE),-2)),SUMIFS(Dati!$B$2:$B$761,Dati!$A$2:$A$761,$H67,Dati!$H$2:$H$761,$Y67)+SUMIFS(Dati!$I$2:$I$761,Dati!$H$2:$H$761,$H67,Dati!$A$2:$A$761,$Y67),"-")</f>
        <v/>
      </c>
      <c r="AV67" s="22">
        <f>IF(AND($H67&lt;&gt;"",$Z67&lt;&gt;"",$H67&lt;&gt;$Z67,IFERROR(VLOOKUP($H67,areaCercaPuntiClassificaSquadra,3,FALSE),-1)=IFERROR(VLOOKUP($Z67,areaCercaPuntiClassificaSquadra,3,FALSE),-2)),SUMIFS(Dati!$B$2:$B$761,Dati!$A$2:$A$761,$H67,Dati!$H$2:$H$761,$Z67)+SUMIFS(Dati!$I$2:$I$761,Dati!$H$2:$H$761,$H67,Dati!$A$2:$A$761,$Z67),"-")</f>
        <v/>
      </c>
      <c r="AW67" s="22">
        <f>IF(AND($H67&lt;&gt;"",$AA67&lt;&gt;"",$H67&lt;&gt;$AA67,IFERROR(VLOOKUP($H67,areaCercaPuntiClassificaSquadra,3,FALSE),-1)=IFERROR(VLOOKUP($AA67,areaCercaPuntiClassificaSquadra,3,FALSE),-2)),SUMIFS(Dati!$B$2:$B$761,Dati!$A$2:$A$761,$H67,Dati!$H$2:$H$761,$AA67)+SUMIFS(Dati!$I$2:$I$761,Dati!$H$2:$H$761,$H67,Dati!$A$2:$A$761,$AA67),"-")</f>
        <v/>
      </c>
      <c r="AX67" s="22">
        <f>IF(AND($H67&lt;&gt;"",$AB67&lt;&gt;"",$H67&lt;&gt;$AB67,IFERROR(VLOOKUP($H67,areaCercaPuntiClassificaSquadra,3,FALSE),-1)=IFERROR(VLOOKUP($AB67,areaCercaPuntiClassificaSquadra,3,FALSE),-2)),SUMIFS(Dati!$B$2:$B$761,Dati!$A$2:$A$761,$H67,Dati!$H$2:$H$761,$AB67)+SUMIFS(Dati!$I$2:$I$761,Dati!$H$2:$H$761,$H67,Dati!$A$2:$A$761,$AB67),"-")</f>
        <v/>
      </c>
      <c r="AY67" s="22">
        <f>IF(AND($H67&lt;&gt;"",$AC67&lt;&gt;"",$H67&lt;&gt;$AC67,IFERROR(VLOOKUP($H67,areaCercaPuntiClassificaSquadra,3,FALSE),-1)=IFERROR(VLOOKUP($AC67,areaCercaPuntiClassificaSquadra,3,FALSE),-2)),SUMIFS(Dati!$B$2:$B$761,Dati!$A$2:$A$761,$H67,Dati!$H$2:$H$761,$AC67)+SUMIFS(Dati!$I$2:$I$761,Dati!$H$2:$H$761,$H67,Dati!$A$2:$A$761,$AC67),"-")</f>
        <v/>
      </c>
      <c r="AZ67" s="22">
        <f>IF(AND($H67&lt;&gt;"",$AD67&lt;&gt;"",$H67&lt;&gt;$AD67,IFERROR(VLOOKUP($H67,areaCercaPuntiClassificaSquadra,3,FALSE),-1)=IFERROR(VLOOKUP($AD67,areaCercaPuntiClassificaSquadra,3,FALSE),-2)),SUMIFS(Dati!$B$2:$B$761,Dati!$A$2:$A$761,$H67,Dati!$H$2:$H$761,$AD67)+SUMIFS(Dati!$I$2:$I$761,Dati!$H$2:$H$761,$H67,Dati!$A$2:$A$761,$AD67),"-")</f>
        <v/>
      </c>
      <c r="BA67" s="22">
        <f>IF(AND($H67&lt;&gt;"",$AE67&lt;&gt;"",$H67&lt;&gt;$AE67,IFERROR(VLOOKUP($H67,areaCercaPuntiClassificaSquadra,3,FALSE),-1)=IFERROR(VLOOKUP($AE67,areaCercaPuntiClassificaSquadra,3,FALSE),-2)),SUMIFS(Dati!$B$2:$B$761,Dati!$A$2:$A$761,$H67,Dati!$H$2:$H$761,$AE67)+SUMIFS(Dati!$I$2:$I$761,Dati!$H$2:$H$761,$H67,Dati!$A$2:$A$761,$AE67),"-")</f>
        <v/>
      </c>
      <c r="BB67" s="22">
        <f>IF(AND($H67&lt;&gt;"",$AF67&lt;&gt;"",$H67&lt;&gt;$AF67,IFERROR(VLOOKUP($H67,areaCercaPuntiClassificaSquadra,3,FALSE),-1)=IFERROR(VLOOKUP($AF67,areaCercaPuntiClassificaSquadra,3,FALSE),-2)),SUMIFS(Dati!$B$2:$B$761,Dati!$A$2:$A$761,$H67,Dati!$H$2:$H$761,$AF67)+SUMIFS(Dati!$I$2:$I$761,Dati!$H$2:$H$761,$H67,Dati!$A$2:$A$761,$AF67),"-")</f>
        <v/>
      </c>
      <c r="BC67" s="22">
        <f>IF(AND($H67&lt;&gt;"",$AG67&lt;&gt;"",$H67&lt;&gt;$AG67,IFERROR(VLOOKUP($H67,areaCercaPuntiClassificaSquadra,3,FALSE),-1)=IFERROR(VLOOKUP($AG67,areaCercaPuntiClassificaSquadra,3,FALSE),-2)),SUMIFS(Dati!$B$2:$B$761,Dati!$A$2:$A$761,$H67,Dati!$H$2:$H$761,$AG67)+SUMIFS(Dati!$I$2:$I$761,Dati!$H$2:$H$761,$H67,Dati!$A$2:$A$761,$AG67),"-")</f>
        <v/>
      </c>
      <c r="BD67" s="22">
        <f>IF(AND($H67&lt;&gt;"",$AH67&lt;&gt;"",$H67&lt;&gt;$AH67,IFERROR(VLOOKUP($H67,areaCercaPuntiClassificaSquadra,3,FALSE),-1)=IFERROR(VLOOKUP($AH67,areaCercaPuntiClassificaSquadra,3,FALSE),-2)),SUMIFS(Dati!$B$2:$B$761,Dati!$A$2:$A$761,$H67,Dati!$H$2:$H$761,$AH67)+SUMIFS(Dati!$I$2:$I$761,Dati!$H$2:$H$761,$H67,Dati!$A$2:$A$761,$AH67),"-")</f>
        <v/>
      </c>
      <c r="BE67" s="22">
        <f>IF(AND($H67&lt;&gt;"",$AI67&lt;&gt;"",$H67&lt;&gt;$AI67,IFERROR(VLOOKUP($H67,areaCercaPuntiClassificaSquadra,3,FALSE),-1)=IFERROR(VLOOKUP($AI67,areaCercaPuntiClassificaSquadra,3,FALSE),-2)),SUMIFS(Dati!$B$2:$B$761,Dati!$A$2:$A$761,$H67,Dati!$H$2:$H$761,$AI67)+SUMIFS(Dati!$I$2:$I$761,Dati!$H$2:$H$761,$H67,Dati!$A$2:$A$761,$AI67),"-")</f>
        <v/>
      </c>
      <c r="BF67" s="22">
        <f>IF(AND($H67&lt;&gt;"",$AJ67&lt;&gt;"",$H67&lt;&gt;$AJ67,IFERROR(VLOOKUP($H67,areaCercaPuntiClassificaSquadra,3,FALSE),-1)=IFERROR(VLOOKUP($AJ67,areaCercaPuntiClassificaSquadra,3,FALSE),-2)),SUMIFS(Dati!$B$2:$B$761,Dati!$A$2:$A$761,$H67,Dati!$H$2:$H$761,$AJ67)+SUMIFS(Dati!$I$2:$I$761,Dati!$H$2:$H$761,$H67,Dati!$A$2:$A$761,$AJ67),"-")</f>
        <v/>
      </c>
      <c r="BG67" s="22">
        <f>IF(AND($H67&lt;&gt;"",$AK67&lt;&gt;"",$H67&lt;&gt;$AK67,IFERROR(VLOOKUP($H67,areaCercaPuntiClassificaSquadra,3,FALSE),-1)=IFERROR(VLOOKUP($AK67,areaCercaPuntiClassificaSquadra,3,FALSE),-2)),SUMIFS(Dati!$B$2:$B$761,Dati!$A$2:$A$761,$H67,Dati!$H$2:$H$761,$AK67)+SUMIFS(Dati!$I$2:$I$761,Dati!$H$2:$H$761,$H67,Dati!$A$2:$A$761,$AK67),"-")</f>
        <v/>
      </c>
      <c r="BH67" s="22">
        <f>IF(AND($H67&lt;&gt;"",$AL67&lt;&gt;"",$H67&lt;&gt;$AL67,IFERROR(VLOOKUP($H67,areaCercaPuntiClassificaSquadra,3,FALSE),-1)=IFERROR(VLOOKUP($AL67,areaCercaPuntiClassificaSquadra,3,FALSE),-2)),SUMIFS(Dati!$B$2:$B$761,Dati!$A$2:$A$761,$H67,Dati!$H$2:$H$761,$AL67)+SUMIFS(Dati!$I$2:$I$761,Dati!$H$2:$H$761,$H67,Dati!$A$2:$A$761,$AL67),"-")</f>
        <v/>
      </c>
      <c r="BI67" s="22">
        <f>IF(AND($H67&lt;&gt;"",$AM67&lt;&gt;"",$H67&lt;&gt;$AM67,IFERROR(VLOOKUP($H67,areaCercaPuntiClassificaSquadra,3,FALSE),-1)=IFERROR(VLOOKUP($AM67,areaCercaPuntiClassificaSquadra,3,FALSE),-2)),SUMIFS(Dati!$B$2:$B$761,Dati!$A$2:$A$761,$H67,Dati!$H$2:$H$761,$AM67)+SUMIFS(Dati!$I$2:$I$761,Dati!$H$2:$H$761,$H67,Dati!$A$2:$A$761,$AM67),"-")</f>
        <v/>
      </c>
      <c r="BJ67" s="22">
        <f>IF(AND($H67&lt;&gt;"",$AN67&lt;&gt;"",$H67&lt;&gt;$AN67,IFERROR(VLOOKUP($H67,areaCercaPuntiClassificaSquadra,3,FALSE),-1)=IFERROR(VLOOKUP($AN67,areaCercaPuntiClassificaSquadra,3,FALSE),-2)),SUMIFS(Dati!$B$2:$B$761,Dati!$A$2:$A$761,$H67,Dati!$H$2:$H$761,$AN67)+SUMIFS(Dati!$I$2:$I$761,Dati!$H$2:$H$761,$H67,Dati!$A$2:$A$761,$AN67),"-")</f>
        <v/>
      </c>
      <c r="BK67" s="22">
        <f>IF(AND($H67&lt;&gt;"",$AO67&lt;&gt;"",$H67&lt;&gt;$AO67,IFERROR(VLOOKUP($H67,areaCercaPuntiClassificaSquadra,3,FALSE),-1)=IFERROR(VLOOKUP($AO67,areaCercaPuntiClassificaSquadra,3,FALSE),-2)),SUMIFS(Dati!$B$2:$B$761,Dati!$A$2:$A$761,$H67,Dati!$H$2:$H$761,$AO67)+SUMIFS(Dati!$I$2:$I$761,Dati!$H$2:$H$761,$H67,Dati!$A$2:$A$761,$AO67),"-")</f>
        <v/>
      </c>
      <c r="BL67" s="22">
        <f>IF(AND($H67&lt;&gt;"",$AP67&lt;&gt;"",$H67&lt;&gt;$AP67,IFERROR(VLOOKUP($H67,areaCercaPuntiClassificaSquadra,3,FALSE),-1)=IFERROR(VLOOKUP($AP67,areaCercaPuntiClassificaSquadra,3,FALSE),-2)),SUMIFS(Dati!$B$2:$B$761,Dati!$A$2:$A$761,$H67,Dati!$H$2:$H$761,$AP67)+SUMIFS(Dati!$I$2:$I$761,Dati!$H$2:$H$761,$H67,Dati!$A$2:$A$761,$AP67),"-")</f>
        <v/>
      </c>
      <c r="BM67" s="22">
        <f>IF(AND($H67&lt;&gt;"",$AQ67&lt;&gt;"",$H67&lt;&gt;$AQ67,IFERROR(VLOOKUP($H67,areaCercaPuntiClassificaSquadra,3,FALSE),-1)=IFERROR(VLOOKUP($AQ67,areaCercaPuntiClassificaSquadra,3,FALSE),-2)),SUMIFS(Dati!$B$2:$B$761,Dati!$A$2:$A$761,$H67,Dati!$H$2:$H$761,$AQ67)+SUMIFS(Dati!$I$2:$I$761,Dati!$H$2:$H$761,$H67,Dati!$A$2:$A$761,$AQ67),"-")</f>
        <v/>
      </c>
      <c r="BN67" s="22">
        <f>IF(AND($H67&lt;&gt;"",$AR67&lt;&gt;"",$H67&lt;&gt;$AR67,IFERROR(VLOOKUP($H67,areaCercaPuntiClassificaSquadra,3,FALSE),-1)=IFERROR(VLOOKUP($AR67,areaCercaPuntiClassificaSquadra,3,FALSE),-2)),SUMIFS(Dati!$B$2:$B$761,Dati!$A$2:$A$761,$H67,Dati!$H$2:$H$761,$AR67)+SUMIFS(Dati!$I$2:$I$761,Dati!$H$2:$H$761,$H67,Dati!$A$2:$A$761,$AR67),"-")</f>
        <v/>
      </c>
      <c r="BP67" s="21">
        <f>$C67</f>
        <v/>
      </c>
      <c r="BQ67" s="22">
        <f>IF(AND($H67&lt;&gt;"",$Y67&lt;&gt;"",$H67&lt;&gt;$Y67,IFERROR(VLOOKUP($H67,areaCercaPuntiClassificaSquadra,3,FALSE),-1)=IFERROR(VLOOKUP($Y67,areaCercaPuntiClassificaSquadra,3,FALSE),-2)),SUMIFS(Dati!$D$2:$D$761,Dati!$A$2:$A$761,$H67,Dati!$H$2:$H$761,$Y67)+SUMIFS(Dati!$K$2:$K$761,Dati!$H$2:$H$761,$H67,Dati!$A$2:$A$761,$Y67)+SUMIFS(Dati!$C$2:$C$761,Dati!$A$2:$A$761,$H67,Dati!$H$2:$H$761,$Y67)+SUMIFS(Dati!$J$2:$J$761,Dati!$H$2:$H$761,$H67,Dati!$A$2:$A$761,$Y67),"-")</f>
        <v/>
      </c>
      <c r="BR67" s="22">
        <f>IF(AND($H67&lt;&gt;"",$Z67&lt;&gt;"",$H67&lt;&gt;$Z67,IFERROR(VLOOKUP($H67,areaCercaPuntiClassificaSquadra,3,FALSE),-1)=IFERROR(VLOOKUP($Z67,areaCercaPuntiClassificaSquadra,3,FALSE),-2)),SUMIFS(Dati!$D$2:$D$761,Dati!$A$2:$A$761,$H67,Dati!$H$2:$H$761,$Z67)+SUMIFS(Dati!$K$2:$K$761,Dati!$H$2:$H$761,$H67,Dati!$A$2:$A$761,$Z67)+SUMIFS(Dati!$C$2:$C$761,Dati!$A$2:$A$761,$H67,Dati!$H$2:$H$761,$Z67)+SUMIFS(Dati!$J$2:$J$761,Dati!$H$2:$H$761,$H67,Dati!$A$2:$A$761,$Z67),"-")</f>
        <v/>
      </c>
      <c r="BS67" s="22">
        <f>IF(AND($H67&lt;&gt;"",$AA67&lt;&gt;"",$H67&lt;&gt;$AA67,IFERROR(VLOOKUP($H67,areaCercaPuntiClassificaSquadra,3,FALSE),-1)=IFERROR(VLOOKUP($AA67,areaCercaPuntiClassificaSquadra,3,FALSE),-2)),SUMIFS(Dati!$D$2:$D$761,Dati!$A$2:$A$761,$H67,Dati!$H$2:$H$761,$AA67)+SUMIFS(Dati!$K$2:$K$761,Dati!$H$2:$H$761,$H67,Dati!$A$2:$A$761,$AA67)+SUMIFS(Dati!$C$2:$C$761,Dati!$A$2:$A$761,$H67,Dati!$H$2:$H$761,$AA67)+SUMIFS(Dati!$J$2:$J$761,Dati!$H$2:$H$761,$H67,Dati!$A$2:$A$761,$AA67),"-")</f>
        <v/>
      </c>
      <c r="BT67" s="22">
        <f>IF(AND($H67&lt;&gt;"",$AB67&lt;&gt;"",$H67&lt;&gt;$AB67,IFERROR(VLOOKUP($H67,areaCercaPuntiClassificaSquadra,3,FALSE),-1)=IFERROR(VLOOKUP($AB67,areaCercaPuntiClassificaSquadra,3,FALSE),-2)),SUMIFS(Dati!$D$2:$D$761,Dati!$A$2:$A$761,$H67,Dati!$H$2:$H$761,$AB67)+SUMIFS(Dati!$K$2:$K$761,Dati!$H$2:$H$761,$H67,Dati!$A$2:$A$761,$AB67)+SUMIFS(Dati!$C$2:$C$761,Dati!$A$2:$A$761,$H67,Dati!$H$2:$H$761,$AB67)+SUMIFS(Dati!$J$2:$J$761,Dati!$H$2:$H$761,$H67,Dati!$A$2:$A$761,$AB67),"-")</f>
        <v/>
      </c>
      <c r="BU67" s="22">
        <f>IF(AND($H67&lt;&gt;"",$AC67&lt;&gt;"",$H67&lt;&gt;$AC67,IFERROR(VLOOKUP($H67,areaCercaPuntiClassificaSquadra,3,FALSE),-1)=IFERROR(VLOOKUP($AC67,areaCercaPuntiClassificaSquadra,3,FALSE),-2)),SUMIFS(Dati!$D$2:$D$761,Dati!$A$2:$A$761,$H67,Dati!$H$2:$H$761,$AC67)+SUMIFS(Dati!$K$2:$K$761,Dati!$H$2:$H$761,$H67,Dati!$A$2:$A$761,$AC67)+SUMIFS(Dati!$C$2:$C$761,Dati!$A$2:$A$761,$H67,Dati!$H$2:$H$761,$AC67)+SUMIFS(Dati!$J$2:$J$761,Dati!$H$2:$H$761,$H67,Dati!$A$2:$A$761,$AC67),"-")</f>
        <v/>
      </c>
      <c r="BV67" s="22">
        <f>IF(AND($H67&lt;&gt;"",$AD67&lt;&gt;"",$H67&lt;&gt;$AD67,IFERROR(VLOOKUP($H67,areaCercaPuntiClassificaSquadra,3,FALSE),-1)=IFERROR(VLOOKUP($AD67,areaCercaPuntiClassificaSquadra,3,FALSE),-2)),SUMIFS(Dati!$D$2:$D$761,Dati!$A$2:$A$761,$H67,Dati!$H$2:$H$761,$AD67)+SUMIFS(Dati!$K$2:$K$761,Dati!$H$2:$H$761,$H67,Dati!$A$2:$A$761,$AD67)+SUMIFS(Dati!$C$2:$C$761,Dati!$A$2:$A$761,$H67,Dati!$H$2:$H$761,$AD67)+SUMIFS(Dati!$J$2:$J$761,Dati!$H$2:$H$761,$H67,Dati!$A$2:$A$761,$AD67),"-")</f>
        <v/>
      </c>
      <c r="BW67" s="22">
        <f>IF(AND($H67&lt;&gt;"",$AE67&lt;&gt;"",$H67&lt;&gt;$AE67,IFERROR(VLOOKUP($H67,areaCercaPuntiClassificaSquadra,3,FALSE),-1)=IFERROR(VLOOKUP($AE67,areaCercaPuntiClassificaSquadra,3,FALSE),-2)),SUMIFS(Dati!$D$2:$D$761,Dati!$A$2:$A$761,$H67,Dati!$H$2:$H$761,$AE67)+SUMIFS(Dati!$K$2:$K$761,Dati!$H$2:$H$761,$H67,Dati!$A$2:$A$761,$AE67)+SUMIFS(Dati!$C$2:$C$761,Dati!$A$2:$A$761,$H67,Dati!$H$2:$H$761,$AE67)+SUMIFS(Dati!$J$2:$J$761,Dati!$H$2:$H$761,$H67,Dati!$A$2:$A$761,$AE67),"-")</f>
        <v/>
      </c>
      <c r="BX67" s="22">
        <f>IF(AND($H67&lt;&gt;"",$AF67&lt;&gt;"",$H67&lt;&gt;$AF67,IFERROR(VLOOKUP($H67,areaCercaPuntiClassificaSquadra,3,FALSE),-1)=IFERROR(VLOOKUP($AF67,areaCercaPuntiClassificaSquadra,3,FALSE),-2)),SUMIFS(Dati!$D$2:$D$761,Dati!$A$2:$A$761,$H67,Dati!$H$2:$H$761,$AF67)+SUMIFS(Dati!$K$2:$K$761,Dati!$H$2:$H$761,$H67,Dati!$A$2:$A$761,$AF67)+SUMIFS(Dati!$C$2:$C$761,Dati!$A$2:$A$761,$H67,Dati!$H$2:$H$761,$AF67)+SUMIFS(Dati!$J$2:$J$761,Dati!$H$2:$H$761,$H67,Dati!$A$2:$A$761,$AF67),"-")</f>
        <v/>
      </c>
      <c r="BY67" s="22">
        <f>IF(AND($H67&lt;&gt;"",$AG67&lt;&gt;"",$H67&lt;&gt;$AG67,IFERROR(VLOOKUP($H67,areaCercaPuntiClassificaSquadra,3,FALSE),-1)=IFERROR(VLOOKUP($AG67,areaCercaPuntiClassificaSquadra,3,FALSE),-2)),SUMIFS(Dati!$D$2:$D$761,Dati!$A$2:$A$761,$H67,Dati!$H$2:$H$761,$AG67)+SUMIFS(Dati!$K$2:$K$761,Dati!$H$2:$H$761,$H67,Dati!$A$2:$A$761,$AG67)+SUMIFS(Dati!$C$2:$C$761,Dati!$A$2:$A$761,$H67,Dati!$H$2:$H$761,$AG67)+SUMIFS(Dati!$J$2:$J$761,Dati!$H$2:$H$761,$H67,Dati!$A$2:$A$761,$AG67),"-")</f>
        <v/>
      </c>
      <c r="BZ67" s="22">
        <f>IF(AND($H67&lt;&gt;"",$AH67&lt;&gt;"",$H67&lt;&gt;$AH67,IFERROR(VLOOKUP($H67,areaCercaPuntiClassificaSquadra,3,FALSE),-1)=IFERROR(VLOOKUP($AH67,areaCercaPuntiClassificaSquadra,3,FALSE),-2)),SUMIFS(Dati!$D$2:$D$761,Dati!$A$2:$A$761,$H67,Dati!$H$2:$H$761,$AH67)+SUMIFS(Dati!$K$2:$K$761,Dati!$H$2:$H$761,$H67,Dati!$A$2:$A$761,$AH67)+SUMIFS(Dati!$C$2:$C$761,Dati!$A$2:$A$761,$H67,Dati!$H$2:$H$761,$AH67)+SUMIFS(Dati!$J$2:$J$761,Dati!$H$2:$H$761,$H67,Dati!$A$2:$A$761,$AH67),"-")</f>
        <v/>
      </c>
      <c r="CA67" s="22">
        <f>IF(AND($H67&lt;&gt;"",$AI67&lt;&gt;"",$H67&lt;&gt;$AI67,IFERROR(VLOOKUP($H67,areaCercaPuntiClassificaSquadra,3,FALSE),-1)=IFERROR(VLOOKUP($AI67,areaCercaPuntiClassificaSquadra,3,FALSE),-2)),SUMIFS(Dati!$D$2:$D$761,Dati!$A$2:$A$761,$H67,Dati!$H$2:$H$761,$AI67)+SUMIFS(Dati!$K$2:$K$761,Dati!$H$2:$H$761,$H67,Dati!$A$2:$A$761,$AI67)+SUMIFS(Dati!$C$2:$C$761,Dati!$A$2:$A$761,$H67,Dati!$H$2:$H$761,$AI67)+SUMIFS(Dati!$J$2:$J$761,Dati!$H$2:$H$761,$H67,Dati!$A$2:$A$761,$AI67),"-")</f>
        <v/>
      </c>
      <c r="CB67" s="22">
        <f>IF(AND($H67&lt;&gt;"",$AJ67&lt;&gt;"",$H67&lt;&gt;$AJ67,IFERROR(VLOOKUP($H67,areaCercaPuntiClassificaSquadra,3,FALSE),-1)=IFERROR(VLOOKUP($AJ67,areaCercaPuntiClassificaSquadra,3,FALSE),-2)),SUMIFS(Dati!$D$2:$D$761,Dati!$A$2:$A$761,$H67,Dati!$H$2:$H$761,$AJ67)+SUMIFS(Dati!$K$2:$K$761,Dati!$H$2:$H$761,$H67,Dati!$A$2:$A$761,$AJ67)+SUMIFS(Dati!$C$2:$C$761,Dati!$A$2:$A$761,$H67,Dati!$H$2:$H$761,$AJ67)+SUMIFS(Dati!$J$2:$J$761,Dati!$H$2:$H$761,$H67,Dati!$A$2:$A$761,$AJ67),"-")</f>
        <v/>
      </c>
      <c r="CC67" s="22">
        <f>IF(AND($H67&lt;&gt;"",$AK67&lt;&gt;"",$H67&lt;&gt;$AK67,IFERROR(VLOOKUP($H67,areaCercaPuntiClassificaSquadra,3,FALSE),-1)=IFERROR(VLOOKUP($AK67,areaCercaPuntiClassificaSquadra,3,FALSE),-2)),SUMIFS(Dati!$D$2:$D$761,Dati!$A$2:$A$761,$H67,Dati!$H$2:$H$761,$AK67)+SUMIFS(Dati!$K$2:$K$761,Dati!$H$2:$H$761,$H67,Dati!$A$2:$A$761,$AK67)+SUMIFS(Dati!$C$2:$C$761,Dati!$A$2:$A$761,$H67,Dati!$H$2:$H$761,$AK67)+SUMIFS(Dati!$J$2:$J$761,Dati!$H$2:$H$761,$H67,Dati!$A$2:$A$761,$AK67),"-")</f>
        <v/>
      </c>
      <c r="CD67" s="22">
        <f>IF(AND($H67&lt;&gt;"",$AL67&lt;&gt;"",$H67&lt;&gt;$AL67,IFERROR(VLOOKUP($H67,areaCercaPuntiClassificaSquadra,3,FALSE),-1)=IFERROR(VLOOKUP($AL67,areaCercaPuntiClassificaSquadra,3,FALSE),-2)),SUMIFS(Dati!$D$2:$D$761,Dati!$A$2:$A$761,$H67,Dati!$H$2:$H$761,$AL67)+SUMIFS(Dati!$K$2:$K$761,Dati!$H$2:$H$761,$H67,Dati!$A$2:$A$761,$AL67)+SUMIFS(Dati!$C$2:$C$761,Dati!$A$2:$A$761,$H67,Dati!$H$2:$H$761,$AL67)+SUMIFS(Dati!$J$2:$J$761,Dati!$H$2:$H$761,$H67,Dati!$A$2:$A$761,$AL67),"-")</f>
        <v/>
      </c>
      <c r="CE67" s="22">
        <f>IF(AND($H67&lt;&gt;"",$AM67&lt;&gt;"",$H67&lt;&gt;$AM67,IFERROR(VLOOKUP($H67,areaCercaPuntiClassificaSquadra,3,FALSE),-1)=IFERROR(VLOOKUP($AM67,areaCercaPuntiClassificaSquadra,3,FALSE),-2)),SUMIFS(Dati!$D$2:$D$761,Dati!$A$2:$A$761,$H67,Dati!$H$2:$H$761,$AM67)+SUMIFS(Dati!$K$2:$K$761,Dati!$H$2:$H$761,$H67,Dati!$A$2:$A$761,$AM67)+SUMIFS(Dati!$C$2:$C$761,Dati!$A$2:$A$761,$H67,Dati!$H$2:$H$761,$AM67)+SUMIFS(Dati!$J$2:$J$761,Dati!$H$2:$H$761,$H67,Dati!$A$2:$A$761,$AM67),"-")</f>
        <v/>
      </c>
      <c r="CF67" s="22">
        <f>IF(AND($H67&lt;&gt;"",$AN67&lt;&gt;"",$H67&lt;&gt;$AN67,IFERROR(VLOOKUP($H67,areaCercaPuntiClassificaSquadra,3,FALSE),-1)=IFERROR(VLOOKUP($AN67,areaCercaPuntiClassificaSquadra,3,FALSE),-2)),SUMIFS(Dati!$D$2:$D$761,Dati!$A$2:$A$761,$H67,Dati!$H$2:$H$761,$AN67)+SUMIFS(Dati!$K$2:$K$761,Dati!$H$2:$H$761,$H67,Dati!$A$2:$A$761,$AN67)+SUMIFS(Dati!$C$2:$C$761,Dati!$A$2:$A$761,$H67,Dati!$H$2:$H$761,$AN67)+SUMIFS(Dati!$J$2:$J$761,Dati!$H$2:$H$761,$H67,Dati!$A$2:$A$761,$AN67),"-")</f>
        <v/>
      </c>
      <c r="CG67" s="22">
        <f>IF(AND($H67&lt;&gt;"",$AO67&lt;&gt;"",$H67&lt;&gt;$AO67,IFERROR(VLOOKUP($H67,areaCercaPuntiClassificaSquadra,3,FALSE),-1)=IFERROR(VLOOKUP($AO67,areaCercaPuntiClassificaSquadra,3,FALSE),-2)),SUMIFS(Dati!$D$2:$D$761,Dati!$A$2:$A$761,$H67,Dati!$H$2:$H$761,$AO67)+SUMIFS(Dati!$K$2:$K$761,Dati!$H$2:$H$761,$H67,Dati!$A$2:$A$761,$AO67)+SUMIFS(Dati!$C$2:$C$761,Dati!$A$2:$A$761,$H67,Dati!$H$2:$H$761,$AO67)+SUMIFS(Dati!$J$2:$J$761,Dati!$H$2:$H$761,$H67,Dati!$A$2:$A$761,$AO67),"-")</f>
        <v/>
      </c>
      <c r="CH67" s="22">
        <f>IF(AND($H67&lt;&gt;"",$AP67&lt;&gt;"",$H67&lt;&gt;$AP67,IFERROR(VLOOKUP($H67,areaCercaPuntiClassificaSquadra,3,FALSE),-1)=IFERROR(VLOOKUP($AP67,areaCercaPuntiClassificaSquadra,3,FALSE),-2)),SUMIFS(Dati!$D$2:$D$761,Dati!$A$2:$A$761,$H67,Dati!$H$2:$H$761,$AP67)+SUMIFS(Dati!$K$2:$K$761,Dati!$H$2:$H$761,$H67,Dati!$A$2:$A$761,$AP67)+SUMIFS(Dati!$C$2:$C$761,Dati!$A$2:$A$761,$H67,Dati!$H$2:$H$761,$AP67)+SUMIFS(Dati!$J$2:$J$761,Dati!$H$2:$H$761,$H67,Dati!$A$2:$A$761,$AP67),"-")</f>
        <v/>
      </c>
      <c r="CI67" s="22">
        <f>IF(AND($H67&lt;&gt;"",$AQ67&lt;&gt;"",$H67&lt;&gt;$AQ67,IFERROR(VLOOKUP($H67,areaCercaPuntiClassificaSquadra,3,FALSE),-1)=IFERROR(VLOOKUP($AQ67,areaCercaPuntiClassificaSquadra,3,FALSE),-2)),SUMIFS(Dati!$D$2:$D$761,Dati!$A$2:$A$761,$H67,Dati!$H$2:$H$761,$AQ67)+SUMIFS(Dati!$K$2:$K$761,Dati!$H$2:$H$761,$H67,Dati!$A$2:$A$761,$AQ67)+SUMIFS(Dati!$C$2:$C$761,Dati!$A$2:$A$761,$H67,Dati!$H$2:$H$761,$AQ67)+SUMIFS(Dati!$J$2:$J$761,Dati!$H$2:$H$761,$H67,Dati!$A$2:$A$761,$AQ67),"-")</f>
        <v/>
      </c>
      <c r="CJ67" s="22">
        <f>IF(AND($H67&lt;&gt;"",$AR67&lt;&gt;"",$H67&lt;&gt;$AR67,IFERROR(VLOOKUP($H67,areaCercaPuntiClassificaSquadra,3,FALSE),-1)=IFERROR(VLOOKUP($AR67,areaCercaPuntiClassificaSquadra,3,FALSE),-2)),SUMIFS(Dati!$D$2:$D$761,Dati!$A$2:$A$761,$H67,Dati!$H$2:$H$761,$AR67)+SUMIFS(Dati!$K$2:$K$761,Dati!$H$2:$H$761,$H67,Dati!$A$2:$A$761,$AR67)+SUMIFS(Dati!$C$2:$C$761,Dati!$A$2:$A$761,$H67,Dati!$H$2:$H$761,$AR67)+SUMIFS(Dati!$J$2:$J$761,Dati!$H$2:$H$761,$H67,Dati!$A$2:$A$761,$AR67),"-")</f>
        <v/>
      </c>
      <c r="CL67" s="21">
        <f>$C67</f>
        <v/>
      </c>
      <c r="CM67" s="22">
        <f>IF(AND($H67&lt;&gt;"",$Y67&lt;&gt;"",$H67&lt;&gt;$Y67,IFERROR(VLOOKUP($H67,areaCercaPuntiClassificaSquadra,3,FALSE),-1)=IFERROR(VLOOKUP($Y67,areaCercaPuntiClassificaSquadra,3,FALSE),-2)),SUMIFS(Dati!$E$2:$E$761,Dati!$A$2:$A$761,$H67,Dati!$H$2:$H$761,$Y67)+SUMIFS(Dati!$L$2:$L$761,Dati!$H$2:$H$761,$H67,Dati!$A$2:$A$761,$Y67),"-")</f>
        <v/>
      </c>
      <c r="CN67" s="22">
        <f>IF(AND($H67&lt;&gt;"",$Z67&lt;&gt;"",$H67&lt;&gt;$Z67,IFERROR(VLOOKUP($H67,areaCercaPuntiClassificaSquadra,3,FALSE),-1)=IFERROR(VLOOKUP($Z67,areaCercaPuntiClassificaSquadra,3,FALSE),-2)),SUMIFS(Dati!$E$2:$E$761,Dati!$A$2:$A$761,$H67,Dati!$H$2:$H$761,$Z67)+SUMIFS(Dati!$L$2:$L$761,Dati!$H$2:$H$761,$H67,Dati!$A$2:$A$761,$Z67),"-")</f>
        <v/>
      </c>
      <c r="CO67" s="22">
        <f>IF(AND($H67&lt;&gt;"",$AA67&lt;&gt;"",$H67&lt;&gt;$AA67,IFERROR(VLOOKUP($H67,areaCercaPuntiClassificaSquadra,3,FALSE),-1)=IFERROR(VLOOKUP($AA67,areaCercaPuntiClassificaSquadra,3,FALSE),-2)),SUMIFS(Dati!$E$2:$E$761,Dati!$A$2:$A$761,$H67,Dati!$H$2:$H$761,$AA67)+SUMIFS(Dati!$L$2:$L$761,Dati!$H$2:$H$761,$H67,Dati!$A$2:$A$761,$AA67),"-")</f>
        <v/>
      </c>
      <c r="CP67" s="22">
        <f>IF(AND($H67&lt;&gt;"",$AB67&lt;&gt;"",$H67&lt;&gt;$AB67,IFERROR(VLOOKUP($H67,areaCercaPuntiClassificaSquadra,3,FALSE),-1)=IFERROR(VLOOKUP($AB67,areaCercaPuntiClassificaSquadra,3,FALSE),-2)),SUMIFS(Dati!$E$2:$E$761,Dati!$A$2:$A$761,$H67,Dati!$H$2:$H$761,$AB67)+SUMIFS(Dati!$L$2:$L$761,Dati!$H$2:$H$761,$H67,Dati!$A$2:$A$761,$AB67),"-")</f>
        <v/>
      </c>
      <c r="CQ67" s="22">
        <f>IF(AND($H67&lt;&gt;"",$AC67&lt;&gt;"",$H67&lt;&gt;$AC67,IFERROR(VLOOKUP($H67,areaCercaPuntiClassificaSquadra,3,FALSE),-1)=IFERROR(VLOOKUP($AC67,areaCercaPuntiClassificaSquadra,3,FALSE),-2)),SUMIFS(Dati!$E$2:$E$761,Dati!$A$2:$A$761,$H67,Dati!$H$2:$H$761,$AC67)+SUMIFS(Dati!$L$2:$L$761,Dati!$H$2:$H$761,$H67,Dati!$A$2:$A$761,$AC67),"-")</f>
        <v/>
      </c>
      <c r="CR67" s="22">
        <f>IF(AND($H67&lt;&gt;"",$AD67&lt;&gt;"",$H67&lt;&gt;$AD67,IFERROR(VLOOKUP($H67,areaCercaPuntiClassificaSquadra,3,FALSE),-1)=IFERROR(VLOOKUP($AD67,areaCercaPuntiClassificaSquadra,3,FALSE),-2)),SUMIFS(Dati!$E$2:$E$761,Dati!$A$2:$A$761,$H67,Dati!$H$2:$H$761,$AD67)+SUMIFS(Dati!$L$2:$L$761,Dati!$H$2:$H$761,$H67,Dati!$A$2:$A$761,$AD67),"-")</f>
        <v/>
      </c>
      <c r="CS67" s="22">
        <f>IF(AND($H67&lt;&gt;"",$AE67&lt;&gt;"",$H67&lt;&gt;$AE67,IFERROR(VLOOKUP($H67,areaCercaPuntiClassificaSquadra,3,FALSE),-1)=IFERROR(VLOOKUP($AE67,areaCercaPuntiClassificaSquadra,3,FALSE),-2)),SUMIFS(Dati!$E$2:$E$761,Dati!$A$2:$A$761,$H67,Dati!$H$2:$H$761,$AE67)+SUMIFS(Dati!$L$2:$L$761,Dati!$H$2:$H$761,$H67,Dati!$A$2:$A$761,$AE67),"-")</f>
        <v/>
      </c>
      <c r="CT67" s="22">
        <f>IF(AND($H67&lt;&gt;"",$AF67&lt;&gt;"",$H67&lt;&gt;$AF67,IFERROR(VLOOKUP($H67,areaCercaPuntiClassificaSquadra,3,FALSE),-1)=IFERROR(VLOOKUP($AF67,areaCercaPuntiClassificaSquadra,3,FALSE),-2)),SUMIFS(Dati!$E$2:$E$761,Dati!$A$2:$A$761,$H67,Dati!$H$2:$H$761,$AF67)+SUMIFS(Dati!$L$2:$L$761,Dati!$H$2:$H$761,$H67,Dati!$A$2:$A$761,$AF67),"-")</f>
        <v/>
      </c>
      <c r="CU67" s="22">
        <f>IF(AND($H67&lt;&gt;"",$AG67&lt;&gt;"",$H67&lt;&gt;$AG67,IFERROR(VLOOKUP($H67,areaCercaPuntiClassificaSquadra,3,FALSE),-1)=IFERROR(VLOOKUP($AG67,areaCercaPuntiClassificaSquadra,3,FALSE),-2)),SUMIFS(Dati!$E$2:$E$761,Dati!$A$2:$A$761,$H67,Dati!$H$2:$H$761,$AG67)+SUMIFS(Dati!$L$2:$L$761,Dati!$H$2:$H$761,$H67,Dati!$A$2:$A$761,$AG67),"-")</f>
        <v/>
      </c>
      <c r="CV67" s="22">
        <f>IF(AND($H67&lt;&gt;"",$AH67&lt;&gt;"",$H67&lt;&gt;$AH67,IFERROR(VLOOKUP($H67,areaCercaPuntiClassificaSquadra,3,FALSE),-1)=IFERROR(VLOOKUP($AH67,areaCercaPuntiClassificaSquadra,3,FALSE),-2)),SUMIFS(Dati!$E$2:$E$761,Dati!$A$2:$A$761,$H67,Dati!$H$2:$H$761,$AH67)+SUMIFS(Dati!$L$2:$L$761,Dati!$H$2:$H$761,$H67,Dati!$A$2:$A$761,$AH67),"-")</f>
        <v/>
      </c>
      <c r="CW67" s="22">
        <f>IF(AND($H67&lt;&gt;"",$AI67&lt;&gt;"",$H67&lt;&gt;$AI67,IFERROR(VLOOKUP($H67,areaCercaPuntiClassificaSquadra,3,FALSE),-1)=IFERROR(VLOOKUP($AI67,areaCercaPuntiClassificaSquadra,3,FALSE),-2)),SUMIFS(Dati!$E$2:$E$761,Dati!$A$2:$A$761,$H67,Dati!$H$2:$H$761,$AI67)+SUMIFS(Dati!$L$2:$L$761,Dati!$H$2:$H$761,$H67,Dati!$A$2:$A$761,$AI67),"-")</f>
        <v/>
      </c>
      <c r="CX67" s="22">
        <f>IF(AND($H67&lt;&gt;"",$AJ67&lt;&gt;"",$H67&lt;&gt;$AJ67,IFERROR(VLOOKUP($H67,areaCercaPuntiClassificaSquadra,3,FALSE),-1)=IFERROR(VLOOKUP($AJ67,areaCercaPuntiClassificaSquadra,3,FALSE),-2)),SUMIFS(Dati!$E$2:$E$761,Dati!$A$2:$A$761,$H67,Dati!$H$2:$H$761,$AJ67)+SUMIFS(Dati!$L$2:$L$761,Dati!$H$2:$H$761,$H67,Dati!$A$2:$A$761,$AJ67),"-")</f>
        <v/>
      </c>
      <c r="CY67" s="22">
        <f>IF(AND($H67&lt;&gt;"",$AK67&lt;&gt;"",$H67&lt;&gt;$AK67,IFERROR(VLOOKUP($H67,areaCercaPuntiClassificaSquadra,3,FALSE),-1)=IFERROR(VLOOKUP($AK67,areaCercaPuntiClassificaSquadra,3,FALSE),-2)),SUMIFS(Dati!$E$2:$E$761,Dati!$A$2:$A$761,$H67,Dati!$H$2:$H$761,$AK67)+SUMIFS(Dati!$L$2:$L$761,Dati!$H$2:$H$761,$H67,Dati!$A$2:$A$761,$AK67),"-")</f>
        <v/>
      </c>
      <c r="CZ67" s="22">
        <f>IF(AND($H67&lt;&gt;"",$AL67&lt;&gt;"",$H67&lt;&gt;$AL67,IFERROR(VLOOKUP($H67,areaCercaPuntiClassificaSquadra,3,FALSE),-1)=IFERROR(VLOOKUP($AL67,areaCercaPuntiClassificaSquadra,3,FALSE),-2)),SUMIFS(Dati!$E$2:$E$761,Dati!$A$2:$A$761,$H67,Dati!$H$2:$H$761,$AL67)+SUMIFS(Dati!$L$2:$L$761,Dati!$H$2:$H$761,$H67,Dati!$A$2:$A$761,$AL67),"-")</f>
        <v/>
      </c>
      <c r="DA67" s="22">
        <f>IF(AND($H67&lt;&gt;"",$AM67&lt;&gt;"",$H67&lt;&gt;$AM67,IFERROR(VLOOKUP($H67,areaCercaPuntiClassificaSquadra,3,FALSE),-1)=IFERROR(VLOOKUP($AM67,areaCercaPuntiClassificaSquadra,3,FALSE),-2)),SUMIFS(Dati!$E$2:$E$761,Dati!$A$2:$A$761,$H67,Dati!$H$2:$H$761,$AM67)+SUMIFS(Dati!$L$2:$L$761,Dati!$H$2:$H$761,$H67,Dati!$A$2:$A$761,$AM67),"-")</f>
        <v/>
      </c>
      <c r="DB67" s="22">
        <f>IF(AND($H67&lt;&gt;"",$AN67&lt;&gt;"",$H67&lt;&gt;$AN67,IFERROR(VLOOKUP($H67,areaCercaPuntiClassificaSquadra,3,FALSE),-1)=IFERROR(VLOOKUP($AN67,areaCercaPuntiClassificaSquadra,3,FALSE),-2)),SUMIFS(Dati!$E$2:$E$761,Dati!$A$2:$A$761,$H67,Dati!$H$2:$H$761,$AN67)+SUMIFS(Dati!$L$2:$L$761,Dati!$H$2:$H$761,$H67,Dati!$A$2:$A$761,$AN67),"-")</f>
        <v/>
      </c>
      <c r="DC67" s="22">
        <f>IF(AND($H67&lt;&gt;"",$AO67&lt;&gt;"",$H67&lt;&gt;$AO67,IFERROR(VLOOKUP($H67,areaCercaPuntiClassificaSquadra,3,FALSE),-1)=IFERROR(VLOOKUP($AO67,areaCercaPuntiClassificaSquadra,3,FALSE),-2)),SUMIFS(Dati!$E$2:$E$761,Dati!$A$2:$A$761,$H67,Dati!$H$2:$H$761,$AO67)+SUMIFS(Dati!$L$2:$L$761,Dati!$H$2:$H$761,$H67,Dati!$A$2:$A$761,$AO67),"-")</f>
        <v/>
      </c>
      <c r="DD67" s="22">
        <f>IF(AND($H67&lt;&gt;"",$AP67&lt;&gt;"",$H67&lt;&gt;$AP67,IFERROR(VLOOKUP($H67,areaCercaPuntiClassificaSquadra,3,FALSE),-1)=IFERROR(VLOOKUP($AP67,areaCercaPuntiClassificaSquadra,3,FALSE),-2)),SUMIFS(Dati!$E$2:$E$761,Dati!$A$2:$A$761,$H67,Dati!$H$2:$H$761,$AP67)+SUMIFS(Dati!$L$2:$L$761,Dati!$H$2:$H$761,$H67,Dati!$A$2:$A$761,$AP67),"-")</f>
        <v/>
      </c>
      <c r="DE67" s="22">
        <f>IF(AND($H67&lt;&gt;"",$AQ67&lt;&gt;"",$H67&lt;&gt;$AQ67,IFERROR(VLOOKUP($H67,areaCercaPuntiClassificaSquadra,3,FALSE),-1)=IFERROR(VLOOKUP($AQ67,areaCercaPuntiClassificaSquadra,3,FALSE),-2)),SUMIFS(Dati!$E$2:$E$761,Dati!$A$2:$A$761,$H67,Dati!$H$2:$H$761,$AQ67)+SUMIFS(Dati!$L$2:$L$761,Dati!$H$2:$H$761,$H67,Dati!$A$2:$A$761,$AQ67),"-")</f>
        <v/>
      </c>
      <c r="DF67" s="22">
        <f>IF(AND($H67&lt;&gt;"",$AR67&lt;&gt;"",$H67&lt;&gt;$AR67,IFERROR(VLOOKUP($H67,areaCercaPuntiClassificaSquadra,3,FALSE),-1)=IFERROR(VLOOKUP($AR67,areaCercaPuntiClassificaSquadra,3,FALSE),-2)),SUMIFS(Dati!$E$2:$E$761,Dati!$A$2:$A$761,$H67,Dati!$H$2:$H$761,$AR67)+SUMIFS(Dati!$L$2:$L$761,Dati!$H$2:$H$761,$H67,Dati!$A$2:$A$761,$AR67),"-")</f>
        <v/>
      </c>
      <c r="DH67" s="21">
        <f>$C67</f>
        <v/>
      </c>
      <c r="DI67" s="22">
        <f>IF(AND($H67&lt;&gt;"",$Y67&lt;&gt;"",$H67&lt;&gt;$Y67,IFERROR(VLOOKUP($H67,areaCercaPuntiClassificaSquadra,3,FALSE),-1)=IFERROR(VLOOKUP($Y67,areaCercaPuntiClassificaSquadra,3,FALSE),-2)),SUMIFS(Dati!$F$2:$F$761,Dati!$A$2:$A$761,$H67,Dati!$H$2:$H$761,$Y67)+SUMIFS(Dati!$M$2:$M$761,Dati!$H$2:$H$761,$H67,Dati!$A$2:$A$761,$Y67),"-")</f>
        <v/>
      </c>
      <c r="DJ67" s="22">
        <f>IF(AND($H67&lt;&gt;"",$Z67&lt;&gt;"",$H67&lt;&gt;$Z67,IFERROR(VLOOKUP($H67,areaCercaPuntiClassificaSquadra,3,FALSE),-1)=IFERROR(VLOOKUP($Z67,areaCercaPuntiClassificaSquadra,3,FALSE),-2)),SUMIFS(Dati!$F$2:$F$761,Dati!$A$2:$A$761,$H67,Dati!$H$2:$H$761,$Z67)+SUMIFS(Dati!$M$2:$M$761,Dati!$H$2:$H$761,$H67,Dati!$A$2:$A$761,$Z67),"-")</f>
        <v/>
      </c>
      <c r="DK67" s="22">
        <f>IF(AND($H67&lt;&gt;"",$AA67&lt;&gt;"",$H67&lt;&gt;$AA67,IFERROR(VLOOKUP($H67,areaCercaPuntiClassificaSquadra,3,FALSE),-1)=IFERROR(VLOOKUP($AA67,areaCercaPuntiClassificaSquadra,3,FALSE),-2)),SUMIFS(Dati!$F$2:$F$761,Dati!$A$2:$A$761,$H67,Dati!$H$2:$H$761,$AA67)+SUMIFS(Dati!$M$2:$M$761,Dati!$H$2:$H$761,$H67,Dati!$A$2:$A$761,$AA67),"-")</f>
        <v/>
      </c>
      <c r="DL67" s="22">
        <f>IF(AND($H67&lt;&gt;"",$AB67&lt;&gt;"",$H67&lt;&gt;$AB67,IFERROR(VLOOKUP($H67,areaCercaPuntiClassificaSquadra,3,FALSE),-1)=IFERROR(VLOOKUP($AB67,areaCercaPuntiClassificaSquadra,3,FALSE),-2)),SUMIFS(Dati!$F$2:$F$761,Dati!$A$2:$A$761,$H67,Dati!$H$2:$H$761,$AB67)+SUMIFS(Dati!$M$2:$M$761,Dati!$H$2:$H$761,$H67,Dati!$A$2:$A$761,$AB67),"-")</f>
        <v/>
      </c>
      <c r="DM67" s="22">
        <f>IF(AND($H67&lt;&gt;"",$AC67&lt;&gt;"",$H67&lt;&gt;$AC67,IFERROR(VLOOKUP($H67,areaCercaPuntiClassificaSquadra,3,FALSE),-1)=IFERROR(VLOOKUP($AC67,areaCercaPuntiClassificaSquadra,3,FALSE),-2)),SUMIFS(Dati!$F$2:$F$761,Dati!$A$2:$A$761,$H67,Dati!$H$2:$H$761,$AC67)+SUMIFS(Dati!$M$2:$M$761,Dati!$H$2:$H$761,$H67,Dati!$A$2:$A$761,$AC67),"-")</f>
        <v/>
      </c>
      <c r="DN67" s="22">
        <f>IF(AND($H67&lt;&gt;"",$AD67&lt;&gt;"",$H67&lt;&gt;$AD67,IFERROR(VLOOKUP($H67,areaCercaPuntiClassificaSquadra,3,FALSE),-1)=IFERROR(VLOOKUP($AD67,areaCercaPuntiClassificaSquadra,3,FALSE),-2)),SUMIFS(Dati!$F$2:$F$761,Dati!$A$2:$A$761,$H67,Dati!$H$2:$H$761,$AD67)+SUMIFS(Dati!$M$2:$M$761,Dati!$H$2:$H$761,$H67,Dati!$A$2:$A$761,$AD67),"-")</f>
        <v/>
      </c>
      <c r="DO67" s="22">
        <f>IF(AND($H67&lt;&gt;"",$AE67&lt;&gt;"",$H67&lt;&gt;$AE67,IFERROR(VLOOKUP($H67,areaCercaPuntiClassificaSquadra,3,FALSE),-1)=IFERROR(VLOOKUP($AE67,areaCercaPuntiClassificaSquadra,3,FALSE),-2)),SUMIFS(Dati!$F$2:$F$761,Dati!$A$2:$A$761,$H67,Dati!$H$2:$H$761,$AE67)+SUMIFS(Dati!$M$2:$M$761,Dati!$H$2:$H$761,$H67,Dati!$A$2:$A$761,$AE67),"-")</f>
        <v/>
      </c>
      <c r="DP67" s="22">
        <f>IF(AND($H67&lt;&gt;"",$AF67&lt;&gt;"",$H67&lt;&gt;$AF67,IFERROR(VLOOKUP($H67,areaCercaPuntiClassificaSquadra,3,FALSE),-1)=IFERROR(VLOOKUP($AF67,areaCercaPuntiClassificaSquadra,3,FALSE),-2)),SUMIFS(Dati!$F$2:$F$761,Dati!$A$2:$A$761,$H67,Dati!$H$2:$H$761,$AF67)+SUMIFS(Dati!$M$2:$M$761,Dati!$H$2:$H$761,$H67,Dati!$A$2:$A$761,$AF67),"-")</f>
        <v/>
      </c>
      <c r="DQ67" s="22">
        <f>IF(AND($H67&lt;&gt;"",$AG67&lt;&gt;"",$H67&lt;&gt;$AG67,IFERROR(VLOOKUP($H67,areaCercaPuntiClassificaSquadra,3,FALSE),-1)=IFERROR(VLOOKUP($AG67,areaCercaPuntiClassificaSquadra,3,FALSE),-2)),SUMIFS(Dati!$F$2:$F$761,Dati!$A$2:$A$761,$H67,Dati!$H$2:$H$761,$AG67)+SUMIFS(Dati!$M$2:$M$761,Dati!$H$2:$H$761,$H67,Dati!$A$2:$A$761,$AG67),"-")</f>
        <v/>
      </c>
      <c r="DR67" s="22">
        <f>IF(AND($H67&lt;&gt;"",$AH67&lt;&gt;"",$H67&lt;&gt;$AH67,IFERROR(VLOOKUP($H67,areaCercaPuntiClassificaSquadra,3,FALSE),-1)=IFERROR(VLOOKUP($AH67,areaCercaPuntiClassificaSquadra,3,FALSE),-2)),SUMIFS(Dati!$F$2:$F$761,Dati!$A$2:$A$761,$H67,Dati!$H$2:$H$761,$AH67)+SUMIFS(Dati!$M$2:$M$761,Dati!$H$2:$H$761,$H67,Dati!$A$2:$A$761,$AH67),"-")</f>
        <v/>
      </c>
      <c r="DS67" s="22">
        <f>IF(AND($H67&lt;&gt;"",$AI67&lt;&gt;"",$H67&lt;&gt;$AI67,IFERROR(VLOOKUP($H67,areaCercaPuntiClassificaSquadra,3,FALSE),-1)=IFERROR(VLOOKUP($AI67,areaCercaPuntiClassificaSquadra,3,FALSE),-2)),SUMIFS(Dati!$F$2:$F$761,Dati!$A$2:$A$761,$H67,Dati!$H$2:$H$761,$AI67)+SUMIFS(Dati!$M$2:$M$761,Dati!$H$2:$H$761,$H67,Dati!$A$2:$A$761,$AI67),"-")</f>
        <v/>
      </c>
      <c r="DT67" s="22">
        <f>IF(AND($H67&lt;&gt;"",$AJ67&lt;&gt;"",$H67&lt;&gt;$AJ67,IFERROR(VLOOKUP($H67,areaCercaPuntiClassificaSquadra,3,FALSE),-1)=IFERROR(VLOOKUP($AJ67,areaCercaPuntiClassificaSquadra,3,FALSE),-2)),SUMIFS(Dati!$F$2:$F$761,Dati!$A$2:$A$761,$H67,Dati!$H$2:$H$761,$AJ67)+SUMIFS(Dati!$M$2:$M$761,Dati!$H$2:$H$761,$H67,Dati!$A$2:$A$761,$AJ67),"-")</f>
        <v/>
      </c>
      <c r="DU67" s="22">
        <f>IF(AND($H67&lt;&gt;"",$AK67&lt;&gt;"",$H67&lt;&gt;$AK67,IFERROR(VLOOKUP($H67,areaCercaPuntiClassificaSquadra,3,FALSE),-1)=IFERROR(VLOOKUP($AK67,areaCercaPuntiClassificaSquadra,3,FALSE),-2)),SUMIFS(Dati!$F$2:$F$761,Dati!$A$2:$A$761,$H67,Dati!$H$2:$H$761,$AK67)+SUMIFS(Dati!$M$2:$M$761,Dati!$H$2:$H$761,$H67,Dati!$A$2:$A$761,$AK67),"-")</f>
        <v/>
      </c>
      <c r="DV67" s="22">
        <f>IF(AND($H67&lt;&gt;"",$AL67&lt;&gt;"",$H67&lt;&gt;$AL67,IFERROR(VLOOKUP($H67,areaCercaPuntiClassificaSquadra,3,FALSE),-1)=IFERROR(VLOOKUP($AL67,areaCercaPuntiClassificaSquadra,3,FALSE),-2)),SUMIFS(Dati!$F$2:$F$761,Dati!$A$2:$A$761,$H67,Dati!$H$2:$H$761,$AL67)+SUMIFS(Dati!$M$2:$M$761,Dati!$H$2:$H$761,$H67,Dati!$A$2:$A$761,$AL67),"-")</f>
        <v/>
      </c>
      <c r="DW67" s="22">
        <f>IF(AND($H67&lt;&gt;"",$AM67&lt;&gt;"",$H67&lt;&gt;$AM67,IFERROR(VLOOKUP($H67,areaCercaPuntiClassificaSquadra,3,FALSE),-1)=IFERROR(VLOOKUP($AM67,areaCercaPuntiClassificaSquadra,3,FALSE),-2)),SUMIFS(Dati!$F$2:$F$761,Dati!$A$2:$A$761,$H67,Dati!$H$2:$H$761,$AM67)+SUMIFS(Dati!$M$2:$M$761,Dati!$H$2:$H$761,$H67,Dati!$A$2:$A$761,$AM67),"-")</f>
        <v/>
      </c>
      <c r="DX67" s="22">
        <f>IF(AND($H67&lt;&gt;"",$AN67&lt;&gt;"",$H67&lt;&gt;$AN67,IFERROR(VLOOKUP($H67,areaCercaPuntiClassificaSquadra,3,FALSE),-1)=IFERROR(VLOOKUP($AN67,areaCercaPuntiClassificaSquadra,3,FALSE),-2)),SUMIFS(Dati!$F$2:$F$761,Dati!$A$2:$A$761,$H67,Dati!$H$2:$H$761,$AN67)+SUMIFS(Dati!$M$2:$M$761,Dati!$H$2:$H$761,$H67,Dati!$A$2:$A$761,$AN67),"-")</f>
        <v/>
      </c>
      <c r="DY67" s="22">
        <f>IF(AND($H67&lt;&gt;"",$AO67&lt;&gt;"",$H67&lt;&gt;$AO67,IFERROR(VLOOKUP($H67,areaCercaPuntiClassificaSquadra,3,FALSE),-1)=IFERROR(VLOOKUP($AO67,areaCercaPuntiClassificaSquadra,3,FALSE),-2)),SUMIFS(Dati!$F$2:$F$761,Dati!$A$2:$A$761,$H67,Dati!$H$2:$H$761,$AO67)+SUMIFS(Dati!$M$2:$M$761,Dati!$H$2:$H$761,$H67,Dati!$A$2:$A$761,$AO67),"-")</f>
        <v/>
      </c>
      <c r="DZ67" s="22">
        <f>IF(AND($H67&lt;&gt;"",$AP67&lt;&gt;"",$H67&lt;&gt;$AP67,IFERROR(VLOOKUP($H67,areaCercaPuntiClassificaSquadra,3,FALSE),-1)=IFERROR(VLOOKUP($AP67,areaCercaPuntiClassificaSquadra,3,FALSE),-2)),SUMIFS(Dati!$F$2:$F$761,Dati!$A$2:$A$761,$H67,Dati!$H$2:$H$761,$AP67)+SUMIFS(Dati!$M$2:$M$761,Dati!$H$2:$H$761,$H67,Dati!$A$2:$A$761,$AP67),"-")</f>
        <v/>
      </c>
      <c r="EA67" s="22">
        <f>IF(AND($H67&lt;&gt;"",$AQ67&lt;&gt;"",$H67&lt;&gt;$AQ67,IFERROR(VLOOKUP($H67,areaCercaPuntiClassificaSquadra,3,FALSE),-1)=IFERROR(VLOOKUP($AQ67,areaCercaPuntiClassificaSquadra,3,FALSE),-2)),SUMIFS(Dati!$F$2:$F$761,Dati!$A$2:$A$761,$H67,Dati!$H$2:$H$761,$AQ67)+SUMIFS(Dati!$M$2:$M$761,Dati!$H$2:$H$761,$H67,Dati!$A$2:$A$761,$AQ67),"-")</f>
        <v/>
      </c>
      <c r="EB67" s="22">
        <f>IF(AND($H67&lt;&gt;"",$AR67&lt;&gt;"",$H67&lt;&gt;$AR67,IFERROR(VLOOKUP($H67,areaCercaPuntiClassificaSquadra,3,FALSE),-1)=IFERROR(VLOOKUP($AR67,areaCercaPuntiClassificaSquadra,3,FALSE),-2)),SUMIFS(Dati!$F$2:$F$761,Dati!$A$2:$A$761,$H67,Dati!$H$2:$H$761,$AR67)+SUMIFS(Dati!$M$2:$M$761,Dati!$H$2:$H$761,$H67,Dati!$A$2:$A$761,$AR67),"-")</f>
        <v/>
      </c>
      <c r="ED67" s="22">
        <f>IF($C67="","",SUM(AU67:BN67))</f>
        <v/>
      </c>
    </row>
    <row r="68">
      <c r="B68" s="12" t="inlineStr">
        <is>
          <t>C15</t>
        </is>
      </c>
      <c r="C68" s="13" t="inlineStr">
        <is>
          <t>Daini Docili-Dainiopoli DU</t>
        </is>
      </c>
      <c r="D68" s="14" t="n"/>
      <c r="E68" s="25" t="inlineStr">
        <is>
          <t>C</t>
        </is>
      </c>
      <c r="G68" s="26">
        <f>IF($C68="","",$E68&amp;(COUNTIFS(I$14:I$93,"&gt;"&amp;I68,E$14:E$93,"="&amp;E68,C$14:C$93,"&lt;&gt;")+COUNTIFS(I$14:I$93,"="&amp;I68,H$14:H$93,"&lt;="&amp;H68,E$14:E$93,"="&amp;E68,C$14:C$93,"&lt;&gt;")))</f>
        <v/>
      </c>
      <c r="H68" s="17">
        <f>IF($C68="","",IFERROR(LEFT($C68,FIND("-",$C68)-1),$C68))</f>
        <v/>
      </c>
      <c r="I68" s="12">
        <f>TEXT(1000000000+J68,"|0000000000|")&amp;TEXT(SUM(AU68:BN68),"0000000000|")&amp;IF(SUM(DI68:EB68)=0,"0000000000|",TEXT(ROUND(SUM(CM68:DF68)/SUM(DI68:EB68),4)*100000,"0000000000|"))&amp;IF(P68=0,"0000000000|",TEXT(ROUND(O68/P68,4)*100000,"0000000000|"))</f>
        <v/>
      </c>
      <c r="J68" s="26">
        <f>L68*constPuntiVittoria+M68*constPuntiSconfitta+N68*constPuntiForfait+IF(D68="",0,D68)</f>
        <v/>
      </c>
      <c r="K68" s="12">
        <f>SUM(L68:N68)</f>
        <v/>
      </c>
      <c r="L68" s="12">
        <f>IF($H68="",0,SUMIF(Dati!$A$2:$A$761,$H68,Dati!$B$2:$B$761)+SUMIF(Dati!$H$2:$H$761,$H68,Dati!$I$2:$I$761))</f>
        <v/>
      </c>
      <c r="M68" s="12">
        <f>IF($H68="",0,SUMIF(Dati!$A$2:$A$761,$H68,Dati!$D$2:$D$761)+SUMIF(Dati!$H$2:$H$761,$H68,Dati!$K$2:$K$761))</f>
        <v/>
      </c>
      <c r="N68" s="12">
        <f>IF($H68="",0,SUMIF(Dati!$A$2:$A$761,$H68,Dati!$C$2:$C$761)+SUMIF(Dati!$H$2:$H$761,$H68,Dati!$J$2:$J$761))</f>
        <v/>
      </c>
      <c r="O68" s="12">
        <f>IF($H68="",0,SUMIF(Dati!$A$2:$A$761,$H68,Dati!$E$2:$E$761)+SUMIF(Dati!$H$2:$H$761,$H68,Dati!$L$2:$L$761))</f>
        <v/>
      </c>
      <c r="P68" s="12">
        <f>IF($H68="",0,SUMIF(Dati!$A$2:$A$761,$H68,Dati!$F$2:$F$761)+SUMIF(Dati!$H$2:$H$761,$H68,Dati!$M$2:$M$761))</f>
        <v/>
      </c>
      <c r="Q68" s="12">
        <f>IF($H68="",0,SUMIF(Dati!$A$2:$A$761,$H68,Dati!$G$2:$G$761)+SUMIF(Dati!$H$2:$H$761,$H68,Dati!$N$2:$N$761))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IF(COUNTIFS($E$14:$E$93,$E68,$J$14:$J$93,$J68,$C$14:$C$93,"&lt;&gt;")&lt;=1,"-",SUM(AU68:BN68)&amp;"-"&amp;SUM(BQ68:CJ68))</f>
        <v/>
      </c>
      <c r="V68" s="18">
        <f>IF(COUNTIFS($E$14:$E$93,$E68,$J$14:$J$93,$J68,$C$14:$C$93,"&lt;&gt;",$ED$14:$ED$93,$ED68)&lt;=1,"-",IF(SUM(DI68:EB68)=0,0,ROUND(SUM(CM68:DF68)/SUM(DI68:EB68),3)))</f>
        <v/>
      </c>
      <c r="W68" s="18">
        <f>IF(COUNTIFS($E$14:$E$93,$E68,$J$14:$J$93,$J68,$C$14:$C$93,"&lt;&gt;",$ED$14:$ED$93,$ED68,$V$14:$V$93,$V68)&lt;=1,"-",IF(P68=0,0,ROUND(O68/P68,3)))</f>
        <v/>
      </c>
      <c r="X68" s="19">
        <f>IF($C68="","",$E68&amp;"#"&amp;COUNTIFS($E$14:$E68,$E68,$C$14:$C68,"&lt;&gt;"))</f>
        <v/>
      </c>
      <c r="Y68" s="20">
        <f>IFERROR(INDEX($H$14:$H$93,MATCH($E68&amp;"#1",$X$14:$X$93,0)),"")</f>
        <v/>
      </c>
      <c r="Z68" s="20">
        <f>IFERROR(INDEX($H$14:$H$93,MATCH($E68&amp;"#2",$X$14:$X$93,0)),"")</f>
        <v/>
      </c>
      <c r="AA68" s="20">
        <f>IFERROR(INDEX($H$14:$H$93,MATCH($E68&amp;"#3",$X$14:$X$93,0)),"")</f>
        <v/>
      </c>
      <c r="AB68" s="20">
        <f>IFERROR(INDEX($H$14:$H$93,MATCH($E68&amp;"#4",$X$14:$X$93,0)),"")</f>
        <v/>
      </c>
      <c r="AC68" s="20">
        <f>IFERROR(INDEX($H$14:$H$93,MATCH($E68&amp;"#5",$X$14:$X$93,0)),"")</f>
        <v/>
      </c>
      <c r="AD68" s="20">
        <f>IFERROR(INDEX($H$14:$H$93,MATCH($E68&amp;"#6",$X$14:$X$93,0)),"")</f>
        <v/>
      </c>
      <c r="AE68" s="20">
        <f>IFERROR(INDEX($H$14:$H$93,MATCH($E68&amp;"#7",$X$14:$X$93,0)),"")</f>
        <v/>
      </c>
      <c r="AF68" s="20">
        <f>IFERROR(INDEX($H$14:$H$93,MATCH($E68&amp;"#8",$X$14:$X$93,0)),"")</f>
        <v/>
      </c>
      <c r="AG68" s="20">
        <f>IFERROR(INDEX($H$14:$H$93,MATCH($E68&amp;"#9",$X$14:$X$93,0)),"")</f>
        <v/>
      </c>
      <c r="AH68" s="20">
        <f>IFERROR(INDEX($H$14:$H$93,MATCH($E68&amp;"#10",$X$14:$X$93,0)),"")</f>
        <v/>
      </c>
      <c r="AI68" s="20">
        <f>IFERROR(INDEX($H$14:$H$93,MATCH($E68&amp;"#11",$X$14:$X$93,0)),"")</f>
        <v/>
      </c>
      <c r="AJ68" s="20">
        <f>IFERROR(INDEX($H$14:$H$93,MATCH($E68&amp;"#12",$X$14:$X$93,0)),"")</f>
        <v/>
      </c>
      <c r="AK68" s="20">
        <f>IFERROR(INDEX($H$14:$H$93,MATCH($E68&amp;"#13",$X$14:$X$93,0)),"")</f>
        <v/>
      </c>
      <c r="AL68" s="20">
        <f>IFERROR(INDEX($H$14:$H$93,MATCH($E68&amp;"#14",$X$14:$X$93,0)),"")</f>
        <v/>
      </c>
      <c r="AM68" s="20">
        <f>IFERROR(INDEX($H$14:$H$93,MATCH($E68&amp;"#15",$X$14:$X$93,0)),"")</f>
        <v/>
      </c>
      <c r="AN68" s="20">
        <f>IFERROR(INDEX($H$14:$H$93,MATCH($E68&amp;"#16",$X$14:$X$93,0)),"")</f>
        <v/>
      </c>
      <c r="AO68" s="20">
        <f>IFERROR(INDEX($H$14:$H$93,MATCH($E68&amp;"#17",$X$14:$X$93,0)),"")</f>
        <v/>
      </c>
      <c r="AP68" s="20">
        <f>IFERROR(INDEX($H$14:$H$93,MATCH($E68&amp;"#18",$X$14:$X$93,0)),"")</f>
        <v/>
      </c>
      <c r="AQ68" s="20">
        <f>IFERROR(INDEX($H$14:$H$93,MATCH($E68&amp;"#19",$X$14:$X$93,0)),"")</f>
        <v/>
      </c>
      <c r="AR68" s="20">
        <f>IFERROR(INDEX($H$14:$H$93,MATCH($E68&amp;"#20",$X$14:$X$93,0)),"")</f>
        <v/>
      </c>
      <c r="AT68" s="21">
        <f>$C68</f>
        <v/>
      </c>
      <c r="AU68" s="22">
        <f>IF(AND($H68&lt;&gt;"",$Y68&lt;&gt;"",$H68&lt;&gt;$Y68,IFERROR(VLOOKUP($H68,areaCercaPuntiClassificaSquadra,3,FALSE),-1)=IFERROR(VLOOKUP($Y68,areaCercaPuntiClassificaSquadra,3,FALSE),-2)),SUMIFS(Dati!$B$2:$B$761,Dati!$A$2:$A$761,$H68,Dati!$H$2:$H$761,$Y68)+SUMIFS(Dati!$I$2:$I$761,Dati!$H$2:$H$761,$H68,Dati!$A$2:$A$761,$Y68),"-")</f>
        <v/>
      </c>
      <c r="AV68" s="22">
        <f>IF(AND($H68&lt;&gt;"",$Z68&lt;&gt;"",$H68&lt;&gt;$Z68,IFERROR(VLOOKUP($H68,areaCercaPuntiClassificaSquadra,3,FALSE),-1)=IFERROR(VLOOKUP($Z68,areaCercaPuntiClassificaSquadra,3,FALSE),-2)),SUMIFS(Dati!$B$2:$B$761,Dati!$A$2:$A$761,$H68,Dati!$H$2:$H$761,$Z68)+SUMIFS(Dati!$I$2:$I$761,Dati!$H$2:$H$761,$H68,Dati!$A$2:$A$761,$Z68),"-")</f>
        <v/>
      </c>
      <c r="AW68" s="22">
        <f>IF(AND($H68&lt;&gt;"",$AA68&lt;&gt;"",$H68&lt;&gt;$AA68,IFERROR(VLOOKUP($H68,areaCercaPuntiClassificaSquadra,3,FALSE),-1)=IFERROR(VLOOKUP($AA68,areaCercaPuntiClassificaSquadra,3,FALSE),-2)),SUMIFS(Dati!$B$2:$B$761,Dati!$A$2:$A$761,$H68,Dati!$H$2:$H$761,$AA68)+SUMIFS(Dati!$I$2:$I$761,Dati!$H$2:$H$761,$H68,Dati!$A$2:$A$761,$AA68),"-")</f>
        <v/>
      </c>
      <c r="AX68" s="22">
        <f>IF(AND($H68&lt;&gt;"",$AB68&lt;&gt;"",$H68&lt;&gt;$AB68,IFERROR(VLOOKUP($H68,areaCercaPuntiClassificaSquadra,3,FALSE),-1)=IFERROR(VLOOKUP($AB68,areaCercaPuntiClassificaSquadra,3,FALSE),-2)),SUMIFS(Dati!$B$2:$B$761,Dati!$A$2:$A$761,$H68,Dati!$H$2:$H$761,$AB68)+SUMIFS(Dati!$I$2:$I$761,Dati!$H$2:$H$761,$H68,Dati!$A$2:$A$761,$AB68),"-")</f>
        <v/>
      </c>
      <c r="AY68" s="22">
        <f>IF(AND($H68&lt;&gt;"",$AC68&lt;&gt;"",$H68&lt;&gt;$AC68,IFERROR(VLOOKUP($H68,areaCercaPuntiClassificaSquadra,3,FALSE),-1)=IFERROR(VLOOKUP($AC68,areaCercaPuntiClassificaSquadra,3,FALSE),-2)),SUMIFS(Dati!$B$2:$B$761,Dati!$A$2:$A$761,$H68,Dati!$H$2:$H$761,$AC68)+SUMIFS(Dati!$I$2:$I$761,Dati!$H$2:$H$761,$H68,Dati!$A$2:$A$761,$AC68),"-")</f>
        <v/>
      </c>
      <c r="AZ68" s="22">
        <f>IF(AND($H68&lt;&gt;"",$AD68&lt;&gt;"",$H68&lt;&gt;$AD68,IFERROR(VLOOKUP($H68,areaCercaPuntiClassificaSquadra,3,FALSE),-1)=IFERROR(VLOOKUP($AD68,areaCercaPuntiClassificaSquadra,3,FALSE),-2)),SUMIFS(Dati!$B$2:$B$761,Dati!$A$2:$A$761,$H68,Dati!$H$2:$H$761,$AD68)+SUMIFS(Dati!$I$2:$I$761,Dati!$H$2:$H$761,$H68,Dati!$A$2:$A$761,$AD68),"-")</f>
        <v/>
      </c>
      <c r="BA68" s="22">
        <f>IF(AND($H68&lt;&gt;"",$AE68&lt;&gt;"",$H68&lt;&gt;$AE68,IFERROR(VLOOKUP($H68,areaCercaPuntiClassificaSquadra,3,FALSE),-1)=IFERROR(VLOOKUP($AE68,areaCercaPuntiClassificaSquadra,3,FALSE),-2)),SUMIFS(Dati!$B$2:$B$761,Dati!$A$2:$A$761,$H68,Dati!$H$2:$H$761,$AE68)+SUMIFS(Dati!$I$2:$I$761,Dati!$H$2:$H$761,$H68,Dati!$A$2:$A$761,$AE68),"-")</f>
        <v/>
      </c>
      <c r="BB68" s="22">
        <f>IF(AND($H68&lt;&gt;"",$AF68&lt;&gt;"",$H68&lt;&gt;$AF68,IFERROR(VLOOKUP($H68,areaCercaPuntiClassificaSquadra,3,FALSE),-1)=IFERROR(VLOOKUP($AF68,areaCercaPuntiClassificaSquadra,3,FALSE),-2)),SUMIFS(Dati!$B$2:$B$761,Dati!$A$2:$A$761,$H68,Dati!$H$2:$H$761,$AF68)+SUMIFS(Dati!$I$2:$I$761,Dati!$H$2:$H$761,$H68,Dati!$A$2:$A$761,$AF68),"-")</f>
        <v/>
      </c>
      <c r="BC68" s="22">
        <f>IF(AND($H68&lt;&gt;"",$AG68&lt;&gt;"",$H68&lt;&gt;$AG68,IFERROR(VLOOKUP($H68,areaCercaPuntiClassificaSquadra,3,FALSE),-1)=IFERROR(VLOOKUP($AG68,areaCercaPuntiClassificaSquadra,3,FALSE),-2)),SUMIFS(Dati!$B$2:$B$761,Dati!$A$2:$A$761,$H68,Dati!$H$2:$H$761,$AG68)+SUMIFS(Dati!$I$2:$I$761,Dati!$H$2:$H$761,$H68,Dati!$A$2:$A$761,$AG68),"-")</f>
        <v/>
      </c>
      <c r="BD68" s="22">
        <f>IF(AND($H68&lt;&gt;"",$AH68&lt;&gt;"",$H68&lt;&gt;$AH68,IFERROR(VLOOKUP($H68,areaCercaPuntiClassificaSquadra,3,FALSE),-1)=IFERROR(VLOOKUP($AH68,areaCercaPuntiClassificaSquadra,3,FALSE),-2)),SUMIFS(Dati!$B$2:$B$761,Dati!$A$2:$A$761,$H68,Dati!$H$2:$H$761,$AH68)+SUMIFS(Dati!$I$2:$I$761,Dati!$H$2:$H$761,$H68,Dati!$A$2:$A$761,$AH68),"-")</f>
        <v/>
      </c>
      <c r="BE68" s="22">
        <f>IF(AND($H68&lt;&gt;"",$AI68&lt;&gt;"",$H68&lt;&gt;$AI68,IFERROR(VLOOKUP($H68,areaCercaPuntiClassificaSquadra,3,FALSE),-1)=IFERROR(VLOOKUP($AI68,areaCercaPuntiClassificaSquadra,3,FALSE),-2)),SUMIFS(Dati!$B$2:$B$761,Dati!$A$2:$A$761,$H68,Dati!$H$2:$H$761,$AI68)+SUMIFS(Dati!$I$2:$I$761,Dati!$H$2:$H$761,$H68,Dati!$A$2:$A$761,$AI68),"-")</f>
        <v/>
      </c>
      <c r="BF68" s="22">
        <f>IF(AND($H68&lt;&gt;"",$AJ68&lt;&gt;"",$H68&lt;&gt;$AJ68,IFERROR(VLOOKUP($H68,areaCercaPuntiClassificaSquadra,3,FALSE),-1)=IFERROR(VLOOKUP($AJ68,areaCercaPuntiClassificaSquadra,3,FALSE),-2)),SUMIFS(Dati!$B$2:$B$761,Dati!$A$2:$A$761,$H68,Dati!$H$2:$H$761,$AJ68)+SUMIFS(Dati!$I$2:$I$761,Dati!$H$2:$H$761,$H68,Dati!$A$2:$A$761,$AJ68),"-")</f>
        <v/>
      </c>
      <c r="BG68" s="22">
        <f>IF(AND($H68&lt;&gt;"",$AK68&lt;&gt;"",$H68&lt;&gt;$AK68,IFERROR(VLOOKUP($H68,areaCercaPuntiClassificaSquadra,3,FALSE),-1)=IFERROR(VLOOKUP($AK68,areaCercaPuntiClassificaSquadra,3,FALSE),-2)),SUMIFS(Dati!$B$2:$B$761,Dati!$A$2:$A$761,$H68,Dati!$H$2:$H$761,$AK68)+SUMIFS(Dati!$I$2:$I$761,Dati!$H$2:$H$761,$H68,Dati!$A$2:$A$761,$AK68),"-")</f>
        <v/>
      </c>
      <c r="BH68" s="22">
        <f>IF(AND($H68&lt;&gt;"",$AL68&lt;&gt;"",$H68&lt;&gt;$AL68,IFERROR(VLOOKUP($H68,areaCercaPuntiClassificaSquadra,3,FALSE),-1)=IFERROR(VLOOKUP($AL68,areaCercaPuntiClassificaSquadra,3,FALSE),-2)),SUMIFS(Dati!$B$2:$B$761,Dati!$A$2:$A$761,$H68,Dati!$H$2:$H$761,$AL68)+SUMIFS(Dati!$I$2:$I$761,Dati!$H$2:$H$761,$H68,Dati!$A$2:$A$761,$AL68),"-")</f>
        <v/>
      </c>
      <c r="BI68" s="22">
        <f>IF(AND($H68&lt;&gt;"",$AM68&lt;&gt;"",$H68&lt;&gt;$AM68,IFERROR(VLOOKUP($H68,areaCercaPuntiClassificaSquadra,3,FALSE),-1)=IFERROR(VLOOKUP($AM68,areaCercaPuntiClassificaSquadra,3,FALSE),-2)),SUMIFS(Dati!$B$2:$B$761,Dati!$A$2:$A$761,$H68,Dati!$H$2:$H$761,$AM68)+SUMIFS(Dati!$I$2:$I$761,Dati!$H$2:$H$761,$H68,Dati!$A$2:$A$761,$AM68),"-")</f>
        <v/>
      </c>
      <c r="BJ68" s="22">
        <f>IF(AND($H68&lt;&gt;"",$AN68&lt;&gt;"",$H68&lt;&gt;$AN68,IFERROR(VLOOKUP($H68,areaCercaPuntiClassificaSquadra,3,FALSE),-1)=IFERROR(VLOOKUP($AN68,areaCercaPuntiClassificaSquadra,3,FALSE),-2)),SUMIFS(Dati!$B$2:$B$761,Dati!$A$2:$A$761,$H68,Dati!$H$2:$H$761,$AN68)+SUMIFS(Dati!$I$2:$I$761,Dati!$H$2:$H$761,$H68,Dati!$A$2:$A$761,$AN68),"-")</f>
        <v/>
      </c>
      <c r="BK68" s="22">
        <f>IF(AND($H68&lt;&gt;"",$AO68&lt;&gt;"",$H68&lt;&gt;$AO68,IFERROR(VLOOKUP($H68,areaCercaPuntiClassificaSquadra,3,FALSE),-1)=IFERROR(VLOOKUP($AO68,areaCercaPuntiClassificaSquadra,3,FALSE),-2)),SUMIFS(Dati!$B$2:$B$761,Dati!$A$2:$A$761,$H68,Dati!$H$2:$H$761,$AO68)+SUMIFS(Dati!$I$2:$I$761,Dati!$H$2:$H$761,$H68,Dati!$A$2:$A$761,$AO68),"-")</f>
        <v/>
      </c>
      <c r="BL68" s="22">
        <f>IF(AND($H68&lt;&gt;"",$AP68&lt;&gt;"",$H68&lt;&gt;$AP68,IFERROR(VLOOKUP($H68,areaCercaPuntiClassificaSquadra,3,FALSE),-1)=IFERROR(VLOOKUP($AP68,areaCercaPuntiClassificaSquadra,3,FALSE),-2)),SUMIFS(Dati!$B$2:$B$761,Dati!$A$2:$A$761,$H68,Dati!$H$2:$H$761,$AP68)+SUMIFS(Dati!$I$2:$I$761,Dati!$H$2:$H$761,$H68,Dati!$A$2:$A$761,$AP68),"-")</f>
        <v/>
      </c>
      <c r="BM68" s="22">
        <f>IF(AND($H68&lt;&gt;"",$AQ68&lt;&gt;"",$H68&lt;&gt;$AQ68,IFERROR(VLOOKUP($H68,areaCercaPuntiClassificaSquadra,3,FALSE),-1)=IFERROR(VLOOKUP($AQ68,areaCercaPuntiClassificaSquadra,3,FALSE),-2)),SUMIFS(Dati!$B$2:$B$761,Dati!$A$2:$A$761,$H68,Dati!$H$2:$H$761,$AQ68)+SUMIFS(Dati!$I$2:$I$761,Dati!$H$2:$H$761,$H68,Dati!$A$2:$A$761,$AQ68),"-")</f>
        <v/>
      </c>
      <c r="BN68" s="22">
        <f>IF(AND($H68&lt;&gt;"",$AR68&lt;&gt;"",$H68&lt;&gt;$AR68,IFERROR(VLOOKUP($H68,areaCercaPuntiClassificaSquadra,3,FALSE),-1)=IFERROR(VLOOKUP($AR68,areaCercaPuntiClassificaSquadra,3,FALSE),-2)),SUMIFS(Dati!$B$2:$B$761,Dati!$A$2:$A$761,$H68,Dati!$H$2:$H$761,$AR68)+SUMIFS(Dati!$I$2:$I$761,Dati!$H$2:$H$761,$H68,Dati!$A$2:$A$761,$AR68),"-")</f>
        <v/>
      </c>
      <c r="BP68" s="21">
        <f>$C68</f>
        <v/>
      </c>
      <c r="BQ68" s="22">
        <f>IF(AND($H68&lt;&gt;"",$Y68&lt;&gt;"",$H68&lt;&gt;$Y68,IFERROR(VLOOKUP($H68,areaCercaPuntiClassificaSquadra,3,FALSE),-1)=IFERROR(VLOOKUP($Y68,areaCercaPuntiClassificaSquadra,3,FALSE),-2)),SUMIFS(Dati!$D$2:$D$761,Dati!$A$2:$A$761,$H68,Dati!$H$2:$H$761,$Y68)+SUMIFS(Dati!$K$2:$K$761,Dati!$H$2:$H$761,$H68,Dati!$A$2:$A$761,$Y68)+SUMIFS(Dati!$C$2:$C$761,Dati!$A$2:$A$761,$H68,Dati!$H$2:$H$761,$Y68)+SUMIFS(Dati!$J$2:$J$761,Dati!$H$2:$H$761,$H68,Dati!$A$2:$A$761,$Y68),"-")</f>
        <v/>
      </c>
      <c r="BR68" s="22">
        <f>IF(AND($H68&lt;&gt;"",$Z68&lt;&gt;"",$H68&lt;&gt;$Z68,IFERROR(VLOOKUP($H68,areaCercaPuntiClassificaSquadra,3,FALSE),-1)=IFERROR(VLOOKUP($Z68,areaCercaPuntiClassificaSquadra,3,FALSE),-2)),SUMIFS(Dati!$D$2:$D$761,Dati!$A$2:$A$761,$H68,Dati!$H$2:$H$761,$Z68)+SUMIFS(Dati!$K$2:$K$761,Dati!$H$2:$H$761,$H68,Dati!$A$2:$A$761,$Z68)+SUMIFS(Dati!$C$2:$C$761,Dati!$A$2:$A$761,$H68,Dati!$H$2:$H$761,$Z68)+SUMIFS(Dati!$J$2:$J$761,Dati!$H$2:$H$761,$H68,Dati!$A$2:$A$761,$Z68),"-")</f>
        <v/>
      </c>
      <c r="BS68" s="22">
        <f>IF(AND($H68&lt;&gt;"",$AA68&lt;&gt;"",$H68&lt;&gt;$AA68,IFERROR(VLOOKUP($H68,areaCercaPuntiClassificaSquadra,3,FALSE),-1)=IFERROR(VLOOKUP($AA68,areaCercaPuntiClassificaSquadra,3,FALSE),-2)),SUMIFS(Dati!$D$2:$D$761,Dati!$A$2:$A$761,$H68,Dati!$H$2:$H$761,$AA68)+SUMIFS(Dati!$K$2:$K$761,Dati!$H$2:$H$761,$H68,Dati!$A$2:$A$761,$AA68)+SUMIFS(Dati!$C$2:$C$761,Dati!$A$2:$A$761,$H68,Dati!$H$2:$H$761,$AA68)+SUMIFS(Dati!$J$2:$J$761,Dati!$H$2:$H$761,$H68,Dati!$A$2:$A$761,$AA68),"-")</f>
        <v/>
      </c>
      <c r="BT68" s="22">
        <f>IF(AND($H68&lt;&gt;"",$AB68&lt;&gt;"",$H68&lt;&gt;$AB68,IFERROR(VLOOKUP($H68,areaCercaPuntiClassificaSquadra,3,FALSE),-1)=IFERROR(VLOOKUP($AB68,areaCercaPuntiClassificaSquadra,3,FALSE),-2)),SUMIFS(Dati!$D$2:$D$761,Dati!$A$2:$A$761,$H68,Dati!$H$2:$H$761,$AB68)+SUMIFS(Dati!$K$2:$K$761,Dati!$H$2:$H$761,$H68,Dati!$A$2:$A$761,$AB68)+SUMIFS(Dati!$C$2:$C$761,Dati!$A$2:$A$761,$H68,Dati!$H$2:$H$761,$AB68)+SUMIFS(Dati!$J$2:$J$761,Dati!$H$2:$H$761,$H68,Dati!$A$2:$A$761,$AB68),"-")</f>
        <v/>
      </c>
      <c r="BU68" s="22">
        <f>IF(AND($H68&lt;&gt;"",$AC68&lt;&gt;"",$H68&lt;&gt;$AC68,IFERROR(VLOOKUP($H68,areaCercaPuntiClassificaSquadra,3,FALSE),-1)=IFERROR(VLOOKUP($AC68,areaCercaPuntiClassificaSquadra,3,FALSE),-2)),SUMIFS(Dati!$D$2:$D$761,Dati!$A$2:$A$761,$H68,Dati!$H$2:$H$761,$AC68)+SUMIFS(Dati!$K$2:$K$761,Dati!$H$2:$H$761,$H68,Dati!$A$2:$A$761,$AC68)+SUMIFS(Dati!$C$2:$C$761,Dati!$A$2:$A$761,$H68,Dati!$H$2:$H$761,$AC68)+SUMIFS(Dati!$J$2:$J$761,Dati!$H$2:$H$761,$H68,Dati!$A$2:$A$761,$AC68),"-")</f>
        <v/>
      </c>
      <c r="BV68" s="22">
        <f>IF(AND($H68&lt;&gt;"",$AD68&lt;&gt;"",$H68&lt;&gt;$AD68,IFERROR(VLOOKUP($H68,areaCercaPuntiClassificaSquadra,3,FALSE),-1)=IFERROR(VLOOKUP($AD68,areaCercaPuntiClassificaSquadra,3,FALSE),-2)),SUMIFS(Dati!$D$2:$D$761,Dati!$A$2:$A$761,$H68,Dati!$H$2:$H$761,$AD68)+SUMIFS(Dati!$K$2:$K$761,Dati!$H$2:$H$761,$H68,Dati!$A$2:$A$761,$AD68)+SUMIFS(Dati!$C$2:$C$761,Dati!$A$2:$A$761,$H68,Dati!$H$2:$H$761,$AD68)+SUMIFS(Dati!$J$2:$J$761,Dati!$H$2:$H$761,$H68,Dati!$A$2:$A$761,$AD68),"-")</f>
        <v/>
      </c>
      <c r="BW68" s="22">
        <f>IF(AND($H68&lt;&gt;"",$AE68&lt;&gt;"",$H68&lt;&gt;$AE68,IFERROR(VLOOKUP($H68,areaCercaPuntiClassificaSquadra,3,FALSE),-1)=IFERROR(VLOOKUP($AE68,areaCercaPuntiClassificaSquadra,3,FALSE),-2)),SUMIFS(Dati!$D$2:$D$761,Dati!$A$2:$A$761,$H68,Dati!$H$2:$H$761,$AE68)+SUMIFS(Dati!$K$2:$K$761,Dati!$H$2:$H$761,$H68,Dati!$A$2:$A$761,$AE68)+SUMIFS(Dati!$C$2:$C$761,Dati!$A$2:$A$761,$H68,Dati!$H$2:$H$761,$AE68)+SUMIFS(Dati!$J$2:$J$761,Dati!$H$2:$H$761,$H68,Dati!$A$2:$A$761,$AE68),"-")</f>
        <v/>
      </c>
      <c r="BX68" s="22">
        <f>IF(AND($H68&lt;&gt;"",$AF68&lt;&gt;"",$H68&lt;&gt;$AF68,IFERROR(VLOOKUP($H68,areaCercaPuntiClassificaSquadra,3,FALSE),-1)=IFERROR(VLOOKUP($AF68,areaCercaPuntiClassificaSquadra,3,FALSE),-2)),SUMIFS(Dati!$D$2:$D$761,Dati!$A$2:$A$761,$H68,Dati!$H$2:$H$761,$AF68)+SUMIFS(Dati!$K$2:$K$761,Dati!$H$2:$H$761,$H68,Dati!$A$2:$A$761,$AF68)+SUMIFS(Dati!$C$2:$C$761,Dati!$A$2:$A$761,$H68,Dati!$H$2:$H$761,$AF68)+SUMIFS(Dati!$J$2:$J$761,Dati!$H$2:$H$761,$H68,Dati!$A$2:$A$761,$AF68),"-")</f>
        <v/>
      </c>
      <c r="BY68" s="22">
        <f>IF(AND($H68&lt;&gt;"",$AG68&lt;&gt;"",$H68&lt;&gt;$AG68,IFERROR(VLOOKUP($H68,areaCercaPuntiClassificaSquadra,3,FALSE),-1)=IFERROR(VLOOKUP($AG68,areaCercaPuntiClassificaSquadra,3,FALSE),-2)),SUMIFS(Dati!$D$2:$D$761,Dati!$A$2:$A$761,$H68,Dati!$H$2:$H$761,$AG68)+SUMIFS(Dati!$K$2:$K$761,Dati!$H$2:$H$761,$H68,Dati!$A$2:$A$761,$AG68)+SUMIFS(Dati!$C$2:$C$761,Dati!$A$2:$A$761,$H68,Dati!$H$2:$H$761,$AG68)+SUMIFS(Dati!$J$2:$J$761,Dati!$H$2:$H$761,$H68,Dati!$A$2:$A$761,$AG68),"-")</f>
        <v/>
      </c>
      <c r="BZ68" s="22">
        <f>IF(AND($H68&lt;&gt;"",$AH68&lt;&gt;"",$H68&lt;&gt;$AH68,IFERROR(VLOOKUP($H68,areaCercaPuntiClassificaSquadra,3,FALSE),-1)=IFERROR(VLOOKUP($AH68,areaCercaPuntiClassificaSquadra,3,FALSE),-2)),SUMIFS(Dati!$D$2:$D$761,Dati!$A$2:$A$761,$H68,Dati!$H$2:$H$761,$AH68)+SUMIFS(Dati!$K$2:$K$761,Dati!$H$2:$H$761,$H68,Dati!$A$2:$A$761,$AH68)+SUMIFS(Dati!$C$2:$C$761,Dati!$A$2:$A$761,$H68,Dati!$H$2:$H$761,$AH68)+SUMIFS(Dati!$J$2:$J$761,Dati!$H$2:$H$761,$H68,Dati!$A$2:$A$761,$AH68),"-")</f>
        <v/>
      </c>
      <c r="CA68" s="22">
        <f>IF(AND($H68&lt;&gt;"",$AI68&lt;&gt;"",$H68&lt;&gt;$AI68,IFERROR(VLOOKUP($H68,areaCercaPuntiClassificaSquadra,3,FALSE),-1)=IFERROR(VLOOKUP($AI68,areaCercaPuntiClassificaSquadra,3,FALSE),-2)),SUMIFS(Dati!$D$2:$D$761,Dati!$A$2:$A$761,$H68,Dati!$H$2:$H$761,$AI68)+SUMIFS(Dati!$K$2:$K$761,Dati!$H$2:$H$761,$H68,Dati!$A$2:$A$761,$AI68)+SUMIFS(Dati!$C$2:$C$761,Dati!$A$2:$A$761,$H68,Dati!$H$2:$H$761,$AI68)+SUMIFS(Dati!$J$2:$J$761,Dati!$H$2:$H$761,$H68,Dati!$A$2:$A$761,$AI68),"-")</f>
        <v/>
      </c>
      <c r="CB68" s="22">
        <f>IF(AND($H68&lt;&gt;"",$AJ68&lt;&gt;"",$H68&lt;&gt;$AJ68,IFERROR(VLOOKUP($H68,areaCercaPuntiClassificaSquadra,3,FALSE),-1)=IFERROR(VLOOKUP($AJ68,areaCercaPuntiClassificaSquadra,3,FALSE),-2)),SUMIFS(Dati!$D$2:$D$761,Dati!$A$2:$A$761,$H68,Dati!$H$2:$H$761,$AJ68)+SUMIFS(Dati!$K$2:$K$761,Dati!$H$2:$H$761,$H68,Dati!$A$2:$A$761,$AJ68)+SUMIFS(Dati!$C$2:$C$761,Dati!$A$2:$A$761,$H68,Dati!$H$2:$H$761,$AJ68)+SUMIFS(Dati!$J$2:$J$761,Dati!$H$2:$H$761,$H68,Dati!$A$2:$A$761,$AJ68),"-")</f>
        <v/>
      </c>
      <c r="CC68" s="22">
        <f>IF(AND($H68&lt;&gt;"",$AK68&lt;&gt;"",$H68&lt;&gt;$AK68,IFERROR(VLOOKUP($H68,areaCercaPuntiClassificaSquadra,3,FALSE),-1)=IFERROR(VLOOKUP($AK68,areaCercaPuntiClassificaSquadra,3,FALSE),-2)),SUMIFS(Dati!$D$2:$D$761,Dati!$A$2:$A$761,$H68,Dati!$H$2:$H$761,$AK68)+SUMIFS(Dati!$K$2:$K$761,Dati!$H$2:$H$761,$H68,Dati!$A$2:$A$761,$AK68)+SUMIFS(Dati!$C$2:$C$761,Dati!$A$2:$A$761,$H68,Dati!$H$2:$H$761,$AK68)+SUMIFS(Dati!$J$2:$J$761,Dati!$H$2:$H$761,$H68,Dati!$A$2:$A$761,$AK68),"-")</f>
        <v/>
      </c>
      <c r="CD68" s="22">
        <f>IF(AND($H68&lt;&gt;"",$AL68&lt;&gt;"",$H68&lt;&gt;$AL68,IFERROR(VLOOKUP($H68,areaCercaPuntiClassificaSquadra,3,FALSE),-1)=IFERROR(VLOOKUP($AL68,areaCercaPuntiClassificaSquadra,3,FALSE),-2)),SUMIFS(Dati!$D$2:$D$761,Dati!$A$2:$A$761,$H68,Dati!$H$2:$H$761,$AL68)+SUMIFS(Dati!$K$2:$K$761,Dati!$H$2:$H$761,$H68,Dati!$A$2:$A$761,$AL68)+SUMIFS(Dati!$C$2:$C$761,Dati!$A$2:$A$761,$H68,Dati!$H$2:$H$761,$AL68)+SUMIFS(Dati!$J$2:$J$761,Dati!$H$2:$H$761,$H68,Dati!$A$2:$A$761,$AL68),"-")</f>
        <v/>
      </c>
      <c r="CE68" s="22">
        <f>IF(AND($H68&lt;&gt;"",$AM68&lt;&gt;"",$H68&lt;&gt;$AM68,IFERROR(VLOOKUP($H68,areaCercaPuntiClassificaSquadra,3,FALSE),-1)=IFERROR(VLOOKUP($AM68,areaCercaPuntiClassificaSquadra,3,FALSE),-2)),SUMIFS(Dati!$D$2:$D$761,Dati!$A$2:$A$761,$H68,Dati!$H$2:$H$761,$AM68)+SUMIFS(Dati!$K$2:$K$761,Dati!$H$2:$H$761,$H68,Dati!$A$2:$A$761,$AM68)+SUMIFS(Dati!$C$2:$C$761,Dati!$A$2:$A$761,$H68,Dati!$H$2:$H$761,$AM68)+SUMIFS(Dati!$J$2:$J$761,Dati!$H$2:$H$761,$H68,Dati!$A$2:$A$761,$AM68),"-")</f>
        <v/>
      </c>
      <c r="CF68" s="22">
        <f>IF(AND($H68&lt;&gt;"",$AN68&lt;&gt;"",$H68&lt;&gt;$AN68,IFERROR(VLOOKUP($H68,areaCercaPuntiClassificaSquadra,3,FALSE),-1)=IFERROR(VLOOKUP($AN68,areaCercaPuntiClassificaSquadra,3,FALSE),-2)),SUMIFS(Dati!$D$2:$D$761,Dati!$A$2:$A$761,$H68,Dati!$H$2:$H$761,$AN68)+SUMIFS(Dati!$K$2:$K$761,Dati!$H$2:$H$761,$H68,Dati!$A$2:$A$761,$AN68)+SUMIFS(Dati!$C$2:$C$761,Dati!$A$2:$A$761,$H68,Dati!$H$2:$H$761,$AN68)+SUMIFS(Dati!$J$2:$J$761,Dati!$H$2:$H$761,$H68,Dati!$A$2:$A$761,$AN68),"-")</f>
        <v/>
      </c>
      <c r="CG68" s="22">
        <f>IF(AND($H68&lt;&gt;"",$AO68&lt;&gt;"",$H68&lt;&gt;$AO68,IFERROR(VLOOKUP($H68,areaCercaPuntiClassificaSquadra,3,FALSE),-1)=IFERROR(VLOOKUP($AO68,areaCercaPuntiClassificaSquadra,3,FALSE),-2)),SUMIFS(Dati!$D$2:$D$761,Dati!$A$2:$A$761,$H68,Dati!$H$2:$H$761,$AO68)+SUMIFS(Dati!$K$2:$K$761,Dati!$H$2:$H$761,$H68,Dati!$A$2:$A$761,$AO68)+SUMIFS(Dati!$C$2:$C$761,Dati!$A$2:$A$761,$H68,Dati!$H$2:$H$761,$AO68)+SUMIFS(Dati!$J$2:$J$761,Dati!$H$2:$H$761,$H68,Dati!$A$2:$A$761,$AO68),"-")</f>
        <v/>
      </c>
      <c r="CH68" s="22">
        <f>IF(AND($H68&lt;&gt;"",$AP68&lt;&gt;"",$H68&lt;&gt;$AP68,IFERROR(VLOOKUP($H68,areaCercaPuntiClassificaSquadra,3,FALSE),-1)=IFERROR(VLOOKUP($AP68,areaCercaPuntiClassificaSquadra,3,FALSE),-2)),SUMIFS(Dati!$D$2:$D$761,Dati!$A$2:$A$761,$H68,Dati!$H$2:$H$761,$AP68)+SUMIFS(Dati!$K$2:$K$761,Dati!$H$2:$H$761,$H68,Dati!$A$2:$A$761,$AP68)+SUMIFS(Dati!$C$2:$C$761,Dati!$A$2:$A$761,$H68,Dati!$H$2:$H$761,$AP68)+SUMIFS(Dati!$J$2:$J$761,Dati!$H$2:$H$761,$H68,Dati!$A$2:$A$761,$AP68),"-")</f>
        <v/>
      </c>
      <c r="CI68" s="22">
        <f>IF(AND($H68&lt;&gt;"",$AQ68&lt;&gt;"",$H68&lt;&gt;$AQ68,IFERROR(VLOOKUP($H68,areaCercaPuntiClassificaSquadra,3,FALSE),-1)=IFERROR(VLOOKUP($AQ68,areaCercaPuntiClassificaSquadra,3,FALSE),-2)),SUMIFS(Dati!$D$2:$D$761,Dati!$A$2:$A$761,$H68,Dati!$H$2:$H$761,$AQ68)+SUMIFS(Dati!$K$2:$K$761,Dati!$H$2:$H$761,$H68,Dati!$A$2:$A$761,$AQ68)+SUMIFS(Dati!$C$2:$C$761,Dati!$A$2:$A$761,$H68,Dati!$H$2:$H$761,$AQ68)+SUMIFS(Dati!$J$2:$J$761,Dati!$H$2:$H$761,$H68,Dati!$A$2:$A$761,$AQ68),"-")</f>
        <v/>
      </c>
      <c r="CJ68" s="22">
        <f>IF(AND($H68&lt;&gt;"",$AR68&lt;&gt;"",$H68&lt;&gt;$AR68,IFERROR(VLOOKUP($H68,areaCercaPuntiClassificaSquadra,3,FALSE),-1)=IFERROR(VLOOKUP($AR68,areaCercaPuntiClassificaSquadra,3,FALSE),-2)),SUMIFS(Dati!$D$2:$D$761,Dati!$A$2:$A$761,$H68,Dati!$H$2:$H$761,$AR68)+SUMIFS(Dati!$K$2:$K$761,Dati!$H$2:$H$761,$H68,Dati!$A$2:$A$761,$AR68)+SUMIFS(Dati!$C$2:$C$761,Dati!$A$2:$A$761,$H68,Dati!$H$2:$H$761,$AR68)+SUMIFS(Dati!$J$2:$J$761,Dati!$H$2:$H$761,$H68,Dati!$A$2:$A$761,$AR68),"-")</f>
        <v/>
      </c>
      <c r="CL68" s="21">
        <f>$C68</f>
        <v/>
      </c>
      <c r="CM68" s="22">
        <f>IF(AND($H68&lt;&gt;"",$Y68&lt;&gt;"",$H68&lt;&gt;$Y68,IFERROR(VLOOKUP($H68,areaCercaPuntiClassificaSquadra,3,FALSE),-1)=IFERROR(VLOOKUP($Y68,areaCercaPuntiClassificaSquadra,3,FALSE),-2)),SUMIFS(Dati!$E$2:$E$761,Dati!$A$2:$A$761,$H68,Dati!$H$2:$H$761,$Y68)+SUMIFS(Dati!$L$2:$L$761,Dati!$H$2:$H$761,$H68,Dati!$A$2:$A$761,$Y68),"-")</f>
        <v/>
      </c>
      <c r="CN68" s="22">
        <f>IF(AND($H68&lt;&gt;"",$Z68&lt;&gt;"",$H68&lt;&gt;$Z68,IFERROR(VLOOKUP($H68,areaCercaPuntiClassificaSquadra,3,FALSE),-1)=IFERROR(VLOOKUP($Z68,areaCercaPuntiClassificaSquadra,3,FALSE),-2)),SUMIFS(Dati!$E$2:$E$761,Dati!$A$2:$A$761,$H68,Dati!$H$2:$H$761,$Z68)+SUMIFS(Dati!$L$2:$L$761,Dati!$H$2:$H$761,$H68,Dati!$A$2:$A$761,$Z68),"-")</f>
        <v/>
      </c>
      <c r="CO68" s="22">
        <f>IF(AND($H68&lt;&gt;"",$AA68&lt;&gt;"",$H68&lt;&gt;$AA68,IFERROR(VLOOKUP($H68,areaCercaPuntiClassificaSquadra,3,FALSE),-1)=IFERROR(VLOOKUP($AA68,areaCercaPuntiClassificaSquadra,3,FALSE),-2)),SUMIFS(Dati!$E$2:$E$761,Dati!$A$2:$A$761,$H68,Dati!$H$2:$H$761,$AA68)+SUMIFS(Dati!$L$2:$L$761,Dati!$H$2:$H$761,$H68,Dati!$A$2:$A$761,$AA68),"-")</f>
        <v/>
      </c>
      <c r="CP68" s="22">
        <f>IF(AND($H68&lt;&gt;"",$AB68&lt;&gt;"",$H68&lt;&gt;$AB68,IFERROR(VLOOKUP($H68,areaCercaPuntiClassificaSquadra,3,FALSE),-1)=IFERROR(VLOOKUP($AB68,areaCercaPuntiClassificaSquadra,3,FALSE),-2)),SUMIFS(Dati!$E$2:$E$761,Dati!$A$2:$A$761,$H68,Dati!$H$2:$H$761,$AB68)+SUMIFS(Dati!$L$2:$L$761,Dati!$H$2:$H$761,$H68,Dati!$A$2:$A$761,$AB68),"-")</f>
        <v/>
      </c>
      <c r="CQ68" s="22">
        <f>IF(AND($H68&lt;&gt;"",$AC68&lt;&gt;"",$H68&lt;&gt;$AC68,IFERROR(VLOOKUP($H68,areaCercaPuntiClassificaSquadra,3,FALSE),-1)=IFERROR(VLOOKUP($AC68,areaCercaPuntiClassificaSquadra,3,FALSE),-2)),SUMIFS(Dati!$E$2:$E$761,Dati!$A$2:$A$761,$H68,Dati!$H$2:$H$761,$AC68)+SUMIFS(Dati!$L$2:$L$761,Dati!$H$2:$H$761,$H68,Dati!$A$2:$A$761,$AC68),"-")</f>
        <v/>
      </c>
      <c r="CR68" s="22">
        <f>IF(AND($H68&lt;&gt;"",$AD68&lt;&gt;"",$H68&lt;&gt;$AD68,IFERROR(VLOOKUP($H68,areaCercaPuntiClassificaSquadra,3,FALSE),-1)=IFERROR(VLOOKUP($AD68,areaCercaPuntiClassificaSquadra,3,FALSE),-2)),SUMIFS(Dati!$E$2:$E$761,Dati!$A$2:$A$761,$H68,Dati!$H$2:$H$761,$AD68)+SUMIFS(Dati!$L$2:$L$761,Dati!$H$2:$H$761,$H68,Dati!$A$2:$A$761,$AD68),"-")</f>
        <v/>
      </c>
      <c r="CS68" s="22">
        <f>IF(AND($H68&lt;&gt;"",$AE68&lt;&gt;"",$H68&lt;&gt;$AE68,IFERROR(VLOOKUP($H68,areaCercaPuntiClassificaSquadra,3,FALSE),-1)=IFERROR(VLOOKUP($AE68,areaCercaPuntiClassificaSquadra,3,FALSE),-2)),SUMIFS(Dati!$E$2:$E$761,Dati!$A$2:$A$761,$H68,Dati!$H$2:$H$761,$AE68)+SUMIFS(Dati!$L$2:$L$761,Dati!$H$2:$H$761,$H68,Dati!$A$2:$A$761,$AE68),"-")</f>
        <v/>
      </c>
      <c r="CT68" s="22">
        <f>IF(AND($H68&lt;&gt;"",$AF68&lt;&gt;"",$H68&lt;&gt;$AF68,IFERROR(VLOOKUP($H68,areaCercaPuntiClassificaSquadra,3,FALSE),-1)=IFERROR(VLOOKUP($AF68,areaCercaPuntiClassificaSquadra,3,FALSE),-2)),SUMIFS(Dati!$E$2:$E$761,Dati!$A$2:$A$761,$H68,Dati!$H$2:$H$761,$AF68)+SUMIFS(Dati!$L$2:$L$761,Dati!$H$2:$H$761,$H68,Dati!$A$2:$A$761,$AF68),"-")</f>
        <v/>
      </c>
      <c r="CU68" s="22">
        <f>IF(AND($H68&lt;&gt;"",$AG68&lt;&gt;"",$H68&lt;&gt;$AG68,IFERROR(VLOOKUP($H68,areaCercaPuntiClassificaSquadra,3,FALSE),-1)=IFERROR(VLOOKUP($AG68,areaCercaPuntiClassificaSquadra,3,FALSE),-2)),SUMIFS(Dati!$E$2:$E$761,Dati!$A$2:$A$761,$H68,Dati!$H$2:$H$761,$AG68)+SUMIFS(Dati!$L$2:$L$761,Dati!$H$2:$H$761,$H68,Dati!$A$2:$A$761,$AG68),"-")</f>
        <v/>
      </c>
      <c r="CV68" s="22">
        <f>IF(AND($H68&lt;&gt;"",$AH68&lt;&gt;"",$H68&lt;&gt;$AH68,IFERROR(VLOOKUP($H68,areaCercaPuntiClassificaSquadra,3,FALSE),-1)=IFERROR(VLOOKUP($AH68,areaCercaPuntiClassificaSquadra,3,FALSE),-2)),SUMIFS(Dati!$E$2:$E$761,Dati!$A$2:$A$761,$H68,Dati!$H$2:$H$761,$AH68)+SUMIFS(Dati!$L$2:$L$761,Dati!$H$2:$H$761,$H68,Dati!$A$2:$A$761,$AH68),"-")</f>
        <v/>
      </c>
      <c r="CW68" s="22">
        <f>IF(AND($H68&lt;&gt;"",$AI68&lt;&gt;"",$H68&lt;&gt;$AI68,IFERROR(VLOOKUP($H68,areaCercaPuntiClassificaSquadra,3,FALSE),-1)=IFERROR(VLOOKUP($AI68,areaCercaPuntiClassificaSquadra,3,FALSE),-2)),SUMIFS(Dati!$E$2:$E$761,Dati!$A$2:$A$761,$H68,Dati!$H$2:$H$761,$AI68)+SUMIFS(Dati!$L$2:$L$761,Dati!$H$2:$H$761,$H68,Dati!$A$2:$A$761,$AI68),"-")</f>
        <v/>
      </c>
      <c r="CX68" s="22">
        <f>IF(AND($H68&lt;&gt;"",$AJ68&lt;&gt;"",$H68&lt;&gt;$AJ68,IFERROR(VLOOKUP($H68,areaCercaPuntiClassificaSquadra,3,FALSE),-1)=IFERROR(VLOOKUP($AJ68,areaCercaPuntiClassificaSquadra,3,FALSE),-2)),SUMIFS(Dati!$E$2:$E$761,Dati!$A$2:$A$761,$H68,Dati!$H$2:$H$761,$AJ68)+SUMIFS(Dati!$L$2:$L$761,Dati!$H$2:$H$761,$H68,Dati!$A$2:$A$761,$AJ68),"-")</f>
        <v/>
      </c>
      <c r="CY68" s="22">
        <f>IF(AND($H68&lt;&gt;"",$AK68&lt;&gt;"",$H68&lt;&gt;$AK68,IFERROR(VLOOKUP($H68,areaCercaPuntiClassificaSquadra,3,FALSE),-1)=IFERROR(VLOOKUP($AK68,areaCercaPuntiClassificaSquadra,3,FALSE),-2)),SUMIFS(Dati!$E$2:$E$761,Dati!$A$2:$A$761,$H68,Dati!$H$2:$H$761,$AK68)+SUMIFS(Dati!$L$2:$L$761,Dati!$H$2:$H$761,$H68,Dati!$A$2:$A$761,$AK68),"-")</f>
        <v/>
      </c>
      <c r="CZ68" s="22">
        <f>IF(AND($H68&lt;&gt;"",$AL68&lt;&gt;"",$H68&lt;&gt;$AL68,IFERROR(VLOOKUP($H68,areaCercaPuntiClassificaSquadra,3,FALSE),-1)=IFERROR(VLOOKUP($AL68,areaCercaPuntiClassificaSquadra,3,FALSE),-2)),SUMIFS(Dati!$E$2:$E$761,Dati!$A$2:$A$761,$H68,Dati!$H$2:$H$761,$AL68)+SUMIFS(Dati!$L$2:$L$761,Dati!$H$2:$H$761,$H68,Dati!$A$2:$A$761,$AL68),"-")</f>
        <v/>
      </c>
      <c r="DA68" s="22">
        <f>IF(AND($H68&lt;&gt;"",$AM68&lt;&gt;"",$H68&lt;&gt;$AM68,IFERROR(VLOOKUP($H68,areaCercaPuntiClassificaSquadra,3,FALSE),-1)=IFERROR(VLOOKUP($AM68,areaCercaPuntiClassificaSquadra,3,FALSE),-2)),SUMIFS(Dati!$E$2:$E$761,Dati!$A$2:$A$761,$H68,Dati!$H$2:$H$761,$AM68)+SUMIFS(Dati!$L$2:$L$761,Dati!$H$2:$H$761,$H68,Dati!$A$2:$A$761,$AM68),"-")</f>
        <v/>
      </c>
      <c r="DB68" s="22">
        <f>IF(AND($H68&lt;&gt;"",$AN68&lt;&gt;"",$H68&lt;&gt;$AN68,IFERROR(VLOOKUP($H68,areaCercaPuntiClassificaSquadra,3,FALSE),-1)=IFERROR(VLOOKUP($AN68,areaCercaPuntiClassificaSquadra,3,FALSE),-2)),SUMIFS(Dati!$E$2:$E$761,Dati!$A$2:$A$761,$H68,Dati!$H$2:$H$761,$AN68)+SUMIFS(Dati!$L$2:$L$761,Dati!$H$2:$H$761,$H68,Dati!$A$2:$A$761,$AN68),"-")</f>
        <v/>
      </c>
      <c r="DC68" s="22">
        <f>IF(AND($H68&lt;&gt;"",$AO68&lt;&gt;"",$H68&lt;&gt;$AO68,IFERROR(VLOOKUP($H68,areaCercaPuntiClassificaSquadra,3,FALSE),-1)=IFERROR(VLOOKUP($AO68,areaCercaPuntiClassificaSquadra,3,FALSE),-2)),SUMIFS(Dati!$E$2:$E$761,Dati!$A$2:$A$761,$H68,Dati!$H$2:$H$761,$AO68)+SUMIFS(Dati!$L$2:$L$761,Dati!$H$2:$H$761,$H68,Dati!$A$2:$A$761,$AO68),"-")</f>
        <v/>
      </c>
      <c r="DD68" s="22">
        <f>IF(AND($H68&lt;&gt;"",$AP68&lt;&gt;"",$H68&lt;&gt;$AP68,IFERROR(VLOOKUP($H68,areaCercaPuntiClassificaSquadra,3,FALSE),-1)=IFERROR(VLOOKUP($AP68,areaCercaPuntiClassificaSquadra,3,FALSE),-2)),SUMIFS(Dati!$E$2:$E$761,Dati!$A$2:$A$761,$H68,Dati!$H$2:$H$761,$AP68)+SUMIFS(Dati!$L$2:$L$761,Dati!$H$2:$H$761,$H68,Dati!$A$2:$A$761,$AP68),"-")</f>
        <v/>
      </c>
      <c r="DE68" s="22">
        <f>IF(AND($H68&lt;&gt;"",$AQ68&lt;&gt;"",$H68&lt;&gt;$AQ68,IFERROR(VLOOKUP($H68,areaCercaPuntiClassificaSquadra,3,FALSE),-1)=IFERROR(VLOOKUP($AQ68,areaCercaPuntiClassificaSquadra,3,FALSE),-2)),SUMIFS(Dati!$E$2:$E$761,Dati!$A$2:$A$761,$H68,Dati!$H$2:$H$761,$AQ68)+SUMIFS(Dati!$L$2:$L$761,Dati!$H$2:$H$761,$H68,Dati!$A$2:$A$761,$AQ68),"-")</f>
        <v/>
      </c>
      <c r="DF68" s="22">
        <f>IF(AND($H68&lt;&gt;"",$AR68&lt;&gt;"",$H68&lt;&gt;$AR68,IFERROR(VLOOKUP($H68,areaCercaPuntiClassificaSquadra,3,FALSE),-1)=IFERROR(VLOOKUP($AR68,areaCercaPuntiClassificaSquadra,3,FALSE),-2)),SUMIFS(Dati!$E$2:$E$761,Dati!$A$2:$A$761,$H68,Dati!$H$2:$H$761,$AR68)+SUMIFS(Dati!$L$2:$L$761,Dati!$H$2:$H$761,$H68,Dati!$A$2:$A$761,$AR68),"-")</f>
        <v/>
      </c>
      <c r="DH68" s="21">
        <f>$C68</f>
        <v/>
      </c>
      <c r="DI68" s="22">
        <f>IF(AND($H68&lt;&gt;"",$Y68&lt;&gt;"",$H68&lt;&gt;$Y68,IFERROR(VLOOKUP($H68,areaCercaPuntiClassificaSquadra,3,FALSE),-1)=IFERROR(VLOOKUP($Y68,areaCercaPuntiClassificaSquadra,3,FALSE),-2)),SUMIFS(Dati!$F$2:$F$761,Dati!$A$2:$A$761,$H68,Dati!$H$2:$H$761,$Y68)+SUMIFS(Dati!$M$2:$M$761,Dati!$H$2:$H$761,$H68,Dati!$A$2:$A$761,$Y68),"-")</f>
        <v/>
      </c>
      <c r="DJ68" s="22">
        <f>IF(AND($H68&lt;&gt;"",$Z68&lt;&gt;"",$H68&lt;&gt;$Z68,IFERROR(VLOOKUP($H68,areaCercaPuntiClassificaSquadra,3,FALSE),-1)=IFERROR(VLOOKUP($Z68,areaCercaPuntiClassificaSquadra,3,FALSE),-2)),SUMIFS(Dati!$F$2:$F$761,Dati!$A$2:$A$761,$H68,Dati!$H$2:$H$761,$Z68)+SUMIFS(Dati!$M$2:$M$761,Dati!$H$2:$H$761,$H68,Dati!$A$2:$A$761,$Z68),"-")</f>
        <v/>
      </c>
      <c r="DK68" s="22">
        <f>IF(AND($H68&lt;&gt;"",$AA68&lt;&gt;"",$H68&lt;&gt;$AA68,IFERROR(VLOOKUP($H68,areaCercaPuntiClassificaSquadra,3,FALSE),-1)=IFERROR(VLOOKUP($AA68,areaCercaPuntiClassificaSquadra,3,FALSE),-2)),SUMIFS(Dati!$F$2:$F$761,Dati!$A$2:$A$761,$H68,Dati!$H$2:$H$761,$AA68)+SUMIFS(Dati!$M$2:$M$761,Dati!$H$2:$H$761,$H68,Dati!$A$2:$A$761,$AA68),"-")</f>
        <v/>
      </c>
      <c r="DL68" s="22">
        <f>IF(AND($H68&lt;&gt;"",$AB68&lt;&gt;"",$H68&lt;&gt;$AB68,IFERROR(VLOOKUP($H68,areaCercaPuntiClassificaSquadra,3,FALSE),-1)=IFERROR(VLOOKUP($AB68,areaCercaPuntiClassificaSquadra,3,FALSE),-2)),SUMIFS(Dati!$F$2:$F$761,Dati!$A$2:$A$761,$H68,Dati!$H$2:$H$761,$AB68)+SUMIFS(Dati!$M$2:$M$761,Dati!$H$2:$H$761,$H68,Dati!$A$2:$A$761,$AB68),"-")</f>
        <v/>
      </c>
      <c r="DM68" s="22">
        <f>IF(AND($H68&lt;&gt;"",$AC68&lt;&gt;"",$H68&lt;&gt;$AC68,IFERROR(VLOOKUP($H68,areaCercaPuntiClassificaSquadra,3,FALSE),-1)=IFERROR(VLOOKUP($AC68,areaCercaPuntiClassificaSquadra,3,FALSE),-2)),SUMIFS(Dati!$F$2:$F$761,Dati!$A$2:$A$761,$H68,Dati!$H$2:$H$761,$AC68)+SUMIFS(Dati!$M$2:$M$761,Dati!$H$2:$H$761,$H68,Dati!$A$2:$A$761,$AC68),"-")</f>
        <v/>
      </c>
      <c r="DN68" s="22">
        <f>IF(AND($H68&lt;&gt;"",$AD68&lt;&gt;"",$H68&lt;&gt;$AD68,IFERROR(VLOOKUP($H68,areaCercaPuntiClassificaSquadra,3,FALSE),-1)=IFERROR(VLOOKUP($AD68,areaCercaPuntiClassificaSquadra,3,FALSE),-2)),SUMIFS(Dati!$F$2:$F$761,Dati!$A$2:$A$761,$H68,Dati!$H$2:$H$761,$AD68)+SUMIFS(Dati!$M$2:$M$761,Dati!$H$2:$H$761,$H68,Dati!$A$2:$A$761,$AD68),"-")</f>
        <v/>
      </c>
      <c r="DO68" s="22">
        <f>IF(AND($H68&lt;&gt;"",$AE68&lt;&gt;"",$H68&lt;&gt;$AE68,IFERROR(VLOOKUP($H68,areaCercaPuntiClassificaSquadra,3,FALSE),-1)=IFERROR(VLOOKUP($AE68,areaCercaPuntiClassificaSquadra,3,FALSE),-2)),SUMIFS(Dati!$F$2:$F$761,Dati!$A$2:$A$761,$H68,Dati!$H$2:$H$761,$AE68)+SUMIFS(Dati!$M$2:$M$761,Dati!$H$2:$H$761,$H68,Dati!$A$2:$A$761,$AE68),"-")</f>
        <v/>
      </c>
      <c r="DP68" s="22">
        <f>IF(AND($H68&lt;&gt;"",$AF68&lt;&gt;"",$H68&lt;&gt;$AF68,IFERROR(VLOOKUP($H68,areaCercaPuntiClassificaSquadra,3,FALSE),-1)=IFERROR(VLOOKUP($AF68,areaCercaPuntiClassificaSquadra,3,FALSE),-2)),SUMIFS(Dati!$F$2:$F$761,Dati!$A$2:$A$761,$H68,Dati!$H$2:$H$761,$AF68)+SUMIFS(Dati!$M$2:$M$761,Dati!$H$2:$H$761,$H68,Dati!$A$2:$A$761,$AF68),"-")</f>
        <v/>
      </c>
      <c r="DQ68" s="22">
        <f>IF(AND($H68&lt;&gt;"",$AG68&lt;&gt;"",$H68&lt;&gt;$AG68,IFERROR(VLOOKUP($H68,areaCercaPuntiClassificaSquadra,3,FALSE),-1)=IFERROR(VLOOKUP($AG68,areaCercaPuntiClassificaSquadra,3,FALSE),-2)),SUMIFS(Dati!$F$2:$F$761,Dati!$A$2:$A$761,$H68,Dati!$H$2:$H$761,$AG68)+SUMIFS(Dati!$M$2:$M$761,Dati!$H$2:$H$761,$H68,Dati!$A$2:$A$761,$AG68),"-")</f>
        <v/>
      </c>
      <c r="DR68" s="22">
        <f>IF(AND($H68&lt;&gt;"",$AH68&lt;&gt;"",$H68&lt;&gt;$AH68,IFERROR(VLOOKUP($H68,areaCercaPuntiClassificaSquadra,3,FALSE),-1)=IFERROR(VLOOKUP($AH68,areaCercaPuntiClassificaSquadra,3,FALSE),-2)),SUMIFS(Dati!$F$2:$F$761,Dati!$A$2:$A$761,$H68,Dati!$H$2:$H$761,$AH68)+SUMIFS(Dati!$M$2:$M$761,Dati!$H$2:$H$761,$H68,Dati!$A$2:$A$761,$AH68),"-")</f>
        <v/>
      </c>
      <c r="DS68" s="22">
        <f>IF(AND($H68&lt;&gt;"",$AI68&lt;&gt;"",$H68&lt;&gt;$AI68,IFERROR(VLOOKUP($H68,areaCercaPuntiClassificaSquadra,3,FALSE),-1)=IFERROR(VLOOKUP($AI68,areaCercaPuntiClassificaSquadra,3,FALSE),-2)),SUMIFS(Dati!$F$2:$F$761,Dati!$A$2:$A$761,$H68,Dati!$H$2:$H$761,$AI68)+SUMIFS(Dati!$M$2:$M$761,Dati!$H$2:$H$761,$H68,Dati!$A$2:$A$761,$AI68),"-")</f>
        <v/>
      </c>
      <c r="DT68" s="22">
        <f>IF(AND($H68&lt;&gt;"",$AJ68&lt;&gt;"",$H68&lt;&gt;$AJ68,IFERROR(VLOOKUP($H68,areaCercaPuntiClassificaSquadra,3,FALSE),-1)=IFERROR(VLOOKUP($AJ68,areaCercaPuntiClassificaSquadra,3,FALSE),-2)),SUMIFS(Dati!$F$2:$F$761,Dati!$A$2:$A$761,$H68,Dati!$H$2:$H$761,$AJ68)+SUMIFS(Dati!$M$2:$M$761,Dati!$H$2:$H$761,$H68,Dati!$A$2:$A$761,$AJ68),"-")</f>
        <v/>
      </c>
      <c r="DU68" s="22">
        <f>IF(AND($H68&lt;&gt;"",$AK68&lt;&gt;"",$H68&lt;&gt;$AK68,IFERROR(VLOOKUP($H68,areaCercaPuntiClassificaSquadra,3,FALSE),-1)=IFERROR(VLOOKUP($AK68,areaCercaPuntiClassificaSquadra,3,FALSE),-2)),SUMIFS(Dati!$F$2:$F$761,Dati!$A$2:$A$761,$H68,Dati!$H$2:$H$761,$AK68)+SUMIFS(Dati!$M$2:$M$761,Dati!$H$2:$H$761,$H68,Dati!$A$2:$A$761,$AK68),"-")</f>
        <v/>
      </c>
      <c r="DV68" s="22">
        <f>IF(AND($H68&lt;&gt;"",$AL68&lt;&gt;"",$H68&lt;&gt;$AL68,IFERROR(VLOOKUP($H68,areaCercaPuntiClassificaSquadra,3,FALSE),-1)=IFERROR(VLOOKUP($AL68,areaCercaPuntiClassificaSquadra,3,FALSE),-2)),SUMIFS(Dati!$F$2:$F$761,Dati!$A$2:$A$761,$H68,Dati!$H$2:$H$761,$AL68)+SUMIFS(Dati!$M$2:$M$761,Dati!$H$2:$H$761,$H68,Dati!$A$2:$A$761,$AL68),"-")</f>
        <v/>
      </c>
      <c r="DW68" s="22">
        <f>IF(AND($H68&lt;&gt;"",$AM68&lt;&gt;"",$H68&lt;&gt;$AM68,IFERROR(VLOOKUP($H68,areaCercaPuntiClassificaSquadra,3,FALSE),-1)=IFERROR(VLOOKUP($AM68,areaCercaPuntiClassificaSquadra,3,FALSE),-2)),SUMIFS(Dati!$F$2:$F$761,Dati!$A$2:$A$761,$H68,Dati!$H$2:$H$761,$AM68)+SUMIFS(Dati!$M$2:$M$761,Dati!$H$2:$H$761,$H68,Dati!$A$2:$A$761,$AM68),"-")</f>
        <v/>
      </c>
      <c r="DX68" s="22">
        <f>IF(AND($H68&lt;&gt;"",$AN68&lt;&gt;"",$H68&lt;&gt;$AN68,IFERROR(VLOOKUP($H68,areaCercaPuntiClassificaSquadra,3,FALSE),-1)=IFERROR(VLOOKUP($AN68,areaCercaPuntiClassificaSquadra,3,FALSE),-2)),SUMIFS(Dati!$F$2:$F$761,Dati!$A$2:$A$761,$H68,Dati!$H$2:$H$761,$AN68)+SUMIFS(Dati!$M$2:$M$761,Dati!$H$2:$H$761,$H68,Dati!$A$2:$A$761,$AN68),"-")</f>
        <v/>
      </c>
      <c r="DY68" s="22">
        <f>IF(AND($H68&lt;&gt;"",$AO68&lt;&gt;"",$H68&lt;&gt;$AO68,IFERROR(VLOOKUP($H68,areaCercaPuntiClassificaSquadra,3,FALSE),-1)=IFERROR(VLOOKUP($AO68,areaCercaPuntiClassificaSquadra,3,FALSE),-2)),SUMIFS(Dati!$F$2:$F$761,Dati!$A$2:$A$761,$H68,Dati!$H$2:$H$761,$AO68)+SUMIFS(Dati!$M$2:$M$761,Dati!$H$2:$H$761,$H68,Dati!$A$2:$A$761,$AO68),"-")</f>
        <v/>
      </c>
      <c r="DZ68" s="22">
        <f>IF(AND($H68&lt;&gt;"",$AP68&lt;&gt;"",$H68&lt;&gt;$AP68,IFERROR(VLOOKUP($H68,areaCercaPuntiClassificaSquadra,3,FALSE),-1)=IFERROR(VLOOKUP($AP68,areaCercaPuntiClassificaSquadra,3,FALSE),-2)),SUMIFS(Dati!$F$2:$F$761,Dati!$A$2:$A$761,$H68,Dati!$H$2:$H$761,$AP68)+SUMIFS(Dati!$M$2:$M$761,Dati!$H$2:$H$761,$H68,Dati!$A$2:$A$761,$AP68),"-")</f>
        <v/>
      </c>
      <c r="EA68" s="22">
        <f>IF(AND($H68&lt;&gt;"",$AQ68&lt;&gt;"",$H68&lt;&gt;$AQ68,IFERROR(VLOOKUP($H68,areaCercaPuntiClassificaSquadra,3,FALSE),-1)=IFERROR(VLOOKUP($AQ68,areaCercaPuntiClassificaSquadra,3,FALSE),-2)),SUMIFS(Dati!$F$2:$F$761,Dati!$A$2:$A$761,$H68,Dati!$H$2:$H$761,$AQ68)+SUMIFS(Dati!$M$2:$M$761,Dati!$H$2:$H$761,$H68,Dati!$A$2:$A$761,$AQ68),"-")</f>
        <v/>
      </c>
      <c r="EB68" s="22">
        <f>IF(AND($H68&lt;&gt;"",$AR68&lt;&gt;"",$H68&lt;&gt;$AR68,IFERROR(VLOOKUP($H68,areaCercaPuntiClassificaSquadra,3,FALSE),-1)=IFERROR(VLOOKUP($AR68,areaCercaPuntiClassificaSquadra,3,FALSE),-2)),SUMIFS(Dati!$F$2:$F$761,Dati!$A$2:$A$761,$H68,Dati!$H$2:$H$761,$AR68)+SUMIFS(Dati!$M$2:$M$761,Dati!$H$2:$H$761,$H68,Dati!$A$2:$A$761,$AR68),"-")</f>
        <v/>
      </c>
      <c r="ED68" s="22">
        <f>IF($C68="","",SUM(AU68:BN68))</f>
        <v/>
      </c>
    </row>
    <row r="69">
      <c r="B69" s="12" t="inlineStr">
        <is>
          <t>C16</t>
        </is>
      </c>
      <c r="C69" s="13" t="inlineStr">
        <is>
          <t>Egrette Eleganti-Egretteopoli EA</t>
        </is>
      </c>
      <c r="D69" s="14" t="n"/>
      <c r="E69" s="25" t="inlineStr">
        <is>
          <t>C</t>
        </is>
      </c>
      <c r="G69" s="26">
        <f>IF($C69="","",$E69&amp;(COUNTIFS(I$14:I$93,"&gt;"&amp;I69,E$14:E$93,"="&amp;E69,C$14:C$93,"&lt;&gt;")+COUNTIFS(I$14:I$93,"="&amp;I69,H$14:H$93,"&lt;="&amp;H69,E$14:E$93,"="&amp;E69,C$14:C$93,"&lt;&gt;")))</f>
        <v/>
      </c>
      <c r="H69" s="17">
        <f>IF($C69="","",IFERROR(LEFT($C69,FIND("-",$C69)-1),$C69))</f>
        <v/>
      </c>
      <c r="I69" s="12">
        <f>TEXT(1000000000+J69,"|0000000000|")&amp;TEXT(SUM(AU69:BN69),"0000000000|")&amp;IF(SUM(DI69:EB69)=0,"0000000000|",TEXT(ROUND(SUM(CM69:DF69)/SUM(DI69:EB69),4)*100000,"0000000000|"))&amp;IF(P69=0,"0000000000|",TEXT(ROUND(O69/P69,4)*100000,"0000000000|"))</f>
        <v/>
      </c>
      <c r="J69" s="26">
        <f>L69*constPuntiVittoria+M69*constPuntiSconfitta+N69*constPuntiForfait+IF(D69="",0,D69)</f>
        <v/>
      </c>
      <c r="K69" s="12">
        <f>SUM(L69:N69)</f>
        <v/>
      </c>
      <c r="L69" s="12">
        <f>IF($H69="",0,SUMIF(Dati!$A$2:$A$761,$H69,Dati!$B$2:$B$761)+SUMIF(Dati!$H$2:$H$761,$H69,Dati!$I$2:$I$761))</f>
        <v/>
      </c>
      <c r="M69" s="12">
        <f>IF($H69="",0,SUMIF(Dati!$A$2:$A$761,$H69,Dati!$D$2:$D$761)+SUMIF(Dati!$H$2:$H$761,$H69,Dati!$K$2:$K$761))</f>
        <v/>
      </c>
      <c r="N69" s="12">
        <f>IF($H69="",0,SUMIF(Dati!$A$2:$A$761,$H69,Dati!$C$2:$C$761)+SUMIF(Dati!$H$2:$H$761,$H69,Dati!$J$2:$J$761))</f>
        <v/>
      </c>
      <c r="O69" s="12">
        <f>IF($H69="",0,SUMIF(Dati!$A$2:$A$761,$H69,Dati!$E$2:$E$761)+SUMIF(Dati!$H$2:$H$761,$H69,Dati!$L$2:$L$761))</f>
        <v/>
      </c>
      <c r="P69" s="12">
        <f>IF($H69="",0,SUMIF(Dati!$A$2:$A$761,$H69,Dati!$F$2:$F$761)+SUMIF(Dati!$H$2:$H$761,$H69,Dati!$M$2:$M$761))</f>
        <v/>
      </c>
      <c r="Q69" s="12">
        <f>IF($H69="",0,SUMIF(Dati!$A$2:$A$761,$H69,Dati!$G$2:$G$761)+SUMIF(Dati!$H$2:$H$761,$H69,Dati!$N$2:$N$761))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IF(COUNTIFS($E$14:$E$93,$E69,$J$14:$J$93,$J69,$C$14:$C$93,"&lt;&gt;")&lt;=1,"-",SUM(AU69:BN69)&amp;"-"&amp;SUM(BQ69:CJ69))</f>
        <v/>
      </c>
      <c r="V69" s="18">
        <f>IF(COUNTIFS($E$14:$E$93,$E69,$J$14:$J$93,$J69,$C$14:$C$93,"&lt;&gt;",$ED$14:$ED$93,$ED69)&lt;=1,"-",IF(SUM(DI69:EB69)=0,0,ROUND(SUM(CM69:DF69)/SUM(DI69:EB69),3)))</f>
        <v/>
      </c>
      <c r="W69" s="18">
        <f>IF(COUNTIFS($E$14:$E$93,$E69,$J$14:$J$93,$J69,$C$14:$C$93,"&lt;&gt;",$ED$14:$ED$93,$ED69,$V$14:$V$93,$V69)&lt;=1,"-",IF(P69=0,0,ROUND(O69/P69,3)))</f>
        <v/>
      </c>
      <c r="X69" s="19">
        <f>IF($C69="","",$E69&amp;"#"&amp;COUNTIFS($E$14:$E69,$E69,$C$14:$C69,"&lt;&gt;"))</f>
        <v/>
      </c>
      <c r="Y69" s="20">
        <f>IFERROR(INDEX($H$14:$H$93,MATCH($E69&amp;"#1",$X$14:$X$93,0)),"")</f>
        <v/>
      </c>
      <c r="Z69" s="20">
        <f>IFERROR(INDEX($H$14:$H$93,MATCH($E69&amp;"#2",$X$14:$X$93,0)),"")</f>
        <v/>
      </c>
      <c r="AA69" s="20">
        <f>IFERROR(INDEX($H$14:$H$93,MATCH($E69&amp;"#3",$X$14:$X$93,0)),"")</f>
        <v/>
      </c>
      <c r="AB69" s="20">
        <f>IFERROR(INDEX($H$14:$H$93,MATCH($E69&amp;"#4",$X$14:$X$93,0)),"")</f>
        <v/>
      </c>
      <c r="AC69" s="20">
        <f>IFERROR(INDEX($H$14:$H$93,MATCH($E69&amp;"#5",$X$14:$X$93,0)),"")</f>
        <v/>
      </c>
      <c r="AD69" s="20">
        <f>IFERROR(INDEX($H$14:$H$93,MATCH($E69&amp;"#6",$X$14:$X$93,0)),"")</f>
        <v/>
      </c>
      <c r="AE69" s="20">
        <f>IFERROR(INDEX($H$14:$H$93,MATCH($E69&amp;"#7",$X$14:$X$93,0)),"")</f>
        <v/>
      </c>
      <c r="AF69" s="20">
        <f>IFERROR(INDEX($H$14:$H$93,MATCH($E69&amp;"#8",$X$14:$X$93,0)),"")</f>
        <v/>
      </c>
      <c r="AG69" s="20">
        <f>IFERROR(INDEX($H$14:$H$93,MATCH($E69&amp;"#9",$X$14:$X$93,0)),"")</f>
        <v/>
      </c>
      <c r="AH69" s="20">
        <f>IFERROR(INDEX($H$14:$H$93,MATCH($E69&amp;"#10",$X$14:$X$93,0)),"")</f>
        <v/>
      </c>
      <c r="AI69" s="20">
        <f>IFERROR(INDEX($H$14:$H$93,MATCH($E69&amp;"#11",$X$14:$X$93,0)),"")</f>
        <v/>
      </c>
      <c r="AJ69" s="20">
        <f>IFERROR(INDEX($H$14:$H$93,MATCH($E69&amp;"#12",$X$14:$X$93,0)),"")</f>
        <v/>
      </c>
      <c r="AK69" s="20">
        <f>IFERROR(INDEX($H$14:$H$93,MATCH($E69&amp;"#13",$X$14:$X$93,0)),"")</f>
        <v/>
      </c>
      <c r="AL69" s="20">
        <f>IFERROR(INDEX($H$14:$H$93,MATCH($E69&amp;"#14",$X$14:$X$93,0)),"")</f>
        <v/>
      </c>
      <c r="AM69" s="20">
        <f>IFERROR(INDEX($H$14:$H$93,MATCH($E69&amp;"#15",$X$14:$X$93,0)),"")</f>
        <v/>
      </c>
      <c r="AN69" s="20">
        <f>IFERROR(INDEX($H$14:$H$93,MATCH($E69&amp;"#16",$X$14:$X$93,0)),"")</f>
        <v/>
      </c>
      <c r="AO69" s="20">
        <f>IFERROR(INDEX($H$14:$H$93,MATCH($E69&amp;"#17",$X$14:$X$93,0)),"")</f>
        <v/>
      </c>
      <c r="AP69" s="20">
        <f>IFERROR(INDEX($H$14:$H$93,MATCH($E69&amp;"#18",$X$14:$X$93,0)),"")</f>
        <v/>
      </c>
      <c r="AQ69" s="20">
        <f>IFERROR(INDEX($H$14:$H$93,MATCH($E69&amp;"#19",$X$14:$X$93,0)),"")</f>
        <v/>
      </c>
      <c r="AR69" s="20">
        <f>IFERROR(INDEX($H$14:$H$93,MATCH($E69&amp;"#20",$X$14:$X$93,0)),"")</f>
        <v/>
      </c>
      <c r="AT69" s="21">
        <f>$C69</f>
        <v/>
      </c>
      <c r="AU69" s="22">
        <f>IF(AND($H69&lt;&gt;"",$Y69&lt;&gt;"",$H69&lt;&gt;$Y69,IFERROR(VLOOKUP($H69,areaCercaPuntiClassificaSquadra,3,FALSE),-1)=IFERROR(VLOOKUP($Y69,areaCercaPuntiClassificaSquadra,3,FALSE),-2)),SUMIFS(Dati!$B$2:$B$761,Dati!$A$2:$A$761,$H69,Dati!$H$2:$H$761,$Y69)+SUMIFS(Dati!$I$2:$I$761,Dati!$H$2:$H$761,$H69,Dati!$A$2:$A$761,$Y69),"-")</f>
        <v/>
      </c>
      <c r="AV69" s="22">
        <f>IF(AND($H69&lt;&gt;"",$Z69&lt;&gt;"",$H69&lt;&gt;$Z69,IFERROR(VLOOKUP($H69,areaCercaPuntiClassificaSquadra,3,FALSE),-1)=IFERROR(VLOOKUP($Z69,areaCercaPuntiClassificaSquadra,3,FALSE),-2)),SUMIFS(Dati!$B$2:$B$761,Dati!$A$2:$A$761,$H69,Dati!$H$2:$H$761,$Z69)+SUMIFS(Dati!$I$2:$I$761,Dati!$H$2:$H$761,$H69,Dati!$A$2:$A$761,$Z69),"-")</f>
        <v/>
      </c>
      <c r="AW69" s="22">
        <f>IF(AND($H69&lt;&gt;"",$AA69&lt;&gt;"",$H69&lt;&gt;$AA69,IFERROR(VLOOKUP($H69,areaCercaPuntiClassificaSquadra,3,FALSE),-1)=IFERROR(VLOOKUP($AA69,areaCercaPuntiClassificaSquadra,3,FALSE),-2)),SUMIFS(Dati!$B$2:$B$761,Dati!$A$2:$A$761,$H69,Dati!$H$2:$H$761,$AA69)+SUMIFS(Dati!$I$2:$I$761,Dati!$H$2:$H$761,$H69,Dati!$A$2:$A$761,$AA69),"-")</f>
        <v/>
      </c>
      <c r="AX69" s="22">
        <f>IF(AND($H69&lt;&gt;"",$AB69&lt;&gt;"",$H69&lt;&gt;$AB69,IFERROR(VLOOKUP($H69,areaCercaPuntiClassificaSquadra,3,FALSE),-1)=IFERROR(VLOOKUP($AB69,areaCercaPuntiClassificaSquadra,3,FALSE),-2)),SUMIFS(Dati!$B$2:$B$761,Dati!$A$2:$A$761,$H69,Dati!$H$2:$H$761,$AB69)+SUMIFS(Dati!$I$2:$I$761,Dati!$H$2:$H$761,$H69,Dati!$A$2:$A$761,$AB69),"-")</f>
        <v/>
      </c>
      <c r="AY69" s="22">
        <f>IF(AND($H69&lt;&gt;"",$AC69&lt;&gt;"",$H69&lt;&gt;$AC69,IFERROR(VLOOKUP($H69,areaCercaPuntiClassificaSquadra,3,FALSE),-1)=IFERROR(VLOOKUP($AC69,areaCercaPuntiClassificaSquadra,3,FALSE),-2)),SUMIFS(Dati!$B$2:$B$761,Dati!$A$2:$A$761,$H69,Dati!$H$2:$H$761,$AC69)+SUMIFS(Dati!$I$2:$I$761,Dati!$H$2:$H$761,$H69,Dati!$A$2:$A$761,$AC69),"-")</f>
        <v/>
      </c>
      <c r="AZ69" s="22">
        <f>IF(AND($H69&lt;&gt;"",$AD69&lt;&gt;"",$H69&lt;&gt;$AD69,IFERROR(VLOOKUP($H69,areaCercaPuntiClassificaSquadra,3,FALSE),-1)=IFERROR(VLOOKUP($AD69,areaCercaPuntiClassificaSquadra,3,FALSE),-2)),SUMIFS(Dati!$B$2:$B$761,Dati!$A$2:$A$761,$H69,Dati!$H$2:$H$761,$AD69)+SUMIFS(Dati!$I$2:$I$761,Dati!$H$2:$H$761,$H69,Dati!$A$2:$A$761,$AD69),"-")</f>
        <v/>
      </c>
      <c r="BA69" s="22">
        <f>IF(AND($H69&lt;&gt;"",$AE69&lt;&gt;"",$H69&lt;&gt;$AE69,IFERROR(VLOOKUP($H69,areaCercaPuntiClassificaSquadra,3,FALSE),-1)=IFERROR(VLOOKUP($AE69,areaCercaPuntiClassificaSquadra,3,FALSE),-2)),SUMIFS(Dati!$B$2:$B$761,Dati!$A$2:$A$761,$H69,Dati!$H$2:$H$761,$AE69)+SUMIFS(Dati!$I$2:$I$761,Dati!$H$2:$H$761,$H69,Dati!$A$2:$A$761,$AE69),"-")</f>
        <v/>
      </c>
      <c r="BB69" s="22">
        <f>IF(AND($H69&lt;&gt;"",$AF69&lt;&gt;"",$H69&lt;&gt;$AF69,IFERROR(VLOOKUP($H69,areaCercaPuntiClassificaSquadra,3,FALSE),-1)=IFERROR(VLOOKUP($AF69,areaCercaPuntiClassificaSquadra,3,FALSE),-2)),SUMIFS(Dati!$B$2:$B$761,Dati!$A$2:$A$761,$H69,Dati!$H$2:$H$761,$AF69)+SUMIFS(Dati!$I$2:$I$761,Dati!$H$2:$H$761,$H69,Dati!$A$2:$A$761,$AF69),"-")</f>
        <v/>
      </c>
      <c r="BC69" s="22">
        <f>IF(AND($H69&lt;&gt;"",$AG69&lt;&gt;"",$H69&lt;&gt;$AG69,IFERROR(VLOOKUP($H69,areaCercaPuntiClassificaSquadra,3,FALSE),-1)=IFERROR(VLOOKUP($AG69,areaCercaPuntiClassificaSquadra,3,FALSE),-2)),SUMIFS(Dati!$B$2:$B$761,Dati!$A$2:$A$761,$H69,Dati!$H$2:$H$761,$AG69)+SUMIFS(Dati!$I$2:$I$761,Dati!$H$2:$H$761,$H69,Dati!$A$2:$A$761,$AG69),"-")</f>
        <v/>
      </c>
      <c r="BD69" s="22">
        <f>IF(AND($H69&lt;&gt;"",$AH69&lt;&gt;"",$H69&lt;&gt;$AH69,IFERROR(VLOOKUP($H69,areaCercaPuntiClassificaSquadra,3,FALSE),-1)=IFERROR(VLOOKUP($AH69,areaCercaPuntiClassificaSquadra,3,FALSE),-2)),SUMIFS(Dati!$B$2:$B$761,Dati!$A$2:$A$761,$H69,Dati!$H$2:$H$761,$AH69)+SUMIFS(Dati!$I$2:$I$761,Dati!$H$2:$H$761,$H69,Dati!$A$2:$A$761,$AH69),"-")</f>
        <v/>
      </c>
      <c r="BE69" s="22">
        <f>IF(AND($H69&lt;&gt;"",$AI69&lt;&gt;"",$H69&lt;&gt;$AI69,IFERROR(VLOOKUP($H69,areaCercaPuntiClassificaSquadra,3,FALSE),-1)=IFERROR(VLOOKUP($AI69,areaCercaPuntiClassificaSquadra,3,FALSE),-2)),SUMIFS(Dati!$B$2:$B$761,Dati!$A$2:$A$761,$H69,Dati!$H$2:$H$761,$AI69)+SUMIFS(Dati!$I$2:$I$761,Dati!$H$2:$H$761,$H69,Dati!$A$2:$A$761,$AI69),"-")</f>
        <v/>
      </c>
      <c r="BF69" s="22">
        <f>IF(AND($H69&lt;&gt;"",$AJ69&lt;&gt;"",$H69&lt;&gt;$AJ69,IFERROR(VLOOKUP($H69,areaCercaPuntiClassificaSquadra,3,FALSE),-1)=IFERROR(VLOOKUP($AJ69,areaCercaPuntiClassificaSquadra,3,FALSE),-2)),SUMIFS(Dati!$B$2:$B$761,Dati!$A$2:$A$761,$H69,Dati!$H$2:$H$761,$AJ69)+SUMIFS(Dati!$I$2:$I$761,Dati!$H$2:$H$761,$H69,Dati!$A$2:$A$761,$AJ69),"-")</f>
        <v/>
      </c>
      <c r="BG69" s="22">
        <f>IF(AND($H69&lt;&gt;"",$AK69&lt;&gt;"",$H69&lt;&gt;$AK69,IFERROR(VLOOKUP($H69,areaCercaPuntiClassificaSquadra,3,FALSE),-1)=IFERROR(VLOOKUP($AK69,areaCercaPuntiClassificaSquadra,3,FALSE),-2)),SUMIFS(Dati!$B$2:$B$761,Dati!$A$2:$A$761,$H69,Dati!$H$2:$H$761,$AK69)+SUMIFS(Dati!$I$2:$I$761,Dati!$H$2:$H$761,$H69,Dati!$A$2:$A$761,$AK69),"-")</f>
        <v/>
      </c>
      <c r="BH69" s="22">
        <f>IF(AND($H69&lt;&gt;"",$AL69&lt;&gt;"",$H69&lt;&gt;$AL69,IFERROR(VLOOKUP($H69,areaCercaPuntiClassificaSquadra,3,FALSE),-1)=IFERROR(VLOOKUP($AL69,areaCercaPuntiClassificaSquadra,3,FALSE),-2)),SUMIFS(Dati!$B$2:$B$761,Dati!$A$2:$A$761,$H69,Dati!$H$2:$H$761,$AL69)+SUMIFS(Dati!$I$2:$I$761,Dati!$H$2:$H$761,$H69,Dati!$A$2:$A$761,$AL69),"-")</f>
        <v/>
      </c>
      <c r="BI69" s="22">
        <f>IF(AND($H69&lt;&gt;"",$AM69&lt;&gt;"",$H69&lt;&gt;$AM69,IFERROR(VLOOKUP($H69,areaCercaPuntiClassificaSquadra,3,FALSE),-1)=IFERROR(VLOOKUP($AM69,areaCercaPuntiClassificaSquadra,3,FALSE),-2)),SUMIFS(Dati!$B$2:$B$761,Dati!$A$2:$A$761,$H69,Dati!$H$2:$H$761,$AM69)+SUMIFS(Dati!$I$2:$I$761,Dati!$H$2:$H$761,$H69,Dati!$A$2:$A$761,$AM69),"-")</f>
        <v/>
      </c>
      <c r="BJ69" s="22">
        <f>IF(AND($H69&lt;&gt;"",$AN69&lt;&gt;"",$H69&lt;&gt;$AN69,IFERROR(VLOOKUP($H69,areaCercaPuntiClassificaSquadra,3,FALSE),-1)=IFERROR(VLOOKUP($AN69,areaCercaPuntiClassificaSquadra,3,FALSE),-2)),SUMIFS(Dati!$B$2:$B$761,Dati!$A$2:$A$761,$H69,Dati!$H$2:$H$761,$AN69)+SUMIFS(Dati!$I$2:$I$761,Dati!$H$2:$H$761,$H69,Dati!$A$2:$A$761,$AN69),"-")</f>
        <v/>
      </c>
      <c r="BK69" s="22">
        <f>IF(AND($H69&lt;&gt;"",$AO69&lt;&gt;"",$H69&lt;&gt;$AO69,IFERROR(VLOOKUP($H69,areaCercaPuntiClassificaSquadra,3,FALSE),-1)=IFERROR(VLOOKUP($AO69,areaCercaPuntiClassificaSquadra,3,FALSE),-2)),SUMIFS(Dati!$B$2:$B$761,Dati!$A$2:$A$761,$H69,Dati!$H$2:$H$761,$AO69)+SUMIFS(Dati!$I$2:$I$761,Dati!$H$2:$H$761,$H69,Dati!$A$2:$A$761,$AO69),"-")</f>
        <v/>
      </c>
      <c r="BL69" s="22">
        <f>IF(AND($H69&lt;&gt;"",$AP69&lt;&gt;"",$H69&lt;&gt;$AP69,IFERROR(VLOOKUP($H69,areaCercaPuntiClassificaSquadra,3,FALSE),-1)=IFERROR(VLOOKUP($AP69,areaCercaPuntiClassificaSquadra,3,FALSE),-2)),SUMIFS(Dati!$B$2:$B$761,Dati!$A$2:$A$761,$H69,Dati!$H$2:$H$761,$AP69)+SUMIFS(Dati!$I$2:$I$761,Dati!$H$2:$H$761,$H69,Dati!$A$2:$A$761,$AP69),"-")</f>
        <v/>
      </c>
      <c r="BM69" s="22">
        <f>IF(AND($H69&lt;&gt;"",$AQ69&lt;&gt;"",$H69&lt;&gt;$AQ69,IFERROR(VLOOKUP($H69,areaCercaPuntiClassificaSquadra,3,FALSE),-1)=IFERROR(VLOOKUP($AQ69,areaCercaPuntiClassificaSquadra,3,FALSE),-2)),SUMIFS(Dati!$B$2:$B$761,Dati!$A$2:$A$761,$H69,Dati!$H$2:$H$761,$AQ69)+SUMIFS(Dati!$I$2:$I$761,Dati!$H$2:$H$761,$H69,Dati!$A$2:$A$761,$AQ69),"-")</f>
        <v/>
      </c>
      <c r="BN69" s="22">
        <f>IF(AND($H69&lt;&gt;"",$AR69&lt;&gt;"",$H69&lt;&gt;$AR69,IFERROR(VLOOKUP($H69,areaCercaPuntiClassificaSquadra,3,FALSE),-1)=IFERROR(VLOOKUP($AR69,areaCercaPuntiClassificaSquadra,3,FALSE),-2)),SUMIFS(Dati!$B$2:$B$761,Dati!$A$2:$A$761,$H69,Dati!$H$2:$H$761,$AR69)+SUMIFS(Dati!$I$2:$I$761,Dati!$H$2:$H$761,$H69,Dati!$A$2:$A$761,$AR69),"-")</f>
        <v/>
      </c>
      <c r="BP69" s="21">
        <f>$C69</f>
        <v/>
      </c>
      <c r="BQ69" s="22">
        <f>IF(AND($H69&lt;&gt;"",$Y69&lt;&gt;"",$H69&lt;&gt;$Y69,IFERROR(VLOOKUP($H69,areaCercaPuntiClassificaSquadra,3,FALSE),-1)=IFERROR(VLOOKUP($Y69,areaCercaPuntiClassificaSquadra,3,FALSE),-2)),SUMIFS(Dati!$D$2:$D$761,Dati!$A$2:$A$761,$H69,Dati!$H$2:$H$761,$Y69)+SUMIFS(Dati!$K$2:$K$761,Dati!$H$2:$H$761,$H69,Dati!$A$2:$A$761,$Y69)+SUMIFS(Dati!$C$2:$C$761,Dati!$A$2:$A$761,$H69,Dati!$H$2:$H$761,$Y69)+SUMIFS(Dati!$J$2:$J$761,Dati!$H$2:$H$761,$H69,Dati!$A$2:$A$761,$Y69),"-")</f>
        <v/>
      </c>
      <c r="BR69" s="22">
        <f>IF(AND($H69&lt;&gt;"",$Z69&lt;&gt;"",$H69&lt;&gt;$Z69,IFERROR(VLOOKUP($H69,areaCercaPuntiClassificaSquadra,3,FALSE),-1)=IFERROR(VLOOKUP($Z69,areaCercaPuntiClassificaSquadra,3,FALSE),-2)),SUMIFS(Dati!$D$2:$D$761,Dati!$A$2:$A$761,$H69,Dati!$H$2:$H$761,$Z69)+SUMIFS(Dati!$K$2:$K$761,Dati!$H$2:$H$761,$H69,Dati!$A$2:$A$761,$Z69)+SUMIFS(Dati!$C$2:$C$761,Dati!$A$2:$A$761,$H69,Dati!$H$2:$H$761,$Z69)+SUMIFS(Dati!$J$2:$J$761,Dati!$H$2:$H$761,$H69,Dati!$A$2:$A$761,$Z69),"-")</f>
        <v/>
      </c>
      <c r="BS69" s="22">
        <f>IF(AND($H69&lt;&gt;"",$AA69&lt;&gt;"",$H69&lt;&gt;$AA69,IFERROR(VLOOKUP($H69,areaCercaPuntiClassificaSquadra,3,FALSE),-1)=IFERROR(VLOOKUP($AA69,areaCercaPuntiClassificaSquadra,3,FALSE),-2)),SUMIFS(Dati!$D$2:$D$761,Dati!$A$2:$A$761,$H69,Dati!$H$2:$H$761,$AA69)+SUMIFS(Dati!$K$2:$K$761,Dati!$H$2:$H$761,$H69,Dati!$A$2:$A$761,$AA69)+SUMIFS(Dati!$C$2:$C$761,Dati!$A$2:$A$761,$H69,Dati!$H$2:$H$761,$AA69)+SUMIFS(Dati!$J$2:$J$761,Dati!$H$2:$H$761,$H69,Dati!$A$2:$A$761,$AA69),"-")</f>
        <v/>
      </c>
      <c r="BT69" s="22">
        <f>IF(AND($H69&lt;&gt;"",$AB69&lt;&gt;"",$H69&lt;&gt;$AB69,IFERROR(VLOOKUP($H69,areaCercaPuntiClassificaSquadra,3,FALSE),-1)=IFERROR(VLOOKUP($AB69,areaCercaPuntiClassificaSquadra,3,FALSE),-2)),SUMIFS(Dati!$D$2:$D$761,Dati!$A$2:$A$761,$H69,Dati!$H$2:$H$761,$AB69)+SUMIFS(Dati!$K$2:$K$761,Dati!$H$2:$H$761,$H69,Dati!$A$2:$A$761,$AB69)+SUMIFS(Dati!$C$2:$C$761,Dati!$A$2:$A$761,$H69,Dati!$H$2:$H$761,$AB69)+SUMIFS(Dati!$J$2:$J$761,Dati!$H$2:$H$761,$H69,Dati!$A$2:$A$761,$AB69),"-")</f>
        <v/>
      </c>
      <c r="BU69" s="22">
        <f>IF(AND($H69&lt;&gt;"",$AC69&lt;&gt;"",$H69&lt;&gt;$AC69,IFERROR(VLOOKUP($H69,areaCercaPuntiClassificaSquadra,3,FALSE),-1)=IFERROR(VLOOKUP($AC69,areaCercaPuntiClassificaSquadra,3,FALSE),-2)),SUMIFS(Dati!$D$2:$D$761,Dati!$A$2:$A$761,$H69,Dati!$H$2:$H$761,$AC69)+SUMIFS(Dati!$K$2:$K$761,Dati!$H$2:$H$761,$H69,Dati!$A$2:$A$761,$AC69)+SUMIFS(Dati!$C$2:$C$761,Dati!$A$2:$A$761,$H69,Dati!$H$2:$H$761,$AC69)+SUMIFS(Dati!$J$2:$J$761,Dati!$H$2:$H$761,$H69,Dati!$A$2:$A$761,$AC69),"-")</f>
        <v/>
      </c>
      <c r="BV69" s="22">
        <f>IF(AND($H69&lt;&gt;"",$AD69&lt;&gt;"",$H69&lt;&gt;$AD69,IFERROR(VLOOKUP($H69,areaCercaPuntiClassificaSquadra,3,FALSE),-1)=IFERROR(VLOOKUP($AD69,areaCercaPuntiClassificaSquadra,3,FALSE),-2)),SUMIFS(Dati!$D$2:$D$761,Dati!$A$2:$A$761,$H69,Dati!$H$2:$H$761,$AD69)+SUMIFS(Dati!$K$2:$K$761,Dati!$H$2:$H$761,$H69,Dati!$A$2:$A$761,$AD69)+SUMIFS(Dati!$C$2:$C$761,Dati!$A$2:$A$761,$H69,Dati!$H$2:$H$761,$AD69)+SUMIFS(Dati!$J$2:$J$761,Dati!$H$2:$H$761,$H69,Dati!$A$2:$A$761,$AD69),"-")</f>
        <v/>
      </c>
      <c r="BW69" s="22">
        <f>IF(AND($H69&lt;&gt;"",$AE69&lt;&gt;"",$H69&lt;&gt;$AE69,IFERROR(VLOOKUP($H69,areaCercaPuntiClassificaSquadra,3,FALSE),-1)=IFERROR(VLOOKUP($AE69,areaCercaPuntiClassificaSquadra,3,FALSE),-2)),SUMIFS(Dati!$D$2:$D$761,Dati!$A$2:$A$761,$H69,Dati!$H$2:$H$761,$AE69)+SUMIFS(Dati!$K$2:$K$761,Dati!$H$2:$H$761,$H69,Dati!$A$2:$A$761,$AE69)+SUMIFS(Dati!$C$2:$C$761,Dati!$A$2:$A$761,$H69,Dati!$H$2:$H$761,$AE69)+SUMIFS(Dati!$J$2:$J$761,Dati!$H$2:$H$761,$H69,Dati!$A$2:$A$761,$AE69),"-")</f>
        <v/>
      </c>
      <c r="BX69" s="22">
        <f>IF(AND($H69&lt;&gt;"",$AF69&lt;&gt;"",$H69&lt;&gt;$AF69,IFERROR(VLOOKUP($H69,areaCercaPuntiClassificaSquadra,3,FALSE),-1)=IFERROR(VLOOKUP($AF69,areaCercaPuntiClassificaSquadra,3,FALSE),-2)),SUMIFS(Dati!$D$2:$D$761,Dati!$A$2:$A$761,$H69,Dati!$H$2:$H$761,$AF69)+SUMIFS(Dati!$K$2:$K$761,Dati!$H$2:$H$761,$H69,Dati!$A$2:$A$761,$AF69)+SUMIFS(Dati!$C$2:$C$761,Dati!$A$2:$A$761,$H69,Dati!$H$2:$H$761,$AF69)+SUMIFS(Dati!$J$2:$J$761,Dati!$H$2:$H$761,$H69,Dati!$A$2:$A$761,$AF69),"-")</f>
        <v/>
      </c>
      <c r="BY69" s="22">
        <f>IF(AND($H69&lt;&gt;"",$AG69&lt;&gt;"",$H69&lt;&gt;$AG69,IFERROR(VLOOKUP($H69,areaCercaPuntiClassificaSquadra,3,FALSE),-1)=IFERROR(VLOOKUP($AG69,areaCercaPuntiClassificaSquadra,3,FALSE),-2)),SUMIFS(Dati!$D$2:$D$761,Dati!$A$2:$A$761,$H69,Dati!$H$2:$H$761,$AG69)+SUMIFS(Dati!$K$2:$K$761,Dati!$H$2:$H$761,$H69,Dati!$A$2:$A$761,$AG69)+SUMIFS(Dati!$C$2:$C$761,Dati!$A$2:$A$761,$H69,Dati!$H$2:$H$761,$AG69)+SUMIFS(Dati!$J$2:$J$761,Dati!$H$2:$H$761,$H69,Dati!$A$2:$A$761,$AG69),"-")</f>
        <v/>
      </c>
      <c r="BZ69" s="22">
        <f>IF(AND($H69&lt;&gt;"",$AH69&lt;&gt;"",$H69&lt;&gt;$AH69,IFERROR(VLOOKUP($H69,areaCercaPuntiClassificaSquadra,3,FALSE),-1)=IFERROR(VLOOKUP($AH69,areaCercaPuntiClassificaSquadra,3,FALSE),-2)),SUMIFS(Dati!$D$2:$D$761,Dati!$A$2:$A$761,$H69,Dati!$H$2:$H$761,$AH69)+SUMIFS(Dati!$K$2:$K$761,Dati!$H$2:$H$761,$H69,Dati!$A$2:$A$761,$AH69)+SUMIFS(Dati!$C$2:$C$761,Dati!$A$2:$A$761,$H69,Dati!$H$2:$H$761,$AH69)+SUMIFS(Dati!$J$2:$J$761,Dati!$H$2:$H$761,$H69,Dati!$A$2:$A$761,$AH69),"-")</f>
        <v/>
      </c>
      <c r="CA69" s="22">
        <f>IF(AND($H69&lt;&gt;"",$AI69&lt;&gt;"",$H69&lt;&gt;$AI69,IFERROR(VLOOKUP($H69,areaCercaPuntiClassificaSquadra,3,FALSE),-1)=IFERROR(VLOOKUP($AI69,areaCercaPuntiClassificaSquadra,3,FALSE),-2)),SUMIFS(Dati!$D$2:$D$761,Dati!$A$2:$A$761,$H69,Dati!$H$2:$H$761,$AI69)+SUMIFS(Dati!$K$2:$K$761,Dati!$H$2:$H$761,$H69,Dati!$A$2:$A$761,$AI69)+SUMIFS(Dati!$C$2:$C$761,Dati!$A$2:$A$761,$H69,Dati!$H$2:$H$761,$AI69)+SUMIFS(Dati!$J$2:$J$761,Dati!$H$2:$H$761,$H69,Dati!$A$2:$A$761,$AI69),"-")</f>
        <v/>
      </c>
      <c r="CB69" s="22">
        <f>IF(AND($H69&lt;&gt;"",$AJ69&lt;&gt;"",$H69&lt;&gt;$AJ69,IFERROR(VLOOKUP($H69,areaCercaPuntiClassificaSquadra,3,FALSE),-1)=IFERROR(VLOOKUP($AJ69,areaCercaPuntiClassificaSquadra,3,FALSE),-2)),SUMIFS(Dati!$D$2:$D$761,Dati!$A$2:$A$761,$H69,Dati!$H$2:$H$761,$AJ69)+SUMIFS(Dati!$K$2:$K$761,Dati!$H$2:$H$761,$H69,Dati!$A$2:$A$761,$AJ69)+SUMIFS(Dati!$C$2:$C$761,Dati!$A$2:$A$761,$H69,Dati!$H$2:$H$761,$AJ69)+SUMIFS(Dati!$J$2:$J$761,Dati!$H$2:$H$761,$H69,Dati!$A$2:$A$761,$AJ69),"-")</f>
        <v/>
      </c>
      <c r="CC69" s="22">
        <f>IF(AND($H69&lt;&gt;"",$AK69&lt;&gt;"",$H69&lt;&gt;$AK69,IFERROR(VLOOKUP($H69,areaCercaPuntiClassificaSquadra,3,FALSE),-1)=IFERROR(VLOOKUP($AK69,areaCercaPuntiClassificaSquadra,3,FALSE),-2)),SUMIFS(Dati!$D$2:$D$761,Dati!$A$2:$A$761,$H69,Dati!$H$2:$H$761,$AK69)+SUMIFS(Dati!$K$2:$K$761,Dati!$H$2:$H$761,$H69,Dati!$A$2:$A$761,$AK69)+SUMIFS(Dati!$C$2:$C$761,Dati!$A$2:$A$761,$H69,Dati!$H$2:$H$761,$AK69)+SUMIFS(Dati!$J$2:$J$761,Dati!$H$2:$H$761,$H69,Dati!$A$2:$A$761,$AK69),"-")</f>
        <v/>
      </c>
      <c r="CD69" s="22">
        <f>IF(AND($H69&lt;&gt;"",$AL69&lt;&gt;"",$H69&lt;&gt;$AL69,IFERROR(VLOOKUP($H69,areaCercaPuntiClassificaSquadra,3,FALSE),-1)=IFERROR(VLOOKUP($AL69,areaCercaPuntiClassificaSquadra,3,FALSE),-2)),SUMIFS(Dati!$D$2:$D$761,Dati!$A$2:$A$761,$H69,Dati!$H$2:$H$761,$AL69)+SUMIFS(Dati!$K$2:$K$761,Dati!$H$2:$H$761,$H69,Dati!$A$2:$A$761,$AL69)+SUMIFS(Dati!$C$2:$C$761,Dati!$A$2:$A$761,$H69,Dati!$H$2:$H$761,$AL69)+SUMIFS(Dati!$J$2:$J$761,Dati!$H$2:$H$761,$H69,Dati!$A$2:$A$761,$AL69),"-")</f>
        <v/>
      </c>
      <c r="CE69" s="22">
        <f>IF(AND($H69&lt;&gt;"",$AM69&lt;&gt;"",$H69&lt;&gt;$AM69,IFERROR(VLOOKUP($H69,areaCercaPuntiClassificaSquadra,3,FALSE),-1)=IFERROR(VLOOKUP($AM69,areaCercaPuntiClassificaSquadra,3,FALSE),-2)),SUMIFS(Dati!$D$2:$D$761,Dati!$A$2:$A$761,$H69,Dati!$H$2:$H$761,$AM69)+SUMIFS(Dati!$K$2:$K$761,Dati!$H$2:$H$761,$H69,Dati!$A$2:$A$761,$AM69)+SUMIFS(Dati!$C$2:$C$761,Dati!$A$2:$A$761,$H69,Dati!$H$2:$H$761,$AM69)+SUMIFS(Dati!$J$2:$J$761,Dati!$H$2:$H$761,$H69,Dati!$A$2:$A$761,$AM69),"-")</f>
        <v/>
      </c>
      <c r="CF69" s="22">
        <f>IF(AND($H69&lt;&gt;"",$AN69&lt;&gt;"",$H69&lt;&gt;$AN69,IFERROR(VLOOKUP($H69,areaCercaPuntiClassificaSquadra,3,FALSE),-1)=IFERROR(VLOOKUP($AN69,areaCercaPuntiClassificaSquadra,3,FALSE),-2)),SUMIFS(Dati!$D$2:$D$761,Dati!$A$2:$A$761,$H69,Dati!$H$2:$H$761,$AN69)+SUMIFS(Dati!$K$2:$K$761,Dati!$H$2:$H$761,$H69,Dati!$A$2:$A$761,$AN69)+SUMIFS(Dati!$C$2:$C$761,Dati!$A$2:$A$761,$H69,Dati!$H$2:$H$761,$AN69)+SUMIFS(Dati!$J$2:$J$761,Dati!$H$2:$H$761,$H69,Dati!$A$2:$A$761,$AN69),"-")</f>
        <v/>
      </c>
      <c r="CG69" s="22">
        <f>IF(AND($H69&lt;&gt;"",$AO69&lt;&gt;"",$H69&lt;&gt;$AO69,IFERROR(VLOOKUP($H69,areaCercaPuntiClassificaSquadra,3,FALSE),-1)=IFERROR(VLOOKUP($AO69,areaCercaPuntiClassificaSquadra,3,FALSE),-2)),SUMIFS(Dati!$D$2:$D$761,Dati!$A$2:$A$761,$H69,Dati!$H$2:$H$761,$AO69)+SUMIFS(Dati!$K$2:$K$761,Dati!$H$2:$H$761,$H69,Dati!$A$2:$A$761,$AO69)+SUMIFS(Dati!$C$2:$C$761,Dati!$A$2:$A$761,$H69,Dati!$H$2:$H$761,$AO69)+SUMIFS(Dati!$J$2:$J$761,Dati!$H$2:$H$761,$H69,Dati!$A$2:$A$761,$AO69),"-")</f>
        <v/>
      </c>
      <c r="CH69" s="22">
        <f>IF(AND($H69&lt;&gt;"",$AP69&lt;&gt;"",$H69&lt;&gt;$AP69,IFERROR(VLOOKUP($H69,areaCercaPuntiClassificaSquadra,3,FALSE),-1)=IFERROR(VLOOKUP($AP69,areaCercaPuntiClassificaSquadra,3,FALSE),-2)),SUMIFS(Dati!$D$2:$D$761,Dati!$A$2:$A$761,$H69,Dati!$H$2:$H$761,$AP69)+SUMIFS(Dati!$K$2:$K$761,Dati!$H$2:$H$761,$H69,Dati!$A$2:$A$761,$AP69)+SUMIFS(Dati!$C$2:$C$761,Dati!$A$2:$A$761,$H69,Dati!$H$2:$H$761,$AP69)+SUMIFS(Dati!$J$2:$J$761,Dati!$H$2:$H$761,$H69,Dati!$A$2:$A$761,$AP69),"-")</f>
        <v/>
      </c>
      <c r="CI69" s="22">
        <f>IF(AND($H69&lt;&gt;"",$AQ69&lt;&gt;"",$H69&lt;&gt;$AQ69,IFERROR(VLOOKUP($H69,areaCercaPuntiClassificaSquadra,3,FALSE),-1)=IFERROR(VLOOKUP($AQ69,areaCercaPuntiClassificaSquadra,3,FALSE),-2)),SUMIFS(Dati!$D$2:$D$761,Dati!$A$2:$A$761,$H69,Dati!$H$2:$H$761,$AQ69)+SUMIFS(Dati!$K$2:$K$761,Dati!$H$2:$H$761,$H69,Dati!$A$2:$A$761,$AQ69)+SUMIFS(Dati!$C$2:$C$761,Dati!$A$2:$A$761,$H69,Dati!$H$2:$H$761,$AQ69)+SUMIFS(Dati!$J$2:$J$761,Dati!$H$2:$H$761,$H69,Dati!$A$2:$A$761,$AQ69),"-")</f>
        <v/>
      </c>
      <c r="CJ69" s="22">
        <f>IF(AND($H69&lt;&gt;"",$AR69&lt;&gt;"",$H69&lt;&gt;$AR69,IFERROR(VLOOKUP($H69,areaCercaPuntiClassificaSquadra,3,FALSE),-1)=IFERROR(VLOOKUP($AR69,areaCercaPuntiClassificaSquadra,3,FALSE),-2)),SUMIFS(Dati!$D$2:$D$761,Dati!$A$2:$A$761,$H69,Dati!$H$2:$H$761,$AR69)+SUMIFS(Dati!$K$2:$K$761,Dati!$H$2:$H$761,$H69,Dati!$A$2:$A$761,$AR69)+SUMIFS(Dati!$C$2:$C$761,Dati!$A$2:$A$761,$H69,Dati!$H$2:$H$761,$AR69)+SUMIFS(Dati!$J$2:$J$761,Dati!$H$2:$H$761,$H69,Dati!$A$2:$A$761,$AR69),"-")</f>
        <v/>
      </c>
      <c r="CL69" s="21">
        <f>$C69</f>
        <v/>
      </c>
      <c r="CM69" s="22">
        <f>IF(AND($H69&lt;&gt;"",$Y69&lt;&gt;"",$H69&lt;&gt;$Y69,IFERROR(VLOOKUP($H69,areaCercaPuntiClassificaSquadra,3,FALSE),-1)=IFERROR(VLOOKUP($Y69,areaCercaPuntiClassificaSquadra,3,FALSE),-2)),SUMIFS(Dati!$E$2:$E$761,Dati!$A$2:$A$761,$H69,Dati!$H$2:$H$761,$Y69)+SUMIFS(Dati!$L$2:$L$761,Dati!$H$2:$H$761,$H69,Dati!$A$2:$A$761,$Y69),"-")</f>
        <v/>
      </c>
      <c r="CN69" s="22">
        <f>IF(AND($H69&lt;&gt;"",$Z69&lt;&gt;"",$H69&lt;&gt;$Z69,IFERROR(VLOOKUP($H69,areaCercaPuntiClassificaSquadra,3,FALSE),-1)=IFERROR(VLOOKUP($Z69,areaCercaPuntiClassificaSquadra,3,FALSE),-2)),SUMIFS(Dati!$E$2:$E$761,Dati!$A$2:$A$761,$H69,Dati!$H$2:$H$761,$Z69)+SUMIFS(Dati!$L$2:$L$761,Dati!$H$2:$H$761,$H69,Dati!$A$2:$A$761,$Z69),"-")</f>
        <v/>
      </c>
      <c r="CO69" s="22">
        <f>IF(AND($H69&lt;&gt;"",$AA69&lt;&gt;"",$H69&lt;&gt;$AA69,IFERROR(VLOOKUP($H69,areaCercaPuntiClassificaSquadra,3,FALSE),-1)=IFERROR(VLOOKUP($AA69,areaCercaPuntiClassificaSquadra,3,FALSE),-2)),SUMIFS(Dati!$E$2:$E$761,Dati!$A$2:$A$761,$H69,Dati!$H$2:$H$761,$AA69)+SUMIFS(Dati!$L$2:$L$761,Dati!$H$2:$H$761,$H69,Dati!$A$2:$A$761,$AA69),"-")</f>
        <v/>
      </c>
      <c r="CP69" s="22">
        <f>IF(AND($H69&lt;&gt;"",$AB69&lt;&gt;"",$H69&lt;&gt;$AB69,IFERROR(VLOOKUP($H69,areaCercaPuntiClassificaSquadra,3,FALSE),-1)=IFERROR(VLOOKUP($AB69,areaCercaPuntiClassificaSquadra,3,FALSE),-2)),SUMIFS(Dati!$E$2:$E$761,Dati!$A$2:$A$761,$H69,Dati!$H$2:$H$761,$AB69)+SUMIFS(Dati!$L$2:$L$761,Dati!$H$2:$H$761,$H69,Dati!$A$2:$A$761,$AB69),"-")</f>
        <v/>
      </c>
      <c r="CQ69" s="22">
        <f>IF(AND($H69&lt;&gt;"",$AC69&lt;&gt;"",$H69&lt;&gt;$AC69,IFERROR(VLOOKUP($H69,areaCercaPuntiClassificaSquadra,3,FALSE),-1)=IFERROR(VLOOKUP($AC69,areaCercaPuntiClassificaSquadra,3,FALSE),-2)),SUMIFS(Dati!$E$2:$E$761,Dati!$A$2:$A$761,$H69,Dati!$H$2:$H$761,$AC69)+SUMIFS(Dati!$L$2:$L$761,Dati!$H$2:$H$761,$H69,Dati!$A$2:$A$761,$AC69),"-")</f>
        <v/>
      </c>
      <c r="CR69" s="22">
        <f>IF(AND($H69&lt;&gt;"",$AD69&lt;&gt;"",$H69&lt;&gt;$AD69,IFERROR(VLOOKUP($H69,areaCercaPuntiClassificaSquadra,3,FALSE),-1)=IFERROR(VLOOKUP($AD69,areaCercaPuntiClassificaSquadra,3,FALSE),-2)),SUMIFS(Dati!$E$2:$E$761,Dati!$A$2:$A$761,$H69,Dati!$H$2:$H$761,$AD69)+SUMIFS(Dati!$L$2:$L$761,Dati!$H$2:$H$761,$H69,Dati!$A$2:$A$761,$AD69),"-")</f>
        <v/>
      </c>
      <c r="CS69" s="22">
        <f>IF(AND($H69&lt;&gt;"",$AE69&lt;&gt;"",$H69&lt;&gt;$AE69,IFERROR(VLOOKUP($H69,areaCercaPuntiClassificaSquadra,3,FALSE),-1)=IFERROR(VLOOKUP($AE69,areaCercaPuntiClassificaSquadra,3,FALSE),-2)),SUMIFS(Dati!$E$2:$E$761,Dati!$A$2:$A$761,$H69,Dati!$H$2:$H$761,$AE69)+SUMIFS(Dati!$L$2:$L$761,Dati!$H$2:$H$761,$H69,Dati!$A$2:$A$761,$AE69),"-")</f>
        <v/>
      </c>
      <c r="CT69" s="22">
        <f>IF(AND($H69&lt;&gt;"",$AF69&lt;&gt;"",$H69&lt;&gt;$AF69,IFERROR(VLOOKUP($H69,areaCercaPuntiClassificaSquadra,3,FALSE),-1)=IFERROR(VLOOKUP($AF69,areaCercaPuntiClassificaSquadra,3,FALSE),-2)),SUMIFS(Dati!$E$2:$E$761,Dati!$A$2:$A$761,$H69,Dati!$H$2:$H$761,$AF69)+SUMIFS(Dati!$L$2:$L$761,Dati!$H$2:$H$761,$H69,Dati!$A$2:$A$761,$AF69),"-")</f>
        <v/>
      </c>
      <c r="CU69" s="22">
        <f>IF(AND($H69&lt;&gt;"",$AG69&lt;&gt;"",$H69&lt;&gt;$AG69,IFERROR(VLOOKUP($H69,areaCercaPuntiClassificaSquadra,3,FALSE),-1)=IFERROR(VLOOKUP($AG69,areaCercaPuntiClassificaSquadra,3,FALSE),-2)),SUMIFS(Dati!$E$2:$E$761,Dati!$A$2:$A$761,$H69,Dati!$H$2:$H$761,$AG69)+SUMIFS(Dati!$L$2:$L$761,Dati!$H$2:$H$761,$H69,Dati!$A$2:$A$761,$AG69),"-")</f>
        <v/>
      </c>
      <c r="CV69" s="22">
        <f>IF(AND($H69&lt;&gt;"",$AH69&lt;&gt;"",$H69&lt;&gt;$AH69,IFERROR(VLOOKUP($H69,areaCercaPuntiClassificaSquadra,3,FALSE),-1)=IFERROR(VLOOKUP($AH69,areaCercaPuntiClassificaSquadra,3,FALSE),-2)),SUMIFS(Dati!$E$2:$E$761,Dati!$A$2:$A$761,$H69,Dati!$H$2:$H$761,$AH69)+SUMIFS(Dati!$L$2:$L$761,Dati!$H$2:$H$761,$H69,Dati!$A$2:$A$761,$AH69),"-")</f>
        <v/>
      </c>
      <c r="CW69" s="22">
        <f>IF(AND($H69&lt;&gt;"",$AI69&lt;&gt;"",$H69&lt;&gt;$AI69,IFERROR(VLOOKUP($H69,areaCercaPuntiClassificaSquadra,3,FALSE),-1)=IFERROR(VLOOKUP($AI69,areaCercaPuntiClassificaSquadra,3,FALSE),-2)),SUMIFS(Dati!$E$2:$E$761,Dati!$A$2:$A$761,$H69,Dati!$H$2:$H$761,$AI69)+SUMIFS(Dati!$L$2:$L$761,Dati!$H$2:$H$761,$H69,Dati!$A$2:$A$761,$AI69),"-")</f>
        <v/>
      </c>
      <c r="CX69" s="22">
        <f>IF(AND($H69&lt;&gt;"",$AJ69&lt;&gt;"",$H69&lt;&gt;$AJ69,IFERROR(VLOOKUP($H69,areaCercaPuntiClassificaSquadra,3,FALSE),-1)=IFERROR(VLOOKUP($AJ69,areaCercaPuntiClassificaSquadra,3,FALSE),-2)),SUMIFS(Dati!$E$2:$E$761,Dati!$A$2:$A$761,$H69,Dati!$H$2:$H$761,$AJ69)+SUMIFS(Dati!$L$2:$L$761,Dati!$H$2:$H$761,$H69,Dati!$A$2:$A$761,$AJ69),"-")</f>
        <v/>
      </c>
      <c r="CY69" s="22">
        <f>IF(AND($H69&lt;&gt;"",$AK69&lt;&gt;"",$H69&lt;&gt;$AK69,IFERROR(VLOOKUP($H69,areaCercaPuntiClassificaSquadra,3,FALSE),-1)=IFERROR(VLOOKUP($AK69,areaCercaPuntiClassificaSquadra,3,FALSE),-2)),SUMIFS(Dati!$E$2:$E$761,Dati!$A$2:$A$761,$H69,Dati!$H$2:$H$761,$AK69)+SUMIFS(Dati!$L$2:$L$761,Dati!$H$2:$H$761,$H69,Dati!$A$2:$A$761,$AK69),"-")</f>
        <v/>
      </c>
      <c r="CZ69" s="22">
        <f>IF(AND($H69&lt;&gt;"",$AL69&lt;&gt;"",$H69&lt;&gt;$AL69,IFERROR(VLOOKUP($H69,areaCercaPuntiClassificaSquadra,3,FALSE),-1)=IFERROR(VLOOKUP($AL69,areaCercaPuntiClassificaSquadra,3,FALSE),-2)),SUMIFS(Dati!$E$2:$E$761,Dati!$A$2:$A$761,$H69,Dati!$H$2:$H$761,$AL69)+SUMIFS(Dati!$L$2:$L$761,Dati!$H$2:$H$761,$H69,Dati!$A$2:$A$761,$AL69),"-")</f>
        <v/>
      </c>
      <c r="DA69" s="22">
        <f>IF(AND($H69&lt;&gt;"",$AM69&lt;&gt;"",$H69&lt;&gt;$AM69,IFERROR(VLOOKUP($H69,areaCercaPuntiClassificaSquadra,3,FALSE),-1)=IFERROR(VLOOKUP($AM69,areaCercaPuntiClassificaSquadra,3,FALSE),-2)),SUMIFS(Dati!$E$2:$E$761,Dati!$A$2:$A$761,$H69,Dati!$H$2:$H$761,$AM69)+SUMIFS(Dati!$L$2:$L$761,Dati!$H$2:$H$761,$H69,Dati!$A$2:$A$761,$AM69),"-")</f>
        <v/>
      </c>
      <c r="DB69" s="22">
        <f>IF(AND($H69&lt;&gt;"",$AN69&lt;&gt;"",$H69&lt;&gt;$AN69,IFERROR(VLOOKUP($H69,areaCercaPuntiClassificaSquadra,3,FALSE),-1)=IFERROR(VLOOKUP($AN69,areaCercaPuntiClassificaSquadra,3,FALSE),-2)),SUMIFS(Dati!$E$2:$E$761,Dati!$A$2:$A$761,$H69,Dati!$H$2:$H$761,$AN69)+SUMIFS(Dati!$L$2:$L$761,Dati!$H$2:$H$761,$H69,Dati!$A$2:$A$761,$AN69),"-")</f>
        <v/>
      </c>
      <c r="DC69" s="22">
        <f>IF(AND($H69&lt;&gt;"",$AO69&lt;&gt;"",$H69&lt;&gt;$AO69,IFERROR(VLOOKUP($H69,areaCercaPuntiClassificaSquadra,3,FALSE),-1)=IFERROR(VLOOKUP($AO69,areaCercaPuntiClassificaSquadra,3,FALSE),-2)),SUMIFS(Dati!$E$2:$E$761,Dati!$A$2:$A$761,$H69,Dati!$H$2:$H$761,$AO69)+SUMIFS(Dati!$L$2:$L$761,Dati!$H$2:$H$761,$H69,Dati!$A$2:$A$761,$AO69),"-")</f>
        <v/>
      </c>
      <c r="DD69" s="22">
        <f>IF(AND($H69&lt;&gt;"",$AP69&lt;&gt;"",$H69&lt;&gt;$AP69,IFERROR(VLOOKUP($H69,areaCercaPuntiClassificaSquadra,3,FALSE),-1)=IFERROR(VLOOKUP($AP69,areaCercaPuntiClassificaSquadra,3,FALSE),-2)),SUMIFS(Dati!$E$2:$E$761,Dati!$A$2:$A$761,$H69,Dati!$H$2:$H$761,$AP69)+SUMIFS(Dati!$L$2:$L$761,Dati!$H$2:$H$761,$H69,Dati!$A$2:$A$761,$AP69),"-")</f>
        <v/>
      </c>
      <c r="DE69" s="22">
        <f>IF(AND($H69&lt;&gt;"",$AQ69&lt;&gt;"",$H69&lt;&gt;$AQ69,IFERROR(VLOOKUP($H69,areaCercaPuntiClassificaSquadra,3,FALSE),-1)=IFERROR(VLOOKUP($AQ69,areaCercaPuntiClassificaSquadra,3,FALSE),-2)),SUMIFS(Dati!$E$2:$E$761,Dati!$A$2:$A$761,$H69,Dati!$H$2:$H$761,$AQ69)+SUMIFS(Dati!$L$2:$L$761,Dati!$H$2:$H$761,$H69,Dati!$A$2:$A$761,$AQ69),"-")</f>
        <v/>
      </c>
      <c r="DF69" s="22">
        <f>IF(AND($H69&lt;&gt;"",$AR69&lt;&gt;"",$H69&lt;&gt;$AR69,IFERROR(VLOOKUP($H69,areaCercaPuntiClassificaSquadra,3,FALSE),-1)=IFERROR(VLOOKUP($AR69,areaCercaPuntiClassificaSquadra,3,FALSE),-2)),SUMIFS(Dati!$E$2:$E$761,Dati!$A$2:$A$761,$H69,Dati!$H$2:$H$761,$AR69)+SUMIFS(Dati!$L$2:$L$761,Dati!$H$2:$H$761,$H69,Dati!$A$2:$A$761,$AR69),"-")</f>
        <v/>
      </c>
      <c r="DH69" s="21">
        <f>$C69</f>
        <v/>
      </c>
      <c r="DI69" s="22">
        <f>IF(AND($H69&lt;&gt;"",$Y69&lt;&gt;"",$H69&lt;&gt;$Y69,IFERROR(VLOOKUP($H69,areaCercaPuntiClassificaSquadra,3,FALSE),-1)=IFERROR(VLOOKUP($Y69,areaCercaPuntiClassificaSquadra,3,FALSE),-2)),SUMIFS(Dati!$F$2:$F$761,Dati!$A$2:$A$761,$H69,Dati!$H$2:$H$761,$Y69)+SUMIFS(Dati!$M$2:$M$761,Dati!$H$2:$H$761,$H69,Dati!$A$2:$A$761,$Y69),"-")</f>
        <v/>
      </c>
      <c r="DJ69" s="22">
        <f>IF(AND($H69&lt;&gt;"",$Z69&lt;&gt;"",$H69&lt;&gt;$Z69,IFERROR(VLOOKUP($H69,areaCercaPuntiClassificaSquadra,3,FALSE),-1)=IFERROR(VLOOKUP($Z69,areaCercaPuntiClassificaSquadra,3,FALSE),-2)),SUMIFS(Dati!$F$2:$F$761,Dati!$A$2:$A$761,$H69,Dati!$H$2:$H$761,$Z69)+SUMIFS(Dati!$M$2:$M$761,Dati!$H$2:$H$761,$H69,Dati!$A$2:$A$761,$Z69),"-")</f>
        <v/>
      </c>
      <c r="DK69" s="22">
        <f>IF(AND($H69&lt;&gt;"",$AA69&lt;&gt;"",$H69&lt;&gt;$AA69,IFERROR(VLOOKUP($H69,areaCercaPuntiClassificaSquadra,3,FALSE),-1)=IFERROR(VLOOKUP($AA69,areaCercaPuntiClassificaSquadra,3,FALSE),-2)),SUMIFS(Dati!$F$2:$F$761,Dati!$A$2:$A$761,$H69,Dati!$H$2:$H$761,$AA69)+SUMIFS(Dati!$M$2:$M$761,Dati!$H$2:$H$761,$H69,Dati!$A$2:$A$761,$AA69),"-")</f>
        <v/>
      </c>
      <c r="DL69" s="22">
        <f>IF(AND($H69&lt;&gt;"",$AB69&lt;&gt;"",$H69&lt;&gt;$AB69,IFERROR(VLOOKUP($H69,areaCercaPuntiClassificaSquadra,3,FALSE),-1)=IFERROR(VLOOKUP($AB69,areaCercaPuntiClassificaSquadra,3,FALSE),-2)),SUMIFS(Dati!$F$2:$F$761,Dati!$A$2:$A$761,$H69,Dati!$H$2:$H$761,$AB69)+SUMIFS(Dati!$M$2:$M$761,Dati!$H$2:$H$761,$H69,Dati!$A$2:$A$761,$AB69),"-")</f>
        <v/>
      </c>
      <c r="DM69" s="22">
        <f>IF(AND($H69&lt;&gt;"",$AC69&lt;&gt;"",$H69&lt;&gt;$AC69,IFERROR(VLOOKUP($H69,areaCercaPuntiClassificaSquadra,3,FALSE),-1)=IFERROR(VLOOKUP($AC69,areaCercaPuntiClassificaSquadra,3,FALSE),-2)),SUMIFS(Dati!$F$2:$F$761,Dati!$A$2:$A$761,$H69,Dati!$H$2:$H$761,$AC69)+SUMIFS(Dati!$M$2:$M$761,Dati!$H$2:$H$761,$H69,Dati!$A$2:$A$761,$AC69),"-")</f>
        <v/>
      </c>
      <c r="DN69" s="22">
        <f>IF(AND($H69&lt;&gt;"",$AD69&lt;&gt;"",$H69&lt;&gt;$AD69,IFERROR(VLOOKUP($H69,areaCercaPuntiClassificaSquadra,3,FALSE),-1)=IFERROR(VLOOKUP($AD69,areaCercaPuntiClassificaSquadra,3,FALSE),-2)),SUMIFS(Dati!$F$2:$F$761,Dati!$A$2:$A$761,$H69,Dati!$H$2:$H$761,$AD69)+SUMIFS(Dati!$M$2:$M$761,Dati!$H$2:$H$761,$H69,Dati!$A$2:$A$761,$AD69),"-")</f>
        <v/>
      </c>
      <c r="DO69" s="22">
        <f>IF(AND($H69&lt;&gt;"",$AE69&lt;&gt;"",$H69&lt;&gt;$AE69,IFERROR(VLOOKUP($H69,areaCercaPuntiClassificaSquadra,3,FALSE),-1)=IFERROR(VLOOKUP($AE69,areaCercaPuntiClassificaSquadra,3,FALSE),-2)),SUMIFS(Dati!$F$2:$F$761,Dati!$A$2:$A$761,$H69,Dati!$H$2:$H$761,$AE69)+SUMIFS(Dati!$M$2:$M$761,Dati!$H$2:$H$761,$H69,Dati!$A$2:$A$761,$AE69),"-")</f>
        <v/>
      </c>
      <c r="DP69" s="22">
        <f>IF(AND($H69&lt;&gt;"",$AF69&lt;&gt;"",$H69&lt;&gt;$AF69,IFERROR(VLOOKUP($H69,areaCercaPuntiClassificaSquadra,3,FALSE),-1)=IFERROR(VLOOKUP($AF69,areaCercaPuntiClassificaSquadra,3,FALSE),-2)),SUMIFS(Dati!$F$2:$F$761,Dati!$A$2:$A$761,$H69,Dati!$H$2:$H$761,$AF69)+SUMIFS(Dati!$M$2:$M$761,Dati!$H$2:$H$761,$H69,Dati!$A$2:$A$761,$AF69),"-")</f>
        <v/>
      </c>
      <c r="DQ69" s="22">
        <f>IF(AND($H69&lt;&gt;"",$AG69&lt;&gt;"",$H69&lt;&gt;$AG69,IFERROR(VLOOKUP($H69,areaCercaPuntiClassificaSquadra,3,FALSE),-1)=IFERROR(VLOOKUP($AG69,areaCercaPuntiClassificaSquadra,3,FALSE),-2)),SUMIFS(Dati!$F$2:$F$761,Dati!$A$2:$A$761,$H69,Dati!$H$2:$H$761,$AG69)+SUMIFS(Dati!$M$2:$M$761,Dati!$H$2:$H$761,$H69,Dati!$A$2:$A$761,$AG69),"-")</f>
        <v/>
      </c>
      <c r="DR69" s="22">
        <f>IF(AND($H69&lt;&gt;"",$AH69&lt;&gt;"",$H69&lt;&gt;$AH69,IFERROR(VLOOKUP($H69,areaCercaPuntiClassificaSquadra,3,FALSE),-1)=IFERROR(VLOOKUP($AH69,areaCercaPuntiClassificaSquadra,3,FALSE),-2)),SUMIFS(Dati!$F$2:$F$761,Dati!$A$2:$A$761,$H69,Dati!$H$2:$H$761,$AH69)+SUMIFS(Dati!$M$2:$M$761,Dati!$H$2:$H$761,$H69,Dati!$A$2:$A$761,$AH69),"-")</f>
        <v/>
      </c>
      <c r="DS69" s="22">
        <f>IF(AND($H69&lt;&gt;"",$AI69&lt;&gt;"",$H69&lt;&gt;$AI69,IFERROR(VLOOKUP($H69,areaCercaPuntiClassificaSquadra,3,FALSE),-1)=IFERROR(VLOOKUP($AI69,areaCercaPuntiClassificaSquadra,3,FALSE),-2)),SUMIFS(Dati!$F$2:$F$761,Dati!$A$2:$A$761,$H69,Dati!$H$2:$H$761,$AI69)+SUMIFS(Dati!$M$2:$M$761,Dati!$H$2:$H$761,$H69,Dati!$A$2:$A$761,$AI69),"-")</f>
        <v/>
      </c>
      <c r="DT69" s="22">
        <f>IF(AND($H69&lt;&gt;"",$AJ69&lt;&gt;"",$H69&lt;&gt;$AJ69,IFERROR(VLOOKUP($H69,areaCercaPuntiClassificaSquadra,3,FALSE),-1)=IFERROR(VLOOKUP($AJ69,areaCercaPuntiClassificaSquadra,3,FALSE),-2)),SUMIFS(Dati!$F$2:$F$761,Dati!$A$2:$A$761,$H69,Dati!$H$2:$H$761,$AJ69)+SUMIFS(Dati!$M$2:$M$761,Dati!$H$2:$H$761,$H69,Dati!$A$2:$A$761,$AJ69),"-")</f>
        <v/>
      </c>
      <c r="DU69" s="22">
        <f>IF(AND($H69&lt;&gt;"",$AK69&lt;&gt;"",$H69&lt;&gt;$AK69,IFERROR(VLOOKUP($H69,areaCercaPuntiClassificaSquadra,3,FALSE),-1)=IFERROR(VLOOKUP($AK69,areaCercaPuntiClassificaSquadra,3,FALSE),-2)),SUMIFS(Dati!$F$2:$F$761,Dati!$A$2:$A$761,$H69,Dati!$H$2:$H$761,$AK69)+SUMIFS(Dati!$M$2:$M$761,Dati!$H$2:$H$761,$H69,Dati!$A$2:$A$761,$AK69),"-")</f>
        <v/>
      </c>
      <c r="DV69" s="22">
        <f>IF(AND($H69&lt;&gt;"",$AL69&lt;&gt;"",$H69&lt;&gt;$AL69,IFERROR(VLOOKUP($H69,areaCercaPuntiClassificaSquadra,3,FALSE),-1)=IFERROR(VLOOKUP($AL69,areaCercaPuntiClassificaSquadra,3,FALSE),-2)),SUMIFS(Dati!$F$2:$F$761,Dati!$A$2:$A$761,$H69,Dati!$H$2:$H$761,$AL69)+SUMIFS(Dati!$M$2:$M$761,Dati!$H$2:$H$761,$H69,Dati!$A$2:$A$761,$AL69),"-")</f>
        <v/>
      </c>
      <c r="DW69" s="22">
        <f>IF(AND($H69&lt;&gt;"",$AM69&lt;&gt;"",$H69&lt;&gt;$AM69,IFERROR(VLOOKUP($H69,areaCercaPuntiClassificaSquadra,3,FALSE),-1)=IFERROR(VLOOKUP($AM69,areaCercaPuntiClassificaSquadra,3,FALSE),-2)),SUMIFS(Dati!$F$2:$F$761,Dati!$A$2:$A$761,$H69,Dati!$H$2:$H$761,$AM69)+SUMIFS(Dati!$M$2:$M$761,Dati!$H$2:$H$761,$H69,Dati!$A$2:$A$761,$AM69),"-")</f>
        <v/>
      </c>
      <c r="DX69" s="22">
        <f>IF(AND($H69&lt;&gt;"",$AN69&lt;&gt;"",$H69&lt;&gt;$AN69,IFERROR(VLOOKUP($H69,areaCercaPuntiClassificaSquadra,3,FALSE),-1)=IFERROR(VLOOKUP($AN69,areaCercaPuntiClassificaSquadra,3,FALSE),-2)),SUMIFS(Dati!$F$2:$F$761,Dati!$A$2:$A$761,$H69,Dati!$H$2:$H$761,$AN69)+SUMIFS(Dati!$M$2:$M$761,Dati!$H$2:$H$761,$H69,Dati!$A$2:$A$761,$AN69),"-")</f>
        <v/>
      </c>
      <c r="DY69" s="22">
        <f>IF(AND($H69&lt;&gt;"",$AO69&lt;&gt;"",$H69&lt;&gt;$AO69,IFERROR(VLOOKUP($H69,areaCercaPuntiClassificaSquadra,3,FALSE),-1)=IFERROR(VLOOKUP($AO69,areaCercaPuntiClassificaSquadra,3,FALSE),-2)),SUMIFS(Dati!$F$2:$F$761,Dati!$A$2:$A$761,$H69,Dati!$H$2:$H$761,$AO69)+SUMIFS(Dati!$M$2:$M$761,Dati!$H$2:$H$761,$H69,Dati!$A$2:$A$761,$AO69),"-")</f>
        <v/>
      </c>
      <c r="DZ69" s="22">
        <f>IF(AND($H69&lt;&gt;"",$AP69&lt;&gt;"",$H69&lt;&gt;$AP69,IFERROR(VLOOKUP($H69,areaCercaPuntiClassificaSquadra,3,FALSE),-1)=IFERROR(VLOOKUP($AP69,areaCercaPuntiClassificaSquadra,3,FALSE),-2)),SUMIFS(Dati!$F$2:$F$761,Dati!$A$2:$A$761,$H69,Dati!$H$2:$H$761,$AP69)+SUMIFS(Dati!$M$2:$M$761,Dati!$H$2:$H$761,$H69,Dati!$A$2:$A$761,$AP69),"-")</f>
        <v/>
      </c>
      <c r="EA69" s="22">
        <f>IF(AND($H69&lt;&gt;"",$AQ69&lt;&gt;"",$H69&lt;&gt;$AQ69,IFERROR(VLOOKUP($H69,areaCercaPuntiClassificaSquadra,3,FALSE),-1)=IFERROR(VLOOKUP($AQ69,areaCercaPuntiClassificaSquadra,3,FALSE),-2)),SUMIFS(Dati!$F$2:$F$761,Dati!$A$2:$A$761,$H69,Dati!$H$2:$H$761,$AQ69)+SUMIFS(Dati!$M$2:$M$761,Dati!$H$2:$H$761,$H69,Dati!$A$2:$A$761,$AQ69),"-")</f>
        <v/>
      </c>
      <c r="EB69" s="22">
        <f>IF(AND($H69&lt;&gt;"",$AR69&lt;&gt;"",$H69&lt;&gt;$AR69,IFERROR(VLOOKUP($H69,areaCercaPuntiClassificaSquadra,3,FALSE),-1)=IFERROR(VLOOKUP($AR69,areaCercaPuntiClassificaSquadra,3,FALSE),-2)),SUMIFS(Dati!$F$2:$F$761,Dati!$A$2:$A$761,$H69,Dati!$H$2:$H$761,$AR69)+SUMIFS(Dati!$M$2:$M$761,Dati!$H$2:$H$761,$H69,Dati!$A$2:$A$761,$AR69),"-")</f>
        <v/>
      </c>
      <c r="ED69" s="22">
        <f>IF($C69="","",SUM(AU69:BN69))</f>
        <v/>
      </c>
    </row>
    <row r="70">
      <c r="B70" s="12" t="inlineStr">
        <is>
          <t>C17</t>
        </is>
      </c>
      <c r="C70" s="13" t="inlineStr">
        <is>
          <t>Formiche Feroci-Formicheopoli FE</t>
        </is>
      </c>
      <c r="D70" s="14" t="n"/>
      <c r="E70" s="25" t="inlineStr">
        <is>
          <t>C</t>
        </is>
      </c>
      <c r="G70" s="26">
        <f>IF($C70="","",$E70&amp;(COUNTIFS(I$14:I$93,"&gt;"&amp;I70,E$14:E$93,"="&amp;E70,C$14:C$93,"&lt;&gt;")+COUNTIFS(I$14:I$93,"="&amp;I70,H$14:H$93,"&lt;="&amp;H70,E$14:E$93,"="&amp;E70,C$14:C$93,"&lt;&gt;")))</f>
        <v/>
      </c>
      <c r="H70" s="17">
        <f>IF($C70="","",IFERROR(LEFT($C70,FIND("-",$C70)-1),$C70))</f>
        <v/>
      </c>
      <c r="I70" s="12">
        <f>TEXT(1000000000+J70,"|0000000000|")&amp;TEXT(SUM(AU70:BN70),"0000000000|")&amp;IF(SUM(DI70:EB70)=0,"0000000000|",TEXT(ROUND(SUM(CM70:DF70)/SUM(DI70:EB70),4)*100000,"0000000000|"))&amp;IF(P70=0,"0000000000|",TEXT(ROUND(O70/P70,4)*100000,"0000000000|"))</f>
        <v/>
      </c>
      <c r="J70" s="26">
        <f>L70*constPuntiVittoria+M70*constPuntiSconfitta+N70*constPuntiForfait+IF(D70="",0,D70)</f>
        <v/>
      </c>
      <c r="K70" s="12">
        <f>SUM(L70:N70)</f>
        <v/>
      </c>
      <c r="L70" s="12">
        <f>IF($H70="",0,SUMIF(Dati!$A$2:$A$761,$H70,Dati!$B$2:$B$761)+SUMIF(Dati!$H$2:$H$761,$H70,Dati!$I$2:$I$761))</f>
        <v/>
      </c>
      <c r="M70" s="12">
        <f>IF($H70="",0,SUMIF(Dati!$A$2:$A$761,$H70,Dati!$D$2:$D$761)+SUMIF(Dati!$H$2:$H$761,$H70,Dati!$K$2:$K$761))</f>
        <v/>
      </c>
      <c r="N70" s="12">
        <f>IF($H70="",0,SUMIF(Dati!$A$2:$A$761,$H70,Dati!$C$2:$C$761)+SUMIF(Dati!$H$2:$H$761,$H70,Dati!$J$2:$J$761))</f>
        <v/>
      </c>
      <c r="O70" s="12">
        <f>IF($H70="",0,SUMIF(Dati!$A$2:$A$761,$H70,Dati!$E$2:$E$761)+SUMIF(Dati!$H$2:$H$761,$H70,Dati!$L$2:$L$761))</f>
        <v/>
      </c>
      <c r="P70" s="12">
        <f>IF($H70="",0,SUMIF(Dati!$A$2:$A$761,$H70,Dati!$F$2:$F$761)+SUMIF(Dati!$H$2:$H$761,$H70,Dati!$M$2:$M$761))</f>
        <v/>
      </c>
      <c r="Q70" s="12">
        <f>IF($H70="",0,SUMIF(Dati!$A$2:$A$761,$H70,Dati!$G$2:$G$761)+SUMIF(Dati!$H$2:$H$761,$H70,Dati!$N$2:$N$761))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IF(COUNTIFS($E$14:$E$93,$E70,$J$14:$J$93,$J70,$C$14:$C$93,"&lt;&gt;")&lt;=1,"-",SUM(AU70:BN70)&amp;"-"&amp;SUM(BQ70:CJ70))</f>
        <v/>
      </c>
      <c r="V70" s="18">
        <f>IF(COUNTIFS($E$14:$E$93,$E70,$J$14:$J$93,$J70,$C$14:$C$93,"&lt;&gt;",$ED$14:$ED$93,$ED70)&lt;=1,"-",IF(SUM(DI70:EB70)=0,0,ROUND(SUM(CM70:DF70)/SUM(DI70:EB70),3)))</f>
        <v/>
      </c>
      <c r="W70" s="18">
        <f>IF(COUNTIFS($E$14:$E$93,$E70,$J$14:$J$93,$J70,$C$14:$C$93,"&lt;&gt;",$ED$14:$ED$93,$ED70,$V$14:$V$93,$V70)&lt;=1,"-",IF(P70=0,0,ROUND(O70/P70,3)))</f>
        <v/>
      </c>
      <c r="X70" s="19">
        <f>IF($C70="","",$E70&amp;"#"&amp;COUNTIFS($E$14:$E70,$E70,$C$14:$C70,"&lt;&gt;"))</f>
        <v/>
      </c>
      <c r="Y70" s="20">
        <f>IFERROR(INDEX($H$14:$H$93,MATCH($E70&amp;"#1",$X$14:$X$93,0)),"")</f>
        <v/>
      </c>
      <c r="Z70" s="20">
        <f>IFERROR(INDEX($H$14:$H$93,MATCH($E70&amp;"#2",$X$14:$X$93,0)),"")</f>
        <v/>
      </c>
      <c r="AA70" s="20">
        <f>IFERROR(INDEX($H$14:$H$93,MATCH($E70&amp;"#3",$X$14:$X$93,0)),"")</f>
        <v/>
      </c>
      <c r="AB70" s="20">
        <f>IFERROR(INDEX($H$14:$H$93,MATCH($E70&amp;"#4",$X$14:$X$93,0)),"")</f>
        <v/>
      </c>
      <c r="AC70" s="20">
        <f>IFERROR(INDEX($H$14:$H$93,MATCH($E70&amp;"#5",$X$14:$X$93,0)),"")</f>
        <v/>
      </c>
      <c r="AD70" s="20">
        <f>IFERROR(INDEX($H$14:$H$93,MATCH($E70&amp;"#6",$X$14:$X$93,0)),"")</f>
        <v/>
      </c>
      <c r="AE70" s="20">
        <f>IFERROR(INDEX($H$14:$H$93,MATCH($E70&amp;"#7",$X$14:$X$93,0)),"")</f>
        <v/>
      </c>
      <c r="AF70" s="20">
        <f>IFERROR(INDEX($H$14:$H$93,MATCH($E70&amp;"#8",$X$14:$X$93,0)),"")</f>
        <v/>
      </c>
      <c r="AG70" s="20">
        <f>IFERROR(INDEX($H$14:$H$93,MATCH($E70&amp;"#9",$X$14:$X$93,0)),"")</f>
        <v/>
      </c>
      <c r="AH70" s="20">
        <f>IFERROR(INDEX($H$14:$H$93,MATCH($E70&amp;"#10",$X$14:$X$93,0)),"")</f>
        <v/>
      </c>
      <c r="AI70" s="20">
        <f>IFERROR(INDEX($H$14:$H$93,MATCH($E70&amp;"#11",$X$14:$X$93,0)),"")</f>
        <v/>
      </c>
      <c r="AJ70" s="20">
        <f>IFERROR(INDEX($H$14:$H$93,MATCH($E70&amp;"#12",$X$14:$X$93,0)),"")</f>
        <v/>
      </c>
      <c r="AK70" s="20">
        <f>IFERROR(INDEX($H$14:$H$93,MATCH($E70&amp;"#13",$X$14:$X$93,0)),"")</f>
        <v/>
      </c>
      <c r="AL70" s="20">
        <f>IFERROR(INDEX($H$14:$H$93,MATCH($E70&amp;"#14",$X$14:$X$93,0)),"")</f>
        <v/>
      </c>
      <c r="AM70" s="20">
        <f>IFERROR(INDEX($H$14:$H$93,MATCH($E70&amp;"#15",$X$14:$X$93,0)),"")</f>
        <v/>
      </c>
      <c r="AN70" s="20">
        <f>IFERROR(INDEX($H$14:$H$93,MATCH($E70&amp;"#16",$X$14:$X$93,0)),"")</f>
        <v/>
      </c>
      <c r="AO70" s="20">
        <f>IFERROR(INDEX($H$14:$H$93,MATCH($E70&amp;"#17",$X$14:$X$93,0)),"")</f>
        <v/>
      </c>
      <c r="AP70" s="20">
        <f>IFERROR(INDEX($H$14:$H$93,MATCH($E70&amp;"#18",$X$14:$X$93,0)),"")</f>
        <v/>
      </c>
      <c r="AQ70" s="20">
        <f>IFERROR(INDEX($H$14:$H$93,MATCH($E70&amp;"#19",$X$14:$X$93,0)),"")</f>
        <v/>
      </c>
      <c r="AR70" s="20">
        <f>IFERROR(INDEX($H$14:$H$93,MATCH($E70&amp;"#20",$X$14:$X$93,0)),"")</f>
        <v/>
      </c>
      <c r="AT70" s="21">
        <f>$C70</f>
        <v/>
      </c>
      <c r="AU70" s="22">
        <f>IF(AND($H70&lt;&gt;"",$Y70&lt;&gt;"",$H70&lt;&gt;$Y70,IFERROR(VLOOKUP($H70,areaCercaPuntiClassificaSquadra,3,FALSE),-1)=IFERROR(VLOOKUP($Y70,areaCercaPuntiClassificaSquadra,3,FALSE),-2)),SUMIFS(Dati!$B$2:$B$761,Dati!$A$2:$A$761,$H70,Dati!$H$2:$H$761,$Y70)+SUMIFS(Dati!$I$2:$I$761,Dati!$H$2:$H$761,$H70,Dati!$A$2:$A$761,$Y70),"-")</f>
        <v/>
      </c>
      <c r="AV70" s="22">
        <f>IF(AND($H70&lt;&gt;"",$Z70&lt;&gt;"",$H70&lt;&gt;$Z70,IFERROR(VLOOKUP($H70,areaCercaPuntiClassificaSquadra,3,FALSE),-1)=IFERROR(VLOOKUP($Z70,areaCercaPuntiClassificaSquadra,3,FALSE),-2)),SUMIFS(Dati!$B$2:$B$761,Dati!$A$2:$A$761,$H70,Dati!$H$2:$H$761,$Z70)+SUMIFS(Dati!$I$2:$I$761,Dati!$H$2:$H$761,$H70,Dati!$A$2:$A$761,$Z70),"-")</f>
        <v/>
      </c>
      <c r="AW70" s="22">
        <f>IF(AND($H70&lt;&gt;"",$AA70&lt;&gt;"",$H70&lt;&gt;$AA70,IFERROR(VLOOKUP($H70,areaCercaPuntiClassificaSquadra,3,FALSE),-1)=IFERROR(VLOOKUP($AA70,areaCercaPuntiClassificaSquadra,3,FALSE),-2)),SUMIFS(Dati!$B$2:$B$761,Dati!$A$2:$A$761,$H70,Dati!$H$2:$H$761,$AA70)+SUMIFS(Dati!$I$2:$I$761,Dati!$H$2:$H$761,$H70,Dati!$A$2:$A$761,$AA70),"-")</f>
        <v/>
      </c>
      <c r="AX70" s="22">
        <f>IF(AND($H70&lt;&gt;"",$AB70&lt;&gt;"",$H70&lt;&gt;$AB70,IFERROR(VLOOKUP($H70,areaCercaPuntiClassificaSquadra,3,FALSE),-1)=IFERROR(VLOOKUP($AB70,areaCercaPuntiClassificaSquadra,3,FALSE),-2)),SUMIFS(Dati!$B$2:$B$761,Dati!$A$2:$A$761,$H70,Dati!$H$2:$H$761,$AB70)+SUMIFS(Dati!$I$2:$I$761,Dati!$H$2:$H$761,$H70,Dati!$A$2:$A$761,$AB70),"-")</f>
        <v/>
      </c>
      <c r="AY70" s="22">
        <f>IF(AND($H70&lt;&gt;"",$AC70&lt;&gt;"",$H70&lt;&gt;$AC70,IFERROR(VLOOKUP($H70,areaCercaPuntiClassificaSquadra,3,FALSE),-1)=IFERROR(VLOOKUP($AC70,areaCercaPuntiClassificaSquadra,3,FALSE),-2)),SUMIFS(Dati!$B$2:$B$761,Dati!$A$2:$A$761,$H70,Dati!$H$2:$H$761,$AC70)+SUMIFS(Dati!$I$2:$I$761,Dati!$H$2:$H$761,$H70,Dati!$A$2:$A$761,$AC70),"-")</f>
        <v/>
      </c>
      <c r="AZ70" s="22">
        <f>IF(AND($H70&lt;&gt;"",$AD70&lt;&gt;"",$H70&lt;&gt;$AD70,IFERROR(VLOOKUP($H70,areaCercaPuntiClassificaSquadra,3,FALSE),-1)=IFERROR(VLOOKUP($AD70,areaCercaPuntiClassificaSquadra,3,FALSE),-2)),SUMIFS(Dati!$B$2:$B$761,Dati!$A$2:$A$761,$H70,Dati!$H$2:$H$761,$AD70)+SUMIFS(Dati!$I$2:$I$761,Dati!$H$2:$H$761,$H70,Dati!$A$2:$A$761,$AD70),"-")</f>
        <v/>
      </c>
      <c r="BA70" s="22">
        <f>IF(AND($H70&lt;&gt;"",$AE70&lt;&gt;"",$H70&lt;&gt;$AE70,IFERROR(VLOOKUP($H70,areaCercaPuntiClassificaSquadra,3,FALSE),-1)=IFERROR(VLOOKUP($AE70,areaCercaPuntiClassificaSquadra,3,FALSE),-2)),SUMIFS(Dati!$B$2:$B$761,Dati!$A$2:$A$761,$H70,Dati!$H$2:$H$761,$AE70)+SUMIFS(Dati!$I$2:$I$761,Dati!$H$2:$H$761,$H70,Dati!$A$2:$A$761,$AE70),"-")</f>
        <v/>
      </c>
      <c r="BB70" s="22">
        <f>IF(AND($H70&lt;&gt;"",$AF70&lt;&gt;"",$H70&lt;&gt;$AF70,IFERROR(VLOOKUP($H70,areaCercaPuntiClassificaSquadra,3,FALSE),-1)=IFERROR(VLOOKUP($AF70,areaCercaPuntiClassificaSquadra,3,FALSE),-2)),SUMIFS(Dati!$B$2:$B$761,Dati!$A$2:$A$761,$H70,Dati!$H$2:$H$761,$AF70)+SUMIFS(Dati!$I$2:$I$761,Dati!$H$2:$H$761,$H70,Dati!$A$2:$A$761,$AF70),"-")</f>
        <v/>
      </c>
      <c r="BC70" s="22">
        <f>IF(AND($H70&lt;&gt;"",$AG70&lt;&gt;"",$H70&lt;&gt;$AG70,IFERROR(VLOOKUP($H70,areaCercaPuntiClassificaSquadra,3,FALSE),-1)=IFERROR(VLOOKUP($AG70,areaCercaPuntiClassificaSquadra,3,FALSE),-2)),SUMIFS(Dati!$B$2:$B$761,Dati!$A$2:$A$761,$H70,Dati!$H$2:$H$761,$AG70)+SUMIFS(Dati!$I$2:$I$761,Dati!$H$2:$H$761,$H70,Dati!$A$2:$A$761,$AG70),"-")</f>
        <v/>
      </c>
      <c r="BD70" s="22">
        <f>IF(AND($H70&lt;&gt;"",$AH70&lt;&gt;"",$H70&lt;&gt;$AH70,IFERROR(VLOOKUP($H70,areaCercaPuntiClassificaSquadra,3,FALSE),-1)=IFERROR(VLOOKUP($AH70,areaCercaPuntiClassificaSquadra,3,FALSE),-2)),SUMIFS(Dati!$B$2:$B$761,Dati!$A$2:$A$761,$H70,Dati!$H$2:$H$761,$AH70)+SUMIFS(Dati!$I$2:$I$761,Dati!$H$2:$H$761,$H70,Dati!$A$2:$A$761,$AH70),"-")</f>
        <v/>
      </c>
      <c r="BE70" s="22">
        <f>IF(AND($H70&lt;&gt;"",$AI70&lt;&gt;"",$H70&lt;&gt;$AI70,IFERROR(VLOOKUP($H70,areaCercaPuntiClassificaSquadra,3,FALSE),-1)=IFERROR(VLOOKUP($AI70,areaCercaPuntiClassificaSquadra,3,FALSE),-2)),SUMIFS(Dati!$B$2:$B$761,Dati!$A$2:$A$761,$H70,Dati!$H$2:$H$761,$AI70)+SUMIFS(Dati!$I$2:$I$761,Dati!$H$2:$H$761,$H70,Dati!$A$2:$A$761,$AI70),"-")</f>
        <v/>
      </c>
      <c r="BF70" s="22">
        <f>IF(AND($H70&lt;&gt;"",$AJ70&lt;&gt;"",$H70&lt;&gt;$AJ70,IFERROR(VLOOKUP($H70,areaCercaPuntiClassificaSquadra,3,FALSE),-1)=IFERROR(VLOOKUP($AJ70,areaCercaPuntiClassificaSquadra,3,FALSE),-2)),SUMIFS(Dati!$B$2:$B$761,Dati!$A$2:$A$761,$H70,Dati!$H$2:$H$761,$AJ70)+SUMIFS(Dati!$I$2:$I$761,Dati!$H$2:$H$761,$H70,Dati!$A$2:$A$761,$AJ70),"-")</f>
        <v/>
      </c>
      <c r="BG70" s="22">
        <f>IF(AND($H70&lt;&gt;"",$AK70&lt;&gt;"",$H70&lt;&gt;$AK70,IFERROR(VLOOKUP($H70,areaCercaPuntiClassificaSquadra,3,FALSE),-1)=IFERROR(VLOOKUP($AK70,areaCercaPuntiClassificaSquadra,3,FALSE),-2)),SUMIFS(Dati!$B$2:$B$761,Dati!$A$2:$A$761,$H70,Dati!$H$2:$H$761,$AK70)+SUMIFS(Dati!$I$2:$I$761,Dati!$H$2:$H$761,$H70,Dati!$A$2:$A$761,$AK70),"-")</f>
        <v/>
      </c>
      <c r="BH70" s="22">
        <f>IF(AND($H70&lt;&gt;"",$AL70&lt;&gt;"",$H70&lt;&gt;$AL70,IFERROR(VLOOKUP($H70,areaCercaPuntiClassificaSquadra,3,FALSE),-1)=IFERROR(VLOOKUP($AL70,areaCercaPuntiClassificaSquadra,3,FALSE),-2)),SUMIFS(Dati!$B$2:$B$761,Dati!$A$2:$A$761,$H70,Dati!$H$2:$H$761,$AL70)+SUMIFS(Dati!$I$2:$I$761,Dati!$H$2:$H$761,$H70,Dati!$A$2:$A$761,$AL70),"-")</f>
        <v/>
      </c>
      <c r="BI70" s="22">
        <f>IF(AND($H70&lt;&gt;"",$AM70&lt;&gt;"",$H70&lt;&gt;$AM70,IFERROR(VLOOKUP($H70,areaCercaPuntiClassificaSquadra,3,FALSE),-1)=IFERROR(VLOOKUP($AM70,areaCercaPuntiClassificaSquadra,3,FALSE),-2)),SUMIFS(Dati!$B$2:$B$761,Dati!$A$2:$A$761,$H70,Dati!$H$2:$H$761,$AM70)+SUMIFS(Dati!$I$2:$I$761,Dati!$H$2:$H$761,$H70,Dati!$A$2:$A$761,$AM70),"-")</f>
        <v/>
      </c>
      <c r="BJ70" s="22">
        <f>IF(AND($H70&lt;&gt;"",$AN70&lt;&gt;"",$H70&lt;&gt;$AN70,IFERROR(VLOOKUP($H70,areaCercaPuntiClassificaSquadra,3,FALSE),-1)=IFERROR(VLOOKUP($AN70,areaCercaPuntiClassificaSquadra,3,FALSE),-2)),SUMIFS(Dati!$B$2:$B$761,Dati!$A$2:$A$761,$H70,Dati!$H$2:$H$761,$AN70)+SUMIFS(Dati!$I$2:$I$761,Dati!$H$2:$H$761,$H70,Dati!$A$2:$A$761,$AN70),"-")</f>
        <v/>
      </c>
      <c r="BK70" s="22">
        <f>IF(AND($H70&lt;&gt;"",$AO70&lt;&gt;"",$H70&lt;&gt;$AO70,IFERROR(VLOOKUP($H70,areaCercaPuntiClassificaSquadra,3,FALSE),-1)=IFERROR(VLOOKUP($AO70,areaCercaPuntiClassificaSquadra,3,FALSE),-2)),SUMIFS(Dati!$B$2:$B$761,Dati!$A$2:$A$761,$H70,Dati!$H$2:$H$761,$AO70)+SUMIFS(Dati!$I$2:$I$761,Dati!$H$2:$H$761,$H70,Dati!$A$2:$A$761,$AO70),"-")</f>
        <v/>
      </c>
      <c r="BL70" s="22">
        <f>IF(AND($H70&lt;&gt;"",$AP70&lt;&gt;"",$H70&lt;&gt;$AP70,IFERROR(VLOOKUP($H70,areaCercaPuntiClassificaSquadra,3,FALSE),-1)=IFERROR(VLOOKUP($AP70,areaCercaPuntiClassificaSquadra,3,FALSE),-2)),SUMIFS(Dati!$B$2:$B$761,Dati!$A$2:$A$761,$H70,Dati!$H$2:$H$761,$AP70)+SUMIFS(Dati!$I$2:$I$761,Dati!$H$2:$H$761,$H70,Dati!$A$2:$A$761,$AP70),"-")</f>
        <v/>
      </c>
      <c r="BM70" s="22">
        <f>IF(AND($H70&lt;&gt;"",$AQ70&lt;&gt;"",$H70&lt;&gt;$AQ70,IFERROR(VLOOKUP($H70,areaCercaPuntiClassificaSquadra,3,FALSE),-1)=IFERROR(VLOOKUP($AQ70,areaCercaPuntiClassificaSquadra,3,FALSE),-2)),SUMIFS(Dati!$B$2:$B$761,Dati!$A$2:$A$761,$H70,Dati!$H$2:$H$761,$AQ70)+SUMIFS(Dati!$I$2:$I$761,Dati!$H$2:$H$761,$H70,Dati!$A$2:$A$761,$AQ70),"-")</f>
        <v/>
      </c>
      <c r="BN70" s="22">
        <f>IF(AND($H70&lt;&gt;"",$AR70&lt;&gt;"",$H70&lt;&gt;$AR70,IFERROR(VLOOKUP($H70,areaCercaPuntiClassificaSquadra,3,FALSE),-1)=IFERROR(VLOOKUP($AR70,areaCercaPuntiClassificaSquadra,3,FALSE),-2)),SUMIFS(Dati!$B$2:$B$761,Dati!$A$2:$A$761,$H70,Dati!$H$2:$H$761,$AR70)+SUMIFS(Dati!$I$2:$I$761,Dati!$H$2:$H$761,$H70,Dati!$A$2:$A$761,$AR70),"-")</f>
        <v/>
      </c>
      <c r="BP70" s="21">
        <f>$C70</f>
        <v/>
      </c>
      <c r="BQ70" s="22">
        <f>IF(AND($H70&lt;&gt;"",$Y70&lt;&gt;"",$H70&lt;&gt;$Y70,IFERROR(VLOOKUP($H70,areaCercaPuntiClassificaSquadra,3,FALSE),-1)=IFERROR(VLOOKUP($Y70,areaCercaPuntiClassificaSquadra,3,FALSE),-2)),SUMIFS(Dati!$D$2:$D$761,Dati!$A$2:$A$761,$H70,Dati!$H$2:$H$761,$Y70)+SUMIFS(Dati!$K$2:$K$761,Dati!$H$2:$H$761,$H70,Dati!$A$2:$A$761,$Y70)+SUMIFS(Dati!$C$2:$C$761,Dati!$A$2:$A$761,$H70,Dati!$H$2:$H$761,$Y70)+SUMIFS(Dati!$J$2:$J$761,Dati!$H$2:$H$761,$H70,Dati!$A$2:$A$761,$Y70),"-")</f>
        <v/>
      </c>
      <c r="BR70" s="22">
        <f>IF(AND($H70&lt;&gt;"",$Z70&lt;&gt;"",$H70&lt;&gt;$Z70,IFERROR(VLOOKUP($H70,areaCercaPuntiClassificaSquadra,3,FALSE),-1)=IFERROR(VLOOKUP($Z70,areaCercaPuntiClassificaSquadra,3,FALSE),-2)),SUMIFS(Dati!$D$2:$D$761,Dati!$A$2:$A$761,$H70,Dati!$H$2:$H$761,$Z70)+SUMIFS(Dati!$K$2:$K$761,Dati!$H$2:$H$761,$H70,Dati!$A$2:$A$761,$Z70)+SUMIFS(Dati!$C$2:$C$761,Dati!$A$2:$A$761,$H70,Dati!$H$2:$H$761,$Z70)+SUMIFS(Dati!$J$2:$J$761,Dati!$H$2:$H$761,$H70,Dati!$A$2:$A$761,$Z70),"-")</f>
        <v/>
      </c>
      <c r="BS70" s="22">
        <f>IF(AND($H70&lt;&gt;"",$AA70&lt;&gt;"",$H70&lt;&gt;$AA70,IFERROR(VLOOKUP($H70,areaCercaPuntiClassificaSquadra,3,FALSE),-1)=IFERROR(VLOOKUP($AA70,areaCercaPuntiClassificaSquadra,3,FALSE),-2)),SUMIFS(Dati!$D$2:$D$761,Dati!$A$2:$A$761,$H70,Dati!$H$2:$H$761,$AA70)+SUMIFS(Dati!$K$2:$K$761,Dati!$H$2:$H$761,$H70,Dati!$A$2:$A$761,$AA70)+SUMIFS(Dati!$C$2:$C$761,Dati!$A$2:$A$761,$H70,Dati!$H$2:$H$761,$AA70)+SUMIFS(Dati!$J$2:$J$761,Dati!$H$2:$H$761,$H70,Dati!$A$2:$A$761,$AA70),"-")</f>
        <v/>
      </c>
      <c r="BT70" s="22">
        <f>IF(AND($H70&lt;&gt;"",$AB70&lt;&gt;"",$H70&lt;&gt;$AB70,IFERROR(VLOOKUP($H70,areaCercaPuntiClassificaSquadra,3,FALSE),-1)=IFERROR(VLOOKUP($AB70,areaCercaPuntiClassificaSquadra,3,FALSE),-2)),SUMIFS(Dati!$D$2:$D$761,Dati!$A$2:$A$761,$H70,Dati!$H$2:$H$761,$AB70)+SUMIFS(Dati!$K$2:$K$761,Dati!$H$2:$H$761,$H70,Dati!$A$2:$A$761,$AB70)+SUMIFS(Dati!$C$2:$C$761,Dati!$A$2:$A$761,$H70,Dati!$H$2:$H$761,$AB70)+SUMIFS(Dati!$J$2:$J$761,Dati!$H$2:$H$761,$H70,Dati!$A$2:$A$761,$AB70),"-")</f>
        <v/>
      </c>
      <c r="BU70" s="22">
        <f>IF(AND($H70&lt;&gt;"",$AC70&lt;&gt;"",$H70&lt;&gt;$AC70,IFERROR(VLOOKUP($H70,areaCercaPuntiClassificaSquadra,3,FALSE),-1)=IFERROR(VLOOKUP($AC70,areaCercaPuntiClassificaSquadra,3,FALSE),-2)),SUMIFS(Dati!$D$2:$D$761,Dati!$A$2:$A$761,$H70,Dati!$H$2:$H$761,$AC70)+SUMIFS(Dati!$K$2:$K$761,Dati!$H$2:$H$761,$H70,Dati!$A$2:$A$761,$AC70)+SUMIFS(Dati!$C$2:$C$761,Dati!$A$2:$A$761,$H70,Dati!$H$2:$H$761,$AC70)+SUMIFS(Dati!$J$2:$J$761,Dati!$H$2:$H$761,$H70,Dati!$A$2:$A$761,$AC70),"-")</f>
        <v/>
      </c>
      <c r="BV70" s="22">
        <f>IF(AND($H70&lt;&gt;"",$AD70&lt;&gt;"",$H70&lt;&gt;$AD70,IFERROR(VLOOKUP($H70,areaCercaPuntiClassificaSquadra,3,FALSE),-1)=IFERROR(VLOOKUP($AD70,areaCercaPuntiClassificaSquadra,3,FALSE),-2)),SUMIFS(Dati!$D$2:$D$761,Dati!$A$2:$A$761,$H70,Dati!$H$2:$H$761,$AD70)+SUMIFS(Dati!$K$2:$K$761,Dati!$H$2:$H$761,$H70,Dati!$A$2:$A$761,$AD70)+SUMIFS(Dati!$C$2:$C$761,Dati!$A$2:$A$761,$H70,Dati!$H$2:$H$761,$AD70)+SUMIFS(Dati!$J$2:$J$761,Dati!$H$2:$H$761,$H70,Dati!$A$2:$A$761,$AD70),"-")</f>
        <v/>
      </c>
      <c r="BW70" s="22">
        <f>IF(AND($H70&lt;&gt;"",$AE70&lt;&gt;"",$H70&lt;&gt;$AE70,IFERROR(VLOOKUP($H70,areaCercaPuntiClassificaSquadra,3,FALSE),-1)=IFERROR(VLOOKUP($AE70,areaCercaPuntiClassificaSquadra,3,FALSE),-2)),SUMIFS(Dati!$D$2:$D$761,Dati!$A$2:$A$761,$H70,Dati!$H$2:$H$761,$AE70)+SUMIFS(Dati!$K$2:$K$761,Dati!$H$2:$H$761,$H70,Dati!$A$2:$A$761,$AE70)+SUMIFS(Dati!$C$2:$C$761,Dati!$A$2:$A$761,$H70,Dati!$H$2:$H$761,$AE70)+SUMIFS(Dati!$J$2:$J$761,Dati!$H$2:$H$761,$H70,Dati!$A$2:$A$761,$AE70),"-")</f>
        <v/>
      </c>
      <c r="BX70" s="22">
        <f>IF(AND($H70&lt;&gt;"",$AF70&lt;&gt;"",$H70&lt;&gt;$AF70,IFERROR(VLOOKUP($H70,areaCercaPuntiClassificaSquadra,3,FALSE),-1)=IFERROR(VLOOKUP($AF70,areaCercaPuntiClassificaSquadra,3,FALSE),-2)),SUMIFS(Dati!$D$2:$D$761,Dati!$A$2:$A$761,$H70,Dati!$H$2:$H$761,$AF70)+SUMIFS(Dati!$K$2:$K$761,Dati!$H$2:$H$761,$H70,Dati!$A$2:$A$761,$AF70)+SUMIFS(Dati!$C$2:$C$761,Dati!$A$2:$A$761,$H70,Dati!$H$2:$H$761,$AF70)+SUMIFS(Dati!$J$2:$J$761,Dati!$H$2:$H$761,$H70,Dati!$A$2:$A$761,$AF70),"-")</f>
        <v/>
      </c>
      <c r="BY70" s="22">
        <f>IF(AND($H70&lt;&gt;"",$AG70&lt;&gt;"",$H70&lt;&gt;$AG70,IFERROR(VLOOKUP($H70,areaCercaPuntiClassificaSquadra,3,FALSE),-1)=IFERROR(VLOOKUP($AG70,areaCercaPuntiClassificaSquadra,3,FALSE),-2)),SUMIFS(Dati!$D$2:$D$761,Dati!$A$2:$A$761,$H70,Dati!$H$2:$H$761,$AG70)+SUMIFS(Dati!$K$2:$K$761,Dati!$H$2:$H$761,$H70,Dati!$A$2:$A$761,$AG70)+SUMIFS(Dati!$C$2:$C$761,Dati!$A$2:$A$761,$H70,Dati!$H$2:$H$761,$AG70)+SUMIFS(Dati!$J$2:$J$761,Dati!$H$2:$H$761,$H70,Dati!$A$2:$A$761,$AG70),"-")</f>
        <v/>
      </c>
      <c r="BZ70" s="22">
        <f>IF(AND($H70&lt;&gt;"",$AH70&lt;&gt;"",$H70&lt;&gt;$AH70,IFERROR(VLOOKUP($H70,areaCercaPuntiClassificaSquadra,3,FALSE),-1)=IFERROR(VLOOKUP($AH70,areaCercaPuntiClassificaSquadra,3,FALSE),-2)),SUMIFS(Dati!$D$2:$D$761,Dati!$A$2:$A$761,$H70,Dati!$H$2:$H$761,$AH70)+SUMIFS(Dati!$K$2:$K$761,Dati!$H$2:$H$761,$H70,Dati!$A$2:$A$761,$AH70)+SUMIFS(Dati!$C$2:$C$761,Dati!$A$2:$A$761,$H70,Dati!$H$2:$H$761,$AH70)+SUMIFS(Dati!$J$2:$J$761,Dati!$H$2:$H$761,$H70,Dati!$A$2:$A$761,$AH70),"-")</f>
        <v/>
      </c>
      <c r="CA70" s="22">
        <f>IF(AND($H70&lt;&gt;"",$AI70&lt;&gt;"",$H70&lt;&gt;$AI70,IFERROR(VLOOKUP($H70,areaCercaPuntiClassificaSquadra,3,FALSE),-1)=IFERROR(VLOOKUP($AI70,areaCercaPuntiClassificaSquadra,3,FALSE),-2)),SUMIFS(Dati!$D$2:$D$761,Dati!$A$2:$A$761,$H70,Dati!$H$2:$H$761,$AI70)+SUMIFS(Dati!$K$2:$K$761,Dati!$H$2:$H$761,$H70,Dati!$A$2:$A$761,$AI70)+SUMIFS(Dati!$C$2:$C$761,Dati!$A$2:$A$761,$H70,Dati!$H$2:$H$761,$AI70)+SUMIFS(Dati!$J$2:$J$761,Dati!$H$2:$H$761,$H70,Dati!$A$2:$A$761,$AI70),"-")</f>
        <v/>
      </c>
      <c r="CB70" s="22">
        <f>IF(AND($H70&lt;&gt;"",$AJ70&lt;&gt;"",$H70&lt;&gt;$AJ70,IFERROR(VLOOKUP($H70,areaCercaPuntiClassificaSquadra,3,FALSE),-1)=IFERROR(VLOOKUP($AJ70,areaCercaPuntiClassificaSquadra,3,FALSE),-2)),SUMIFS(Dati!$D$2:$D$761,Dati!$A$2:$A$761,$H70,Dati!$H$2:$H$761,$AJ70)+SUMIFS(Dati!$K$2:$K$761,Dati!$H$2:$H$761,$H70,Dati!$A$2:$A$761,$AJ70)+SUMIFS(Dati!$C$2:$C$761,Dati!$A$2:$A$761,$H70,Dati!$H$2:$H$761,$AJ70)+SUMIFS(Dati!$J$2:$J$761,Dati!$H$2:$H$761,$H70,Dati!$A$2:$A$761,$AJ70),"-")</f>
        <v/>
      </c>
      <c r="CC70" s="22">
        <f>IF(AND($H70&lt;&gt;"",$AK70&lt;&gt;"",$H70&lt;&gt;$AK70,IFERROR(VLOOKUP($H70,areaCercaPuntiClassificaSquadra,3,FALSE),-1)=IFERROR(VLOOKUP($AK70,areaCercaPuntiClassificaSquadra,3,FALSE),-2)),SUMIFS(Dati!$D$2:$D$761,Dati!$A$2:$A$761,$H70,Dati!$H$2:$H$761,$AK70)+SUMIFS(Dati!$K$2:$K$761,Dati!$H$2:$H$761,$H70,Dati!$A$2:$A$761,$AK70)+SUMIFS(Dati!$C$2:$C$761,Dati!$A$2:$A$761,$H70,Dati!$H$2:$H$761,$AK70)+SUMIFS(Dati!$J$2:$J$761,Dati!$H$2:$H$761,$H70,Dati!$A$2:$A$761,$AK70),"-")</f>
        <v/>
      </c>
      <c r="CD70" s="22">
        <f>IF(AND($H70&lt;&gt;"",$AL70&lt;&gt;"",$H70&lt;&gt;$AL70,IFERROR(VLOOKUP($H70,areaCercaPuntiClassificaSquadra,3,FALSE),-1)=IFERROR(VLOOKUP($AL70,areaCercaPuntiClassificaSquadra,3,FALSE),-2)),SUMIFS(Dati!$D$2:$D$761,Dati!$A$2:$A$761,$H70,Dati!$H$2:$H$761,$AL70)+SUMIFS(Dati!$K$2:$K$761,Dati!$H$2:$H$761,$H70,Dati!$A$2:$A$761,$AL70)+SUMIFS(Dati!$C$2:$C$761,Dati!$A$2:$A$761,$H70,Dati!$H$2:$H$761,$AL70)+SUMIFS(Dati!$J$2:$J$761,Dati!$H$2:$H$761,$H70,Dati!$A$2:$A$761,$AL70),"-")</f>
        <v/>
      </c>
      <c r="CE70" s="22">
        <f>IF(AND($H70&lt;&gt;"",$AM70&lt;&gt;"",$H70&lt;&gt;$AM70,IFERROR(VLOOKUP($H70,areaCercaPuntiClassificaSquadra,3,FALSE),-1)=IFERROR(VLOOKUP($AM70,areaCercaPuntiClassificaSquadra,3,FALSE),-2)),SUMIFS(Dati!$D$2:$D$761,Dati!$A$2:$A$761,$H70,Dati!$H$2:$H$761,$AM70)+SUMIFS(Dati!$K$2:$K$761,Dati!$H$2:$H$761,$H70,Dati!$A$2:$A$761,$AM70)+SUMIFS(Dati!$C$2:$C$761,Dati!$A$2:$A$761,$H70,Dati!$H$2:$H$761,$AM70)+SUMIFS(Dati!$J$2:$J$761,Dati!$H$2:$H$761,$H70,Dati!$A$2:$A$761,$AM70),"-")</f>
        <v/>
      </c>
      <c r="CF70" s="22">
        <f>IF(AND($H70&lt;&gt;"",$AN70&lt;&gt;"",$H70&lt;&gt;$AN70,IFERROR(VLOOKUP($H70,areaCercaPuntiClassificaSquadra,3,FALSE),-1)=IFERROR(VLOOKUP($AN70,areaCercaPuntiClassificaSquadra,3,FALSE),-2)),SUMIFS(Dati!$D$2:$D$761,Dati!$A$2:$A$761,$H70,Dati!$H$2:$H$761,$AN70)+SUMIFS(Dati!$K$2:$K$761,Dati!$H$2:$H$761,$H70,Dati!$A$2:$A$761,$AN70)+SUMIFS(Dati!$C$2:$C$761,Dati!$A$2:$A$761,$H70,Dati!$H$2:$H$761,$AN70)+SUMIFS(Dati!$J$2:$J$761,Dati!$H$2:$H$761,$H70,Dati!$A$2:$A$761,$AN70),"-")</f>
        <v/>
      </c>
      <c r="CG70" s="22">
        <f>IF(AND($H70&lt;&gt;"",$AO70&lt;&gt;"",$H70&lt;&gt;$AO70,IFERROR(VLOOKUP($H70,areaCercaPuntiClassificaSquadra,3,FALSE),-1)=IFERROR(VLOOKUP($AO70,areaCercaPuntiClassificaSquadra,3,FALSE),-2)),SUMIFS(Dati!$D$2:$D$761,Dati!$A$2:$A$761,$H70,Dati!$H$2:$H$761,$AO70)+SUMIFS(Dati!$K$2:$K$761,Dati!$H$2:$H$761,$H70,Dati!$A$2:$A$761,$AO70)+SUMIFS(Dati!$C$2:$C$761,Dati!$A$2:$A$761,$H70,Dati!$H$2:$H$761,$AO70)+SUMIFS(Dati!$J$2:$J$761,Dati!$H$2:$H$761,$H70,Dati!$A$2:$A$761,$AO70),"-")</f>
        <v/>
      </c>
      <c r="CH70" s="22">
        <f>IF(AND($H70&lt;&gt;"",$AP70&lt;&gt;"",$H70&lt;&gt;$AP70,IFERROR(VLOOKUP($H70,areaCercaPuntiClassificaSquadra,3,FALSE),-1)=IFERROR(VLOOKUP($AP70,areaCercaPuntiClassificaSquadra,3,FALSE),-2)),SUMIFS(Dati!$D$2:$D$761,Dati!$A$2:$A$761,$H70,Dati!$H$2:$H$761,$AP70)+SUMIFS(Dati!$K$2:$K$761,Dati!$H$2:$H$761,$H70,Dati!$A$2:$A$761,$AP70)+SUMIFS(Dati!$C$2:$C$761,Dati!$A$2:$A$761,$H70,Dati!$H$2:$H$761,$AP70)+SUMIFS(Dati!$J$2:$J$761,Dati!$H$2:$H$761,$H70,Dati!$A$2:$A$761,$AP70),"-")</f>
        <v/>
      </c>
      <c r="CI70" s="22">
        <f>IF(AND($H70&lt;&gt;"",$AQ70&lt;&gt;"",$H70&lt;&gt;$AQ70,IFERROR(VLOOKUP($H70,areaCercaPuntiClassificaSquadra,3,FALSE),-1)=IFERROR(VLOOKUP($AQ70,areaCercaPuntiClassificaSquadra,3,FALSE),-2)),SUMIFS(Dati!$D$2:$D$761,Dati!$A$2:$A$761,$H70,Dati!$H$2:$H$761,$AQ70)+SUMIFS(Dati!$K$2:$K$761,Dati!$H$2:$H$761,$H70,Dati!$A$2:$A$761,$AQ70)+SUMIFS(Dati!$C$2:$C$761,Dati!$A$2:$A$761,$H70,Dati!$H$2:$H$761,$AQ70)+SUMIFS(Dati!$J$2:$J$761,Dati!$H$2:$H$761,$H70,Dati!$A$2:$A$761,$AQ70),"-")</f>
        <v/>
      </c>
      <c r="CJ70" s="22">
        <f>IF(AND($H70&lt;&gt;"",$AR70&lt;&gt;"",$H70&lt;&gt;$AR70,IFERROR(VLOOKUP($H70,areaCercaPuntiClassificaSquadra,3,FALSE),-1)=IFERROR(VLOOKUP($AR70,areaCercaPuntiClassificaSquadra,3,FALSE),-2)),SUMIFS(Dati!$D$2:$D$761,Dati!$A$2:$A$761,$H70,Dati!$H$2:$H$761,$AR70)+SUMIFS(Dati!$K$2:$K$761,Dati!$H$2:$H$761,$H70,Dati!$A$2:$A$761,$AR70)+SUMIFS(Dati!$C$2:$C$761,Dati!$A$2:$A$761,$H70,Dati!$H$2:$H$761,$AR70)+SUMIFS(Dati!$J$2:$J$761,Dati!$H$2:$H$761,$H70,Dati!$A$2:$A$761,$AR70),"-")</f>
        <v/>
      </c>
      <c r="CL70" s="21">
        <f>$C70</f>
        <v/>
      </c>
      <c r="CM70" s="22">
        <f>IF(AND($H70&lt;&gt;"",$Y70&lt;&gt;"",$H70&lt;&gt;$Y70,IFERROR(VLOOKUP($H70,areaCercaPuntiClassificaSquadra,3,FALSE),-1)=IFERROR(VLOOKUP($Y70,areaCercaPuntiClassificaSquadra,3,FALSE),-2)),SUMIFS(Dati!$E$2:$E$761,Dati!$A$2:$A$761,$H70,Dati!$H$2:$H$761,$Y70)+SUMIFS(Dati!$L$2:$L$761,Dati!$H$2:$H$761,$H70,Dati!$A$2:$A$761,$Y70),"-")</f>
        <v/>
      </c>
      <c r="CN70" s="22">
        <f>IF(AND($H70&lt;&gt;"",$Z70&lt;&gt;"",$H70&lt;&gt;$Z70,IFERROR(VLOOKUP($H70,areaCercaPuntiClassificaSquadra,3,FALSE),-1)=IFERROR(VLOOKUP($Z70,areaCercaPuntiClassificaSquadra,3,FALSE),-2)),SUMIFS(Dati!$E$2:$E$761,Dati!$A$2:$A$761,$H70,Dati!$H$2:$H$761,$Z70)+SUMIFS(Dati!$L$2:$L$761,Dati!$H$2:$H$761,$H70,Dati!$A$2:$A$761,$Z70),"-")</f>
        <v/>
      </c>
      <c r="CO70" s="22">
        <f>IF(AND($H70&lt;&gt;"",$AA70&lt;&gt;"",$H70&lt;&gt;$AA70,IFERROR(VLOOKUP($H70,areaCercaPuntiClassificaSquadra,3,FALSE),-1)=IFERROR(VLOOKUP($AA70,areaCercaPuntiClassificaSquadra,3,FALSE),-2)),SUMIFS(Dati!$E$2:$E$761,Dati!$A$2:$A$761,$H70,Dati!$H$2:$H$761,$AA70)+SUMIFS(Dati!$L$2:$L$761,Dati!$H$2:$H$761,$H70,Dati!$A$2:$A$761,$AA70),"-")</f>
        <v/>
      </c>
      <c r="CP70" s="22">
        <f>IF(AND($H70&lt;&gt;"",$AB70&lt;&gt;"",$H70&lt;&gt;$AB70,IFERROR(VLOOKUP($H70,areaCercaPuntiClassificaSquadra,3,FALSE),-1)=IFERROR(VLOOKUP($AB70,areaCercaPuntiClassificaSquadra,3,FALSE),-2)),SUMIFS(Dati!$E$2:$E$761,Dati!$A$2:$A$761,$H70,Dati!$H$2:$H$761,$AB70)+SUMIFS(Dati!$L$2:$L$761,Dati!$H$2:$H$761,$H70,Dati!$A$2:$A$761,$AB70),"-")</f>
        <v/>
      </c>
      <c r="CQ70" s="22">
        <f>IF(AND($H70&lt;&gt;"",$AC70&lt;&gt;"",$H70&lt;&gt;$AC70,IFERROR(VLOOKUP($H70,areaCercaPuntiClassificaSquadra,3,FALSE),-1)=IFERROR(VLOOKUP($AC70,areaCercaPuntiClassificaSquadra,3,FALSE),-2)),SUMIFS(Dati!$E$2:$E$761,Dati!$A$2:$A$761,$H70,Dati!$H$2:$H$761,$AC70)+SUMIFS(Dati!$L$2:$L$761,Dati!$H$2:$H$761,$H70,Dati!$A$2:$A$761,$AC70),"-")</f>
        <v/>
      </c>
      <c r="CR70" s="22">
        <f>IF(AND($H70&lt;&gt;"",$AD70&lt;&gt;"",$H70&lt;&gt;$AD70,IFERROR(VLOOKUP($H70,areaCercaPuntiClassificaSquadra,3,FALSE),-1)=IFERROR(VLOOKUP($AD70,areaCercaPuntiClassificaSquadra,3,FALSE),-2)),SUMIFS(Dati!$E$2:$E$761,Dati!$A$2:$A$761,$H70,Dati!$H$2:$H$761,$AD70)+SUMIFS(Dati!$L$2:$L$761,Dati!$H$2:$H$761,$H70,Dati!$A$2:$A$761,$AD70),"-")</f>
        <v/>
      </c>
      <c r="CS70" s="22">
        <f>IF(AND($H70&lt;&gt;"",$AE70&lt;&gt;"",$H70&lt;&gt;$AE70,IFERROR(VLOOKUP($H70,areaCercaPuntiClassificaSquadra,3,FALSE),-1)=IFERROR(VLOOKUP($AE70,areaCercaPuntiClassificaSquadra,3,FALSE),-2)),SUMIFS(Dati!$E$2:$E$761,Dati!$A$2:$A$761,$H70,Dati!$H$2:$H$761,$AE70)+SUMIFS(Dati!$L$2:$L$761,Dati!$H$2:$H$761,$H70,Dati!$A$2:$A$761,$AE70),"-")</f>
        <v/>
      </c>
      <c r="CT70" s="22">
        <f>IF(AND($H70&lt;&gt;"",$AF70&lt;&gt;"",$H70&lt;&gt;$AF70,IFERROR(VLOOKUP($H70,areaCercaPuntiClassificaSquadra,3,FALSE),-1)=IFERROR(VLOOKUP($AF70,areaCercaPuntiClassificaSquadra,3,FALSE),-2)),SUMIFS(Dati!$E$2:$E$761,Dati!$A$2:$A$761,$H70,Dati!$H$2:$H$761,$AF70)+SUMIFS(Dati!$L$2:$L$761,Dati!$H$2:$H$761,$H70,Dati!$A$2:$A$761,$AF70),"-")</f>
        <v/>
      </c>
      <c r="CU70" s="22">
        <f>IF(AND($H70&lt;&gt;"",$AG70&lt;&gt;"",$H70&lt;&gt;$AG70,IFERROR(VLOOKUP($H70,areaCercaPuntiClassificaSquadra,3,FALSE),-1)=IFERROR(VLOOKUP($AG70,areaCercaPuntiClassificaSquadra,3,FALSE),-2)),SUMIFS(Dati!$E$2:$E$761,Dati!$A$2:$A$761,$H70,Dati!$H$2:$H$761,$AG70)+SUMIFS(Dati!$L$2:$L$761,Dati!$H$2:$H$761,$H70,Dati!$A$2:$A$761,$AG70),"-")</f>
        <v/>
      </c>
      <c r="CV70" s="22">
        <f>IF(AND($H70&lt;&gt;"",$AH70&lt;&gt;"",$H70&lt;&gt;$AH70,IFERROR(VLOOKUP($H70,areaCercaPuntiClassificaSquadra,3,FALSE),-1)=IFERROR(VLOOKUP($AH70,areaCercaPuntiClassificaSquadra,3,FALSE),-2)),SUMIFS(Dati!$E$2:$E$761,Dati!$A$2:$A$761,$H70,Dati!$H$2:$H$761,$AH70)+SUMIFS(Dati!$L$2:$L$761,Dati!$H$2:$H$761,$H70,Dati!$A$2:$A$761,$AH70),"-")</f>
        <v/>
      </c>
      <c r="CW70" s="22">
        <f>IF(AND($H70&lt;&gt;"",$AI70&lt;&gt;"",$H70&lt;&gt;$AI70,IFERROR(VLOOKUP($H70,areaCercaPuntiClassificaSquadra,3,FALSE),-1)=IFERROR(VLOOKUP($AI70,areaCercaPuntiClassificaSquadra,3,FALSE),-2)),SUMIFS(Dati!$E$2:$E$761,Dati!$A$2:$A$761,$H70,Dati!$H$2:$H$761,$AI70)+SUMIFS(Dati!$L$2:$L$761,Dati!$H$2:$H$761,$H70,Dati!$A$2:$A$761,$AI70),"-")</f>
        <v/>
      </c>
      <c r="CX70" s="22">
        <f>IF(AND($H70&lt;&gt;"",$AJ70&lt;&gt;"",$H70&lt;&gt;$AJ70,IFERROR(VLOOKUP($H70,areaCercaPuntiClassificaSquadra,3,FALSE),-1)=IFERROR(VLOOKUP($AJ70,areaCercaPuntiClassificaSquadra,3,FALSE),-2)),SUMIFS(Dati!$E$2:$E$761,Dati!$A$2:$A$761,$H70,Dati!$H$2:$H$761,$AJ70)+SUMIFS(Dati!$L$2:$L$761,Dati!$H$2:$H$761,$H70,Dati!$A$2:$A$761,$AJ70),"-")</f>
        <v/>
      </c>
      <c r="CY70" s="22">
        <f>IF(AND($H70&lt;&gt;"",$AK70&lt;&gt;"",$H70&lt;&gt;$AK70,IFERROR(VLOOKUP($H70,areaCercaPuntiClassificaSquadra,3,FALSE),-1)=IFERROR(VLOOKUP($AK70,areaCercaPuntiClassificaSquadra,3,FALSE),-2)),SUMIFS(Dati!$E$2:$E$761,Dati!$A$2:$A$761,$H70,Dati!$H$2:$H$761,$AK70)+SUMIFS(Dati!$L$2:$L$761,Dati!$H$2:$H$761,$H70,Dati!$A$2:$A$761,$AK70),"-")</f>
        <v/>
      </c>
      <c r="CZ70" s="22">
        <f>IF(AND($H70&lt;&gt;"",$AL70&lt;&gt;"",$H70&lt;&gt;$AL70,IFERROR(VLOOKUP($H70,areaCercaPuntiClassificaSquadra,3,FALSE),-1)=IFERROR(VLOOKUP($AL70,areaCercaPuntiClassificaSquadra,3,FALSE),-2)),SUMIFS(Dati!$E$2:$E$761,Dati!$A$2:$A$761,$H70,Dati!$H$2:$H$761,$AL70)+SUMIFS(Dati!$L$2:$L$761,Dati!$H$2:$H$761,$H70,Dati!$A$2:$A$761,$AL70),"-")</f>
        <v/>
      </c>
      <c r="DA70" s="22">
        <f>IF(AND($H70&lt;&gt;"",$AM70&lt;&gt;"",$H70&lt;&gt;$AM70,IFERROR(VLOOKUP($H70,areaCercaPuntiClassificaSquadra,3,FALSE),-1)=IFERROR(VLOOKUP($AM70,areaCercaPuntiClassificaSquadra,3,FALSE),-2)),SUMIFS(Dati!$E$2:$E$761,Dati!$A$2:$A$761,$H70,Dati!$H$2:$H$761,$AM70)+SUMIFS(Dati!$L$2:$L$761,Dati!$H$2:$H$761,$H70,Dati!$A$2:$A$761,$AM70),"-")</f>
        <v/>
      </c>
      <c r="DB70" s="22">
        <f>IF(AND($H70&lt;&gt;"",$AN70&lt;&gt;"",$H70&lt;&gt;$AN70,IFERROR(VLOOKUP($H70,areaCercaPuntiClassificaSquadra,3,FALSE),-1)=IFERROR(VLOOKUP($AN70,areaCercaPuntiClassificaSquadra,3,FALSE),-2)),SUMIFS(Dati!$E$2:$E$761,Dati!$A$2:$A$761,$H70,Dati!$H$2:$H$761,$AN70)+SUMIFS(Dati!$L$2:$L$761,Dati!$H$2:$H$761,$H70,Dati!$A$2:$A$761,$AN70),"-")</f>
        <v/>
      </c>
      <c r="DC70" s="22">
        <f>IF(AND($H70&lt;&gt;"",$AO70&lt;&gt;"",$H70&lt;&gt;$AO70,IFERROR(VLOOKUP($H70,areaCercaPuntiClassificaSquadra,3,FALSE),-1)=IFERROR(VLOOKUP($AO70,areaCercaPuntiClassificaSquadra,3,FALSE),-2)),SUMIFS(Dati!$E$2:$E$761,Dati!$A$2:$A$761,$H70,Dati!$H$2:$H$761,$AO70)+SUMIFS(Dati!$L$2:$L$761,Dati!$H$2:$H$761,$H70,Dati!$A$2:$A$761,$AO70),"-")</f>
        <v/>
      </c>
      <c r="DD70" s="22">
        <f>IF(AND($H70&lt;&gt;"",$AP70&lt;&gt;"",$H70&lt;&gt;$AP70,IFERROR(VLOOKUP($H70,areaCercaPuntiClassificaSquadra,3,FALSE),-1)=IFERROR(VLOOKUP($AP70,areaCercaPuntiClassificaSquadra,3,FALSE),-2)),SUMIFS(Dati!$E$2:$E$761,Dati!$A$2:$A$761,$H70,Dati!$H$2:$H$761,$AP70)+SUMIFS(Dati!$L$2:$L$761,Dati!$H$2:$H$761,$H70,Dati!$A$2:$A$761,$AP70),"-")</f>
        <v/>
      </c>
      <c r="DE70" s="22">
        <f>IF(AND($H70&lt;&gt;"",$AQ70&lt;&gt;"",$H70&lt;&gt;$AQ70,IFERROR(VLOOKUP($H70,areaCercaPuntiClassificaSquadra,3,FALSE),-1)=IFERROR(VLOOKUP($AQ70,areaCercaPuntiClassificaSquadra,3,FALSE),-2)),SUMIFS(Dati!$E$2:$E$761,Dati!$A$2:$A$761,$H70,Dati!$H$2:$H$761,$AQ70)+SUMIFS(Dati!$L$2:$L$761,Dati!$H$2:$H$761,$H70,Dati!$A$2:$A$761,$AQ70),"-")</f>
        <v/>
      </c>
      <c r="DF70" s="22">
        <f>IF(AND($H70&lt;&gt;"",$AR70&lt;&gt;"",$H70&lt;&gt;$AR70,IFERROR(VLOOKUP($H70,areaCercaPuntiClassificaSquadra,3,FALSE),-1)=IFERROR(VLOOKUP($AR70,areaCercaPuntiClassificaSquadra,3,FALSE),-2)),SUMIFS(Dati!$E$2:$E$761,Dati!$A$2:$A$761,$H70,Dati!$H$2:$H$761,$AR70)+SUMIFS(Dati!$L$2:$L$761,Dati!$H$2:$H$761,$H70,Dati!$A$2:$A$761,$AR70),"-")</f>
        <v/>
      </c>
      <c r="DH70" s="21">
        <f>$C70</f>
        <v/>
      </c>
      <c r="DI70" s="22">
        <f>IF(AND($H70&lt;&gt;"",$Y70&lt;&gt;"",$H70&lt;&gt;$Y70,IFERROR(VLOOKUP($H70,areaCercaPuntiClassificaSquadra,3,FALSE),-1)=IFERROR(VLOOKUP($Y70,areaCercaPuntiClassificaSquadra,3,FALSE),-2)),SUMIFS(Dati!$F$2:$F$761,Dati!$A$2:$A$761,$H70,Dati!$H$2:$H$761,$Y70)+SUMIFS(Dati!$M$2:$M$761,Dati!$H$2:$H$761,$H70,Dati!$A$2:$A$761,$Y70),"-")</f>
        <v/>
      </c>
      <c r="DJ70" s="22">
        <f>IF(AND($H70&lt;&gt;"",$Z70&lt;&gt;"",$H70&lt;&gt;$Z70,IFERROR(VLOOKUP($H70,areaCercaPuntiClassificaSquadra,3,FALSE),-1)=IFERROR(VLOOKUP($Z70,areaCercaPuntiClassificaSquadra,3,FALSE),-2)),SUMIFS(Dati!$F$2:$F$761,Dati!$A$2:$A$761,$H70,Dati!$H$2:$H$761,$Z70)+SUMIFS(Dati!$M$2:$M$761,Dati!$H$2:$H$761,$H70,Dati!$A$2:$A$761,$Z70),"-")</f>
        <v/>
      </c>
      <c r="DK70" s="22">
        <f>IF(AND($H70&lt;&gt;"",$AA70&lt;&gt;"",$H70&lt;&gt;$AA70,IFERROR(VLOOKUP($H70,areaCercaPuntiClassificaSquadra,3,FALSE),-1)=IFERROR(VLOOKUP($AA70,areaCercaPuntiClassificaSquadra,3,FALSE),-2)),SUMIFS(Dati!$F$2:$F$761,Dati!$A$2:$A$761,$H70,Dati!$H$2:$H$761,$AA70)+SUMIFS(Dati!$M$2:$M$761,Dati!$H$2:$H$761,$H70,Dati!$A$2:$A$761,$AA70),"-")</f>
        <v/>
      </c>
      <c r="DL70" s="22">
        <f>IF(AND($H70&lt;&gt;"",$AB70&lt;&gt;"",$H70&lt;&gt;$AB70,IFERROR(VLOOKUP($H70,areaCercaPuntiClassificaSquadra,3,FALSE),-1)=IFERROR(VLOOKUP($AB70,areaCercaPuntiClassificaSquadra,3,FALSE),-2)),SUMIFS(Dati!$F$2:$F$761,Dati!$A$2:$A$761,$H70,Dati!$H$2:$H$761,$AB70)+SUMIFS(Dati!$M$2:$M$761,Dati!$H$2:$H$761,$H70,Dati!$A$2:$A$761,$AB70),"-")</f>
        <v/>
      </c>
      <c r="DM70" s="22">
        <f>IF(AND($H70&lt;&gt;"",$AC70&lt;&gt;"",$H70&lt;&gt;$AC70,IFERROR(VLOOKUP($H70,areaCercaPuntiClassificaSquadra,3,FALSE),-1)=IFERROR(VLOOKUP($AC70,areaCercaPuntiClassificaSquadra,3,FALSE),-2)),SUMIFS(Dati!$F$2:$F$761,Dati!$A$2:$A$761,$H70,Dati!$H$2:$H$761,$AC70)+SUMIFS(Dati!$M$2:$M$761,Dati!$H$2:$H$761,$H70,Dati!$A$2:$A$761,$AC70),"-")</f>
        <v/>
      </c>
      <c r="DN70" s="22">
        <f>IF(AND($H70&lt;&gt;"",$AD70&lt;&gt;"",$H70&lt;&gt;$AD70,IFERROR(VLOOKUP($H70,areaCercaPuntiClassificaSquadra,3,FALSE),-1)=IFERROR(VLOOKUP($AD70,areaCercaPuntiClassificaSquadra,3,FALSE),-2)),SUMIFS(Dati!$F$2:$F$761,Dati!$A$2:$A$761,$H70,Dati!$H$2:$H$761,$AD70)+SUMIFS(Dati!$M$2:$M$761,Dati!$H$2:$H$761,$H70,Dati!$A$2:$A$761,$AD70),"-")</f>
        <v/>
      </c>
      <c r="DO70" s="22">
        <f>IF(AND($H70&lt;&gt;"",$AE70&lt;&gt;"",$H70&lt;&gt;$AE70,IFERROR(VLOOKUP($H70,areaCercaPuntiClassificaSquadra,3,FALSE),-1)=IFERROR(VLOOKUP($AE70,areaCercaPuntiClassificaSquadra,3,FALSE),-2)),SUMIFS(Dati!$F$2:$F$761,Dati!$A$2:$A$761,$H70,Dati!$H$2:$H$761,$AE70)+SUMIFS(Dati!$M$2:$M$761,Dati!$H$2:$H$761,$H70,Dati!$A$2:$A$761,$AE70),"-")</f>
        <v/>
      </c>
      <c r="DP70" s="22">
        <f>IF(AND($H70&lt;&gt;"",$AF70&lt;&gt;"",$H70&lt;&gt;$AF70,IFERROR(VLOOKUP($H70,areaCercaPuntiClassificaSquadra,3,FALSE),-1)=IFERROR(VLOOKUP($AF70,areaCercaPuntiClassificaSquadra,3,FALSE),-2)),SUMIFS(Dati!$F$2:$F$761,Dati!$A$2:$A$761,$H70,Dati!$H$2:$H$761,$AF70)+SUMIFS(Dati!$M$2:$M$761,Dati!$H$2:$H$761,$H70,Dati!$A$2:$A$761,$AF70),"-")</f>
        <v/>
      </c>
      <c r="DQ70" s="22">
        <f>IF(AND($H70&lt;&gt;"",$AG70&lt;&gt;"",$H70&lt;&gt;$AG70,IFERROR(VLOOKUP($H70,areaCercaPuntiClassificaSquadra,3,FALSE),-1)=IFERROR(VLOOKUP($AG70,areaCercaPuntiClassificaSquadra,3,FALSE),-2)),SUMIFS(Dati!$F$2:$F$761,Dati!$A$2:$A$761,$H70,Dati!$H$2:$H$761,$AG70)+SUMIFS(Dati!$M$2:$M$761,Dati!$H$2:$H$761,$H70,Dati!$A$2:$A$761,$AG70),"-")</f>
        <v/>
      </c>
      <c r="DR70" s="22">
        <f>IF(AND($H70&lt;&gt;"",$AH70&lt;&gt;"",$H70&lt;&gt;$AH70,IFERROR(VLOOKUP($H70,areaCercaPuntiClassificaSquadra,3,FALSE),-1)=IFERROR(VLOOKUP($AH70,areaCercaPuntiClassificaSquadra,3,FALSE),-2)),SUMIFS(Dati!$F$2:$F$761,Dati!$A$2:$A$761,$H70,Dati!$H$2:$H$761,$AH70)+SUMIFS(Dati!$M$2:$M$761,Dati!$H$2:$H$761,$H70,Dati!$A$2:$A$761,$AH70),"-")</f>
        <v/>
      </c>
      <c r="DS70" s="22">
        <f>IF(AND($H70&lt;&gt;"",$AI70&lt;&gt;"",$H70&lt;&gt;$AI70,IFERROR(VLOOKUP($H70,areaCercaPuntiClassificaSquadra,3,FALSE),-1)=IFERROR(VLOOKUP($AI70,areaCercaPuntiClassificaSquadra,3,FALSE),-2)),SUMIFS(Dati!$F$2:$F$761,Dati!$A$2:$A$761,$H70,Dati!$H$2:$H$761,$AI70)+SUMIFS(Dati!$M$2:$M$761,Dati!$H$2:$H$761,$H70,Dati!$A$2:$A$761,$AI70),"-")</f>
        <v/>
      </c>
      <c r="DT70" s="22">
        <f>IF(AND($H70&lt;&gt;"",$AJ70&lt;&gt;"",$H70&lt;&gt;$AJ70,IFERROR(VLOOKUP($H70,areaCercaPuntiClassificaSquadra,3,FALSE),-1)=IFERROR(VLOOKUP($AJ70,areaCercaPuntiClassificaSquadra,3,FALSE),-2)),SUMIFS(Dati!$F$2:$F$761,Dati!$A$2:$A$761,$H70,Dati!$H$2:$H$761,$AJ70)+SUMIFS(Dati!$M$2:$M$761,Dati!$H$2:$H$761,$H70,Dati!$A$2:$A$761,$AJ70),"-")</f>
        <v/>
      </c>
      <c r="DU70" s="22">
        <f>IF(AND($H70&lt;&gt;"",$AK70&lt;&gt;"",$H70&lt;&gt;$AK70,IFERROR(VLOOKUP($H70,areaCercaPuntiClassificaSquadra,3,FALSE),-1)=IFERROR(VLOOKUP($AK70,areaCercaPuntiClassificaSquadra,3,FALSE),-2)),SUMIFS(Dati!$F$2:$F$761,Dati!$A$2:$A$761,$H70,Dati!$H$2:$H$761,$AK70)+SUMIFS(Dati!$M$2:$M$761,Dati!$H$2:$H$761,$H70,Dati!$A$2:$A$761,$AK70),"-")</f>
        <v/>
      </c>
      <c r="DV70" s="22">
        <f>IF(AND($H70&lt;&gt;"",$AL70&lt;&gt;"",$H70&lt;&gt;$AL70,IFERROR(VLOOKUP($H70,areaCercaPuntiClassificaSquadra,3,FALSE),-1)=IFERROR(VLOOKUP($AL70,areaCercaPuntiClassificaSquadra,3,FALSE),-2)),SUMIFS(Dati!$F$2:$F$761,Dati!$A$2:$A$761,$H70,Dati!$H$2:$H$761,$AL70)+SUMIFS(Dati!$M$2:$M$761,Dati!$H$2:$H$761,$H70,Dati!$A$2:$A$761,$AL70),"-")</f>
        <v/>
      </c>
      <c r="DW70" s="22">
        <f>IF(AND($H70&lt;&gt;"",$AM70&lt;&gt;"",$H70&lt;&gt;$AM70,IFERROR(VLOOKUP($H70,areaCercaPuntiClassificaSquadra,3,FALSE),-1)=IFERROR(VLOOKUP($AM70,areaCercaPuntiClassificaSquadra,3,FALSE),-2)),SUMIFS(Dati!$F$2:$F$761,Dati!$A$2:$A$761,$H70,Dati!$H$2:$H$761,$AM70)+SUMIFS(Dati!$M$2:$M$761,Dati!$H$2:$H$761,$H70,Dati!$A$2:$A$761,$AM70),"-")</f>
        <v/>
      </c>
      <c r="DX70" s="22">
        <f>IF(AND($H70&lt;&gt;"",$AN70&lt;&gt;"",$H70&lt;&gt;$AN70,IFERROR(VLOOKUP($H70,areaCercaPuntiClassificaSquadra,3,FALSE),-1)=IFERROR(VLOOKUP($AN70,areaCercaPuntiClassificaSquadra,3,FALSE),-2)),SUMIFS(Dati!$F$2:$F$761,Dati!$A$2:$A$761,$H70,Dati!$H$2:$H$761,$AN70)+SUMIFS(Dati!$M$2:$M$761,Dati!$H$2:$H$761,$H70,Dati!$A$2:$A$761,$AN70),"-")</f>
        <v/>
      </c>
      <c r="DY70" s="22">
        <f>IF(AND($H70&lt;&gt;"",$AO70&lt;&gt;"",$H70&lt;&gt;$AO70,IFERROR(VLOOKUP($H70,areaCercaPuntiClassificaSquadra,3,FALSE),-1)=IFERROR(VLOOKUP($AO70,areaCercaPuntiClassificaSquadra,3,FALSE),-2)),SUMIFS(Dati!$F$2:$F$761,Dati!$A$2:$A$761,$H70,Dati!$H$2:$H$761,$AO70)+SUMIFS(Dati!$M$2:$M$761,Dati!$H$2:$H$761,$H70,Dati!$A$2:$A$761,$AO70),"-")</f>
        <v/>
      </c>
      <c r="DZ70" s="22">
        <f>IF(AND($H70&lt;&gt;"",$AP70&lt;&gt;"",$H70&lt;&gt;$AP70,IFERROR(VLOOKUP($H70,areaCercaPuntiClassificaSquadra,3,FALSE),-1)=IFERROR(VLOOKUP($AP70,areaCercaPuntiClassificaSquadra,3,FALSE),-2)),SUMIFS(Dati!$F$2:$F$761,Dati!$A$2:$A$761,$H70,Dati!$H$2:$H$761,$AP70)+SUMIFS(Dati!$M$2:$M$761,Dati!$H$2:$H$761,$H70,Dati!$A$2:$A$761,$AP70),"-")</f>
        <v/>
      </c>
      <c r="EA70" s="22">
        <f>IF(AND($H70&lt;&gt;"",$AQ70&lt;&gt;"",$H70&lt;&gt;$AQ70,IFERROR(VLOOKUP($H70,areaCercaPuntiClassificaSquadra,3,FALSE),-1)=IFERROR(VLOOKUP($AQ70,areaCercaPuntiClassificaSquadra,3,FALSE),-2)),SUMIFS(Dati!$F$2:$F$761,Dati!$A$2:$A$761,$H70,Dati!$H$2:$H$761,$AQ70)+SUMIFS(Dati!$M$2:$M$761,Dati!$H$2:$H$761,$H70,Dati!$A$2:$A$761,$AQ70),"-")</f>
        <v/>
      </c>
      <c r="EB70" s="22">
        <f>IF(AND($H70&lt;&gt;"",$AR70&lt;&gt;"",$H70&lt;&gt;$AR70,IFERROR(VLOOKUP($H70,areaCercaPuntiClassificaSquadra,3,FALSE),-1)=IFERROR(VLOOKUP($AR70,areaCercaPuntiClassificaSquadra,3,FALSE),-2)),SUMIFS(Dati!$F$2:$F$761,Dati!$A$2:$A$761,$H70,Dati!$H$2:$H$761,$AR70)+SUMIFS(Dati!$M$2:$M$761,Dati!$H$2:$H$761,$H70,Dati!$A$2:$A$761,$AR70),"-")</f>
        <v/>
      </c>
      <c r="ED70" s="22">
        <f>IF($C70="","",SUM(AU70:BN70))</f>
        <v/>
      </c>
    </row>
    <row r="71">
      <c r="B71" s="12" t="inlineStr">
        <is>
          <t>C18</t>
        </is>
      </c>
      <c r="C71" s="13" t="inlineStr">
        <is>
          <t>Giraffe Gentili-Giraffeopoli GI</t>
        </is>
      </c>
      <c r="D71" s="14" t="n"/>
      <c r="E71" s="25" t="inlineStr">
        <is>
          <t>C</t>
        </is>
      </c>
      <c r="G71" s="26">
        <f>IF($C71="","",$E71&amp;(COUNTIFS(I$14:I$93,"&gt;"&amp;I71,E$14:E$93,"="&amp;E71,C$14:C$93,"&lt;&gt;")+COUNTIFS(I$14:I$93,"="&amp;I71,H$14:H$93,"&lt;="&amp;H71,E$14:E$93,"="&amp;E71,C$14:C$93,"&lt;&gt;")))</f>
        <v/>
      </c>
      <c r="H71" s="17">
        <f>IF($C71="","",IFERROR(LEFT($C71,FIND("-",$C71)-1),$C71))</f>
        <v/>
      </c>
      <c r="I71" s="12">
        <f>TEXT(1000000000+J71,"|0000000000|")&amp;TEXT(SUM(AU71:BN71),"0000000000|")&amp;IF(SUM(DI71:EB71)=0,"0000000000|",TEXT(ROUND(SUM(CM71:DF71)/SUM(DI71:EB71),4)*100000,"0000000000|"))&amp;IF(P71=0,"0000000000|",TEXT(ROUND(O71/P71,4)*100000,"0000000000|"))</f>
        <v/>
      </c>
      <c r="J71" s="26">
        <f>L71*constPuntiVittoria+M71*constPuntiSconfitta+N71*constPuntiForfait+IF(D71="",0,D71)</f>
        <v/>
      </c>
      <c r="K71" s="12">
        <f>SUM(L71:N71)</f>
        <v/>
      </c>
      <c r="L71" s="12">
        <f>IF($H71="",0,SUMIF(Dati!$A$2:$A$761,$H71,Dati!$B$2:$B$761)+SUMIF(Dati!$H$2:$H$761,$H71,Dati!$I$2:$I$761))</f>
        <v/>
      </c>
      <c r="M71" s="12">
        <f>IF($H71="",0,SUMIF(Dati!$A$2:$A$761,$H71,Dati!$D$2:$D$761)+SUMIF(Dati!$H$2:$H$761,$H71,Dati!$K$2:$K$761))</f>
        <v/>
      </c>
      <c r="N71" s="12">
        <f>IF($H71="",0,SUMIF(Dati!$A$2:$A$761,$H71,Dati!$C$2:$C$761)+SUMIF(Dati!$H$2:$H$761,$H71,Dati!$J$2:$J$761))</f>
        <v/>
      </c>
      <c r="O71" s="12">
        <f>IF($H71="",0,SUMIF(Dati!$A$2:$A$761,$H71,Dati!$E$2:$E$761)+SUMIF(Dati!$H$2:$H$761,$H71,Dati!$L$2:$L$761))</f>
        <v/>
      </c>
      <c r="P71" s="12">
        <f>IF($H71="",0,SUMIF(Dati!$A$2:$A$761,$H71,Dati!$F$2:$F$761)+SUMIF(Dati!$H$2:$H$761,$H71,Dati!$M$2:$M$761))</f>
        <v/>
      </c>
      <c r="Q71" s="12">
        <f>IF($H71="",0,SUMIF(Dati!$A$2:$A$761,$H71,Dati!$G$2:$G$761)+SUMIF(Dati!$H$2:$H$761,$H71,Dati!$N$2:$N$761))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IF(COUNTIFS($E$14:$E$93,$E71,$J$14:$J$93,$J71,$C$14:$C$93,"&lt;&gt;")&lt;=1,"-",SUM(AU71:BN71)&amp;"-"&amp;SUM(BQ71:CJ71))</f>
        <v/>
      </c>
      <c r="V71" s="18">
        <f>IF(COUNTIFS($E$14:$E$93,$E71,$J$14:$J$93,$J71,$C$14:$C$93,"&lt;&gt;",$ED$14:$ED$93,$ED71)&lt;=1,"-",IF(SUM(DI71:EB71)=0,0,ROUND(SUM(CM71:DF71)/SUM(DI71:EB71),3)))</f>
        <v/>
      </c>
      <c r="W71" s="18">
        <f>IF(COUNTIFS($E$14:$E$93,$E71,$J$14:$J$93,$J71,$C$14:$C$93,"&lt;&gt;",$ED$14:$ED$93,$ED71,$V$14:$V$93,$V71)&lt;=1,"-",IF(P71=0,0,ROUND(O71/P71,3)))</f>
        <v/>
      </c>
      <c r="X71" s="19">
        <f>IF($C71="","",$E71&amp;"#"&amp;COUNTIFS($E$14:$E71,$E71,$C$14:$C71,"&lt;&gt;"))</f>
        <v/>
      </c>
      <c r="Y71" s="20">
        <f>IFERROR(INDEX($H$14:$H$93,MATCH($E71&amp;"#1",$X$14:$X$93,0)),"")</f>
        <v/>
      </c>
      <c r="Z71" s="20">
        <f>IFERROR(INDEX($H$14:$H$93,MATCH($E71&amp;"#2",$X$14:$X$93,0)),"")</f>
        <v/>
      </c>
      <c r="AA71" s="20">
        <f>IFERROR(INDEX($H$14:$H$93,MATCH($E71&amp;"#3",$X$14:$X$93,0)),"")</f>
        <v/>
      </c>
      <c r="AB71" s="20">
        <f>IFERROR(INDEX($H$14:$H$93,MATCH($E71&amp;"#4",$X$14:$X$93,0)),"")</f>
        <v/>
      </c>
      <c r="AC71" s="20">
        <f>IFERROR(INDEX($H$14:$H$93,MATCH($E71&amp;"#5",$X$14:$X$93,0)),"")</f>
        <v/>
      </c>
      <c r="AD71" s="20">
        <f>IFERROR(INDEX($H$14:$H$93,MATCH($E71&amp;"#6",$X$14:$X$93,0)),"")</f>
        <v/>
      </c>
      <c r="AE71" s="20">
        <f>IFERROR(INDEX($H$14:$H$93,MATCH($E71&amp;"#7",$X$14:$X$93,0)),"")</f>
        <v/>
      </c>
      <c r="AF71" s="20">
        <f>IFERROR(INDEX($H$14:$H$93,MATCH($E71&amp;"#8",$X$14:$X$93,0)),"")</f>
        <v/>
      </c>
      <c r="AG71" s="20">
        <f>IFERROR(INDEX($H$14:$H$93,MATCH($E71&amp;"#9",$X$14:$X$93,0)),"")</f>
        <v/>
      </c>
      <c r="AH71" s="20">
        <f>IFERROR(INDEX($H$14:$H$93,MATCH($E71&amp;"#10",$X$14:$X$93,0)),"")</f>
        <v/>
      </c>
      <c r="AI71" s="20">
        <f>IFERROR(INDEX($H$14:$H$93,MATCH($E71&amp;"#11",$X$14:$X$93,0)),"")</f>
        <v/>
      </c>
      <c r="AJ71" s="20">
        <f>IFERROR(INDEX($H$14:$H$93,MATCH($E71&amp;"#12",$X$14:$X$93,0)),"")</f>
        <v/>
      </c>
      <c r="AK71" s="20">
        <f>IFERROR(INDEX($H$14:$H$93,MATCH($E71&amp;"#13",$X$14:$X$93,0)),"")</f>
        <v/>
      </c>
      <c r="AL71" s="20">
        <f>IFERROR(INDEX($H$14:$H$93,MATCH($E71&amp;"#14",$X$14:$X$93,0)),"")</f>
        <v/>
      </c>
      <c r="AM71" s="20">
        <f>IFERROR(INDEX($H$14:$H$93,MATCH($E71&amp;"#15",$X$14:$X$93,0)),"")</f>
        <v/>
      </c>
      <c r="AN71" s="20">
        <f>IFERROR(INDEX($H$14:$H$93,MATCH($E71&amp;"#16",$X$14:$X$93,0)),"")</f>
        <v/>
      </c>
      <c r="AO71" s="20">
        <f>IFERROR(INDEX($H$14:$H$93,MATCH($E71&amp;"#17",$X$14:$X$93,0)),"")</f>
        <v/>
      </c>
      <c r="AP71" s="20">
        <f>IFERROR(INDEX($H$14:$H$93,MATCH($E71&amp;"#18",$X$14:$X$93,0)),"")</f>
        <v/>
      </c>
      <c r="AQ71" s="20">
        <f>IFERROR(INDEX($H$14:$H$93,MATCH($E71&amp;"#19",$X$14:$X$93,0)),"")</f>
        <v/>
      </c>
      <c r="AR71" s="20">
        <f>IFERROR(INDEX($H$14:$H$93,MATCH($E71&amp;"#20",$X$14:$X$93,0)),"")</f>
        <v/>
      </c>
      <c r="AT71" s="21">
        <f>$C71</f>
        <v/>
      </c>
      <c r="AU71" s="22">
        <f>IF(AND($H71&lt;&gt;"",$Y71&lt;&gt;"",$H71&lt;&gt;$Y71,IFERROR(VLOOKUP($H71,areaCercaPuntiClassificaSquadra,3,FALSE),-1)=IFERROR(VLOOKUP($Y71,areaCercaPuntiClassificaSquadra,3,FALSE),-2)),SUMIFS(Dati!$B$2:$B$761,Dati!$A$2:$A$761,$H71,Dati!$H$2:$H$761,$Y71)+SUMIFS(Dati!$I$2:$I$761,Dati!$H$2:$H$761,$H71,Dati!$A$2:$A$761,$Y71),"-")</f>
        <v/>
      </c>
      <c r="AV71" s="22">
        <f>IF(AND($H71&lt;&gt;"",$Z71&lt;&gt;"",$H71&lt;&gt;$Z71,IFERROR(VLOOKUP($H71,areaCercaPuntiClassificaSquadra,3,FALSE),-1)=IFERROR(VLOOKUP($Z71,areaCercaPuntiClassificaSquadra,3,FALSE),-2)),SUMIFS(Dati!$B$2:$B$761,Dati!$A$2:$A$761,$H71,Dati!$H$2:$H$761,$Z71)+SUMIFS(Dati!$I$2:$I$761,Dati!$H$2:$H$761,$H71,Dati!$A$2:$A$761,$Z71),"-")</f>
        <v/>
      </c>
      <c r="AW71" s="22">
        <f>IF(AND($H71&lt;&gt;"",$AA71&lt;&gt;"",$H71&lt;&gt;$AA71,IFERROR(VLOOKUP($H71,areaCercaPuntiClassificaSquadra,3,FALSE),-1)=IFERROR(VLOOKUP($AA71,areaCercaPuntiClassificaSquadra,3,FALSE),-2)),SUMIFS(Dati!$B$2:$B$761,Dati!$A$2:$A$761,$H71,Dati!$H$2:$H$761,$AA71)+SUMIFS(Dati!$I$2:$I$761,Dati!$H$2:$H$761,$H71,Dati!$A$2:$A$761,$AA71),"-")</f>
        <v/>
      </c>
      <c r="AX71" s="22">
        <f>IF(AND($H71&lt;&gt;"",$AB71&lt;&gt;"",$H71&lt;&gt;$AB71,IFERROR(VLOOKUP($H71,areaCercaPuntiClassificaSquadra,3,FALSE),-1)=IFERROR(VLOOKUP($AB71,areaCercaPuntiClassificaSquadra,3,FALSE),-2)),SUMIFS(Dati!$B$2:$B$761,Dati!$A$2:$A$761,$H71,Dati!$H$2:$H$761,$AB71)+SUMIFS(Dati!$I$2:$I$761,Dati!$H$2:$H$761,$H71,Dati!$A$2:$A$761,$AB71),"-")</f>
        <v/>
      </c>
      <c r="AY71" s="22">
        <f>IF(AND($H71&lt;&gt;"",$AC71&lt;&gt;"",$H71&lt;&gt;$AC71,IFERROR(VLOOKUP($H71,areaCercaPuntiClassificaSquadra,3,FALSE),-1)=IFERROR(VLOOKUP($AC71,areaCercaPuntiClassificaSquadra,3,FALSE),-2)),SUMIFS(Dati!$B$2:$B$761,Dati!$A$2:$A$761,$H71,Dati!$H$2:$H$761,$AC71)+SUMIFS(Dati!$I$2:$I$761,Dati!$H$2:$H$761,$H71,Dati!$A$2:$A$761,$AC71),"-")</f>
        <v/>
      </c>
      <c r="AZ71" s="22">
        <f>IF(AND($H71&lt;&gt;"",$AD71&lt;&gt;"",$H71&lt;&gt;$AD71,IFERROR(VLOOKUP($H71,areaCercaPuntiClassificaSquadra,3,FALSE),-1)=IFERROR(VLOOKUP($AD71,areaCercaPuntiClassificaSquadra,3,FALSE),-2)),SUMIFS(Dati!$B$2:$B$761,Dati!$A$2:$A$761,$H71,Dati!$H$2:$H$761,$AD71)+SUMIFS(Dati!$I$2:$I$761,Dati!$H$2:$H$761,$H71,Dati!$A$2:$A$761,$AD71),"-")</f>
        <v/>
      </c>
      <c r="BA71" s="22">
        <f>IF(AND($H71&lt;&gt;"",$AE71&lt;&gt;"",$H71&lt;&gt;$AE71,IFERROR(VLOOKUP($H71,areaCercaPuntiClassificaSquadra,3,FALSE),-1)=IFERROR(VLOOKUP($AE71,areaCercaPuntiClassificaSquadra,3,FALSE),-2)),SUMIFS(Dati!$B$2:$B$761,Dati!$A$2:$A$761,$H71,Dati!$H$2:$H$761,$AE71)+SUMIFS(Dati!$I$2:$I$761,Dati!$H$2:$H$761,$H71,Dati!$A$2:$A$761,$AE71),"-")</f>
        <v/>
      </c>
      <c r="BB71" s="22">
        <f>IF(AND($H71&lt;&gt;"",$AF71&lt;&gt;"",$H71&lt;&gt;$AF71,IFERROR(VLOOKUP($H71,areaCercaPuntiClassificaSquadra,3,FALSE),-1)=IFERROR(VLOOKUP($AF71,areaCercaPuntiClassificaSquadra,3,FALSE),-2)),SUMIFS(Dati!$B$2:$B$761,Dati!$A$2:$A$761,$H71,Dati!$H$2:$H$761,$AF71)+SUMIFS(Dati!$I$2:$I$761,Dati!$H$2:$H$761,$H71,Dati!$A$2:$A$761,$AF71),"-")</f>
        <v/>
      </c>
      <c r="BC71" s="22">
        <f>IF(AND($H71&lt;&gt;"",$AG71&lt;&gt;"",$H71&lt;&gt;$AG71,IFERROR(VLOOKUP($H71,areaCercaPuntiClassificaSquadra,3,FALSE),-1)=IFERROR(VLOOKUP($AG71,areaCercaPuntiClassificaSquadra,3,FALSE),-2)),SUMIFS(Dati!$B$2:$B$761,Dati!$A$2:$A$761,$H71,Dati!$H$2:$H$761,$AG71)+SUMIFS(Dati!$I$2:$I$761,Dati!$H$2:$H$761,$H71,Dati!$A$2:$A$761,$AG71),"-")</f>
        <v/>
      </c>
      <c r="BD71" s="22">
        <f>IF(AND($H71&lt;&gt;"",$AH71&lt;&gt;"",$H71&lt;&gt;$AH71,IFERROR(VLOOKUP($H71,areaCercaPuntiClassificaSquadra,3,FALSE),-1)=IFERROR(VLOOKUP($AH71,areaCercaPuntiClassificaSquadra,3,FALSE),-2)),SUMIFS(Dati!$B$2:$B$761,Dati!$A$2:$A$761,$H71,Dati!$H$2:$H$761,$AH71)+SUMIFS(Dati!$I$2:$I$761,Dati!$H$2:$H$761,$H71,Dati!$A$2:$A$761,$AH71),"-")</f>
        <v/>
      </c>
      <c r="BE71" s="22">
        <f>IF(AND($H71&lt;&gt;"",$AI71&lt;&gt;"",$H71&lt;&gt;$AI71,IFERROR(VLOOKUP($H71,areaCercaPuntiClassificaSquadra,3,FALSE),-1)=IFERROR(VLOOKUP($AI71,areaCercaPuntiClassificaSquadra,3,FALSE),-2)),SUMIFS(Dati!$B$2:$B$761,Dati!$A$2:$A$761,$H71,Dati!$H$2:$H$761,$AI71)+SUMIFS(Dati!$I$2:$I$761,Dati!$H$2:$H$761,$H71,Dati!$A$2:$A$761,$AI71),"-")</f>
        <v/>
      </c>
      <c r="BF71" s="22">
        <f>IF(AND($H71&lt;&gt;"",$AJ71&lt;&gt;"",$H71&lt;&gt;$AJ71,IFERROR(VLOOKUP($H71,areaCercaPuntiClassificaSquadra,3,FALSE),-1)=IFERROR(VLOOKUP($AJ71,areaCercaPuntiClassificaSquadra,3,FALSE),-2)),SUMIFS(Dati!$B$2:$B$761,Dati!$A$2:$A$761,$H71,Dati!$H$2:$H$761,$AJ71)+SUMIFS(Dati!$I$2:$I$761,Dati!$H$2:$H$761,$H71,Dati!$A$2:$A$761,$AJ71),"-")</f>
        <v/>
      </c>
      <c r="BG71" s="22">
        <f>IF(AND($H71&lt;&gt;"",$AK71&lt;&gt;"",$H71&lt;&gt;$AK71,IFERROR(VLOOKUP($H71,areaCercaPuntiClassificaSquadra,3,FALSE),-1)=IFERROR(VLOOKUP($AK71,areaCercaPuntiClassificaSquadra,3,FALSE),-2)),SUMIFS(Dati!$B$2:$B$761,Dati!$A$2:$A$761,$H71,Dati!$H$2:$H$761,$AK71)+SUMIFS(Dati!$I$2:$I$761,Dati!$H$2:$H$761,$H71,Dati!$A$2:$A$761,$AK71),"-")</f>
        <v/>
      </c>
      <c r="BH71" s="22">
        <f>IF(AND($H71&lt;&gt;"",$AL71&lt;&gt;"",$H71&lt;&gt;$AL71,IFERROR(VLOOKUP($H71,areaCercaPuntiClassificaSquadra,3,FALSE),-1)=IFERROR(VLOOKUP($AL71,areaCercaPuntiClassificaSquadra,3,FALSE),-2)),SUMIFS(Dati!$B$2:$B$761,Dati!$A$2:$A$761,$H71,Dati!$H$2:$H$761,$AL71)+SUMIFS(Dati!$I$2:$I$761,Dati!$H$2:$H$761,$H71,Dati!$A$2:$A$761,$AL71),"-")</f>
        <v/>
      </c>
      <c r="BI71" s="22">
        <f>IF(AND($H71&lt;&gt;"",$AM71&lt;&gt;"",$H71&lt;&gt;$AM71,IFERROR(VLOOKUP($H71,areaCercaPuntiClassificaSquadra,3,FALSE),-1)=IFERROR(VLOOKUP($AM71,areaCercaPuntiClassificaSquadra,3,FALSE),-2)),SUMIFS(Dati!$B$2:$B$761,Dati!$A$2:$A$761,$H71,Dati!$H$2:$H$761,$AM71)+SUMIFS(Dati!$I$2:$I$761,Dati!$H$2:$H$761,$H71,Dati!$A$2:$A$761,$AM71),"-")</f>
        <v/>
      </c>
      <c r="BJ71" s="22">
        <f>IF(AND($H71&lt;&gt;"",$AN71&lt;&gt;"",$H71&lt;&gt;$AN71,IFERROR(VLOOKUP($H71,areaCercaPuntiClassificaSquadra,3,FALSE),-1)=IFERROR(VLOOKUP($AN71,areaCercaPuntiClassificaSquadra,3,FALSE),-2)),SUMIFS(Dati!$B$2:$B$761,Dati!$A$2:$A$761,$H71,Dati!$H$2:$H$761,$AN71)+SUMIFS(Dati!$I$2:$I$761,Dati!$H$2:$H$761,$H71,Dati!$A$2:$A$761,$AN71),"-")</f>
        <v/>
      </c>
      <c r="BK71" s="22">
        <f>IF(AND($H71&lt;&gt;"",$AO71&lt;&gt;"",$H71&lt;&gt;$AO71,IFERROR(VLOOKUP($H71,areaCercaPuntiClassificaSquadra,3,FALSE),-1)=IFERROR(VLOOKUP($AO71,areaCercaPuntiClassificaSquadra,3,FALSE),-2)),SUMIFS(Dati!$B$2:$B$761,Dati!$A$2:$A$761,$H71,Dati!$H$2:$H$761,$AO71)+SUMIFS(Dati!$I$2:$I$761,Dati!$H$2:$H$761,$H71,Dati!$A$2:$A$761,$AO71),"-")</f>
        <v/>
      </c>
      <c r="BL71" s="22">
        <f>IF(AND($H71&lt;&gt;"",$AP71&lt;&gt;"",$H71&lt;&gt;$AP71,IFERROR(VLOOKUP($H71,areaCercaPuntiClassificaSquadra,3,FALSE),-1)=IFERROR(VLOOKUP($AP71,areaCercaPuntiClassificaSquadra,3,FALSE),-2)),SUMIFS(Dati!$B$2:$B$761,Dati!$A$2:$A$761,$H71,Dati!$H$2:$H$761,$AP71)+SUMIFS(Dati!$I$2:$I$761,Dati!$H$2:$H$761,$H71,Dati!$A$2:$A$761,$AP71),"-")</f>
        <v/>
      </c>
      <c r="BM71" s="22">
        <f>IF(AND($H71&lt;&gt;"",$AQ71&lt;&gt;"",$H71&lt;&gt;$AQ71,IFERROR(VLOOKUP($H71,areaCercaPuntiClassificaSquadra,3,FALSE),-1)=IFERROR(VLOOKUP($AQ71,areaCercaPuntiClassificaSquadra,3,FALSE),-2)),SUMIFS(Dati!$B$2:$B$761,Dati!$A$2:$A$761,$H71,Dati!$H$2:$H$761,$AQ71)+SUMIFS(Dati!$I$2:$I$761,Dati!$H$2:$H$761,$H71,Dati!$A$2:$A$761,$AQ71),"-")</f>
        <v/>
      </c>
      <c r="BN71" s="22">
        <f>IF(AND($H71&lt;&gt;"",$AR71&lt;&gt;"",$H71&lt;&gt;$AR71,IFERROR(VLOOKUP($H71,areaCercaPuntiClassificaSquadra,3,FALSE),-1)=IFERROR(VLOOKUP($AR71,areaCercaPuntiClassificaSquadra,3,FALSE),-2)),SUMIFS(Dati!$B$2:$B$761,Dati!$A$2:$A$761,$H71,Dati!$H$2:$H$761,$AR71)+SUMIFS(Dati!$I$2:$I$761,Dati!$H$2:$H$761,$H71,Dati!$A$2:$A$761,$AR71),"-")</f>
        <v/>
      </c>
      <c r="BP71" s="21">
        <f>$C71</f>
        <v/>
      </c>
      <c r="BQ71" s="22">
        <f>IF(AND($H71&lt;&gt;"",$Y71&lt;&gt;"",$H71&lt;&gt;$Y71,IFERROR(VLOOKUP($H71,areaCercaPuntiClassificaSquadra,3,FALSE),-1)=IFERROR(VLOOKUP($Y71,areaCercaPuntiClassificaSquadra,3,FALSE),-2)),SUMIFS(Dati!$D$2:$D$761,Dati!$A$2:$A$761,$H71,Dati!$H$2:$H$761,$Y71)+SUMIFS(Dati!$K$2:$K$761,Dati!$H$2:$H$761,$H71,Dati!$A$2:$A$761,$Y71)+SUMIFS(Dati!$C$2:$C$761,Dati!$A$2:$A$761,$H71,Dati!$H$2:$H$761,$Y71)+SUMIFS(Dati!$J$2:$J$761,Dati!$H$2:$H$761,$H71,Dati!$A$2:$A$761,$Y71),"-")</f>
        <v/>
      </c>
      <c r="BR71" s="22">
        <f>IF(AND($H71&lt;&gt;"",$Z71&lt;&gt;"",$H71&lt;&gt;$Z71,IFERROR(VLOOKUP($H71,areaCercaPuntiClassificaSquadra,3,FALSE),-1)=IFERROR(VLOOKUP($Z71,areaCercaPuntiClassificaSquadra,3,FALSE),-2)),SUMIFS(Dati!$D$2:$D$761,Dati!$A$2:$A$761,$H71,Dati!$H$2:$H$761,$Z71)+SUMIFS(Dati!$K$2:$K$761,Dati!$H$2:$H$761,$H71,Dati!$A$2:$A$761,$Z71)+SUMIFS(Dati!$C$2:$C$761,Dati!$A$2:$A$761,$H71,Dati!$H$2:$H$761,$Z71)+SUMIFS(Dati!$J$2:$J$761,Dati!$H$2:$H$761,$H71,Dati!$A$2:$A$761,$Z71),"-")</f>
        <v/>
      </c>
      <c r="BS71" s="22">
        <f>IF(AND($H71&lt;&gt;"",$AA71&lt;&gt;"",$H71&lt;&gt;$AA71,IFERROR(VLOOKUP($H71,areaCercaPuntiClassificaSquadra,3,FALSE),-1)=IFERROR(VLOOKUP($AA71,areaCercaPuntiClassificaSquadra,3,FALSE),-2)),SUMIFS(Dati!$D$2:$D$761,Dati!$A$2:$A$761,$H71,Dati!$H$2:$H$761,$AA71)+SUMIFS(Dati!$K$2:$K$761,Dati!$H$2:$H$761,$H71,Dati!$A$2:$A$761,$AA71)+SUMIFS(Dati!$C$2:$C$761,Dati!$A$2:$A$761,$H71,Dati!$H$2:$H$761,$AA71)+SUMIFS(Dati!$J$2:$J$761,Dati!$H$2:$H$761,$H71,Dati!$A$2:$A$761,$AA71),"-")</f>
        <v/>
      </c>
      <c r="BT71" s="22">
        <f>IF(AND($H71&lt;&gt;"",$AB71&lt;&gt;"",$H71&lt;&gt;$AB71,IFERROR(VLOOKUP($H71,areaCercaPuntiClassificaSquadra,3,FALSE),-1)=IFERROR(VLOOKUP($AB71,areaCercaPuntiClassificaSquadra,3,FALSE),-2)),SUMIFS(Dati!$D$2:$D$761,Dati!$A$2:$A$761,$H71,Dati!$H$2:$H$761,$AB71)+SUMIFS(Dati!$K$2:$K$761,Dati!$H$2:$H$761,$H71,Dati!$A$2:$A$761,$AB71)+SUMIFS(Dati!$C$2:$C$761,Dati!$A$2:$A$761,$H71,Dati!$H$2:$H$761,$AB71)+SUMIFS(Dati!$J$2:$J$761,Dati!$H$2:$H$761,$H71,Dati!$A$2:$A$761,$AB71),"-")</f>
        <v/>
      </c>
      <c r="BU71" s="22">
        <f>IF(AND($H71&lt;&gt;"",$AC71&lt;&gt;"",$H71&lt;&gt;$AC71,IFERROR(VLOOKUP($H71,areaCercaPuntiClassificaSquadra,3,FALSE),-1)=IFERROR(VLOOKUP($AC71,areaCercaPuntiClassificaSquadra,3,FALSE),-2)),SUMIFS(Dati!$D$2:$D$761,Dati!$A$2:$A$761,$H71,Dati!$H$2:$H$761,$AC71)+SUMIFS(Dati!$K$2:$K$761,Dati!$H$2:$H$761,$H71,Dati!$A$2:$A$761,$AC71)+SUMIFS(Dati!$C$2:$C$761,Dati!$A$2:$A$761,$H71,Dati!$H$2:$H$761,$AC71)+SUMIFS(Dati!$J$2:$J$761,Dati!$H$2:$H$761,$H71,Dati!$A$2:$A$761,$AC71),"-")</f>
        <v/>
      </c>
      <c r="BV71" s="22">
        <f>IF(AND($H71&lt;&gt;"",$AD71&lt;&gt;"",$H71&lt;&gt;$AD71,IFERROR(VLOOKUP($H71,areaCercaPuntiClassificaSquadra,3,FALSE),-1)=IFERROR(VLOOKUP($AD71,areaCercaPuntiClassificaSquadra,3,FALSE),-2)),SUMIFS(Dati!$D$2:$D$761,Dati!$A$2:$A$761,$H71,Dati!$H$2:$H$761,$AD71)+SUMIFS(Dati!$K$2:$K$761,Dati!$H$2:$H$761,$H71,Dati!$A$2:$A$761,$AD71)+SUMIFS(Dati!$C$2:$C$761,Dati!$A$2:$A$761,$H71,Dati!$H$2:$H$761,$AD71)+SUMIFS(Dati!$J$2:$J$761,Dati!$H$2:$H$761,$H71,Dati!$A$2:$A$761,$AD71),"-")</f>
        <v/>
      </c>
      <c r="BW71" s="22">
        <f>IF(AND($H71&lt;&gt;"",$AE71&lt;&gt;"",$H71&lt;&gt;$AE71,IFERROR(VLOOKUP($H71,areaCercaPuntiClassificaSquadra,3,FALSE),-1)=IFERROR(VLOOKUP($AE71,areaCercaPuntiClassificaSquadra,3,FALSE),-2)),SUMIFS(Dati!$D$2:$D$761,Dati!$A$2:$A$761,$H71,Dati!$H$2:$H$761,$AE71)+SUMIFS(Dati!$K$2:$K$761,Dati!$H$2:$H$761,$H71,Dati!$A$2:$A$761,$AE71)+SUMIFS(Dati!$C$2:$C$761,Dati!$A$2:$A$761,$H71,Dati!$H$2:$H$761,$AE71)+SUMIFS(Dati!$J$2:$J$761,Dati!$H$2:$H$761,$H71,Dati!$A$2:$A$761,$AE71),"-")</f>
        <v/>
      </c>
      <c r="BX71" s="22">
        <f>IF(AND($H71&lt;&gt;"",$AF71&lt;&gt;"",$H71&lt;&gt;$AF71,IFERROR(VLOOKUP($H71,areaCercaPuntiClassificaSquadra,3,FALSE),-1)=IFERROR(VLOOKUP($AF71,areaCercaPuntiClassificaSquadra,3,FALSE),-2)),SUMIFS(Dati!$D$2:$D$761,Dati!$A$2:$A$761,$H71,Dati!$H$2:$H$761,$AF71)+SUMIFS(Dati!$K$2:$K$761,Dati!$H$2:$H$761,$H71,Dati!$A$2:$A$761,$AF71)+SUMIFS(Dati!$C$2:$C$761,Dati!$A$2:$A$761,$H71,Dati!$H$2:$H$761,$AF71)+SUMIFS(Dati!$J$2:$J$761,Dati!$H$2:$H$761,$H71,Dati!$A$2:$A$761,$AF71),"-")</f>
        <v/>
      </c>
      <c r="BY71" s="22">
        <f>IF(AND($H71&lt;&gt;"",$AG71&lt;&gt;"",$H71&lt;&gt;$AG71,IFERROR(VLOOKUP($H71,areaCercaPuntiClassificaSquadra,3,FALSE),-1)=IFERROR(VLOOKUP($AG71,areaCercaPuntiClassificaSquadra,3,FALSE),-2)),SUMIFS(Dati!$D$2:$D$761,Dati!$A$2:$A$761,$H71,Dati!$H$2:$H$761,$AG71)+SUMIFS(Dati!$K$2:$K$761,Dati!$H$2:$H$761,$H71,Dati!$A$2:$A$761,$AG71)+SUMIFS(Dati!$C$2:$C$761,Dati!$A$2:$A$761,$H71,Dati!$H$2:$H$761,$AG71)+SUMIFS(Dati!$J$2:$J$761,Dati!$H$2:$H$761,$H71,Dati!$A$2:$A$761,$AG71),"-")</f>
        <v/>
      </c>
      <c r="BZ71" s="22">
        <f>IF(AND($H71&lt;&gt;"",$AH71&lt;&gt;"",$H71&lt;&gt;$AH71,IFERROR(VLOOKUP($H71,areaCercaPuntiClassificaSquadra,3,FALSE),-1)=IFERROR(VLOOKUP($AH71,areaCercaPuntiClassificaSquadra,3,FALSE),-2)),SUMIFS(Dati!$D$2:$D$761,Dati!$A$2:$A$761,$H71,Dati!$H$2:$H$761,$AH71)+SUMIFS(Dati!$K$2:$K$761,Dati!$H$2:$H$761,$H71,Dati!$A$2:$A$761,$AH71)+SUMIFS(Dati!$C$2:$C$761,Dati!$A$2:$A$761,$H71,Dati!$H$2:$H$761,$AH71)+SUMIFS(Dati!$J$2:$J$761,Dati!$H$2:$H$761,$H71,Dati!$A$2:$A$761,$AH71),"-")</f>
        <v/>
      </c>
      <c r="CA71" s="22">
        <f>IF(AND($H71&lt;&gt;"",$AI71&lt;&gt;"",$H71&lt;&gt;$AI71,IFERROR(VLOOKUP($H71,areaCercaPuntiClassificaSquadra,3,FALSE),-1)=IFERROR(VLOOKUP($AI71,areaCercaPuntiClassificaSquadra,3,FALSE),-2)),SUMIFS(Dati!$D$2:$D$761,Dati!$A$2:$A$761,$H71,Dati!$H$2:$H$761,$AI71)+SUMIFS(Dati!$K$2:$K$761,Dati!$H$2:$H$761,$H71,Dati!$A$2:$A$761,$AI71)+SUMIFS(Dati!$C$2:$C$761,Dati!$A$2:$A$761,$H71,Dati!$H$2:$H$761,$AI71)+SUMIFS(Dati!$J$2:$J$761,Dati!$H$2:$H$761,$H71,Dati!$A$2:$A$761,$AI71),"-")</f>
        <v/>
      </c>
      <c r="CB71" s="22">
        <f>IF(AND($H71&lt;&gt;"",$AJ71&lt;&gt;"",$H71&lt;&gt;$AJ71,IFERROR(VLOOKUP($H71,areaCercaPuntiClassificaSquadra,3,FALSE),-1)=IFERROR(VLOOKUP($AJ71,areaCercaPuntiClassificaSquadra,3,FALSE),-2)),SUMIFS(Dati!$D$2:$D$761,Dati!$A$2:$A$761,$H71,Dati!$H$2:$H$761,$AJ71)+SUMIFS(Dati!$K$2:$K$761,Dati!$H$2:$H$761,$H71,Dati!$A$2:$A$761,$AJ71)+SUMIFS(Dati!$C$2:$C$761,Dati!$A$2:$A$761,$H71,Dati!$H$2:$H$761,$AJ71)+SUMIFS(Dati!$J$2:$J$761,Dati!$H$2:$H$761,$H71,Dati!$A$2:$A$761,$AJ71),"-")</f>
        <v/>
      </c>
      <c r="CC71" s="22">
        <f>IF(AND($H71&lt;&gt;"",$AK71&lt;&gt;"",$H71&lt;&gt;$AK71,IFERROR(VLOOKUP($H71,areaCercaPuntiClassificaSquadra,3,FALSE),-1)=IFERROR(VLOOKUP($AK71,areaCercaPuntiClassificaSquadra,3,FALSE),-2)),SUMIFS(Dati!$D$2:$D$761,Dati!$A$2:$A$761,$H71,Dati!$H$2:$H$761,$AK71)+SUMIFS(Dati!$K$2:$K$761,Dati!$H$2:$H$761,$H71,Dati!$A$2:$A$761,$AK71)+SUMIFS(Dati!$C$2:$C$761,Dati!$A$2:$A$761,$H71,Dati!$H$2:$H$761,$AK71)+SUMIFS(Dati!$J$2:$J$761,Dati!$H$2:$H$761,$H71,Dati!$A$2:$A$761,$AK71),"-")</f>
        <v/>
      </c>
      <c r="CD71" s="22">
        <f>IF(AND($H71&lt;&gt;"",$AL71&lt;&gt;"",$H71&lt;&gt;$AL71,IFERROR(VLOOKUP($H71,areaCercaPuntiClassificaSquadra,3,FALSE),-1)=IFERROR(VLOOKUP($AL71,areaCercaPuntiClassificaSquadra,3,FALSE),-2)),SUMIFS(Dati!$D$2:$D$761,Dati!$A$2:$A$761,$H71,Dati!$H$2:$H$761,$AL71)+SUMIFS(Dati!$K$2:$K$761,Dati!$H$2:$H$761,$H71,Dati!$A$2:$A$761,$AL71)+SUMIFS(Dati!$C$2:$C$761,Dati!$A$2:$A$761,$H71,Dati!$H$2:$H$761,$AL71)+SUMIFS(Dati!$J$2:$J$761,Dati!$H$2:$H$761,$H71,Dati!$A$2:$A$761,$AL71),"-")</f>
        <v/>
      </c>
      <c r="CE71" s="22">
        <f>IF(AND($H71&lt;&gt;"",$AM71&lt;&gt;"",$H71&lt;&gt;$AM71,IFERROR(VLOOKUP($H71,areaCercaPuntiClassificaSquadra,3,FALSE),-1)=IFERROR(VLOOKUP($AM71,areaCercaPuntiClassificaSquadra,3,FALSE),-2)),SUMIFS(Dati!$D$2:$D$761,Dati!$A$2:$A$761,$H71,Dati!$H$2:$H$761,$AM71)+SUMIFS(Dati!$K$2:$K$761,Dati!$H$2:$H$761,$H71,Dati!$A$2:$A$761,$AM71)+SUMIFS(Dati!$C$2:$C$761,Dati!$A$2:$A$761,$H71,Dati!$H$2:$H$761,$AM71)+SUMIFS(Dati!$J$2:$J$761,Dati!$H$2:$H$761,$H71,Dati!$A$2:$A$761,$AM71),"-")</f>
        <v/>
      </c>
      <c r="CF71" s="22">
        <f>IF(AND($H71&lt;&gt;"",$AN71&lt;&gt;"",$H71&lt;&gt;$AN71,IFERROR(VLOOKUP($H71,areaCercaPuntiClassificaSquadra,3,FALSE),-1)=IFERROR(VLOOKUP($AN71,areaCercaPuntiClassificaSquadra,3,FALSE),-2)),SUMIFS(Dati!$D$2:$D$761,Dati!$A$2:$A$761,$H71,Dati!$H$2:$H$761,$AN71)+SUMIFS(Dati!$K$2:$K$761,Dati!$H$2:$H$761,$H71,Dati!$A$2:$A$761,$AN71)+SUMIFS(Dati!$C$2:$C$761,Dati!$A$2:$A$761,$H71,Dati!$H$2:$H$761,$AN71)+SUMIFS(Dati!$J$2:$J$761,Dati!$H$2:$H$761,$H71,Dati!$A$2:$A$761,$AN71),"-")</f>
        <v/>
      </c>
      <c r="CG71" s="22">
        <f>IF(AND($H71&lt;&gt;"",$AO71&lt;&gt;"",$H71&lt;&gt;$AO71,IFERROR(VLOOKUP($H71,areaCercaPuntiClassificaSquadra,3,FALSE),-1)=IFERROR(VLOOKUP($AO71,areaCercaPuntiClassificaSquadra,3,FALSE),-2)),SUMIFS(Dati!$D$2:$D$761,Dati!$A$2:$A$761,$H71,Dati!$H$2:$H$761,$AO71)+SUMIFS(Dati!$K$2:$K$761,Dati!$H$2:$H$761,$H71,Dati!$A$2:$A$761,$AO71)+SUMIFS(Dati!$C$2:$C$761,Dati!$A$2:$A$761,$H71,Dati!$H$2:$H$761,$AO71)+SUMIFS(Dati!$J$2:$J$761,Dati!$H$2:$H$761,$H71,Dati!$A$2:$A$761,$AO71),"-")</f>
        <v/>
      </c>
      <c r="CH71" s="22">
        <f>IF(AND($H71&lt;&gt;"",$AP71&lt;&gt;"",$H71&lt;&gt;$AP71,IFERROR(VLOOKUP($H71,areaCercaPuntiClassificaSquadra,3,FALSE),-1)=IFERROR(VLOOKUP($AP71,areaCercaPuntiClassificaSquadra,3,FALSE),-2)),SUMIFS(Dati!$D$2:$D$761,Dati!$A$2:$A$761,$H71,Dati!$H$2:$H$761,$AP71)+SUMIFS(Dati!$K$2:$K$761,Dati!$H$2:$H$761,$H71,Dati!$A$2:$A$761,$AP71)+SUMIFS(Dati!$C$2:$C$761,Dati!$A$2:$A$761,$H71,Dati!$H$2:$H$761,$AP71)+SUMIFS(Dati!$J$2:$J$761,Dati!$H$2:$H$761,$H71,Dati!$A$2:$A$761,$AP71),"-")</f>
        <v/>
      </c>
      <c r="CI71" s="22">
        <f>IF(AND($H71&lt;&gt;"",$AQ71&lt;&gt;"",$H71&lt;&gt;$AQ71,IFERROR(VLOOKUP($H71,areaCercaPuntiClassificaSquadra,3,FALSE),-1)=IFERROR(VLOOKUP($AQ71,areaCercaPuntiClassificaSquadra,3,FALSE),-2)),SUMIFS(Dati!$D$2:$D$761,Dati!$A$2:$A$761,$H71,Dati!$H$2:$H$761,$AQ71)+SUMIFS(Dati!$K$2:$K$761,Dati!$H$2:$H$761,$H71,Dati!$A$2:$A$761,$AQ71)+SUMIFS(Dati!$C$2:$C$761,Dati!$A$2:$A$761,$H71,Dati!$H$2:$H$761,$AQ71)+SUMIFS(Dati!$J$2:$J$761,Dati!$H$2:$H$761,$H71,Dati!$A$2:$A$761,$AQ71),"-")</f>
        <v/>
      </c>
      <c r="CJ71" s="22">
        <f>IF(AND($H71&lt;&gt;"",$AR71&lt;&gt;"",$H71&lt;&gt;$AR71,IFERROR(VLOOKUP($H71,areaCercaPuntiClassificaSquadra,3,FALSE),-1)=IFERROR(VLOOKUP($AR71,areaCercaPuntiClassificaSquadra,3,FALSE),-2)),SUMIFS(Dati!$D$2:$D$761,Dati!$A$2:$A$761,$H71,Dati!$H$2:$H$761,$AR71)+SUMIFS(Dati!$K$2:$K$761,Dati!$H$2:$H$761,$H71,Dati!$A$2:$A$761,$AR71)+SUMIFS(Dati!$C$2:$C$761,Dati!$A$2:$A$761,$H71,Dati!$H$2:$H$761,$AR71)+SUMIFS(Dati!$J$2:$J$761,Dati!$H$2:$H$761,$H71,Dati!$A$2:$A$761,$AR71),"-")</f>
        <v/>
      </c>
      <c r="CL71" s="21">
        <f>$C71</f>
        <v/>
      </c>
      <c r="CM71" s="22">
        <f>IF(AND($H71&lt;&gt;"",$Y71&lt;&gt;"",$H71&lt;&gt;$Y71,IFERROR(VLOOKUP($H71,areaCercaPuntiClassificaSquadra,3,FALSE),-1)=IFERROR(VLOOKUP($Y71,areaCercaPuntiClassificaSquadra,3,FALSE),-2)),SUMIFS(Dati!$E$2:$E$761,Dati!$A$2:$A$761,$H71,Dati!$H$2:$H$761,$Y71)+SUMIFS(Dati!$L$2:$L$761,Dati!$H$2:$H$761,$H71,Dati!$A$2:$A$761,$Y71),"-")</f>
        <v/>
      </c>
      <c r="CN71" s="22">
        <f>IF(AND($H71&lt;&gt;"",$Z71&lt;&gt;"",$H71&lt;&gt;$Z71,IFERROR(VLOOKUP($H71,areaCercaPuntiClassificaSquadra,3,FALSE),-1)=IFERROR(VLOOKUP($Z71,areaCercaPuntiClassificaSquadra,3,FALSE),-2)),SUMIFS(Dati!$E$2:$E$761,Dati!$A$2:$A$761,$H71,Dati!$H$2:$H$761,$Z71)+SUMIFS(Dati!$L$2:$L$761,Dati!$H$2:$H$761,$H71,Dati!$A$2:$A$761,$Z71),"-")</f>
        <v/>
      </c>
      <c r="CO71" s="22">
        <f>IF(AND($H71&lt;&gt;"",$AA71&lt;&gt;"",$H71&lt;&gt;$AA71,IFERROR(VLOOKUP($H71,areaCercaPuntiClassificaSquadra,3,FALSE),-1)=IFERROR(VLOOKUP($AA71,areaCercaPuntiClassificaSquadra,3,FALSE),-2)),SUMIFS(Dati!$E$2:$E$761,Dati!$A$2:$A$761,$H71,Dati!$H$2:$H$761,$AA71)+SUMIFS(Dati!$L$2:$L$761,Dati!$H$2:$H$761,$H71,Dati!$A$2:$A$761,$AA71),"-")</f>
        <v/>
      </c>
      <c r="CP71" s="22">
        <f>IF(AND($H71&lt;&gt;"",$AB71&lt;&gt;"",$H71&lt;&gt;$AB71,IFERROR(VLOOKUP($H71,areaCercaPuntiClassificaSquadra,3,FALSE),-1)=IFERROR(VLOOKUP($AB71,areaCercaPuntiClassificaSquadra,3,FALSE),-2)),SUMIFS(Dati!$E$2:$E$761,Dati!$A$2:$A$761,$H71,Dati!$H$2:$H$761,$AB71)+SUMIFS(Dati!$L$2:$L$761,Dati!$H$2:$H$761,$H71,Dati!$A$2:$A$761,$AB71),"-")</f>
        <v/>
      </c>
      <c r="CQ71" s="22">
        <f>IF(AND($H71&lt;&gt;"",$AC71&lt;&gt;"",$H71&lt;&gt;$AC71,IFERROR(VLOOKUP($H71,areaCercaPuntiClassificaSquadra,3,FALSE),-1)=IFERROR(VLOOKUP($AC71,areaCercaPuntiClassificaSquadra,3,FALSE),-2)),SUMIFS(Dati!$E$2:$E$761,Dati!$A$2:$A$761,$H71,Dati!$H$2:$H$761,$AC71)+SUMIFS(Dati!$L$2:$L$761,Dati!$H$2:$H$761,$H71,Dati!$A$2:$A$761,$AC71),"-")</f>
        <v/>
      </c>
      <c r="CR71" s="22">
        <f>IF(AND($H71&lt;&gt;"",$AD71&lt;&gt;"",$H71&lt;&gt;$AD71,IFERROR(VLOOKUP($H71,areaCercaPuntiClassificaSquadra,3,FALSE),-1)=IFERROR(VLOOKUP($AD71,areaCercaPuntiClassificaSquadra,3,FALSE),-2)),SUMIFS(Dati!$E$2:$E$761,Dati!$A$2:$A$761,$H71,Dati!$H$2:$H$761,$AD71)+SUMIFS(Dati!$L$2:$L$761,Dati!$H$2:$H$761,$H71,Dati!$A$2:$A$761,$AD71),"-")</f>
        <v/>
      </c>
      <c r="CS71" s="22">
        <f>IF(AND($H71&lt;&gt;"",$AE71&lt;&gt;"",$H71&lt;&gt;$AE71,IFERROR(VLOOKUP($H71,areaCercaPuntiClassificaSquadra,3,FALSE),-1)=IFERROR(VLOOKUP($AE71,areaCercaPuntiClassificaSquadra,3,FALSE),-2)),SUMIFS(Dati!$E$2:$E$761,Dati!$A$2:$A$761,$H71,Dati!$H$2:$H$761,$AE71)+SUMIFS(Dati!$L$2:$L$761,Dati!$H$2:$H$761,$H71,Dati!$A$2:$A$761,$AE71),"-")</f>
        <v/>
      </c>
      <c r="CT71" s="22">
        <f>IF(AND($H71&lt;&gt;"",$AF71&lt;&gt;"",$H71&lt;&gt;$AF71,IFERROR(VLOOKUP($H71,areaCercaPuntiClassificaSquadra,3,FALSE),-1)=IFERROR(VLOOKUP($AF71,areaCercaPuntiClassificaSquadra,3,FALSE),-2)),SUMIFS(Dati!$E$2:$E$761,Dati!$A$2:$A$761,$H71,Dati!$H$2:$H$761,$AF71)+SUMIFS(Dati!$L$2:$L$761,Dati!$H$2:$H$761,$H71,Dati!$A$2:$A$761,$AF71),"-")</f>
        <v/>
      </c>
      <c r="CU71" s="22">
        <f>IF(AND($H71&lt;&gt;"",$AG71&lt;&gt;"",$H71&lt;&gt;$AG71,IFERROR(VLOOKUP($H71,areaCercaPuntiClassificaSquadra,3,FALSE),-1)=IFERROR(VLOOKUP($AG71,areaCercaPuntiClassificaSquadra,3,FALSE),-2)),SUMIFS(Dati!$E$2:$E$761,Dati!$A$2:$A$761,$H71,Dati!$H$2:$H$761,$AG71)+SUMIFS(Dati!$L$2:$L$761,Dati!$H$2:$H$761,$H71,Dati!$A$2:$A$761,$AG71),"-")</f>
        <v/>
      </c>
      <c r="CV71" s="22">
        <f>IF(AND($H71&lt;&gt;"",$AH71&lt;&gt;"",$H71&lt;&gt;$AH71,IFERROR(VLOOKUP($H71,areaCercaPuntiClassificaSquadra,3,FALSE),-1)=IFERROR(VLOOKUP($AH71,areaCercaPuntiClassificaSquadra,3,FALSE),-2)),SUMIFS(Dati!$E$2:$E$761,Dati!$A$2:$A$761,$H71,Dati!$H$2:$H$761,$AH71)+SUMIFS(Dati!$L$2:$L$761,Dati!$H$2:$H$761,$H71,Dati!$A$2:$A$761,$AH71),"-")</f>
        <v/>
      </c>
      <c r="CW71" s="22">
        <f>IF(AND($H71&lt;&gt;"",$AI71&lt;&gt;"",$H71&lt;&gt;$AI71,IFERROR(VLOOKUP($H71,areaCercaPuntiClassificaSquadra,3,FALSE),-1)=IFERROR(VLOOKUP($AI71,areaCercaPuntiClassificaSquadra,3,FALSE),-2)),SUMIFS(Dati!$E$2:$E$761,Dati!$A$2:$A$761,$H71,Dati!$H$2:$H$761,$AI71)+SUMIFS(Dati!$L$2:$L$761,Dati!$H$2:$H$761,$H71,Dati!$A$2:$A$761,$AI71),"-")</f>
        <v/>
      </c>
      <c r="CX71" s="22">
        <f>IF(AND($H71&lt;&gt;"",$AJ71&lt;&gt;"",$H71&lt;&gt;$AJ71,IFERROR(VLOOKUP($H71,areaCercaPuntiClassificaSquadra,3,FALSE),-1)=IFERROR(VLOOKUP($AJ71,areaCercaPuntiClassificaSquadra,3,FALSE),-2)),SUMIFS(Dati!$E$2:$E$761,Dati!$A$2:$A$761,$H71,Dati!$H$2:$H$761,$AJ71)+SUMIFS(Dati!$L$2:$L$761,Dati!$H$2:$H$761,$H71,Dati!$A$2:$A$761,$AJ71),"-")</f>
        <v/>
      </c>
      <c r="CY71" s="22">
        <f>IF(AND($H71&lt;&gt;"",$AK71&lt;&gt;"",$H71&lt;&gt;$AK71,IFERROR(VLOOKUP($H71,areaCercaPuntiClassificaSquadra,3,FALSE),-1)=IFERROR(VLOOKUP($AK71,areaCercaPuntiClassificaSquadra,3,FALSE),-2)),SUMIFS(Dati!$E$2:$E$761,Dati!$A$2:$A$761,$H71,Dati!$H$2:$H$761,$AK71)+SUMIFS(Dati!$L$2:$L$761,Dati!$H$2:$H$761,$H71,Dati!$A$2:$A$761,$AK71),"-")</f>
        <v/>
      </c>
      <c r="CZ71" s="22">
        <f>IF(AND($H71&lt;&gt;"",$AL71&lt;&gt;"",$H71&lt;&gt;$AL71,IFERROR(VLOOKUP($H71,areaCercaPuntiClassificaSquadra,3,FALSE),-1)=IFERROR(VLOOKUP($AL71,areaCercaPuntiClassificaSquadra,3,FALSE),-2)),SUMIFS(Dati!$E$2:$E$761,Dati!$A$2:$A$761,$H71,Dati!$H$2:$H$761,$AL71)+SUMIFS(Dati!$L$2:$L$761,Dati!$H$2:$H$761,$H71,Dati!$A$2:$A$761,$AL71),"-")</f>
        <v/>
      </c>
      <c r="DA71" s="22">
        <f>IF(AND($H71&lt;&gt;"",$AM71&lt;&gt;"",$H71&lt;&gt;$AM71,IFERROR(VLOOKUP($H71,areaCercaPuntiClassificaSquadra,3,FALSE),-1)=IFERROR(VLOOKUP($AM71,areaCercaPuntiClassificaSquadra,3,FALSE),-2)),SUMIFS(Dati!$E$2:$E$761,Dati!$A$2:$A$761,$H71,Dati!$H$2:$H$761,$AM71)+SUMIFS(Dati!$L$2:$L$761,Dati!$H$2:$H$761,$H71,Dati!$A$2:$A$761,$AM71),"-")</f>
        <v/>
      </c>
      <c r="DB71" s="22">
        <f>IF(AND($H71&lt;&gt;"",$AN71&lt;&gt;"",$H71&lt;&gt;$AN71,IFERROR(VLOOKUP($H71,areaCercaPuntiClassificaSquadra,3,FALSE),-1)=IFERROR(VLOOKUP($AN71,areaCercaPuntiClassificaSquadra,3,FALSE),-2)),SUMIFS(Dati!$E$2:$E$761,Dati!$A$2:$A$761,$H71,Dati!$H$2:$H$761,$AN71)+SUMIFS(Dati!$L$2:$L$761,Dati!$H$2:$H$761,$H71,Dati!$A$2:$A$761,$AN71),"-")</f>
        <v/>
      </c>
      <c r="DC71" s="22">
        <f>IF(AND($H71&lt;&gt;"",$AO71&lt;&gt;"",$H71&lt;&gt;$AO71,IFERROR(VLOOKUP($H71,areaCercaPuntiClassificaSquadra,3,FALSE),-1)=IFERROR(VLOOKUP($AO71,areaCercaPuntiClassificaSquadra,3,FALSE),-2)),SUMIFS(Dati!$E$2:$E$761,Dati!$A$2:$A$761,$H71,Dati!$H$2:$H$761,$AO71)+SUMIFS(Dati!$L$2:$L$761,Dati!$H$2:$H$761,$H71,Dati!$A$2:$A$761,$AO71),"-")</f>
        <v/>
      </c>
      <c r="DD71" s="22">
        <f>IF(AND($H71&lt;&gt;"",$AP71&lt;&gt;"",$H71&lt;&gt;$AP71,IFERROR(VLOOKUP($H71,areaCercaPuntiClassificaSquadra,3,FALSE),-1)=IFERROR(VLOOKUP($AP71,areaCercaPuntiClassificaSquadra,3,FALSE),-2)),SUMIFS(Dati!$E$2:$E$761,Dati!$A$2:$A$761,$H71,Dati!$H$2:$H$761,$AP71)+SUMIFS(Dati!$L$2:$L$761,Dati!$H$2:$H$761,$H71,Dati!$A$2:$A$761,$AP71),"-")</f>
        <v/>
      </c>
      <c r="DE71" s="22">
        <f>IF(AND($H71&lt;&gt;"",$AQ71&lt;&gt;"",$H71&lt;&gt;$AQ71,IFERROR(VLOOKUP($H71,areaCercaPuntiClassificaSquadra,3,FALSE),-1)=IFERROR(VLOOKUP($AQ71,areaCercaPuntiClassificaSquadra,3,FALSE),-2)),SUMIFS(Dati!$E$2:$E$761,Dati!$A$2:$A$761,$H71,Dati!$H$2:$H$761,$AQ71)+SUMIFS(Dati!$L$2:$L$761,Dati!$H$2:$H$761,$H71,Dati!$A$2:$A$761,$AQ71),"-")</f>
        <v/>
      </c>
      <c r="DF71" s="22">
        <f>IF(AND($H71&lt;&gt;"",$AR71&lt;&gt;"",$H71&lt;&gt;$AR71,IFERROR(VLOOKUP($H71,areaCercaPuntiClassificaSquadra,3,FALSE),-1)=IFERROR(VLOOKUP($AR71,areaCercaPuntiClassificaSquadra,3,FALSE),-2)),SUMIFS(Dati!$E$2:$E$761,Dati!$A$2:$A$761,$H71,Dati!$H$2:$H$761,$AR71)+SUMIFS(Dati!$L$2:$L$761,Dati!$H$2:$H$761,$H71,Dati!$A$2:$A$761,$AR71),"-")</f>
        <v/>
      </c>
      <c r="DH71" s="21">
        <f>$C71</f>
        <v/>
      </c>
      <c r="DI71" s="22">
        <f>IF(AND($H71&lt;&gt;"",$Y71&lt;&gt;"",$H71&lt;&gt;$Y71,IFERROR(VLOOKUP($H71,areaCercaPuntiClassificaSquadra,3,FALSE),-1)=IFERROR(VLOOKUP($Y71,areaCercaPuntiClassificaSquadra,3,FALSE),-2)),SUMIFS(Dati!$F$2:$F$761,Dati!$A$2:$A$761,$H71,Dati!$H$2:$H$761,$Y71)+SUMIFS(Dati!$M$2:$M$761,Dati!$H$2:$H$761,$H71,Dati!$A$2:$A$761,$Y71),"-")</f>
        <v/>
      </c>
      <c r="DJ71" s="22">
        <f>IF(AND($H71&lt;&gt;"",$Z71&lt;&gt;"",$H71&lt;&gt;$Z71,IFERROR(VLOOKUP($H71,areaCercaPuntiClassificaSquadra,3,FALSE),-1)=IFERROR(VLOOKUP($Z71,areaCercaPuntiClassificaSquadra,3,FALSE),-2)),SUMIFS(Dati!$F$2:$F$761,Dati!$A$2:$A$761,$H71,Dati!$H$2:$H$761,$Z71)+SUMIFS(Dati!$M$2:$M$761,Dati!$H$2:$H$761,$H71,Dati!$A$2:$A$761,$Z71),"-")</f>
        <v/>
      </c>
      <c r="DK71" s="22">
        <f>IF(AND($H71&lt;&gt;"",$AA71&lt;&gt;"",$H71&lt;&gt;$AA71,IFERROR(VLOOKUP($H71,areaCercaPuntiClassificaSquadra,3,FALSE),-1)=IFERROR(VLOOKUP($AA71,areaCercaPuntiClassificaSquadra,3,FALSE),-2)),SUMIFS(Dati!$F$2:$F$761,Dati!$A$2:$A$761,$H71,Dati!$H$2:$H$761,$AA71)+SUMIFS(Dati!$M$2:$M$761,Dati!$H$2:$H$761,$H71,Dati!$A$2:$A$761,$AA71),"-")</f>
        <v/>
      </c>
      <c r="DL71" s="22">
        <f>IF(AND($H71&lt;&gt;"",$AB71&lt;&gt;"",$H71&lt;&gt;$AB71,IFERROR(VLOOKUP($H71,areaCercaPuntiClassificaSquadra,3,FALSE),-1)=IFERROR(VLOOKUP($AB71,areaCercaPuntiClassificaSquadra,3,FALSE),-2)),SUMIFS(Dati!$F$2:$F$761,Dati!$A$2:$A$761,$H71,Dati!$H$2:$H$761,$AB71)+SUMIFS(Dati!$M$2:$M$761,Dati!$H$2:$H$761,$H71,Dati!$A$2:$A$761,$AB71),"-")</f>
        <v/>
      </c>
      <c r="DM71" s="22">
        <f>IF(AND($H71&lt;&gt;"",$AC71&lt;&gt;"",$H71&lt;&gt;$AC71,IFERROR(VLOOKUP($H71,areaCercaPuntiClassificaSquadra,3,FALSE),-1)=IFERROR(VLOOKUP($AC71,areaCercaPuntiClassificaSquadra,3,FALSE),-2)),SUMIFS(Dati!$F$2:$F$761,Dati!$A$2:$A$761,$H71,Dati!$H$2:$H$761,$AC71)+SUMIFS(Dati!$M$2:$M$761,Dati!$H$2:$H$761,$H71,Dati!$A$2:$A$761,$AC71),"-")</f>
        <v/>
      </c>
      <c r="DN71" s="22">
        <f>IF(AND($H71&lt;&gt;"",$AD71&lt;&gt;"",$H71&lt;&gt;$AD71,IFERROR(VLOOKUP($H71,areaCercaPuntiClassificaSquadra,3,FALSE),-1)=IFERROR(VLOOKUP($AD71,areaCercaPuntiClassificaSquadra,3,FALSE),-2)),SUMIFS(Dati!$F$2:$F$761,Dati!$A$2:$A$761,$H71,Dati!$H$2:$H$761,$AD71)+SUMIFS(Dati!$M$2:$M$761,Dati!$H$2:$H$761,$H71,Dati!$A$2:$A$761,$AD71),"-")</f>
        <v/>
      </c>
      <c r="DO71" s="22">
        <f>IF(AND($H71&lt;&gt;"",$AE71&lt;&gt;"",$H71&lt;&gt;$AE71,IFERROR(VLOOKUP($H71,areaCercaPuntiClassificaSquadra,3,FALSE),-1)=IFERROR(VLOOKUP($AE71,areaCercaPuntiClassificaSquadra,3,FALSE),-2)),SUMIFS(Dati!$F$2:$F$761,Dati!$A$2:$A$761,$H71,Dati!$H$2:$H$761,$AE71)+SUMIFS(Dati!$M$2:$M$761,Dati!$H$2:$H$761,$H71,Dati!$A$2:$A$761,$AE71),"-")</f>
        <v/>
      </c>
      <c r="DP71" s="22">
        <f>IF(AND($H71&lt;&gt;"",$AF71&lt;&gt;"",$H71&lt;&gt;$AF71,IFERROR(VLOOKUP($H71,areaCercaPuntiClassificaSquadra,3,FALSE),-1)=IFERROR(VLOOKUP($AF71,areaCercaPuntiClassificaSquadra,3,FALSE),-2)),SUMIFS(Dati!$F$2:$F$761,Dati!$A$2:$A$761,$H71,Dati!$H$2:$H$761,$AF71)+SUMIFS(Dati!$M$2:$M$761,Dati!$H$2:$H$761,$H71,Dati!$A$2:$A$761,$AF71),"-")</f>
        <v/>
      </c>
      <c r="DQ71" s="22">
        <f>IF(AND($H71&lt;&gt;"",$AG71&lt;&gt;"",$H71&lt;&gt;$AG71,IFERROR(VLOOKUP($H71,areaCercaPuntiClassificaSquadra,3,FALSE),-1)=IFERROR(VLOOKUP($AG71,areaCercaPuntiClassificaSquadra,3,FALSE),-2)),SUMIFS(Dati!$F$2:$F$761,Dati!$A$2:$A$761,$H71,Dati!$H$2:$H$761,$AG71)+SUMIFS(Dati!$M$2:$M$761,Dati!$H$2:$H$761,$H71,Dati!$A$2:$A$761,$AG71),"-")</f>
        <v/>
      </c>
      <c r="DR71" s="22">
        <f>IF(AND($H71&lt;&gt;"",$AH71&lt;&gt;"",$H71&lt;&gt;$AH71,IFERROR(VLOOKUP($H71,areaCercaPuntiClassificaSquadra,3,FALSE),-1)=IFERROR(VLOOKUP($AH71,areaCercaPuntiClassificaSquadra,3,FALSE),-2)),SUMIFS(Dati!$F$2:$F$761,Dati!$A$2:$A$761,$H71,Dati!$H$2:$H$761,$AH71)+SUMIFS(Dati!$M$2:$M$761,Dati!$H$2:$H$761,$H71,Dati!$A$2:$A$761,$AH71),"-")</f>
        <v/>
      </c>
      <c r="DS71" s="22">
        <f>IF(AND($H71&lt;&gt;"",$AI71&lt;&gt;"",$H71&lt;&gt;$AI71,IFERROR(VLOOKUP($H71,areaCercaPuntiClassificaSquadra,3,FALSE),-1)=IFERROR(VLOOKUP($AI71,areaCercaPuntiClassificaSquadra,3,FALSE),-2)),SUMIFS(Dati!$F$2:$F$761,Dati!$A$2:$A$761,$H71,Dati!$H$2:$H$761,$AI71)+SUMIFS(Dati!$M$2:$M$761,Dati!$H$2:$H$761,$H71,Dati!$A$2:$A$761,$AI71),"-")</f>
        <v/>
      </c>
      <c r="DT71" s="22">
        <f>IF(AND($H71&lt;&gt;"",$AJ71&lt;&gt;"",$H71&lt;&gt;$AJ71,IFERROR(VLOOKUP($H71,areaCercaPuntiClassificaSquadra,3,FALSE),-1)=IFERROR(VLOOKUP($AJ71,areaCercaPuntiClassificaSquadra,3,FALSE),-2)),SUMIFS(Dati!$F$2:$F$761,Dati!$A$2:$A$761,$H71,Dati!$H$2:$H$761,$AJ71)+SUMIFS(Dati!$M$2:$M$761,Dati!$H$2:$H$761,$H71,Dati!$A$2:$A$761,$AJ71),"-")</f>
        <v/>
      </c>
      <c r="DU71" s="22">
        <f>IF(AND($H71&lt;&gt;"",$AK71&lt;&gt;"",$H71&lt;&gt;$AK71,IFERROR(VLOOKUP($H71,areaCercaPuntiClassificaSquadra,3,FALSE),-1)=IFERROR(VLOOKUP($AK71,areaCercaPuntiClassificaSquadra,3,FALSE),-2)),SUMIFS(Dati!$F$2:$F$761,Dati!$A$2:$A$761,$H71,Dati!$H$2:$H$761,$AK71)+SUMIFS(Dati!$M$2:$M$761,Dati!$H$2:$H$761,$H71,Dati!$A$2:$A$761,$AK71),"-")</f>
        <v/>
      </c>
      <c r="DV71" s="22">
        <f>IF(AND($H71&lt;&gt;"",$AL71&lt;&gt;"",$H71&lt;&gt;$AL71,IFERROR(VLOOKUP($H71,areaCercaPuntiClassificaSquadra,3,FALSE),-1)=IFERROR(VLOOKUP($AL71,areaCercaPuntiClassificaSquadra,3,FALSE),-2)),SUMIFS(Dati!$F$2:$F$761,Dati!$A$2:$A$761,$H71,Dati!$H$2:$H$761,$AL71)+SUMIFS(Dati!$M$2:$M$761,Dati!$H$2:$H$761,$H71,Dati!$A$2:$A$761,$AL71),"-")</f>
        <v/>
      </c>
      <c r="DW71" s="22">
        <f>IF(AND($H71&lt;&gt;"",$AM71&lt;&gt;"",$H71&lt;&gt;$AM71,IFERROR(VLOOKUP($H71,areaCercaPuntiClassificaSquadra,3,FALSE),-1)=IFERROR(VLOOKUP($AM71,areaCercaPuntiClassificaSquadra,3,FALSE),-2)),SUMIFS(Dati!$F$2:$F$761,Dati!$A$2:$A$761,$H71,Dati!$H$2:$H$761,$AM71)+SUMIFS(Dati!$M$2:$M$761,Dati!$H$2:$H$761,$H71,Dati!$A$2:$A$761,$AM71),"-")</f>
        <v/>
      </c>
      <c r="DX71" s="22">
        <f>IF(AND($H71&lt;&gt;"",$AN71&lt;&gt;"",$H71&lt;&gt;$AN71,IFERROR(VLOOKUP($H71,areaCercaPuntiClassificaSquadra,3,FALSE),-1)=IFERROR(VLOOKUP($AN71,areaCercaPuntiClassificaSquadra,3,FALSE),-2)),SUMIFS(Dati!$F$2:$F$761,Dati!$A$2:$A$761,$H71,Dati!$H$2:$H$761,$AN71)+SUMIFS(Dati!$M$2:$M$761,Dati!$H$2:$H$761,$H71,Dati!$A$2:$A$761,$AN71),"-")</f>
        <v/>
      </c>
      <c r="DY71" s="22">
        <f>IF(AND($H71&lt;&gt;"",$AO71&lt;&gt;"",$H71&lt;&gt;$AO71,IFERROR(VLOOKUP($H71,areaCercaPuntiClassificaSquadra,3,FALSE),-1)=IFERROR(VLOOKUP($AO71,areaCercaPuntiClassificaSquadra,3,FALSE),-2)),SUMIFS(Dati!$F$2:$F$761,Dati!$A$2:$A$761,$H71,Dati!$H$2:$H$761,$AO71)+SUMIFS(Dati!$M$2:$M$761,Dati!$H$2:$H$761,$H71,Dati!$A$2:$A$761,$AO71),"-")</f>
        <v/>
      </c>
      <c r="DZ71" s="22">
        <f>IF(AND($H71&lt;&gt;"",$AP71&lt;&gt;"",$H71&lt;&gt;$AP71,IFERROR(VLOOKUP($H71,areaCercaPuntiClassificaSquadra,3,FALSE),-1)=IFERROR(VLOOKUP($AP71,areaCercaPuntiClassificaSquadra,3,FALSE),-2)),SUMIFS(Dati!$F$2:$F$761,Dati!$A$2:$A$761,$H71,Dati!$H$2:$H$761,$AP71)+SUMIFS(Dati!$M$2:$M$761,Dati!$H$2:$H$761,$H71,Dati!$A$2:$A$761,$AP71),"-")</f>
        <v/>
      </c>
      <c r="EA71" s="22">
        <f>IF(AND($H71&lt;&gt;"",$AQ71&lt;&gt;"",$H71&lt;&gt;$AQ71,IFERROR(VLOOKUP($H71,areaCercaPuntiClassificaSquadra,3,FALSE),-1)=IFERROR(VLOOKUP($AQ71,areaCercaPuntiClassificaSquadra,3,FALSE),-2)),SUMIFS(Dati!$F$2:$F$761,Dati!$A$2:$A$761,$H71,Dati!$H$2:$H$761,$AQ71)+SUMIFS(Dati!$M$2:$M$761,Dati!$H$2:$H$761,$H71,Dati!$A$2:$A$761,$AQ71),"-")</f>
        <v/>
      </c>
      <c r="EB71" s="22">
        <f>IF(AND($H71&lt;&gt;"",$AR71&lt;&gt;"",$H71&lt;&gt;$AR71,IFERROR(VLOOKUP($H71,areaCercaPuntiClassificaSquadra,3,FALSE),-1)=IFERROR(VLOOKUP($AR71,areaCercaPuntiClassificaSquadra,3,FALSE),-2)),SUMIFS(Dati!$F$2:$F$761,Dati!$A$2:$A$761,$H71,Dati!$H$2:$H$761,$AR71)+SUMIFS(Dati!$M$2:$M$761,Dati!$H$2:$H$761,$H71,Dati!$A$2:$A$761,$AR71),"-")</f>
        <v/>
      </c>
      <c r="ED71" s="22">
        <f>IF($C71="","",SUM(AU71:BN71))</f>
        <v/>
      </c>
    </row>
    <row r="72">
      <c r="B72" s="12" t="inlineStr">
        <is>
          <t>C19</t>
        </is>
      </c>
      <c r="C72" s="13" t="inlineStr">
        <is>
          <t>Iguane Instancabili-Iguaneopoli IO</t>
        </is>
      </c>
      <c r="D72" s="14" t="n"/>
      <c r="E72" s="25" t="inlineStr">
        <is>
          <t>C</t>
        </is>
      </c>
      <c r="G72" s="26">
        <f>IF($C72="","",$E72&amp;(COUNTIFS(I$14:I$93,"&gt;"&amp;I72,E$14:E$93,"="&amp;E72,C$14:C$93,"&lt;&gt;")+COUNTIFS(I$14:I$93,"="&amp;I72,H$14:H$93,"&lt;="&amp;H72,E$14:E$93,"="&amp;E72,C$14:C$93,"&lt;&gt;")))</f>
        <v/>
      </c>
      <c r="H72" s="17">
        <f>IF($C72="","",IFERROR(LEFT($C72,FIND("-",$C72)-1),$C72))</f>
        <v/>
      </c>
      <c r="I72" s="12">
        <f>TEXT(1000000000+J72,"|0000000000|")&amp;TEXT(SUM(AU72:BN72),"0000000000|")&amp;IF(SUM(DI72:EB72)=0,"0000000000|",TEXT(ROUND(SUM(CM72:DF72)/SUM(DI72:EB72),4)*100000,"0000000000|"))&amp;IF(P72=0,"0000000000|",TEXT(ROUND(O72/P72,4)*100000,"0000000000|"))</f>
        <v/>
      </c>
      <c r="J72" s="26">
        <f>L72*constPuntiVittoria+M72*constPuntiSconfitta+N72*constPuntiForfait+IF(D72="",0,D72)</f>
        <v/>
      </c>
      <c r="K72" s="12">
        <f>SUM(L72:N72)</f>
        <v/>
      </c>
      <c r="L72" s="12">
        <f>IF($H72="",0,SUMIF(Dati!$A$2:$A$761,$H72,Dati!$B$2:$B$761)+SUMIF(Dati!$H$2:$H$761,$H72,Dati!$I$2:$I$761))</f>
        <v/>
      </c>
      <c r="M72" s="12">
        <f>IF($H72="",0,SUMIF(Dati!$A$2:$A$761,$H72,Dati!$D$2:$D$761)+SUMIF(Dati!$H$2:$H$761,$H72,Dati!$K$2:$K$761))</f>
        <v/>
      </c>
      <c r="N72" s="12">
        <f>IF($H72="",0,SUMIF(Dati!$A$2:$A$761,$H72,Dati!$C$2:$C$761)+SUMIF(Dati!$H$2:$H$761,$H72,Dati!$J$2:$J$761))</f>
        <v/>
      </c>
      <c r="O72" s="12">
        <f>IF($H72="",0,SUMIF(Dati!$A$2:$A$761,$H72,Dati!$E$2:$E$761)+SUMIF(Dati!$H$2:$H$761,$H72,Dati!$L$2:$L$761))</f>
        <v/>
      </c>
      <c r="P72" s="12">
        <f>IF($H72="",0,SUMIF(Dati!$A$2:$A$761,$H72,Dati!$F$2:$F$761)+SUMIF(Dati!$H$2:$H$761,$H72,Dati!$M$2:$M$761))</f>
        <v/>
      </c>
      <c r="Q72" s="12">
        <f>IF($H72="",0,SUMIF(Dati!$A$2:$A$761,$H72,Dati!$G$2:$G$761)+SUMIF(Dati!$H$2:$H$761,$H72,Dati!$N$2:$N$761))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IF(COUNTIFS($E$14:$E$93,$E72,$J$14:$J$93,$J72,$C$14:$C$93,"&lt;&gt;")&lt;=1,"-",SUM(AU72:BN72)&amp;"-"&amp;SUM(BQ72:CJ72))</f>
        <v/>
      </c>
      <c r="V72" s="18">
        <f>IF(COUNTIFS($E$14:$E$93,$E72,$J$14:$J$93,$J72,$C$14:$C$93,"&lt;&gt;",$ED$14:$ED$93,$ED72)&lt;=1,"-",IF(SUM(DI72:EB72)=0,0,ROUND(SUM(CM72:DF72)/SUM(DI72:EB72),3)))</f>
        <v/>
      </c>
      <c r="W72" s="18">
        <f>IF(COUNTIFS($E$14:$E$93,$E72,$J$14:$J$93,$J72,$C$14:$C$93,"&lt;&gt;",$ED$14:$ED$93,$ED72,$V$14:$V$93,$V72)&lt;=1,"-",IF(P72=0,0,ROUND(O72/P72,3)))</f>
        <v/>
      </c>
      <c r="X72" s="19">
        <f>IF($C72="","",$E72&amp;"#"&amp;COUNTIFS($E$14:$E72,$E72,$C$14:$C72,"&lt;&gt;"))</f>
        <v/>
      </c>
      <c r="Y72" s="20">
        <f>IFERROR(INDEX($H$14:$H$93,MATCH($E72&amp;"#1",$X$14:$X$93,0)),"")</f>
        <v/>
      </c>
      <c r="Z72" s="20">
        <f>IFERROR(INDEX($H$14:$H$93,MATCH($E72&amp;"#2",$X$14:$X$93,0)),"")</f>
        <v/>
      </c>
      <c r="AA72" s="20">
        <f>IFERROR(INDEX($H$14:$H$93,MATCH($E72&amp;"#3",$X$14:$X$93,0)),"")</f>
        <v/>
      </c>
      <c r="AB72" s="20">
        <f>IFERROR(INDEX($H$14:$H$93,MATCH($E72&amp;"#4",$X$14:$X$93,0)),"")</f>
        <v/>
      </c>
      <c r="AC72" s="20">
        <f>IFERROR(INDEX($H$14:$H$93,MATCH($E72&amp;"#5",$X$14:$X$93,0)),"")</f>
        <v/>
      </c>
      <c r="AD72" s="20">
        <f>IFERROR(INDEX($H$14:$H$93,MATCH($E72&amp;"#6",$X$14:$X$93,0)),"")</f>
        <v/>
      </c>
      <c r="AE72" s="20">
        <f>IFERROR(INDEX($H$14:$H$93,MATCH($E72&amp;"#7",$X$14:$X$93,0)),"")</f>
        <v/>
      </c>
      <c r="AF72" s="20">
        <f>IFERROR(INDEX($H$14:$H$93,MATCH($E72&amp;"#8",$X$14:$X$93,0)),"")</f>
        <v/>
      </c>
      <c r="AG72" s="20">
        <f>IFERROR(INDEX($H$14:$H$93,MATCH($E72&amp;"#9",$X$14:$X$93,0)),"")</f>
        <v/>
      </c>
      <c r="AH72" s="20">
        <f>IFERROR(INDEX($H$14:$H$93,MATCH($E72&amp;"#10",$X$14:$X$93,0)),"")</f>
        <v/>
      </c>
      <c r="AI72" s="20">
        <f>IFERROR(INDEX($H$14:$H$93,MATCH($E72&amp;"#11",$X$14:$X$93,0)),"")</f>
        <v/>
      </c>
      <c r="AJ72" s="20">
        <f>IFERROR(INDEX($H$14:$H$93,MATCH($E72&amp;"#12",$X$14:$X$93,0)),"")</f>
        <v/>
      </c>
      <c r="AK72" s="20">
        <f>IFERROR(INDEX($H$14:$H$93,MATCH($E72&amp;"#13",$X$14:$X$93,0)),"")</f>
        <v/>
      </c>
      <c r="AL72" s="20">
        <f>IFERROR(INDEX($H$14:$H$93,MATCH($E72&amp;"#14",$X$14:$X$93,0)),"")</f>
        <v/>
      </c>
      <c r="AM72" s="20">
        <f>IFERROR(INDEX($H$14:$H$93,MATCH($E72&amp;"#15",$X$14:$X$93,0)),"")</f>
        <v/>
      </c>
      <c r="AN72" s="20">
        <f>IFERROR(INDEX($H$14:$H$93,MATCH($E72&amp;"#16",$X$14:$X$93,0)),"")</f>
        <v/>
      </c>
      <c r="AO72" s="20">
        <f>IFERROR(INDEX($H$14:$H$93,MATCH($E72&amp;"#17",$X$14:$X$93,0)),"")</f>
        <v/>
      </c>
      <c r="AP72" s="20">
        <f>IFERROR(INDEX($H$14:$H$93,MATCH($E72&amp;"#18",$X$14:$X$93,0)),"")</f>
        <v/>
      </c>
      <c r="AQ72" s="20">
        <f>IFERROR(INDEX($H$14:$H$93,MATCH($E72&amp;"#19",$X$14:$X$93,0)),"")</f>
        <v/>
      </c>
      <c r="AR72" s="20">
        <f>IFERROR(INDEX($H$14:$H$93,MATCH($E72&amp;"#20",$X$14:$X$93,0)),"")</f>
        <v/>
      </c>
      <c r="AT72" s="21">
        <f>$C72</f>
        <v/>
      </c>
      <c r="AU72" s="22">
        <f>IF(AND($H72&lt;&gt;"",$Y72&lt;&gt;"",$H72&lt;&gt;$Y72,IFERROR(VLOOKUP($H72,areaCercaPuntiClassificaSquadra,3,FALSE),-1)=IFERROR(VLOOKUP($Y72,areaCercaPuntiClassificaSquadra,3,FALSE),-2)),SUMIFS(Dati!$B$2:$B$761,Dati!$A$2:$A$761,$H72,Dati!$H$2:$H$761,$Y72)+SUMIFS(Dati!$I$2:$I$761,Dati!$H$2:$H$761,$H72,Dati!$A$2:$A$761,$Y72),"-")</f>
        <v/>
      </c>
      <c r="AV72" s="22">
        <f>IF(AND($H72&lt;&gt;"",$Z72&lt;&gt;"",$H72&lt;&gt;$Z72,IFERROR(VLOOKUP($H72,areaCercaPuntiClassificaSquadra,3,FALSE),-1)=IFERROR(VLOOKUP($Z72,areaCercaPuntiClassificaSquadra,3,FALSE),-2)),SUMIFS(Dati!$B$2:$B$761,Dati!$A$2:$A$761,$H72,Dati!$H$2:$H$761,$Z72)+SUMIFS(Dati!$I$2:$I$761,Dati!$H$2:$H$761,$H72,Dati!$A$2:$A$761,$Z72),"-")</f>
        <v/>
      </c>
      <c r="AW72" s="22">
        <f>IF(AND($H72&lt;&gt;"",$AA72&lt;&gt;"",$H72&lt;&gt;$AA72,IFERROR(VLOOKUP($H72,areaCercaPuntiClassificaSquadra,3,FALSE),-1)=IFERROR(VLOOKUP($AA72,areaCercaPuntiClassificaSquadra,3,FALSE),-2)),SUMIFS(Dati!$B$2:$B$761,Dati!$A$2:$A$761,$H72,Dati!$H$2:$H$761,$AA72)+SUMIFS(Dati!$I$2:$I$761,Dati!$H$2:$H$761,$H72,Dati!$A$2:$A$761,$AA72),"-")</f>
        <v/>
      </c>
      <c r="AX72" s="22">
        <f>IF(AND($H72&lt;&gt;"",$AB72&lt;&gt;"",$H72&lt;&gt;$AB72,IFERROR(VLOOKUP($H72,areaCercaPuntiClassificaSquadra,3,FALSE),-1)=IFERROR(VLOOKUP($AB72,areaCercaPuntiClassificaSquadra,3,FALSE),-2)),SUMIFS(Dati!$B$2:$B$761,Dati!$A$2:$A$761,$H72,Dati!$H$2:$H$761,$AB72)+SUMIFS(Dati!$I$2:$I$761,Dati!$H$2:$H$761,$H72,Dati!$A$2:$A$761,$AB72),"-")</f>
        <v/>
      </c>
      <c r="AY72" s="22">
        <f>IF(AND($H72&lt;&gt;"",$AC72&lt;&gt;"",$H72&lt;&gt;$AC72,IFERROR(VLOOKUP($H72,areaCercaPuntiClassificaSquadra,3,FALSE),-1)=IFERROR(VLOOKUP($AC72,areaCercaPuntiClassificaSquadra,3,FALSE),-2)),SUMIFS(Dati!$B$2:$B$761,Dati!$A$2:$A$761,$H72,Dati!$H$2:$H$761,$AC72)+SUMIFS(Dati!$I$2:$I$761,Dati!$H$2:$H$761,$H72,Dati!$A$2:$A$761,$AC72),"-")</f>
        <v/>
      </c>
      <c r="AZ72" s="22">
        <f>IF(AND($H72&lt;&gt;"",$AD72&lt;&gt;"",$H72&lt;&gt;$AD72,IFERROR(VLOOKUP($H72,areaCercaPuntiClassificaSquadra,3,FALSE),-1)=IFERROR(VLOOKUP($AD72,areaCercaPuntiClassificaSquadra,3,FALSE),-2)),SUMIFS(Dati!$B$2:$B$761,Dati!$A$2:$A$761,$H72,Dati!$H$2:$H$761,$AD72)+SUMIFS(Dati!$I$2:$I$761,Dati!$H$2:$H$761,$H72,Dati!$A$2:$A$761,$AD72),"-")</f>
        <v/>
      </c>
      <c r="BA72" s="22">
        <f>IF(AND($H72&lt;&gt;"",$AE72&lt;&gt;"",$H72&lt;&gt;$AE72,IFERROR(VLOOKUP($H72,areaCercaPuntiClassificaSquadra,3,FALSE),-1)=IFERROR(VLOOKUP($AE72,areaCercaPuntiClassificaSquadra,3,FALSE),-2)),SUMIFS(Dati!$B$2:$B$761,Dati!$A$2:$A$761,$H72,Dati!$H$2:$H$761,$AE72)+SUMIFS(Dati!$I$2:$I$761,Dati!$H$2:$H$761,$H72,Dati!$A$2:$A$761,$AE72),"-")</f>
        <v/>
      </c>
      <c r="BB72" s="22">
        <f>IF(AND($H72&lt;&gt;"",$AF72&lt;&gt;"",$H72&lt;&gt;$AF72,IFERROR(VLOOKUP($H72,areaCercaPuntiClassificaSquadra,3,FALSE),-1)=IFERROR(VLOOKUP($AF72,areaCercaPuntiClassificaSquadra,3,FALSE),-2)),SUMIFS(Dati!$B$2:$B$761,Dati!$A$2:$A$761,$H72,Dati!$H$2:$H$761,$AF72)+SUMIFS(Dati!$I$2:$I$761,Dati!$H$2:$H$761,$H72,Dati!$A$2:$A$761,$AF72),"-")</f>
        <v/>
      </c>
      <c r="BC72" s="22">
        <f>IF(AND($H72&lt;&gt;"",$AG72&lt;&gt;"",$H72&lt;&gt;$AG72,IFERROR(VLOOKUP($H72,areaCercaPuntiClassificaSquadra,3,FALSE),-1)=IFERROR(VLOOKUP($AG72,areaCercaPuntiClassificaSquadra,3,FALSE),-2)),SUMIFS(Dati!$B$2:$B$761,Dati!$A$2:$A$761,$H72,Dati!$H$2:$H$761,$AG72)+SUMIFS(Dati!$I$2:$I$761,Dati!$H$2:$H$761,$H72,Dati!$A$2:$A$761,$AG72),"-")</f>
        <v/>
      </c>
      <c r="BD72" s="22">
        <f>IF(AND($H72&lt;&gt;"",$AH72&lt;&gt;"",$H72&lt;&gt;$AH72,IFERROR(VLOOKUP($H72,areaCercaPuntiClassificaSquadra,3,FALSE),-1)=IFERROR(VLOOKUP($AH72,areaCercaPuntiClassificaSquadra,3,FALSE),-2)),SUMIFS(Dati!$B$2:$B$761,Dati!$A$2:$A$761,$H72,Dati!$H$2:$H$761,$AH72)+SUMIFS(Dati!$I$2:$I$761,Dati!$H$2:$H$761,$H72,Dati!$A$2:$A$761,$AH72),"-")</f>
        <v/>
      </c>
      <c r="BE72" s="22">
        <f>IF(AND($H72&lt;&gt;"",$AI72&lt;&gt;"",$H72&lt;&gt;$AI72,IFERROR(VLOOKUP($H72,areaCercaPuntiClassificaSquadra,3,FALSE),-1)=IFERROR(VLOOKUP($AI72,areaCercaPuntiClassificaSquadra,3,FALSE),-2)),SUMIFS(Dati!$B$2:$B$761,Dati!$A$2:$A$761,$H72,Dati!$H$2:$H$761,$AI72)+SUMIFS(Dati!$I$2:$I$761,Dati!$H$2:$H$761,$H72,Dati!$A$2:$A$761,$AI72),"-")</f>
        <v/>
      </c>
      <c r="BF72" s="22">
        <f>IF(AND($H72&lt;&gt;"",$AJ72&lt;&gt;"",$H72&lt;&gt;$AJ72,IFERROR(VLOOKUP($H72,areaCercaPuntiClassificaSquadra,3,FALSE),-1)=IFERROR(VLOOKUP($AJ72,areaCercaPuntiClassificaSquadra,3,FALSE),-2)),SUMIFS(Dati!$B$2:$B$761,Dati!$A$2:$A$761,$H72,Dati!$H$2:$H$761,$AJ72)+SUMIFS(Dati!$I$2:$I$761,Dati!$H$2:$H$761,$H72,Dati!$A$2:$A$761,$AJ72),"-")</f>
        <v/>
      </c>
      <c r="BG72" s="22">
        <f>IF(AND($H72&lt;&gt;"",$AK72&lt;&gt;"",$H72&lt;&gt;$AK72,IFERROR(VLOOKUP($H72,areaCercaPuntiClassificaSquadra,3,FALSE),-1)=IFERROR(VLOOKUP($AK72,areaCercaPuntiClassificaSquadra,3,FALSE),-2)),SUMIFS(Dati!$B$2:$B$761,Dati!$A$2:$A$761,$H72,Dati!$H$2:$H$761,$AK72)+SUMIFS(Dati!$I$2:$I$761,Dati!$H$2:$H$761,$H72,Dati!$A$2:$A$761,$AK72),"-")</f>
        <v/>
      </c>
      <c r="BH72" s="22">
        <f>IF(AND($H72&lt;&gt;"",$AL72&lt;&gt;"",$H72&lt;&gt;$AL72,IFERROR(VLOOKUP($H72,areaCercaPuntiClassificaSquadra,3,FALSE),-1)=IFERROR(VLOOKUP($AL72,areaCercaPuntiClassificaSquadra,3,FALSE),-2)),SUMIFS(Dati!$B$2:$B$761,Dati!$A$2:$A$761,$H72,Dati!$H$2:$H$761,$AL72)+SUMIFS(Dati!$I$2:$I$761,Dati!$H$2:$H$761,$H72,Dati!$A$2:$A$761,$AL72),"-")</f>
        <v/>
      </c>
      <c r="BI72" s="22">
        <f>IF(AND($H72&lt;&gt;"",$AM72&lt;&gt;"",$H72&lt;&gt;$AM72,IFERROR(VLOOKUP($H72,areaCercaPuntiClassificaSquadra,3,FALSE),-1)=IFERROR(VLOOKUP($AM72,areaCercaPuntiClassificaSquadra,3,FALSE),-2)),SUMIFS(Dati!$B$2:$B$761,Dati!$A$2:$A$761,$H72,Dati!$H$2:$H$761,$AM72)+SUMIFS(Dati!$I$2:$I$761,Dati!$H$2:$H$761,$H72,Dati!$A$2:$A$761,$AM72),"-")</f>
        <v/>
      </c>
      <c r="BJ72" s="22">
        <f>IF(AND($H72&lt;&gt;"",$AN72&lt;&gt;"",$H72&lt;&gt;$AN72,IFERROR(VLOOKUP($H72,areaCercaPuntiClassificaSquadra,3,FALSE),-1)=IFERROR(VLOOKUP($AN72,areaCercaPuntiClassificaSquadra,3,FALSE),-2)),SUMIFS(Dati!$B$2:$B$761,Dati!$A$2:$A$761,$H72,Dati!$H$2:$H$761,$AN72)+SUMIFS(Dati!$I$2:$I$761,Dati!$H$2:$H$761,$H72,Dati!$A$2:$A$761,$AN72),"-")</f>
        <v/>
      </c>
      <c r="BK72" s="22">
        <f>IF(AND($H72&lt;&gt;"",$AO72&lt;&gt;"",$H72&lt;&gt;$AO72,IFERROR(VLOOKUP($H72,areaCercaPuntiClassificaSquadra,3,FALSE),-1)=IFERROR(VLOOKUP($AO72,areaCercaPuntiClassificaSquadra,3,FALSE),-2)),SUMIFS(Dati!$B$2:$B$761,Dati!$A$2:$A$761,$H72,Dati!$H$2:$H$761,$AO72)+SUMIFS(Dati!$I$2:$I$761,Dati!$H$2:$H$761,$H72,Dati!$A$2:$A$761,$AO72),"-")</f>
        <v/>
      </c>
      <c r="BL72" s="22">
        <f>IF(AND($H72&lt;&gt;"",$AP72&lt;&gt;"",$H72&lt;&gt;$AP72,IFERROR(VLOOKUP($H72,areaCercaPuntiClassificaSquadra,3,FALSE),-1)=IFERROR(VLOOKUP($AP72,areaCercaPuntiClassificaSquadra,3,FALSE),-2)),SUMIFS(Dati!$B$2:$B$761,Dati!$A$2:$A$761,$H72,Dati!$H$2:$H$761,$AP72)+SUMIFS(Dati!$I$2:$I$761,Dati!$H$2:$H$761,$H72,Dati!$A$2:$A$761,$AP72),"-")</f>
        <v/>
      </c>
      <c r="BM72" s="22">
        <f>IF(AND($H72&lt;&gt;"",$AQ72&lt;&gt;"",$H72&lt;&gt;$AQ72,IFERROR(VLOOKUP($H72,areaCercaPuntiClassificaSquadra,3,FALSE),-1)=IFERROR(VLOOKUP($AQ72,areaCercaPuntiClassificaSquadra,3,FALSE),-2)),SUMIFS(Dati!$B$2:$B$761,Dati!$A$2:$A$761,$H72,Dati!$H$2:$H$761,$AQ72)+SUMIFS(Dati!$I$2:$I$761,Dati!$H$2:$H$761,$H72,Dati!$A$2:$A$761,$AQ72),"-")</f>
        <v/>
      </c>
      <c r="BN72" s="22">
        <f>IF(AND($H72&lt;&gt;"",$AR72&lt;&gt;"",$H72&lt;&gt;$AR72,IFERROR(VLOOKUP($H72,areaCercaPuntiClassificaSquadra,3,FALSE),-1)=IFERROR(VLOOKUP($AR72,areaCercaPuntiClassificaSquadra,3,FALSE),-2)),SUMIFS(Dati!$B$2:$B$761,Dati!$A$2:$A$761,$H72,Dati!$H$2:$H$761,$AR72)+SUMIFS(Dati!$I$2:$I$761,Dati!$H$2:$H$761,$H72,Dati!$A$2:$A$761,$AR72),"-")</f>
        <v/>
      </c>
      <c r="BP72" s="21">
        <f>$C72</f>
        <v/>
      </c>
      <c r="BQ72" s="22">
        <f>IF(AND($H72&lt;&gt;"",$Y72&lt;&gt;"",$H72&lt;&gt;$Y72,IFERROR(VLOOKUP($H72,areaCercaPuntiClassificaSquadra,3,FALSE),-1)=IFERROR(VLOOKUP($Y72,areaCercaPuntiClassificaSquadra,3,FALSE),-2)),SUMIFS(Dati!$D$2:$D$761,Dati!$A$2:$A$761,$H72,Dati!$H$2:$H$761,$Y72)+SUMIFS(Dati!$K$2:$K$761,Dati!$H$2:$H$761,$H72,Dati!$A$2:$A$761,$Y72)+SUMIFS(Dati!$C$2:$C$761,Dati!$A$2:$A$761,$H72,Dati!$H$2:$H$761,$Y72)+SUMIFS(Dati!$J$2:$J$761,Dati!$H$2:$H$761,$H72,Dati!$A$2:$A$761,$Y72),"-")</f>
        <v/>
      </c>
      <c r="BR72" s="22">
        <f>IF(AND($H72&lt;&gt;"",$Z72&lt;&gt;"",$H72&lt;&gt;$Z72,IFERROR(VLOOKUP($H72,areaCercaPuntiClassificaSquadra,3,FALSE),-1)=IFERROR(VLOOKUP($Z72,areaCercaPuntiClassificaSquadra,3,FALSE),-2)),SUMIFS(Dati!$D$2:$D$761,Dati!$A$2:$A$761,$H72,Dati!$H$2:$H$761,$Z72)+SUMIFS(Dati!$K$2:$K$761,Dati!$H$2:$H$761,$H72,Dati!$A$2:$A$761,$Z72)+SUMIFS(Dati!$C$2:$C$761,Dati!$A$2:$A$761,$H72,Dati!$H$2:$H$761,$Z72)+SUMIFS(Dati!$J$2:$J$761,Dati!$H$2:$H$761,$H72,Dati!$A$2:$A$761,$Z72),"-")</f>
        <v/>
      </c>
      <c r="BS72" s="22">
        <f>IF(AND($H72&lt;&gt;"",$AA72&lt;&gt;"",$H72&lt;&gt;$AA72,IFERROR(VLOOKUP($H72,areaCercaPuntiClassificaSquadra,3,FALSE),-1)=IFERROR(VLOOKUP($AA72,areaCercaPuntiClassificaSquadra,3,FALSE),-2)),SUMIFS(Dati!$D$2:$D$761,Dati!$A$2:$A$761,$H72,Dati!$H$2:$H$761,$AA72)+SUMIFS(Dati!$K$2:$K$761,Dati!$H$2:$H$761,$H72,Dati!$A$2:$A$761,$AA72)+SUMIFS(Dati!$C$2:$C$761,Dati!$A$2:$A$761,$H72,Dati!$H$2:$H$761,$AA72)+SUMIFS(Dati!$J$2:$J$761,Dati!$H$2:$H$761,$H72,Dati!$A$2:$A$761,$AA72),"-")</f>
        <v/>
      </c>
      <c r="BT72" s="22">
        <f>IF(AND($H72&lt;&gt;"",$AB72&lt;&gt;"",$H72&lt;&gt;$AB72,IFERROR(VLOOKUP($H72,areaCercaPuntiClassificaSquadra,3,FALSE),-1)=IFERROR(VLOOKUP($AB72,areaCercaPuntiClassificaSquadra,3,FALSE),-2)),SUMIFS(Dati!$D$2:$D$761,Dati!$A$2:$A$761,$H72,Dati!$H$2:$H$761,$AB72)+SUMIFS(Dati!$K$2:$K$761,Dati!$H$2:$H$761,$H72,Dati!$A$2:$A$761,$AB72)+SUMIFS(Dati!$C$2:$C$761,Dati!$A$2:$A$761,$H72,Dati!$H$2:$H$761,$AB72)+SUMIFS(Dati!$J$2:$J$761,Dati!$H$2:$H$761,$H72,Dati!$A$2:$A$761,$AB72),"-")</f>
        <v/>
      </c>
      <c r="BU72" s="22">
        <f>IF(AND($H72&lt;&gt;"",$AC72&lt;&gt;"",$H72&lt;&gt;$AC72,IFERROR(VLOOKUP($H72,areaCercaPuntiClassificaSquadra,3,FALSE),-1)=IFERROR(VLOOKUP($AC72,areaCercaPuntiClassificaSquadra,3,FALSE),-2)),SUMIFS(Dati!$D$2:$D$761,Dati!$A$2:$A$761,$H72,Dati!$H$2:$H$761,$AC72)+SUMIFS(Dati!$K$2:$K$761,Dati!$H$2:$H$761,$H72,Dati!$A$2:$A$761,$AC72)+SUMIFS(Dati!$C$2:$C$761,Dati!$A$2:$A$761,$H72,Dati!$H$2:$H$761,$AC72)+SUMIFS(Dati!$J$2:$J$761,Dati!$H$2:$H$761,$H72,Dati!$A$2:$A$761,$AC72),"-")</f>
        <v/>
      </c>
      <c r="BV72" s="22">
        <f>IF(AND($H72&lt;&gt;"",$AD72&lt;&gt;"",$H72&lt;&gt;$AD72,IFERROR(VLOOKUP($H72,areaCercaPuntiClassificaSquadra,3,FALSE),-1)=IFERROR(VLOOKUP($AD72,areaCercaPuntiClassificaSquadra,3,FALSE),-2)),SUMIFS(Dati!$D$2:$D$761,Dati!$A$2:$A$761,$H72,Dati!$H$2:$H$761,$AD72)+SUMIFS(Dati!$K$2:$K$761,Dati!$H$2:$H$761,$H72,Dati!$A$2:$A$761,$AD72)+SUMIFS(Dati!$C$2:$C$761,Dati!$A$2:$A$761,$H72,Dati!$H$2:$H$761,$AD72)+SUMIFS(Dati!$J$2:$J$761,Dati!$H$2:$H$761,$H72,Dati!$A$2:$A$761,$AD72),"-")</f>
        <v/>
      </c>
      <c r="BW72" s="22">
        <f>IF(AND($H72&lt;&gt;"",$AE72&lt;&gt;"",$H72&lt;&gt;$AE72,IFERROR(VLOOKUP($H72,areaCercaPuntiClassificaSquadra,3,FALSE),-1)=IFERROR(VLOOKUP($AE72,areaCercaPuntiClassificaSquadra,3,FALSE),-2)),SUMIFS(Dati!$D$2:$D$761,Dati!$A$2:$A$761,$H72,Dati!$H$2:$H$761,$AE72)+SUMIFS(Dati!$K$2:$K$761,Dati!$H$2:$H$761,$H72,Dati!$A$2:$A$761,$AE72)+SUMIFS(Dati!$C$2:$C$761,Dati!$A$2:$A$761,$H72,Dati!$H$2:$H$761,$AE72)+SUMIFS(Dati!$J$2:$J$761,Dati!$H$2:$H$761,$H72,Dati!$A$2:$A$761,$AE72),"-")</f>
        <v/>
      </c>
      <c r="BX72" s="22">
        <f>IF(AND($H72&lt;&gt;"",$AF72&lt;&gt;"",$H72&lt;&gt;$AF72,IFERROR(VLOOKUP($H72,areaCercaPuntiClassificaSquadra,3,FALSE),-1)=IFERROR(VLOOKUP($AF72,areaCercaPuntiClassificaSquadra,3,FALSE),-2)),SUMIFS(Dati!$D$2:$D$761,Dati!$A$2:$A$761,$H72,Dati!$H$2:$H$761,$AF72)+SUMIFS(Dati!$K$2:$K$761,Dati!$H$2:$H$761,$H72,Dati!$A$2:$A$761,$AF72)+SUMIFS(Dati!$C$2:$C$761,Dati!$A$2:$A$761,$H72,Dati!$H$2:$H$761,$AF72)+SUMIFS(Dati!$J$2:$J$761,Dati!$H$2:$H$761,$H72,Dati!$A$2:$A$761,$AF72),"-")</f>
        <v/>
      </c>
      <c r="BY72" s="22">
        <f>IF(AND($H72&lt;&gt;"",$AG72&lt;&gt;"",$H72&lt;&gt;$AG72,IFERROR(VLOOKUP($H72,areaCercaPuntiClassificaSquadra,3,FALSE),-1)=IFERROR(VLOOKUP($AG72,areaCercaPuntiClassificaSquadra,3,FALSE),-2)),SUMIFS(Dati!$D$2:$D$761,Dati!$A$2:$A$761,$H72,Dati!$H$2:$H$761,$AG72)+SUMIFS(Dati!$K$2:$K$761,Dati!$H$2:$H$761,$H72,Dati!$A$2:$A$761,$AG72)+SUMIFS(Dati!$C$2:$C$761,Dati!$A$2:$A$761,$H72,Dati!$H$2:$H$761,$AG72)+SUMIFS(Dati!$J$2:$J$761,Dati!$H$2:$H$761,$H72,Dati!$A$2:$A$761,$AG72),"-")</f>
        <v/>
      </c>
      <c r="BZ72" s="22">
        <f>IF(AND($H72&lt;&gt;"",$AH72&lt;&gt;"",$H72&lt;&gt;$AH72,IFERROR(VLOOKUP($H72,areaCercaPuntiClassificaSquadra,3,FALSE),-1)=IFERROR(VLOOKUP($AH72,areaCercaPuntiClassificaSquadra,3,FALSE),-2)),SUMIFS(Dati!$D$2:$D$761,Dati!$A$2:$A$761,$H72,Dati!$H$2:$H$761,$AH72)+SUMIFS(Dati!$K$2:$K$761,Dati!$H$2:$H$761,$H72,Dati!$A$2:$A$761,$AH72)+SUMIFS(Dati!$C$2:$C$761,Dati!$A$2:$A$761,$H72,Dati!$H$2:$H$761,$AH72)+SUMIFS(Dati!$J$2:$J$761,Dati!$H$2:$H$761,$H72,Dati!$A$2:$A$761,$AH72),"-")</f>
        <v/>
      </c>
      <c r="CA72" s="22">
        <f>IF(AND($H72&lt;&gt;"",$AI72&lt;&gt;"",$H72&lt;&gt;$AI72,IFERROR(VLOOKUP($H72,areaCercaPuntiClassificaSquadra,3,FALSE),-1)=IFERROR(VLOOKUP($AI72,areaCercaPuntiClassificaSquadra,3,FALSE),-2)),SUMIFS(Dati!$D$2:$D$761,Dati!$A$2:$A$761,$H72,Dati!$H$2:$H$761,$AI72)+SUMIFS(Dati!$K$2:$K$761,Dati!$H$2:$H$761,$H72,Dati!$A$2:$A$761,$AI72)+SUMIFS(Dati!$C$2:$C$761,Dati!$A$2:$A$761,$H72,Dati!$H$2:$H$761,$AI72)+SUMIFS(Dati!$J$2:$J$761,Dati!$H$2:$H$761,$H72,Dati!$A$2:$A$761,$AI72),"-")</f>
        <v/>
      </c>
      <c r="CB72" s="22">
        <f>IF(AND($H72&lt;&gt;"",$AJ72&lt;&gt;"",$H72&lt;&gt;$AJ72,IFERROR(VLOOKUP($H72,areaCercaPuntiClassificaSquadra,3,FALSE),-1)=IFERROR(VLOOKUP($AJ72,areaCercaPuntiClassificaSquadra,3,FALSE),-2)),SUMIFS(Dati!$D$2:$D$761,Dati!$A$2:$A$761,$H72,Dati!$H$2:$H$761,$AJ72)+SUMIFS(Dati!$K$2:$K$761,Dati!$H$2:$H$761,$H72,Dati!$A$2:$A$761,$AJ72)+SUMIFS(Dati!$C$2:$C$761,Dati!$A$2:$A$761,$H72,Dati!$H$2:$H$761,$AJ72)+SUMIFS(Dati!$J$2:$J$761,Dati!$H$2:$H$761,$H72,Dati!$A$2:$A$761,$AJ72),"-")</f>
        <v/>
      </c>
      <c r="CC72" s="22">
        <f>IF(AND($H72&lt;&gt;"",$AK72&lt;&gt;"",$H72&lt;&gt;$AK72,IFERROR(VLOOKUP($H72,areaCercaPuntiClassificaSquadra,3,FALSE),-1)=IFERROR(VLOOKUP($AK72,areaCercaPuntiClassificaSquadra,3,FALSE),-2)),SUMIFS(Dati!$D$2:$D$761,Dati!$A$2:$A$761,$H72,Dati!$H$2:$H$761,$AK72)+SUMIFS(Dati!$K$2:$K$761,Dati!$H$2:$H$761,$H72,Dati!$A$2:$A$761,$AK72)+SUMIFS(Dati!$C$2:$C$761,Dati!$A$2:$A$761,$H72,Dati!$H$2:$H$761,$AK72)+SUMIFS(Dati!$J$2:$J$761,Dati!$H$2:$H$761,$H72,Dati!$A$2:$A$761,$AK72),"-")</f>
        <v/>
      </c>
      <c r="CD72" s="22">
        <f>IF(AND($H72&lt;&gt;"",$AL72&lt;&gt;"",$H72&lt;&gt;$AL72,IFERROR(VLOOKUP($H72,areaCercaPuntiClassificaSquadra,3,FALSE),-1)=IFERROR(VLOOKUP($AL72,areaCercaPuntiClassificaSquadra,3,FALSE),-2)),SUMIFS(Dati!$D$2:$D$761,Dati!$A$2:$A$761,$H72,Dati!$H$2:$H$761,$AL72)+SUMIFS(Dati!$K$2:$K$761,Dati!$H$2:$H$761,$H72,Dati!$A$2:$A$761,$AL72)+SUMIFS(Dati!$C$2:$C$761,Dati!$A$2:$A$761,$H72,Dati!$H$2:$H$761,$AL72)+SUMIFS(Dati!$J$2:$J$761,Dati!$H$2:$H$761,$H72,Dati!$A$2:$A$761,$AL72),"-")</f>
        <v/>
      </c>
      <c r="CE72" s="22">
        <f>IF(AND($H72&lt;&gt;"",$AM72&lt;&gt;"",$H72&lt;&gt;$AM72,IFERROR(VLOOKUP($H72,areaCercaPuntiClassificaSquadra,3,FALSE),-1)=IFERROR(VLOOKUP($AM72,areaCercaPuntiClassificaSquadra,3,FALSE),-2)),SUMIFS(Dati!$D$2:$D$761,Dati!$A$2:$A$761,$H72,Dati!$H$2:$H$761,$AM72)+SUMIFS(Dati!$K$2:$K$761,Dati!$H$2:$H$761,$H72,Dati!$A$2:$A$761,$AM72)+SUMIFS(Dati!$C$2:$C$761,Dati!$A$2:$A$761,$H72,Dati!$H$2:$H$761,$AM72)+SUMIFS(Dati!$J$2:$J$761,Dati!$H$2:$H$761,$H72,Dati!$A$2:$A$761,$AM72),"-")</f>
        <v/>
      </c>
      <c r="CF72" s="22">
        <f>IF(AND($H72&lt;&gt;"",$AN72&lt;&gt;"",$H72&lt;&gt;$AN72,IFERROR(VLOOKUP($H72,areaCercaPuntiClassificaSquadra,3,FALSE),-1)=IFERROR(VLOOKUP($AN72,areaCercaPuntiClassificaSquadra,3,FALSE),-2)),SUMIFS(Dati!$D$2:$D$761,Dati!$A$2:$A$761,$H72,Dati!$H$2:$H$761,$AN72)+SUMIFS(Dati!$K$2:$K$761,Dati!$H$2:$H$761,$H72,Dati!$A$2:$A$761,$AN72)+SUMIFS(Dati!$C$2:$C$761,Dati!$A$2:$A$761,$H72,Dati!$H$2:$H$761,$AN72)+SUMIFS(Dati!$J$2:$J$761,Dati!$H$2:$H$761,$H72,Dati!$A$2:$A$761,$AN72),"-")</f>
        <v/>
      </c>
      <c r="CG72" s="22">
        <f>IF(AND($H72&lt;&gt;"",$AO72&lt;&gt;"",$H72&lt;&gt;$AO72,IFERROR(VLOOKUP($H72,areaCercaPuntiClassificaSquadra,3,FALSE),-1)=IFERROR(VLOOKUP($AO72,areaCercaPuntiClassificaSquadra,3,FALSE),-2)),SUMIFS(Dati!$D$2:$D$761,Dati!$A$2:$A$761,$H72,Dati!$H$2:$H$761,$AO72)+SUMIFS(Dati!$K$2:$K$761,Dati!$H$2:$H$761,$H72,Dati!$A$2:$A$761,$AO72)+SUMIFS(Dati!$C$2:$C$761,Dati!$A$2:$A$761,$H72,Dati!$H$2:$H$761,$AO72)+SUMIFS(Dati!$J$2:$J$761,Dati!$H$2:$H$761,$H72,Dati!$A$2:$A$761,$AO72),"-")</f>
        <v/>
      </c>
      <c r="CH72" s="22">
        <f>IF(AND($H72&lt;&gt;"",$AP72&lt;&gt;"",$H72&lt;&gt;$AP72,IFERROR(VLOOKUP($H72,areaCercaPuntiClassificaSquadra,3,FALSE),-1)=IFERROR(VLOOKUP($AP72,areaCercaPuntiClassificaSquadra,3,FALSE),-2)),SUMIFS(Dati!$D$2:$D$761,Dati!$A$2:$A$761,$H72,Dati!$H$2:$H$761,$AP72)+SUMIFS(Dati!$K$2:$K$761,Dati!$H$2:$H$761,$H72,Dati!$A$2:$A$761,$AP72)+SUMIFS(Dati!$C$2:$C$761,Dati!$A$2:$A$761,$H72,Dati!$H$2:$H$761,$AP72)+SUMIFS(Dati!$J$2:$J$761,Dati!$H$2:$H$761,$H72,Dati!$A$2:$A$761,$AP72),"-")</f>
        <v/>
      </c>
      <c r="CI72" s="22">
        <f>IF(AND($H72&lt;&gt;"",$AQ72&lt;&gt;"",$H72&lt;&gt;$AQ72,IFERROR(VLOOKUP($H72,areaCercaPuntiClassificaSquadra,3,FALSE),-1)=IFERROR(VLOOKUP($AQ72,areaCercaPuntiClassificaSquadra,3,FALSE),-2)),SUMIFS(Dati!$D$2:$D$761,Dati!$A$2:$A$761,$H72,Dati!$H$2:$H$761,$AQ72)+SUMIFS(Dati!$K$2:$K$761,Dati!$H$2:$H$761,$H72,Dati!$A$2:$A$761,$AQ72)+SUMIFS(Dati!$C$2:$C$761,Dati!$A$2:$A$761,$H72,Dati!$H$2:$H$761,$AQ72)+SUMIFS(Dati!$J$2:$J$761,Dati!$H$2:$H$761,$H72,Dati!$A$2:$A$761,$AQ72),"-")</f>
        <v/>
      </c>
      <c r="CJ72" s="22">
        <f>IF(AND($H72&lt;&gt;"",$AR72&lt;&gt;"",$H72&lt;&gt;$AR72,IFERROR(VLOOKUP($H72,areaCercaPuntiClassificaSquadra,3,FALSE),-1)=IFERROR(VLOOKUP($AR72,areaCercaPuntiClassificaSquadra,3,FALSE),-2)),SUMIFS(Dati!$D$2:$D$761,Dati!$A$2:$A$761,$H72,Dati!$H$2:$H$761,$AR72)+SUMIFS(Dati!$K$2:$K$761,Dati!$H$2:$H$761,$H72,Dati!$A$2:$A$761,$AR72)+SUMIFS(Dati!$C$2:$C$761,Dati!$A$2:$A$761,$H72,Dati!$H$2:$H$761,$AR72)+SUMIFS(Dati!$J$2:$J$761,Dati!$H$2:$H$761,$H72,Dati!$A$2:$A$761,$AR72),"-")</f>
        <v/>
      </c>
      <c r="CL72" s="21">
        <f>$C72</f>
        <v/>
      </c>
      <c r="CM72" s="22">
        <f>IF(AND($H72&lt;&gt;"",$Y72&lt;&gt;"",$H72&lt;&gt;$Y72,IFERROR(VLOOKUP($H72,areaCercaPuntiClassificaSquadra,3,FALSE),-1)=IFERROR(VLOOKUP($Y72,areaCercaPuntiClassificaSquadra,3,FALSE),-2)),SUMIFS(Dati!$E$2:$E$761,Dati!$A$2:$A$761,$H72,Dati!$H$2:$H$761,$Y72)+SUMIFS(Dati!$L$2:$L$761,Dati!$H$2:$H$761,$H72,Dati!$A$2:$A$761,$Y72),"-")</f>
        <v/>
      </c>
      <c r="CN72" s="22">
        <f>IF(AND($H72&lt;&gt;"",$Z72&lt;&gt;"",$H72&lt;&gt;$Z72,IFERROR(VLOOKUP($H72,areaCercaPuntiClassificaSquadra,3,FALSE),-1)=IFERROR(VLOOKUP($Z72,areaCercaPuntiClassificaSquadra,3,FALSE),-2)),SUMIFS(Dati!$E$2:$E$761,Dati!$A$2:$A$761,$H72,Dati!$H$2:$H$761,$Z72)+SUMIFS(Dati!$L$2:$L$761,Dati!$H$2:$H$761,$H72,Dati!$A$2:$A$761,$Z72),"-")</f>
        <v/>
      </c>
      <c r="CO72" s="22">
        <f>IF(AND($H72&lt;&gt;"",$AA72&lt;&gt;"",$H72&lt;&gt;$AA72,IFERROR(VLOOKUP($H72,areaCercaPuntiClassificaSquadra,3,FALSE),-1)=IFERROR(VLOOKUP($AA72,areaCercaPuntiClassificaSquadra,3,FALSE),-2)),SUMIFS(Dati!$E$2:$E$761,Dati!$A$2:$A$761,$H72,Dati!$H$2:$H$761,$AA72)+SUMIFS(Dati!$L$2:$L$761,Dati!$H$2:$H$761,$H72,Dati!$A$2:$A$761,$AA72),"-")</f>
        <v/>
      </c>
      <c r="CP72" s="22">
        <f>IF(AND($H72&lt;&gt;"",$AB72&lt;&gt;"",$H72&lt;&gt;$AB72,IFERROR(VLOOKUP($H72,areaCercaPuntiClassificaSquadra,3,FALSE),-1)=IFERROR(VLOOKUP($AB72,areaCercaPuntiClassificaSquadra,3,FALSE),-2)),SUMIFS(Dati!$E$2:$E$761,Dati!$A$2:$A$761,$H72,Dati!$H$2:$H$761,$AB72)+SUMIFS(Dati!$L$2:$L$761,Dati!$H$2:$H$761,$H72,Dati!$A$2:$A$761,$AB72),"-")</f>
        <v/>
      </c>
      <c r="CQ72" s="22">
        <f>IF(AND($H72&lt;&gt;"",$AC72&lt;&gt;"",$H72&lt;&gt;$AC72,IFERROR(VLOOKUP($H72,areaCercaPuntiClassificaSquadra,3,FALSE),-1)=IFERROR(VLOOKUP($AC72,areaCercaPuntiClassificaSquadra,3,FALSE),-2)),SUMIFS(Dati!$E$2:$E$761,Dati!$A$2:$A$761,$H72,Dati!$H$2:$H$761,$AC72)+SUMIFS(Dati!$L$2:$L$761,Dati!$H$2:$H$761,$H72,Dati!$A$2:$A$761,$AC72),"-")</f>
        <v/>
      </c>
      <c r="CR72" s="22">
        <f>IF(AND($H72&lt;&gt;"",$AD72&lt;&gt;"",$H72&lt;&gt;$AD72,IFERROR(VLOOKUP($H72,areaCercaPuntiClassificaSquadra,3,FALSE),-1)=IFERROR(VLOOKUP($AD72,areaCercaPuntiClassificaSquadra,3,FALSE),-2)),SUMIFS(Dati!$E$2:$E$761,Dati!$A$2:$A$761,$H72,Dati!$H$2:$H$761,$AD72)+SUMIFS(Dati!$L$2:$L$761,Dati!$H$2:$H$761,$H72,Dati!$A$2:$A$761,$AD72),"-")</f>
        <v/>
      </c>
      <c r="CS72" s="22">
        <f>IF(AND($H72&lt;&gt;"",$AE72&lt;&gt;"",$H72&lt;&gt;$AE72,IFERROR(VLOOKUP($H72,areaCercaPuntiClassificaSquadra,3,FALSE),-1)=IFERROR(VLOOKUP($AE72,areaCercaPuntiClassificaSquadra,3,FALSE),-2)),SUMIFS(Dati!$E$2:$E$761,Dati!$A$2:$A$761,$H72,Dati!$H$2:$H$761,$AE72)+SUMIFS(Dati!$L$2:$L$761,Dati!$H$2:$H$761,$H72,Dati!$A$2:$A$761,$AE72),"-")</f>
        <v/>
      </c>
      <c r="CT72" s="22">
        <f>IF(AND($H72&lt;&gt;"",$AF72&lt;&gt;"",$H72&lt;&gt;$AF72,IFERROR(VLOOKUP($H72,areaCercaPuntiClassificaSquadra,3,FALSE),-1)=IFERROR(VLOOKUP($AF72,areaCercaPuntiClassificaSquadra,3,FALSE),-2)),SUMIFS(Dati!$E$2:$E$761,Dati!$A$2:$A$761,$H72,Dati!$H$2:$H$761,$AF72)+SUMIFS(Dati!$L$2:$L$761,Dati!$H$2:$H$761,$H72,Dati!$A$2:$A$761,$AF72),"-")</f>
        <v/>
      </c>
      <c r="CU72" s="22">
        <f>IF(AND($H72&lt;&gt;"",$AG72&lt;&gt;"",$H72&lt;&gt;$AG72,IFERROR(VLOOKUP($H72,areaCercaPuntiClassificaSquadra,3,FALSE),-1)=IFERROR(VLOOKUP($AG72,areaCercaPuntiClassificaSquadra,3,FALSE),-2)),SUMIFS(Dati!$E$2:$E$761,Dati!$A$2:$A$761,$H72,Dati!$H$2:$H$761,$AG72)+SUMIFS(Dati!$L$2:$L$761,Dati!$H$2:$H$761,$H72,Dati!$A$2:$A$761,$AG72),"-")</f>
        <v/>
      </c>
      <c r="CV72" s="22">
        <f>IF(AND($H72&lt;&gt;"",$AH72&lt;&gt;"",$H72&lt;&gt;$AH72,IFERROR(VLOOKUP($H72,areaCercaPuntiClassificaSquadra,3,FALSE),-1)=IFERROR(VLOOKUP($AH72,areaCercaPuntiClassificaSquadra,3,FALSE),-2)),SUMIFS(Dati!$E$2:$E$761,Dati!$A$2:$A$761,$H72,Dati!$H$2:$H$761,$AH72)+SUMIFS(Dati!$L$2:$L$761,Dati!$H$2:$H$761,$H72,Dati!$A$2:$A$761,$AH72),"-")</f>
        <v/>
      </c>
      <c r="CW72" s="22">
        <f>IF(AND($H72&lt;&gt;"",$AI72&lt;&gt;"",$H72&lt;&gt;$AI72,IFERROR(VLOOKUP($H72,areaCercaPuntiClassificaSquadra,3,FALSE),-1)=IFERROR(VLOOKUP($AI72,areaCercaPuntiClassificaSquadra,3,FALSE),-2)),SUMIFS(Dati!$E$2:$E$761,Dati!$A$2:$A$761,$H72,Dati!$H$2:$H$761,$AI72)+SUMIFS(Dati!$L$2:$L$761,Dati!$H$2:$H$761,$H72,Dati!$A$2:$A$761,$AI72),"-")</f>
        <v/>
      </c>
      <c r="CX72" s="22">
        <f>IF(AND($H72&lt;&gt;"",$AJ72&lt;&gt;"",$H72&lt;&gt;$AJ72,IFERROR(VLOOKUP($H72,areaCercaPuntiClassificaSquadra,3,FALSE),-1)=IFERROR(VLOOKUP($AJ72,areaCercaPuntiClassificaSquadra,3,FALSE),-2)),SUMIFS(Dati!$E$2:$E$761,Dati!$A$2:$A$761,$H72,Dati!$H$2:$H$761,$AJ72)+SUMIFS(Dati!$L$2:$L$761,Dati!$H$2:$H$761,$H72,Dati!$A$2:$A$761,$AJ72),"-")</f>
        <v/>
      </c>
      <c r="CY72" s="22">
        <f>IF(AND($H72&lt;&gt;"",$AK72&lt;&gt;"",$H72&lt;&gt;$AK72,IFERROR(VLOOKUP($H72,areaCercaPuntiClassificaSquadra,3,FALSE),-1)=IFERROR(VLOOKUP($AK72,areaCercaPuntiClassificaSquadra,3,FALSE),-2)),SUMIFS(Dati!$E$2:$E$761,Dati!$A$2:$A$761,$H72,Dati!$H$2:$H$761,$AK72)+SUMIFS(Dati!$L$2:$L$761,Dati!$H$2:$H$761,$H72,Dati!$A$2:$A$761,$AK72),"-")</f>
        <v/>
      </c>
      <c r="CZ72" s="22">
        <f>IF(AND($H72&lt;&gt;"",$AL72&lt;&gt;"",$H72&lt;&gt;$AL72,IFERROR(VLOOKUP($H72,areaCercaPuntiClassificaSquadra,3,FALSE),-1)=IFERROR(VLOOKUP($AL72,areaCercaPuntiClassificaSquadra,3,FALSE),-2)),SUMIFS(Dati!$E$2:$E$761,Dati!$A$2:$A$761,$H72,Dati!$H$2:$H$761,$AL72)+SUMIFS(Dati!$L$2:$L$761,Dati!$H$2:$H$761,$H72,Dati!$A$2:$A$761,$AL72),"-")</f>
        <v/>
      </c>
      <c r="DA72" s="22">
        <f>IF(AND($H72&lt;&gt;"",$AM72&lt;&gt;"",$H72&lt;&gt;$AM72,IFERROR(VLOOKUP($H72,areaCercaPuntiClassificaSquadra,3,FALSE),-1)=IFERROR(VLOOKUP($AM72,areaCercaPuntiClassificaSquadra,3,FALSE),-2)),SUMIFS(Dati!$E$2:$E$761,Dati!$A$2:$A$761,$H72,Dati!$H$2:$H$761,$AM72)+SUMIFS(Dati!$L$2:$L$761,Dati!$H$2:$H$761,$H72,Dati!$A$2:$A$761,$AM72),"-")</f>
        <v/>
      </c>
      <c r="DB72" s="22">
        <f>IF(AND($H72&lt;&gt;"",$AN72&lt;&gt;"",$H72&lt;&gt;$AN72,IFERROR(VLOOKUP($H72,areaCercaPuntiClassificaSquadra,3,FALSE),-1)=IFERROR(VLOOKUP($AN72,areaCercaPuntiClassificaSquadra,3,FALSE),-2)),SUMIFS(Dati!$E$2:$E$761,Dati!$A$2:$A$761,$H72,Dati!$H$2:$H$761,$AN72)+SUMIFS(Dati!$L$2:$L$761,Dati!$H$2:$H$761,$H72,Dati!$A$2:$A$761,$AN72),"-")</f>
        <v/>
      </c>
      <c r="DC72" s="22">
        <f>IF(AND($H72&lt;&gt;"",$AO72&lt;&gt;"",$H72&lt;&gt;$AO72,IFERROR(VLOOKUP($H72,areaCercaPuntiClassificaSquadra,3,FALSE),-1)=IFERROR(VLOOKUP($AO72,areaCercaPuntiClassificaSquadra,3,FALSE),-2)),SUMIFS(Dati!$E$2:$E$761,Dati!$A$2:$A$761,$H72,Dati!$H$2:$H$761,$AO72)+SUMIFS(Dati!$L$2:$L$761,Dati!$H$2:$H$761,$H72,Dati!$A$2:$A$761,$AO72),"-")</f>
        <v/>
      </c>
      <c r="DD72" s="22">
        <f>IF(AND($H72&lt;&gt;"",$AP72&lt;&gt;"",$H72&lt;&gt;$AP72,IFERROR(VLOOKUP($H72,areaCercaPuntiClassificaSquadra,3,FALSE),-1)=IFERROR(VLOOKUP($AP72,areaCercaPuntiClassificaSquadra,3,FALSE),-2)),SUMIFS(Dati!$E$2:$E$761,Dati!$A$2:$A$761,$H72,Dati!$H$2:$H$761,$AP72)+SUMIFS(Dati!$L$2:$L$761,Dati!$H$2:$H$761,$H72,Dati!$A$2:$A$761,$AP72),"-")</f>
        <v/>
      </c>
      <c r="DE72" s="22">
        <f>IF(AND($H72&lt;&gt;"",$AQ72&lt;&gt;"",$H72&lt;&gt;$AQ72,IFERROR(VLOOKUP($H72,areaCercaPuntiClassificaSquadra,3,FALSE),-1)=IFERROR(VLOOKUP($AQ72,areaCercaPuntiClassificaSquadra,3,FALSE),-2)),SUMIFS(Dati!$E$2:$E$761,Dati!$A$2:$A$761,$H72,Dati!$H$2:$H$761,$AQ72)+SUMIFS(Dati!$L$2:$L$761,Dati!$H$2:$H$761,$H72,Dati!$A$2:$A$761,$AQ72),"-")</f>
        <v/>
      </c>
      <c r="DF72" s="22">
        <f>IF(AND($H72&lt;&gt;"",$AR72&lt;&gt;"",$H72&lt;&gt;$AR72,IFERROR(VLOOKUP($H72,areaCercaPuntiClassificaSquadra,3,FALSE),-1)=IFERROR(VLOOKUP($AR72,areaCercaPuntiClassificaSquadra,3,FALSE),-2)),SUMIFS(Dati!$E$2:$E$761,Dati!$A$2:$A$761,$H72,Dati!$H$2:$H$761,$AR72)+SUMIFS(Dati!$L$2:$L$761,Dati!$H$2:$H$761,$H72,Dati!$A$2:$A$761,$AR72),"-")</f>
        <v/>
      </c>
      <c r="DH72" s="21">
        <f>$C72</f>
        <v/>
      </c>
      <c r="DI72" s="22">
        <f>IF(AND($H72&lt;&gt;"",$Y72&lt;&gt;"",$H72&lt;&gt;$Y72,IFERROR(VLOOKUP($H72,areaCercaPuntiClassificaSquadra,3,FALSE),-1)=IFERROR(VLOOKUP($Y72,areaCercaPuntiClassificaSquadra,3,FALSE),-2)),SUMIFS(Dati!$F$2:$F$761,Dati!$A$2:$A$761,$H72,Dati!$H$2:$H$761,$Y72)+SUMIFS(Dati!$M$2:$M$761,Dati!$H$2:$H$761,$H72,Dati!$A$2:$A$761,$Y72),"-")</f>
        <v/>
      </c>
      <c r="DJ72" s="22">
        <f>IF(AND($H72&lt;&gt;"",$Z72&lt;&gt;"",$H72&lt;&gt;$Z72,IFERROR(VLOOKUP($H72,areaCercaPuntiClassificaSquadra,3,FALSE),-1)=IFERROR(VLOOKUP($Z72,areaCercaPuntiClassificaSquadra,3,FALSE),-2)),SUMIFS(Dati!$F$2:$F$761,Dati!$A$2:$A$761,$H72,Dati!$H$2:$H$761,$Z72)+SUMIFS(Dati!$M$2:$M$761,Dati!$H$2:$H$761,$H72,Dati!$A$2:$A$761,$Z72),"-")</f>
        <v/>
      </c>
      <c r="DK72" s="22">
        <f>IF(AND($H72&lt;&gt;"",$AA72&lt;&gt;"",$H72&lt;&gt;$AA72,IFERROR(VLOOKUP($H72,areaCercaPuntiClassificaSquadra,3,FALSE),-1)=IFERROR(VLOOKUP($AA72,areaCercaPuntiClassificaSquadra,3,FALSE),-2)),SUMIFS(Dati!$F$2:$F$761,Dati!$A$2:$A$761,$H72,Dati!$H$2:$H$761,$AA72)+SUMIFS(Dati!$M$2:$M$761,Dati!$H$2:$H$761,$H72,Dati!$A$2:$A$761,$AA72),"-")</f>
        <v/>
      </c>
      <c r="DL72" s="22">
        <f>IF(AND($H72&lt;&gt;"",$AB72&lt;&gt;"",$H72&lt;&gt;$AB72,IFERROR(VLOOKUP($H72,areaCercaPuntiClassificaSquadra,3,FALSE),-1)=IFERROR(VLOOKUP($AB72,areaCercaPuntiClassificaSquadra,3,FALSE),-2)),SUMIFS(Dati!$F$2:$F$761,Dati!$A$2:$A$761,$H72,Dati!$H$2:$H$761,$AB72)+SUMIFS(Dati!$M$2:$M$761,Dati!$H$2:$H$761,$H72,Dati!$A$2:$A$761,$AB72),"-")</f>
        <v/>
      </c>
      <c r="DM72" s="22">
        <f>IF(AND($H72&lt;&gt;"",$AC72&lt;&gt;"",$H72&lt;&gt;$AC72,IFERROR(VLOOKUP($H72,areaCercaPuntiClassificaSquadra,3,FALSE),-1)=IFERROR(VLOOKUP($AC72,areaCercaPuntiClassificaSquadra,3,FALSE),-2)),SUMIFS(Dati!$F$2:$F$761,Dati!$A$2:$A$761,$H72,Dati!$H$2:$H$761,$AC72)+SUMIFS(Dati!$M$2:$M$761,Dati!$H$2:$H$761,$H72,Dati!$A$2:$A$761,$AC72),"-")</f>
        <v/>
      </c>
      <c r="DN72" s="22">
        <f>IF(AND($H72&lt;&gt;"",$AD72&lt;&gt;"",$H72&lt;&gt;$AD72,IFERROR(VLOOKUP($H72,areaCercaPuntiClassificaSquadra,3,FALSE),-1)=IFERROR(VLOOKUP($AD72,areaCercaPuntiClassificaSquadra,3,FALSE),-2)),SUMIFS(Dati!$F$2:$F$761,Dati!$A$2:$A$761,$H72,Dati!$H$2:$H$761,$AD72)+SUMIFS(Dati!$M$2:$M$761,Dati!$H$2:$H$761,$H72,Dati!$A$2:$A$761,$AD72),"-")</f>
        <v/>
      </c>
      <c r="DO72" s="22">
        <f>IF(AND($H72&lt;&gt;"",$AE72&lt;&gt;"",$H72&lt;&gt;$AE72,IFERROR(VLOOKUP($H72,areaCercaPuntiClassificaSquadra,3,FALSE),-1)=IFERROR(VLOOKUP($AE72,areaCercaPuntiClassificaSquadra,3,FALSE),-2)),SUMIFS(Dati!$F$2:$F$761,Dati!$A$2:$A$761,$H72,Dati!$H$2:$H$761,$AE72)+SUMIFS(Dati!$M$2:$M$761,Dati!$H$2:$H$761,$H72,Dati!$A$2:$A$761,$AE72),"-")</f>
        <v/>
      </c>
      <c r="DP72" s="22">
        <f>IF(AND($H72&lt;&gt;"",$AF72&lt;&gt;"",$H72&lt;&gt;$AF72,IFERROR(VLOOKUP($H72,areaCercaPuntiClassificaSquadra,3,FALSE),-1)=IFERROR(VLOOKUP($AF72,areaCercaPuntiClassificaSquadra,3,FALSE),-2)),SUMIFS(Dati!$F$2:$F$761,Dati!$A$2:$A$761,$H72,Dati!$H$2:$H$761,$AF72)+SUMIFS(Dati!$M$2:$M$761,Dati!$H$2:$H$761,$H72,Dati!$A$2:$A$761,$AF72),"-")</f>
        <v/>
      </c>
      <c r="DQ72" s="22">
        <f>IF(AND($H72&lt;&gt;"",$AG72&lt;&gt;"",$H72&lt;&gt;$AG72,IFERROR(VLOOKUP($H72,areaCercaPuntiClassificaSquadra,3,FALSE),-1)=IFERROR(VLOOKUP($AG72,areaCercaPuntiClassificaSquadra,3,FALSE),-2)),SUMIFS(Dati!$F$2:$F$761,Dati!$A$2:$A$761,$H72,Dati!$H$2:$H$761,$AG72)+SUMIFS(Dati!$M$2:$M$761,Dati!$H$2:$H$761,$H72,Dati!$A$2:$A$761,$AG72),"-")</f>
        <v/>
      </c>
      <c r="DR72" s="22">
        <f>IF(AND($H72&lt;&gt;"",$AH72&lt;&gt;"",$H72&lt;&gt;$AH72,IFERROR(VLOOKUP($H72,areaCercaPuntiClassificaSquadra,3,FALSE),-1)=IFERROR(VLOOKUP($AH72,areaCercaPuntiClassificaSquadra,3,FALSE),-2)),SUMIFS(Dati!$F$2:$F$761,Dati!$A$2:$A$761,$H72,Dati!$H$2:$H$761,$AH72)+SUMIFS(Dati!$M$2:$M$761,Dati!$H$2:$H$761,$H72,Dati!$A$2:$A$761,$AH72),"-")</f>
        <v/>
      </c>
      <c r="DS72" s="22">
        <f>IF(AND($H72&lt;&gt;"",$AI72&lt;&gt;"",$H72&lt;&gt;$AI72,IFERROR(VLOOKUP($H72,areaCercaPuntiClassificaSquadra,3,FALSE),-1)=IFERROR(VLOOKUP($AI72,areaCercaPuntiClassificaSquadra,3,FALSE),-2)),SUMIFS(Dati!$F$2:$F$761,Dati!$A$2:$A$761,$H72,Dati!$H$2:$H$761,$AI72)+SUMIFS(Dati!$M$2:$M$761,Dati!$H$2:$H$761,$H72,Dati!$A$2:$A$761,$AI72),"-")</f>
        <v/>
      </c>
      <c r="DT72" s="22">
        <f>IF(AND($H72&lt;&gt;"",$AJ72&lt;&gt;"",$H72&lt;&gt;$AJ72,IFERROR(VLOOKUP($H72,areaCercaPuntiClassificaSquadra,3,FALSE),-1)=IFERROR(VLOOKUP($AJ72,areaCercaPuntiClassificaSquadra,3,FALSE),-2)),SUMIFS(Dati!$F$2:$F$761,Dati!$A$2:$A$761,$H72,Dati!$H$2:$H$761,$AJ72)+SUMIFS(Dati!$M$2:$M$761,Dati!$H$2:$H$761,$H72,Dati!$A$2:$A$761,$AJ72),"-")</f>
        <v/>
      </c>
      <c r="DU72" s="22">
        <f>IF(AND($H72&lt;&gt;"",$AK72&lt;&gt;"",$H72&lt;&gt;$AK72,IFERROR(VLOOKUP($H72,areaCercaPuntiClassificaSquadra,3,FALSE),-1)=IFERROR(VLOOKUP($AK72,areaCercaPuntiClassificaSquadra,3,FALSE),-2)),SUMIFS(Dati!$F$2:$F$761,Dati!$A$2:$A$761,$H72,Dati!$H$2:$H$761,$AK72)+SUMIFS(Dati!$M$2:$M$761,Dati!$H$2:$H$761,$H72,Dati!$A$2:$A$761,$AK72),"-")</f>
        <v/>
      </c>
      <c r="DV72" s="22">
        <f>IF(AND($H72&lt;&gt;"",$AL72&lt;&gt;"",$H72&lt;&gt;$AL72,IFERROR(VLOOKUP($H72,areaCercaPuntiClassificaSquadra,3,FALSE),-1)=IFERROR(VLOOKUP($AL72,areaCercaPuntiClassificaSquadra,3,FALSE),-2)),SUMIFS(Dati!$F$2:$F$761,Dati!$A$2:$A$761,$H72,Dati!$H$2:$H$761,$AL72)+SUMIFS(Dati!$M$2:$M$761,Dati!$H$2:$H$761,$H72,Dati!$A$2:$A$761,$AL72),"-")</f>
        <v/>
      </c>
      <c r="DW72" s="22">
        <f>IF(AND($H72&lt;&gt;"",$AM72&lt;&gt;"",$H72&lt;&gt;$AM72,IFERROR(VLOOKUP($H72,areaCercaPuntiClassificaSquadra,3,FALSE),-1)=IFERROR(VLOOKUP($AM72,areaCercaPuntiClassificaSquadra,3,FALSE),-2)),SUMIFS(Dati!$F$2:$F$761,Dati!$A$2:$A$761,$H72,Dati!$H$2:$H$761,$AM72)+SUMIFS(Dati!$M$2:$M$761,Dati!$H$2:$H$761,$H72,Dati!$A$2:$A$761,$AM72),"-")</f>
        <v/>
      </c>
      <c r="DX72" s="22">
        <f>IF(AND($H72&lt;&gt;"",$AN72&lt;&gt;"",$H72&lt;&gt;$AN72,IFERROR(VLOOKUP($H72,areaCercaPuntiClassificaSquadra,3,FALSE),-1)=IFERROR(VLOOKUP($AN72,areaCercaPuntiClassificaSquadra,3,FALSE),-2)),SUMIFS(Dati!$F$2:$F$761,Dati!$A$2:$A$761,$H72,Dati!$H$2:$H$761,$AN72)+SUMIFS(Dati!$M$2:$M$761,Dati!$H$2:$H$761,$H72,Dati!$A$2:$A$761,$AN72),"-")</f>
        <v/>
      </c>
      <c r="DY72" s="22">
        <f>IF(AND($H72&lt;&gt;"",$AO72&lt;&gt;"",$H72&lt;&gt;$AO72,IFERROR(VLOOKUP($H72,areaCercaPuntiClassificaSquadra,3,FALSE),-1)=IFERROR(VLOOKUP($AO72,areaCercaPuntiClassificaSquadra,3,FALSE),-2)),SUMIFS(Dati!$F$2:$F$761,Dati!$A$2:$A$761,$H72,Dati!$H$2:$H$761,$AO72)+SUMIFS(Dati!$M$2:$M$761,Dati!$H$2:$H$761,$H72,Dati!$A$2:$A$761,$AO72),"-")</f>
        <v/>
      </c>
      <c r="DZ72" s="22">
        <f>IF(AND($H72&lt;&gt;"",$AP72&lt;&gt;"",$H72&lt;&gt;$AP72,IFERROR(VLOOKUP($H72,areaCercaPuntiClassificaSquadra,3,FALSE),-1)=IFERROR(VLOOKUP($AP72,areaCercaPuntiClassificaSquadra,3,FALSE),-2)),SUMIFS(Dati!$F$2:$F$761,Dati!$A$2:$A$761,$H72,Dati!$H$2:$H$761,$AP72)+SUMIFS(Dati!$M$2:$M$761,Dati!$H$2:$H$761,$H72,Dati!$A$2:$A$761,$AP72),"-")</f>
        <v/>
      </c>
      <c r="EA72" s="22">
        <f>IF(AND($H72&lt;&gt;"",$AQ72&lt;&gt;"",$H72&lt;&gt;$AQ72,IFERROR(VLOOKUP($H72,areaCercaPuntiClassificaSquadra,3,FALSE),-1)=IFERROR(VLOOKUP($AQ72,areaCercaPuntiClassificaSquadra,3,FALSE),-2)),SUMIFS(Dati!$F$2:$F$761,Dati!$A$2:$A$761,$H72,Dati!$H$2:$H$761,$AQ72)+SUMIFS(Dati!$M$2:$M$761,Dati!$H$2:$H$761,$H72,Dati!$A$2:$A$761,$AQ72),"-")</f>
        <v/>
      </c>
      <c r="EB72" s="22">
        <f>IF(AND($H72&lt;&gt;"",$AR72&lt;&gt;"",$H72&lt;&gt;$AR72,IFERROR(VLOOKUP($H72,areaCercaPuntiClassificaSquadra,3,FALSE),-1)=IFERROR(VLOOKUP($AR72,areaCercaPuntiClassificaSquadra,3,FALSE),-2)),SUMIFS(Dati!$F$2:$F$761,Dati!$A$2:$A$761,$H72,Dati!$H$2:$H$761,$AR72)+SUMIFS(Dati!$M$2:$M$761,Dati!$H$2:$H$761,$H72,Dati!$A$2:$A$761,$AR72),"-")</f>
        <v/>
      </c>
      <c r="ED72" s="22">
        <f>IF($C72="","",SUM(AU72:BN72))</f>
        <v/>
      </c>
    </row>
    <row r="73">
      <c r="B73" s="12" t="inlineStr">
        <is>
          <t>C20</t>
        </is>
      </c>
      <c r="C73" s="13" t="inlineStr">
        <is>
          <t>Lepri Leali-Lepriopoli LU</t>
        </is>
      </c>
      <c r="D73" s="14" t="n"/>
      <c r="E73" s="25" t="inlineStr">
        <is>
          <t>C</t>
        </is>
      </c>
      <c r="G73" s="26">
        <f>IF($C73="","",$E73&amp;(COUNTIFS(I$14:I$93,"&gt;"&amp;I73,E$14:E$93,"="&amp;E73,C$14:C$93,"&lt;&gt;")+COUNTIFS(I$14:I$93,"="&amp;I73,H$14:H$93,"&lt;="&amp;H73,E$14:E$93,"="&amp;E73,C$14:C$93,"&lt;&gt;")))</f>
        <v/>
      </c>
      <c r="H73" s="17">
        <f>IF($C73="","",IFERROR(LEFT($C73,FIND("-",$C73)-1),$C73))</f>
        <v/>
      </c>
      <c r="I73" s="12">
        <f>TEXT(1000000000+J73,"|0000000000|")&amp;TEXT(SUM(AU73:BN73),"0000000000|")&amp;IF(SUM(DI73:EB73)=0,"0000000000|",TEXT(ROUND(SUM(CM73:DF73)/SUM(DI73:EB73),4)*100000,"0000000000|"))&amp;IF(P73=0,"0000000000|",TEXT(ROUND(O73/P73,4)*100000,"0000000000|"))</f>
        <v/>
      </c>
      <c r="J73" s="26">
        <f>L73*constPuntiVittoria+M73*constPuntiSconfitta+N73*constPuntiForfait+IF(D73="",0,D73)</f>
        <v/>
      </c>
      <c r="K73" s="12">
        <f>SUM(L73:N73)</f>
        <v/>
      </c>
      <c r="L73" s="12">
        <f>IF($H73="",0,SUMIF(Dati!$A$2:$A$761,$H73,Dati!$B$2:$B$761)+SUMIF(Dati!$H$2:$H$761,$H73,Dati!$I$2:$I$761))</f>
        <v/>
      </c>
      <c r="M73" s="12">
        <f>IF($H73="",0,SUMIF(Dati!$A$2:$A$761,$H73,Dati!$D$2:$D$761)+SUMIF(Dati!$H$2:$H$761,$H73,Dati!$K$2:$K$761))</f>
        <v/>
      </c>
      <c r="N73" s="12">
        <f>IF($H73="",0,SUMIF(Dati!$A$2:$A$761,$H73,Dati!$C$2:$C$761)+SUMIF(Dati!$H$2:$H$761,$H73,Dati!$J$2:$J$761))</f>
        <v/>
      </c>
      <c r="O73" s="12">
        <f>IF($H73="",0,SUMIF(Dati!$A$2:$A$761,$H73,Dati!$E$2:$E$761)+SUMIF(Dati!$H$2:$H$761,$H73,Dati!$L$2:$L$761))</f>
        <v/>
      </c>
      <c r="P73" s="12">
        <f>IF($H73="",0,SUMIF(Dati!$A$2:$A$761,$H73,Dati!$F$2:$F$761)+SUMIF(Dati!$H$2:$H$761,$H73,Dati!$M$2:$M$761))</f>
        <v/>
      </c>
      <c r="Q73" s="12">
        <f>IF($H73="",0,SUMIF(Dati!$A$2:$A$761,$H73,Dati!$G$2:$G$761)+SUMIF(Dati!$H$2:$H$761,$H73,Dati!$N$2:$N$761))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IF(COUNTIFS($E$14:$E$93,$E73,$J$14:$J$93,$J73,$C$14:$C$93,"&lt;&gt;")&lt;=1,"-",SUM(AU73:BN73)&amp;"-"&amp;SUM(BQ73:CJ73))</f>
        <v/>
      </c>
      <c r="V73" s="18">
        <f>IF(COUNTIFS($E$14:$E$93,$E73,$J$14:$J$93,$J73,$C$14:$C$93,"&lt;&gt;",$ED$14:$ED$93,$ED73)&lt;=1,"-",IF(SUM(DI73:EB73)=0,0,ROUND(SUM(CM73:DF73)/SUM(DI73:EB73),3)))</f>
        <v/>
      </c>
      <c r="W73" s="18">
        <f>IF(COUNTIFS($E$14:$E$93,$E73,$J$14:$J$93,$J73,$C$14:$C$93,"&lt;&gt;",$ED$14:$ED$93,$ED73,$V$14:$V$93,$V73)&lt;=1,"-",IF(P73=0,0,ROUND(O73/P73,3)))</f>
        <v/>
      </c>
      <c r="X73" s="19">
        <f>IF($C73="","",$E73&amp;"#"&amp;COUNTIFS($E$14:$E73,$E73,$C$14:$C73,"&lt;&gt;"))</f>
        <v/>
      </c>
      <c r="Y73" s="20">
        <f>IFERROR(INDEX($H$14:$H$93,MATCH($E73&amp;"#1",$X$14:$X$93,0)),"")</f>
        <v/>
      </c>
      <c r="Z73" s="20">
        <f>IFERROR(INDEX($H$14:$H$93,MATCH($E73&amp;"#2",$X$14:$X$93,0)),"")</f>
        <v/>
      </c>
      <c r="AA73" s="20">
        <f>IFERROR(INDEX($H$14:$H$93,MATCH($E73&amp;"#3",$X$14:$X$93,0)),"")</f>
        <v/>
      </c>
      <c r="AB73" s="20">
        <f>IFERROR(INDEX($H$14:$H$93,MATCH($E73&amp;"#4",$X$14:$X$93,0)),"")</f>
        <v/>
      </c>
      <c r="AC73" s="20">
        <f>IFERROR(INDEX($H$14:$H$93,MATCH($E73&amp;"#5",$X$14:$X$93,0)),"")</f>
        <v/>
      </c>
      <c r="AD73" s="20">
        <f>IFERROR(INDEX($H$14:$H$93,MATCH($E73&amp;"#6",$X$14:$X$93,0)),"")</f>
        <v/>
      </c>
      <c r="AE73" s="20">
        <f>IFERROR(INDEX($H$14:$H$93,MATCH($E73&amp;"#7",$X$14:$X$93,0)),"")</f>
        <v/>
      </c>
      <c r="AF73" s="20">
        <f>IFERROR(INDEX($H$14:$H$93,MATCH($E73&amp;"#8",$X$14:$X$93,0)),"")</f>
        <v/>
      </c>
      <c r="AG73" s="20">
        <f>IFERROR(INDEX($H$14:$H$93,MATCH($E73&amp;"#9",$X$14:$X$93,0)),"")</f>
        <v/>
      </c>
      <c r="AH73" s="20">
        <f>IFERROR(INDEX($H$14:$H$93,MATCH($E73&amp;"#10",$X$14:$X$93,0)),"")</f>
        <v/>
      </c>
      <c r="AI73" s="20">
        <f>IFERROR(INDEX($H$14:$H$93,MATCH($E73&amp;"#11",$X$14:$X$93,0)),"")</f>
        <v/>
      </c>
      <c r="AJ73" s="20">
        <f>IFERROR(INDEX($H$14:$H$93,MATCH($E73&amp;"#12",$X$14:$X$93,0)),"")</f>
        <v/>
      </c>
      <c r="AK73" s="20">
        <f>IFERROR(INDEX($H$14:$H$93,MATCH($E73&amp;"#13",$X$14:$X$93,0)),"")</f>
        <v/>
      </c>
      <c r="AL73" s="20">
        <f>IFERROR(INDEX($H$14:$H$93,MATCH($E73&amp;"#14",$X$14:$X$93,0)),"")</f>
        <v/>
      </c>
      <c r="AM73" s="20">
        <f>IFERROR(INDEX($H$14:$H$93,MATCH($E73&amp;"#15",$X$14:$X$93,0)),"")</f>
        <v/>
      </c>
      <c r="AN73" s="20">
        <f>IFERROR(INDEX($H$14:$H$93,MATCH($E73&amp;"#16",$X$14:$X$93,0)),"")</f>
        <v/>
      </c>
      <c r="AO73" s="20">
        <f>IFERROR(INDEX($H$14:$H$93,MATCH($E73&amp;"#17",$X$14:$X$93,0)),"")</f>
        <v/>
      </c>
      <c r="AP73" s="20">
        <f>IFERROR(INDEX($H$14:$H$93,MATCH($E73&amp;"#18",$X$14:$X$93,0)),"")</f>
        <v/>
      </c>
      <c r="AQ73" s="20">
        <f>IFERROR(INDEX($H$14:$H$93,MATCH($E73&amp;"#19",$X$14:$X$93,0)),"")</f>
        <v/>
      </c>
      <c r="AR73" s="20">
        <f>IFERROR(INDEX($H$14:$H$93,MATCH($E73&amp;"#20",$X$14:$X$93,0)),"")</f>
        <v/>
      </c>
      <c r="AT73" s="21">
        <f>$C73</f>
        <v/>
      </c>
      <c r="AU73" s="22">
        <f>IF(AND($H73&lt;&gt;"",$Y73&lt;&gt;"",$H73&lt;&gt;$Y73,IFERROR(VLOOKUP($H73,areaCercaPuntiClassificaSquadra,3,FALSE),-1)=IFERROR(VLOOKUP($Y73,areaCercaPuntiClassificaSquadra,3,FALSE),-2)),SUMIFS(Dati!$B$2:$B$761,Dati!$A$2:$A$761,$H73,Dati!$H$2:$H$761,$Y73)+SUMIFS(Dati!$I$2:$I$761,Dati!$H$2:$H$761,$H73,Dati!$A$2:$A$761,$Y73),"-")</f>
        <v/>
      </c>
      <c r="AV73" s="22">
        <f>IF(AND($H73&lt;&gt;"",$Z73&lt;&gt;"",$H73&lt;&gt;$Z73,IFERROR(VLOOKUP($H73,areaCercaPuntiClassificaSquadra,3,FALSE),-1)=IFERROR(VLOOKUP($Z73,areaCercaPuntiClassificaSquadra,3,FALSE),-2)),SUMIFS(Dati!$B$2:$B$761,Dati!$A$2:$A$761,$H73,Dati!$H$2:$H$761,$Z73)+SUMIFS(Dati!$I$2:$I$761,Dati!$H$2:$H$761,$H73,Dati!$A$2:$A$761,$Z73),"-")</f>
        <v/>
      </c>
      <c r="AW73" s="22">
        <f>IF(AND($H73&lt;&gt;"",$AA73&lt;&gt;"",$H73&lt;&gt;$AA73,IFERROR(VLOOKUP($H73,areaCercaPuntiClassificaSquadra,3,FALSE),-1)=IFERROR(VLOOKUP($AA73,areaCercaPuntiClassificaSquadra,3,FALSE),-2)),SUMIFS(Dati!$B$2:$B$761,Dati!$A$2:$A$761,$H73,Dati!$H$2:$H$761,$AA73)+SUMIFS(Dati!$I$2:$I$761,Dati!$H$2:$H$761,$H73,Dati!$A$2:$A$761,$AA73),"-")</f>
        <v/>
      </c>
      <c r="AX73" s="22">
        <f>IF(AND($H73&lt;&gt;"",$AB73&lt;&gt;"",$H73&lt;&gt;$AB73,IFERROR(VLOOKUP($H73,areaCercaPuntiClassificaSquadra,3,FALSE),-1)=IFERROR(VLOOKUP($AB73,areaCercaPuntiClassificaSquadra,3,FALSE),-2)),SUMIFS(Dati!$B$2:$B$761,Dati!$A$2:$A$761,$H73,Dati!$H$2:$H$761,$AB73)+SUMIFS(Dati!$I$2:$I$761,Dati!$H$2:$H$761,$H73,Dati!$A$2:$A$761,$AB73),"-")</f>
        <v/>
      </c>
      <c r="AY73" s="22">
        <f>IF(AND($H73&lt;&gt;"",$AC73&lt;&gt;"",$H73&lt;&gt;$AC73,IFERROR(VLOOKUP($H73,areaCercaPuntiClassificaSquadra,3,FALSE),-1)=IFERROR(VLOOKUP($AC73,areaCercaPuntiClassificaSquadra,3,FALSE),-2)),SUMIFS(Dati!$B$2:$B$761,Dati!$A$2:$A$761,$H73,Dati!$H$2:$H$761,$AC73)+SUMIFS(Dati!$I$2:$I$761,Dati!$H$2:$H$761,$H73,Dati!$A$2:$A$761,$AC73),"-")</f>
        <v/>
      </c>
      <c r="AZ73" s="22">
        <f>IF(AND($H73&lt;&gt;"",$AD73&lt;&gt;"",$H73&lt;&gt;$AD73,IFERROR(VLOOKUP($H73,areaCercaPuntiClassificaSquadra,3,FALSE),-1)=IFERROR(VLOOKUP($AD73,areaCercaPuntiClassificaSquadra,3,FALSE),-2)),SUMIFS(Dati!$B$2:$B$761,Dati!$A$2:$A$761,$H73,Dati!$H$2:$H$761,$AD73)+SUMIFS(Dati!$I$2:$I$761,Dati!$H$2:$H$761,$H73,Dati!$A$2:$A$761,$AD73),"-")</f>
        <v/>
      </c>
      <c r="BA73" s="22">
        <f>IF(AND($H73&lt;&gt;"",$AE73&lt;&gt;"",$H73&lt;&gt;$AE73,IFERROR(VLOOKUP($H73,areaCercaPuntiClassificaSquadra,3,FALSE),-1)=IFERROR(VLOOKUP($AE73,areaCercaPuntiClassificaSquadra,3,FALSE),-2)),SUMIFS(Dati!$B$2:$B$761,Dati!$A$2:$A$761,$H73,Dati!$H$2:$H$761,$AE73)+SUMIFS(Dati!$I$2:$I$761,Dati!$H$2:$H$761,$H73,Dati!$A$2:$A$761,$AE73),"-")</f>
        <v/>
      </c>
      <c r="BB73" s="22">
        <f>IF(AND($H73&lt;&gt;"",$AF73&lt;&gt;"",$H73&lt;&gt;$AF73,IFERROR(VLOOKUP($H73,areaCercaPuntiClassificaSquadra,3,FALSE),-1)=IFERROR(VLOOKUP($AF73,areaCercaPuntiClassificaSquadra,3,FALSE),-2)),SUMIFS(Dati!$B$2:$B$761,Dati!$A$2:$A$761,$H73,Dati!$H$2:$H$761,$AF73)+SUMIFS(Dati!$I$2:$I$761,Dati!$H$2:$H$761,$H73,Dati!$A$2:$A$761,$AF73),"-")</f>
        <v/>
      </c>
      <c r="BC73" s="22">
        <f>IF(AND($H73&lt;&gt;"",$AG73&lt;&gt;"",$H73&lt;&gt;$AG73,IFERROR(VLOOKUP($H73,areaCercaPuntiClassificaSquadra,3,FALSE),-1)=IFERROR(VLOOKUP($AG73,areaCercaPuntiClassificaSquadra,3,FALSE),-2)),SUMIFS(Dati!$B$2:$B$761,Dati!$A$2:$A$761,$H73,Dati!$H$2:$H$761,$AG73)+SUMIFS(Dati!$I$2:$I$761,Dati!$H$2:$H$761,$H73,Dati!$A$2:$A$761,$AG73),"-")</f>
        <v/>
      </c>
      <c r="BD73" s="22">
        <f>IF(AND($H73&lt;&gt;"",$AH73&lt;&gt;"",$H73&lt;&gt;$AH73,IFERROR(VLOOKUP($H73,areaCercaPuntiClassificaSquadra,3,FALSE),-1)=IFERROR(VLOOKUP($AH73,areaCercaPuntiClassificaSquadra,3,FALSE),-2)),SUMIFS(Dati!$B$2:$B$761,Dati!$A$2:$A$761,$H73,Dati!$H$2:$H$761,$AH73)+SUMIFS(Dati!$I$2:$I$761,Dati!$H$2:$H$761,$H73,Dati!$A$2:$A$761,$AH73),"-")</f>
        <v/>
      </c>
      <c r="BE73" s="22">
        <f>IF(AND($H73&lt;&gt;"",$AI73&lt;&gt;"",$H73&lt;&gt;$AI73,IFERROR(VLOOKUP($H73,areaCercaPuntiClassificaSquadra,3,FALSE),-1)=IFERROR(VLOOKUP($AI73,areaCercaPuntiClassificaSquadra,3,FALSE),-2)),SUMIFS(Dati!$B$2:$B$761,Dati!$A$2:$A$761,$H73,Dati!$H$2:$H$761,$AI73)+SUMIFS(Dati!$I$2:$I$761,Dati!$H$2:$H$761,$H73,Dati!$A$2:$A$761,$AI73),"-")</f>
        <v/>
      </c>
      <c r="BF73" s="22">
        <f>IF(AND($H73&lt;&gt;"",$AJ73&lt;&gt;"",$H73&lt;&gt;$AJ73,IFERROR(VLOOKUP($H73,areaCercaPuntiClassificaSquadra,3,FALSE),-1)=IFERROR(VLOOKUP($AJ73,areaCercaPuntiClassificaSquadra,3,FALSE),-2)),SUMIFS(Dati!$B$2:$B$761,Dati!$A$2:$A$761,$H73,Dati!$H$2:$H$761,$AJ73)+SUMIFS(Dati!$I$2:$I$761,Dati!$H$2:$H$761,$H73,Dati!$A$2:$A$761,$AJ73),"-")</f>
        <v/>
      </c>
      <c r="BG73" s="22">
        <f>IF(AND($H73&lt;&gt;"",$AK73&lt;&gt;"",$H73&lt;&gt;$AK73,IFERROR(VLOOKUP($H73,areaCercaPuntiClassificaSquadra,3,FALSE),-1)=IFERROR(VLOOKUP($AK73,areaCercaPuntiClassificaSquadra,3,FALSE),-2)),SUMIFS(Dati!$B$2:$B$761,Dati!$A$2:$A$761,$H73,Dati!$H$2:$H$761,$AK73)+SUMIFS(Dati!$I$2:$I$761,Dati!$H$2:$H$761,$H73,Dati!$A$2:$A$761,$AK73),"-")</f>
        <v/>
      </c>
      <c r="BH73" s="22">
        <f>IF(AND($H73&lt;&gt;"",$AL73&lt;&gt;"",$H73&lt;&gt;$AL73,IFERROR(VLOOKUP($H73,areaCercaPuntiClassificaSquadra,3,FALSE),-1)=IFERROR(VLOOKUP($AL73,areaCercaPuntiClassificaSquadra,3,FALSE),-2)),SUMIFS(Dati!$B$2:$B$761,Dati!$A$2:$A$761,$H73,Dati!$H$2:$H$761,$AL73)+SUMIFS(Dati!$I$2:$I$761,Dati!$H$2:$H$761,$H73,Dati!$A$2:$A$761,$AL73),"-")</f>
        <v/>
      </c>
      <c r="BI73" s="22">
        <f>IF(AND($H73&lt;&gt;"",$AM73&lt;&gt;"",$H73&lt;&gt;$AM73,IFERROR(VLOOKUP($H73,areaCercaPuntiClassificaSquadra,3,FALSE),-1)=IFERROR(VLOOKUP($AM73,areaCercaPuntiClassificaSquadra,3,FALSE),-2)),SUMIFS(Dati!$B$2:$B$761,Dati!$A$2:$A$761,$H73,Dati!$H$2:$H$761,$AM73)+SUMIFS(Dati!$I$2:$I$761,Dati!$H$2:$H$761,$H73,Dati!$A$2:$A$761,$AM73),"-")</f>
        <v/>
      </c>
      <c r="BJ73" s="22">
        <f>IF(AND($H73&lt;&gt;"",$AN73&lt;&gt;"",$H73&lt;&gt;$AN73,IFERROR(VLOOKUP($H73,areaCercaPuntiClassificaSquadra,3,FALSE),-1)=IFERROR(VLOOKUP($AN73,areaCercaPuntiClassificaSquadra,3,FALSE),-2)),SUMIFS(Dati!$B$2:$B$761,Dati!$A$2:$A$761,$H73,Dati!$H$2:$H$761,$AN73)+SUMIFS(Dati!$I$2:$I$761,Dati!$H$2:$H$761,$H73,Dati!$A$2:$A$761,$AN73),"-")</f>
        <v/>
      </c>
      <c r="BK73" s="22">
        <f>IF(AND($H73&lt;&gt;"",$AO73&lt;&gt;"",$H73&lt;&gt;$AO73,IFERROR(VLOOKUP($H73,areaCercaPuntiClassificaSquadra,3,FALSE),-1)=IFERROR(VLOOKUP($AO73,areaCercaPuntiClassificaSquadra,3,FALSE),-2)),SUMIFS(Dati!$B$2:$B$761,Dati!$A$2:$A$761,$H73,Dati!$H$2:$H$761,$AO73)+SUMIFS(Dati!$I$2:$I$761,Dati!$H$2:$H$761,$H73,Dati!$A$2:$A$761,$AO73),"-")</f>
        <v/>
      </c>
      <c r="BL73" s="22">
        <f>IF(AND($H73&lt;&gt;"",$AP73&lt;&gt;"",$H73&lt;&gt;$AP73,IFERROR(VLOOKUP($H73,areaCercaPuntiClassificaSquadra,3,FALSE),-1)=IFERROR(VLOOKUP($AP73,areaCercaPuntiClassificaSquadra,3,FALSE),-2)),SUMIFS(Dati!$B$2:$B$761,Dati!$A$2:$A$761,$H73,Dati!$H$2:$H$761,$AP73)+SUMIFS(Dati!$I$2:$I$761,Dati!$H$2:$H$761,$H73,Dati!$A$2:$A$761,$AP73),"-")</f>
        <v/>
      </c>
      <c r="BM73" s="22">
        <f>IF(AND($H73&lt;&gt;"",$AQ73&lt;&gt;"",$H73&lt;&gt;$AQ73,IFERROR(VLOOKUP($H73,areaCercaPuntiClassificaSquadra,3,FALSE),-1)=IFERROR(VLOOKUP($AQ73,areaCercaPuntiClassificaSquadra,3,FALSE),-2)),SUMIFS(Dati!$B$2:$B$761,Dati!$A$2:$A$761,$H73,Dati!$H$2:$H$761,$AQ73)+SUMIFS(Dati!$I$2:$I$761,Dati!$H$2:$H$761,$H73,Dati!$A$2:$A$761,$AQ73),"-")</f>
        <v/>
      </c>
      <c r="BN73" s="22">
        <f>IF(AND($H73&lt;&gt;"",$AR73&lt;&gt;"",$H73&lt;&gt;$AR73,IFERROR(VLOOKUP($H73,areaCercaPuntiClassificaSquadra,3,FALSE),-1)=IFERROR(VLOOKUP($AR73,areaCercaPuntiClassificaSquadra,3,FALSE),-2)),SUMIFS(Dati!$B$2:$B$761,Dati!$A$2:$A$761,$H73,Dati!$H$2:$H$761,$AR73)+SUMIFS(Dati!$I$2:$I$761,Dati!$H$2:$H$761,$H73,Dati!$A$2:$A$761,$AR73),"-")</f>
        <v/>
      </c>
      <c r="BP73" s="21">
        <f>$C73</f>
        <v/>
      </c>
      <c r="BQ73" s="22">
        <f>IF(AND($H73&lt;&gt;"",$Y73&lt;&gt;"",$H73&lt;&gt;$Y73,IFERROR(VLOOKUP($H73,areaCercaPuntiClassificaSquadra,3,FALSE),-1)=IFERROR(VLOOKUP($Y73,areaCercaPuntiClassificaSquadra,3,FALSE),-2)),SUMIFS(Dati!$D$2:$D$761,Dati!$A$2:$A$761,$H73,Dati!$H$2:$H$761,$Y73)+SUMIFS(Dati!$K$2:$K$761,Dati!$H$2:$H$761,$H73,Dati!$A$2:$A$761,$Y73)+SUMIFS(Dati!$C$2:$C$761,Dati!$A$2:$A$761,$H73,Dati!$H$2:$H$761,$Y73)+SUMIFS(Dati!$J$2:$J$761,Dati!$H$2:$H$761,$H73,Dati!$A$2:$A$761,$Y73),"-")</f>
        <v/>
      </c>
      <c r="BR73" s="22">
        <f>IF(AND($H73&lt;&gt;"",$Z73&lt;&gt;"",$H73&lt;&gt;$Z73,IFERROR(VLOOKUP($H73,areaCercaPuntiClassificaSquadra,3,FALSE),-1)=IFERROR(VLOOKUP($Z73,areaCercaPuntiClassificaSquadra,3,FALSE),-2)),SUMIFS(Dati!$D$2:$D$761,Dati!$A$2:$A$761,$H73,Dati!$H$2:$H$761,$Z73)+SUMIFS(Dati!$K$2:$K$761,Dati!$H$2:$H$761,$H73,Dati!$A$2:$A$761,$Z73)+SUMIFS(Dati!$C$2:$C$761,Dati!$A$2:$A$761,$H73,Dati!$H$2:$H$761,$Z73)+SUMIFS(Dati!$J$2:$J$761,Dati!$H$2:$H$761,$H73,Dati!$A$2:$A$761,$Z73),"-")</f>
        <v/>
      </c>
      <c r="BS73" s="22">
        <f>IF(AND($H73&lt;&gt;"",$AA73&lt;&gt;"",$H73&lt;&gt;$AA73,IFERROR(VLOOKUP($H73,areaCercaPuntiClassificaSquadra,3,FALSE),-1)=IFERROR(VLOOKUP($AA73,areaCercaPuntiClassificaSquadra,3,FALSE),-2)),SUMIFS(Dati!$D$2:$D$761,Dati!$A$2:$A$761,$H73,Dati!$H$2:$H$761,$AA73)+SUMIFS(Dati!$K$2:$K$761,Dati!$H$2:$H$761,$H73,Dati!$A$2:$A$761,$AA73)+SUMIFS(Dati!$C$2:$C$761,Dati!$A$2:$A$761,$H73,Dati!$H$2:$H$761,$AA73)+SUMIFS(Dati!$J$2:$J$761,Dati!$H$2:$H$761,$H73,Dati!$A$2:$A$761,$AA73),"-")</f>
        <v/>
      </c>
      <c r="BT73" s="22">
        <f>IF(AND($H73&lt;&gt;"",$AB73&lt;&gt;"",$H73&lt;&gt;$AB73,IFERROR(VLOOKUP($H73,areaCercaPuntiClassificaSquadra,3,FALSE),-1)=IFERROR(VLOOKUP($AB73,areaCercaPuntiClassificaSquadra,3,FALSE),-2)),SUMIFS(Dati!$D$2:$D$761,Dati!$A$2:$A$761,$H73,Dati!$H$2:$H$761,$AB73)+SUMIFS(Dati!$K$2:$K$761,Dati!$H$2:$H$761,$H73,Dati!$A$2:$A$761,$AB73)+SUMIFS(Dati!$C$2:$C$761,Dati!$A$2:$A$761,$H73,Dati!$H$2:$H$761,$AB73)+SUMIFS(Dati!$J$2:$J$761,Dati!$H$2:$H$761,$H73,Dati!$A$2:$A$761,$AB73),"-")</f>
        <v/>
      </c>
      <c r="BU73" s="22">
        <f>IF(AND($H73&lt;&gt;"",$AC73&lt;&gt;"",$H73&lt;&gt;$AC73,IFERROR(VLOOKUP($H73,areaCercaPuntiClassificaSquadra,3,FALSE),-1)=IFERROR(VLOOKUP($AC73,areaCercaPuntiClassificaSquadra,3,FALSE),-2)),SUMIFS(Dati!$D$2:$D$761,Dati!$A$2:$A$761,$H73,Dati!$H$2:$H$761,$AC73)+SUMIFS(Dati!$K$2:$K$761,Dati!$H$2:$H$761,$H73,Dati!$A$2:$A$761,$AC73)+SUMIFS(Dati!$C$2:$C$761,Dati!$A$2:$A$761,$H73,Dati!$H$2:$H$761,$AC73)+SUMIFS(Dati!$J$2:$J$761,Dati!$H$2:$H$761,$H73,Dati!$A$2:$A$761,$AC73),"-")</f>
        <v/>
      </c>
      <c r="BV73" s="22">
        <f>IF(AND($H73&lt;&gt;"",$AD73&lt;&gt;"",$H73&lt;&gt;$AD73,IFERROR(VLOOKUP($H73,areaCercaPuntiClassificaSquadra,3,FALSE),-1)=IFERROR(VLOOKUP($AD73,areaCercaPuntiClassificaSquadra,3,FALSE),-2)),SUMIFS(Dati!$D$2:$D$761,Dati!$A$2:$A$761,$H73,Dati!$H$2:$H$761,$AD73)+SUMIFS(Dati!$K$2:$K$761,Dati!$H$2:$H$761,$H73,Dati!$A$2:$A$761,$AD73)+SUMIFS(Dati!$C$2:$C$761,Dati!$A$2:$A$761,$H73,Dati!$H$2:$H$761,$AD73)+SUMIFS(Dati!$J$2:$J$761,Dati!$H$2:$H$761,$H73,Dati!$A$2:$A$761,$AD73),"-")</f>
        <v/>
      </c>
      <c r="BW73" s="22">
        <f>IF(AND($H73&lt;&gt;"",$AE73&lt;&gt;"",$H73&lt;&gt;$AE73,IFERROR(VLOOKUP($H73,areaCercaPuntiClassificaSquadra,3,FALSE),-1)=IFERROR(VLOOKUP($AE73,areaCercaPuntiClassificaSquadra,3,FALSE),-2)),SUMIFS(Dati!$D$2:$D$761,Dati!$A$2:$A$761,$H73,Dati!$H$2:$H$761,$AE73)+SUMIFS(Dati!$K$2:$K$761,Dati!$H$2:$H$761,$H73,Dati!$A$2:$A$761,$AE73)+SUMIFS(Dati!$C$2:$C$761,Dati!$A$2:$A$761,$H73,Dati!$H$2:$H$761,$AE73)+SUMIFS(Dati!$J$2:$J$761,Dati!$H$2:$H$761,$H73,Dati!$A$2:$A$761,$AE73),"-")</f>
        <v/>
      </c>
      <c r="BX73" s="22">
        <f>IF(AND($H73&lt;&gt;"",$AF73&lt;&gt;"",$H73&lt;&gt;$AF73,IFERROR(VLOOKUP($H73,areaCercaPuntiClassificaSquadra,3,FALSE),-1)=IFERROR(VLOOKUP($AF73,areaCercaPuntiClassificaSquadra,3,FALSE),-2)),SUMIFS(Dati!$D$2:$D$761,Dati!$A$2:$A$761,$H73,Dati!$H$2:$H$761,$AF73)+SUMIFS(Dati!$K$2:$K$761,Dati!$H$2:$H$761,$H73,Dati!$A$2:$A$761,$AF73)+SUMIFS(Dati!$C$2:$C$761,Dati!$A$2:$A$761,$H73,Dati!$H$2:$H$761,$AF73)+SUMIFS(Dati!$J$2:$J$761,Dati!$H$2:$H$761,$H73,Dati!$A$2:$A$761,$AF73),"-")</f>
        <v/>
      </c>
      <c r="BY73" s="22">
        <f>IF(AND($H73&lt;&gt;"",$AG73&lt;&gt;"",$H73&lt;&gt;$AG73,IFERROR(VLOOKUP($H73,areaCercaPuntiClassificaSquadra,3,FALSE),-1)=IFERROR(VLOOKUP($AG73,areaCercaPuntiClassificaSquadra,3,FALSE),-2)),SUMIFS(Dati!$D$2:$D$761,Dati!$A$2:$A$761,$H73,Dati!$H$2:$H$761,$AG73)+SUMIFS(Dati!$K$2:$K$761,Dati!$H$2:$H$761,$H73,Dati!$A$2:$A$761,$AG73)+SUMIFS(Dati!$C$2:$C$761,Dati!$A$2:$A$761,$H73,Dati!$H$2:$H$761,$AG73)+SUMIFS(Dati!$J$2:$J$761,Dati!$H$2:$H$761,$H73,Dati!$A$2:$A$761,$AG73),"-")</f>
        <v/>
      </c>
      <c r="BZ73" s="22">
        <f>IF(AND($H73&lt;&gt;"",$AH73&lt;&gt;"",$H73&lt;&gt;$AH73,IFERROR(VLOOKUP($H73,areaCercaPuntiClassificaSquadra,3,FALSE),-1)=IFERROR(VLOOKUP($AH73,areaCercaPuntiClassificaSquadra,3,FALSE),-2)),SUMIFS(Dati!$D$2:$D$761,Dati!$A$2:$A$761,$H73,Dati!$H$2:$H$761,$AH73)+SUMIFS(Dati!$K$2:$K$761,Dati!$H$2:$H$761,$H73,Dati!$A$2:$A$761,$AH73)+SUMIFS(Dati!$C$2:$C$761,Dati!$A$2:$A$761,$H73,Dati!$H$2:$H$761,$AH73)+SUMIFS(Dati!$J$2:$J$761,Dati!$H$2:$H$761,$H73,Dati!$A$2:$A$761,$AH73),"-")</f>
        <v/>
      </c>
      <c r="CA73" s="22">
        <f>IF(AND($H73&lt;&gt;"",$AI73&lt;&gt;"",$H73&lt;&gt;$AI73,IFERROR(VLOOKUP($H73,areaCercaPuntiClassificaSquadra,3,FALSE),-1)=IFERROR(VLOOKUP($AI73,areaCercaPuntiClassificaSquadra,3,FALSE),-2)),SUMIFS(Dati!$D$2:$D$761,Dati!$A$2:$A$761,$H73,Dati!$H$2:$H$761,$AI73)+SUMIFS(Dati!$K$2:$K$761,Dati!$H$2:$H$761,$H73,Dati!$A$2:$A$761,$AI73)+SUMIFS(Dati!$C$2:$C$761,Dati!$A$2:$A$761,$H73,Dati!$H$2:$H$761,$AI73)+SUMIFS(Dati!$J$2:$J$761,Dati!$H$2:$H$761,$H73,Dati!$A$2:$A$761,$AI73),"-")</f>
        <v/>
      </c>
      <c r="CB73" s="22">
        <f>IF(AND($H73&lt;&gt;"",$AJ73&lt;&gt;"",$H73&lt;&gt;$AJ73,IFERROR(VLOOKUP($H73,areaCercaPuntiClassificaSquadra,3,FALSE),-1)=IFERROR(VLOOKUP($AJ73,areaCercaPuntiClassificaSquadra,3,FALSE),-2)),SUMIFS(Dati!$D$2:$D$761,Dati!$A$2:$A$761,$H73,Dati!$H$2:$H$761,$AJ73)+SUMIFS(Dati!$K$2:$K$761,Dati!$H$2:$H$761,$H73,Dati!$A$2:$A$761,$AJ73)+SUMIFS(Dati!$C$2:$C$761,Dati!$A$2:$A$761,$H73,Dati!$H$2:$H$761,$AJ73)+SUMIFS(Dati!$J$2:$J$761,Dati!$H$2:$H$761,$H73,Dati!$A$2:$A$761,$AJ73),"-")</f>
        <v/>
      </c>
      <c r="CC73" s="22">
        <f>IF(AND($H73&lt;&gt;"",$AK73&lt;&gt;"",$H73&lt;&gt;$AK73,IFERROR(VLOOKUP($H73,areaCercaPuntiClassificaSquadra,3,FALSE),-1)=IFERROR(VLOOKUP($AK73,areaCercaPuntiClassificaSquadra,3,FALSE),-2)),SUMIFS(Dati!$D$2:$D$761,Dati!$A$2:$A$761,$H73,Dati!$H$2:$H$761,$AK73)+SUMIFS(Dati!$K$2:$K$761,Dati!$H$2:$H$761,$H73,Dati!$A$2:$A$761,$AK73)+SUMIFS(Dati!$C$2:$C$761,Dati!$A$2:$A$761,$H73,Dati!$H$2:$H$761,$AK73)+SUMIFS(Dati!$J$2:$J$761,Dati!$H$2:$H$761,$H73,Dati!$A$2:$A$761,$AK73),"-")</f>
        <v/>
      </c>
      <c r="CD73" s="22">
        <f>IF(AND($H73&lt;&gt;"",$AL73&lt;&gt;"",$H73&lt;&gt;$AL73,IFERROR(VLOOKUP($H73,areaCercaPuntiClassificaSquadra,3,FALSE),-1)=IFERROR(VLOOKUP($AL73,areaCercaPuntiClassificaSquadra,3,FALSE),-2)),SUMIFS(Dati!$D$2:$D$761,Dati!$A$2:$A$761,$H73,Dati!$H$2:$H$761,$AL73)+SUMIFS(Dati!$K$2:$K$761,Dati!$H$2:$H$761,$H73,Dati!$A$2:$A$761,$AL73)+SUMIFS(Dati!$C$2:$C$761,Dati!$A$2:$A$761,$H73,Dati!$H$2:$H$761,$AL73)+SUMIFS(Dati!$J$2:$J$761,Dati!$H$2:$H$761,$H73,Dati!$A$2:$A$761,$AL73),"-")</f>
        <v/>
      </c>
      <c r="CE73" s="22">
        <f>IF(AND($H73&lt;&gt;"",$AM73&lt;&gt;"",$H73&lt;&gt;$AM73,IFERROR(VLOOKUP($H73,areaCercaPuntiClassificaSquadra,3,FALSE),-1)=IFERROR(VLOOKUP($AM73,areaCercaPuntiClassificaSquadra,3,FALSE),-2)),SUMIFS(Dati!$D$2:$D$761,Dati!$A$2:$A$761,$H73,Dati!$H$2:$H$761,$AM73)+SUMIFS(Dati!$K$2:$K$761,Dati!$H$2:$H$761,$H73,Dati!$A$2:$A$761,$AM73)+SUMIFS(Dati!$C$2:$C$761,Dati!$A$2:$A$761,$H73,Dati!$H$2:$H$761,$AM73)+SUMIFS(Dati!$J$2:$J$761,Dati!$H$2:$H$761,$H73,Dati!$A$2:$A$761,$AM73),"-")</f>
        <v/>
      </c>
      <c r="CF73" s="22">
        <f>IF(AND($H73&lt;&gt;"",$AN73&lt;&gt;"",$H73&lt;&gt;$AN73,IFERROR(VLOOKUP($H73,areaCercaPuntiClassificaSquadra,3,FALSE),-1)=IFERROR(VLOOKUP($AN73,areaCercaPuntiClassificaSquadra,3,FALSE),-2)),SUMIFS(Dati!$D$2:$D$761,Dati!$A$2:$A$761,$H73,Dati!$H$2:$H$761,$AN73)+SUMIFS(Dati!$K$2:$K$761,Dati!$H$2:$H$761,$H73,Dati!$A$2:$A$761,$AN73)+SUMIFS(Dati!$C$2:$C$761,Dati!$A$2:$A$761,$H73,Dati!$H$2:$H$761,$AN73)+SUMIFS(Dati!$J$2:$J$761,Dati!$H$2:$H$761,$H73,Dati!$A$2:$A$761,$AN73),"-")</f>
        <v/>
      </c>
      <c r="CG73" s="22">
        <f>IF(AND($H73&lt;&gt;"",$AO73&lt;&gt;"",$H73&lt;&gt;$AO73,IFERROR(VLOOKUP($H73,areaCercaPuntiClassificaSquadra,3,FALSE),-1)=IFERROR(VLOOKUP($AO73,areaCercaPuntiClassificaSquadra,3,FALSE),-2)),SUMIFS(Dati!$D$2:$D$761,Dati!$A$2:$A$761,$H73,Dati!$H$2:$H$761,$AO73)+SUMIFS(Dati!$K$2:$K$761,Dati!$H$2:$H$761,$H73,Dati!$A$2:$A$761,$AO73)+SUMIFS(Dati!$C$2:$C$761,Dati!$A$2:$A$761,$H73,Dati!$H$2:$H$761,$AO73)+SUMIFS(Dati!$J$2:$J$761,Dati!$H$2:$H$761,$H73,Dati!$A$2:$A$761,$AO73),"-")</f>
        <v/>
      </c>
      <c r="CH73" s="22">
        <f>IF(AND($H73&lt;&gt;"",$AP73&lt;&gt;"",$H73&lt;&gt;$AP73,IFERROR(VLOOKUP($H73,areaCercaPuntiClassificaSquadra,3,FALSE),-1)=IFERROR(VLOOKUP($AP73,areaCercaPuntiClassificaSquadra,3,FALSE),-2)),SUMIFS(Dati!$D$2:$D$761,Dati!$A$2:$A$761,$H73,Dati!$H$2:$H$761,$AP73)+SUMIFS(Dati!$K$2:$K$761,Dati!$H$2:$H$761,$H73,Dati!$A$2:$A$761,$AP73)+SUMIFS(Dati!$C$2:$C$761,Dati!$A$2:$A$761,$H73,Dati!$H$2:$H$761,$AP73)+SUMIFS(Dati!$J$2:$J$761,Dati!$H$2:$H$761,$H73,Dati!$A$2:$A$761,$AP73),"-")</f>
        <v/>
      </c>
      <c r="CI73" s="22">
        <f>IF(AND($H73&lt;&gt;"",$AQ73&lt;&gt;"",$H73&lt;&gt;$AQ73,IFERROR(VLOOKUP($H73,areaCercaPuntiClassificaSquadra,3,FALSE),-1)=IFERROR(VLOOKUP($AQ73,areaCercaPuntiClassificaSquadra,3,FALSE),-2)),SUMIFS(Dati!$D$2:$D$761,Dati!$A$2:$A$761,$H73,Dati!$H$2:$H$761,$AQ73)+SUMIFS(Dati!$K$2:$K$761,Dati!$H$2:$H$761,$H73,Dati!$A$2:$A$761,$AQ73)+SUMIFS(Dati!$C$2:$C$761,Dati!$A$2:$A$761,$H73,Dati!$H$2:$H$761,$AQ73)+SUMIFS(Dati!$J$2:$J$761,Dati!$H$2:$H$761,$H73,Dati!$A$2:$A$761,$AQ73),"-")</f>
        <v/>
      </c>
      <c r="CJ73" s="22">
        <f>IF(AND($H73&lt;&gt;"",$AR73&lt;&gt;"",$H73&lt;&gt;$AR73,IFERROR(VLOOKUP($H73,areaCercaPuntiClassificaSquadra,3,FALSE),-1)=IFERROR(VLOOKUP($AR73,areaCercaPuntiClassificaSquadra,3,FALSE),-2)),SUMIFS(Dati!$D$2:$D$761,Dati!$A$2:$A$761,$H73,Dati!$H$2:$H$761,$AR73)+SUMIFS(Dati!$K$2:$K$761,Dati!$H$2:$H$761,$H73,Dati!$A$2:$A$761,$AR73)+SUMIFS(Dati!$C$2:$C$761,Dati!$A$2:$A$761,$H73,Dati!$H$2:$H$761,$AR73)+SUMIFS(Dati!$J$2:$J$761,Dati!$H$2:$H$761,$H73,Dati!$A$2:$A$761,$AR73),"-")</f>
        <v/>
      </c>
      <c r="CL73" s="21">
        <f>$C73</f>
        <v/>
      </c>
      <c r="CM73" s="22">
        <f>IF(AND($H73&lt;&gt;"",$Y73&lt;&gt;"",$H73&lt;&gt;$Y73,IFERROR(VLOOKUP($H73,areaCercaPuntiClassificaSquadra,3,FALSE),-1)=IFERROR(VLOOKUP($Y73,areaCercaPuntiClassificaSquadra,3,FALSE),-2)),SUMIFS(Dati!$E$2:$E$761,Dati!$A$2:$A$761,$H73,Dati!$H$2:$H$761,$Y73)+SUMIFS(Dati!$L$2:$L$761,Dati!$H$2:$H$761,$H73,Dati!$A$2:$A$761,$Y73),"-")</f>
        <v/>
      </c>
      <c r="CN73" s="22">
        <f>IF(AND($H73&lt;&gt;"",$Z73&lt;&gt;"",$H73&lt;&gt;$Z73,IFERROR(VLOOKUP($H73,areaCercaPuntiClassificaSquadra,3,FALSE),-1)=IFERROR(VLOOKUP($Z73,areaCercaPuntiClassificaSquadra,3,FALSE),-2)),SUMIFS(Dati!$E$2:$E$761,Dati!$A$2:$A$761,$H73,Dati!$H$2:$H$761,$Z73)+SUMIFS(Dati!$L$2:$L$761,Dati!$H$2:$H$761,$H73,Dati!$A$2:$A$761,$Z73),"-")</f>
        <v/>
      </c>
      <c r="CO73" s="22">
        <f>IF(AND($H73&lt;&gt;"",$AA73&lt;&gt;"",$H73&lt;&gt;$AA73,IFERROR(VLOOKUP($H73,areaCercaPuntiClassificaSquadra,3,FALSE),-1)=IFERROR(VLOOKUP($AA73,areaCercaPuntiClassificaSquadra,3,FALSE),-2)),SUMIFS(Dati!$E$2:$E$761,Dati!$A$2:$A$761,$H73,Dati!$H$2:$H$761,$AA73)+SUMIFS(Dati!$L$2:$L$761,Dati!$H$2:$H$761,$H73,Dati!$A$2:$A$761,$AA73),"-")</f>
        <v/>
      </c>
      <c r="CP73" s="22">
        <f>IF(AND($H73&lt;&gt;"",$AB73&lt;&gt;"",$H73&lt;&gt;$AB73,IFERROR(VLOOKUP($H73,areaCercaPuntiClassificaSquadra,3,FALSE),-1)=IFERROR(VLOOKUP($AB73,areaCercaPuntiClassificaSquadra,3,FALSE),-2)),SUMIFS(Dati!$E$2:$E$761,Dati!$A$2:$A$761,$H73,Dati!$H$2:$H$761,$AB73)+SUMIFS(Dati!$L$2:$L$761,Dati!$H$2:$H$761,$H73,Dati!$A$2:$A$761,$AB73),"-")</f>
        <v/>
      </c>
      <c r="CQ73" s="22">
        <f>IF(AND($H73&lt;&gt;"",$AC73&lt;&gt;"",$H73&lt;&gt;$AC73,IFERROR(VLOOKUP($H73,areaCercaPuntiClassificaSquadra,3,FALSE),-1)=IFERROR(VLOOKUP($AC73,areaCercaPuntiClassificaSquadra,3,FALSE),-2)),SUMIFS(Dati!$E$2:$E$761,Dati!$A$2:$A$761,$H73,Dati!$H$2:$H$761,$AC73)+SUMIFS(Dati!$L$2:$L$761,Dati!$H$2:$H$761,$H73,Dati!$A$2:$A$761,$AC73),"-")</f>
        <v/>
      </c>
      <c r="CR73" s="22">
        <f>IF(AND($H73&lt;&gt;"",$AD73&lt;&gt;"",$H73&lt;&gt;$AD73,IFERROR(VLOOKUP($H73,areaCercaPuntiClassificaSquadra,3,FALSE),-1)=IFERROR(VLOOKUP($AD73,areaCercaPuntiClassificaSquadra,3,FALSE),-2)),SUMIFS(Dati!$E$2:$E$761,Dati!$A$2:$A$761,$H73,Dati!$H$2:$H$761,$AD73)+SUMIFS(Dati!$L$2:$L$761,Dati!$H$2:$H$761,$H73,Dati!$A$2:$A$761,$AD73),"-")</f>
        <v/>
      </c>
      <c r="CS73" s="22">
        <f>IF(AND($H73&lt;&gt;"",$AE73&lt;&gt;"",$H73&lt;&gt;$AE73,IFERROR(VLOOKUP($H73,areaCercaPuntiClassificaSquadra,3,FALSE),-1)=IFERROR(VLOOKUP($AE73,areaCercaPuntiClassificaSquadra,3,FALSE),-2)),SUMIFS(Dati!$E$2:$E$761,Dati!$A$2:$A$761,$H73,Dati!$H$2:$H$761,$AE73)+SUMIFS(Dati!$L$2:$L$761,Dati!$H$2:$H$761,$H73,Dati!$A$2:$A$761,$AE73),"-")</f>
        <v/>
      </c>
      <c r="CT73" s="22">
        <f>IF(AND($H73&lt;&gt;"",$AF73&lt;&gt;"",$H73&lt;&gt;$AF73,IFERROR(VLOOKUP($H73,areaCercaPuntiClassificaSquadra,3,FALSE),-1)=IFERROR(VLOOKUP($AF73,areaCercaPuntiClassificaSquadra,3,FALSE),-2)),SUMIFS(Dati!$E$2:$E$761,Dati!$A$2:$A$761,$H73,Dati!$H$2:$H$761,$AF73)+SUMIFS(Dati!$L$2:$L$761,Dati!$H$2:$H$761,$H73,Dati!$A$2:$A$761,$AF73),"-")</f>
        <v/>
      </c>
      <c r="CU73" s="22">
        <f>IF(AND($H73&lt;&gt;"",$AG73&lt;&gt;"",$H73&lt;&gt;$AG73,IFERROR(VLOOKUP($H73,areaCercaPuntiClassificaSquadra,3,FALSE),-1)=IFERROR(VLOOKUP($AG73,areaCercaPuntiClassificaSquadra,3,FALSE),-2)),SUMIFS(Dati!$E$2:$E$761,Dati!$A$2:$A$761,$H73,Dati!$H$2:$H$761,$AG73)+SUMIFS(Dati!$L$2:$L$761,Dati!$H$2:$H$761,$H73,Dati!$A$2:$A$761,$AG73),"-")</f>
        <v/>
      </c>
      <c r="CV73" s="22">
        <f>IF(AND($H73&lt;&gt;"",$AH73&lt;&gt;"",$H73&lt;&gt;$AH73,IFERROR(VLOOKUP($H73,areaCercaPuntiClassificaSquadra,3,FALSE),-1)=IFERROR(VLOOKUP($AH73,areaCercaPuntiClassificaSquadra,3,FALSE),-2)),SUMIFS(Dati!$E$2:$E$761,Dati!$A$2:$A$761,$H73,Dati!$H$2:$H$761,$AH73)+SUMIFS(Dati!$L$2:$L$761,Dati!$H$2:$H$761,$H73,Dati!$A$2:$A$761,$AH73),"-")</f>
        <v/>
      </c>
      <c r="CW73" s="22">
        <f>IF(AND($H73&lt;&gt;"",$AI73&lt;&gt;"",$H73&lt;&gt;$AI73,IFERROR(VLOOKUP($H73,areaCercaPuntiClassificaSquadra,3,FALSE),-1)=IFERROR(VLOOKUP($AI73,areaCercaPuntiClassificaSquadra,3,FALSE),-2)),SUMIFS(Dati!$E$2:$E$761,Dati!$A$2:$A$761,$H73,Dati!$H$2:$H$761,$AI73)+SUMIFS(Dati!$L$2:$L$761,Dati!$H$2:$H$761,$H73,Dati!$A$2:$A$761,$AI73),"-")</f>
        <v/>
      </c>
      <c r="CX73" s="22">
        <f>IF(AND($H73&lt;&gt;"",$AJ73&lt;&gt;"",$H73&lt;&gt;$AJ73,IFERROR(VLOOKUP($H73,areaCercaPuntiClassificaSquadra,3,FALSE),-1)=IFERROR(VLOOKUP($AJ73,areaCercaPuntiClassificaSquadra,3,FALSE),-2)),SUMIFS(Dati!$E$2:$E$761,Dati!$A$2:$A$761,$H73,Dati!$H$2:$H$761,$AJ73)+SUMIFS(Dati!$L$2:$L$761,Dati!$H$2:$H$761,$H73,Dati!$A$2:$A$761,$AJ73),"-")</f>
        <v/>
      </c>
      <c r="CY73" s="22">
        <f>IF(AND($H73&lt;&gt;"",$AK73&lt;&gt;"",$H73&lt;&gt;$AK73,IFERROR(VLOOKUP($H73,areaCercaPuntiClassificaSquadra,3,FALSE),-1)=IFERROR(VLOOKUP($AK73,areaCercaPuntiClassificaSquadra,3,FALSE),-2)),SUMIFS(Dati!$E$2:$E$761,Dati!$A$2:$A$761,$H73,Dati!$H$2:$H$761,$AK73)+SUMIFS(Dati!$L$2:$L$761,Dati!$H$2:$H$761,$H73,Dati!$A$2:$A$761,$AK73),"-")</f>
        <v/>
      </c>
      <c r="CZ73" s="22">
        <f>IF(AND($H73&lt;&gt;"",$AL73&lt;&gt;"",$H73&lt;&gt;$AL73,IFERROR(VLOOKUP($H73,areaCercaPuntiClassificaSquadra,3,FALSE),-1)=IFERROR(VLOOKUP($AL73,areaCercaPuntiClassificaSquadra,3,FALSE),-2)),SUMIFS(Dati!$E$2:$E$761,Dati!$A$2:$A$761,$H73,Dati!$H$2:$H$761,$AL73)+SUMIFS(Dati!$L$2:$L$761,Dati!$H$2:$H$761,$H73,Dati!$A$2:$A$761,$AL73),"-")</f>
        <v/>
      </c>
      <c r="DA73" s="22">
        <f>IF(AND($H73&lt;&gt;"",$AM73&lt;&gt;"",$H73&lt;&gt;$AM73,IFERROR(VLOOKUP($H73,areaCercaPuntiClassificaSquadra,3,FALSE),-1)=IFERROR(VLOOKUP($AM73,areaCercaPuntiClassificaSquadra,3,FALSE),-2)),SUMIFS(Dati!$E$2:$E$761,Dati!$A$2:$A$761,$H73,Dati!$H$2:$H$761,$AM73)+SUMIFS(Dati!$L$2:$L$761,Dati!$H$2:$H$761,$H73,Dati!$A$2:$A$761,$AM73),"-")</f>
        <v/>
      </c>
      <c r="DB73" s="22">
        <f>IF(AND($H73&lt;&gt;"",$AN73&lt;&gt;"",$H73&lt;&gt;$AN73,IFERROR(VLOOKUP($H73,areaCercaPuntiClassificaSquadra,3,FALSE),-1)=IFERROR(VLOOKUP($AN73,areaCercaPuntiClassificaSquadra,3,FALSE),-2)),SUMIFS(Dati!$E$2:$E$761,Dati!$A$2:$A$761,$H73,Dati!$H$2:$H$761,$AN73)+SUMIFS(Dati!$L$2:$L$761,Dati!$H$2:$H$761,$H73,Dati!$A$2:$A$761,$AN73),"-")</f>
        <v/>
      </c>
      <c r="DC73" s="22">
        <f>IF(AND($H73&lt;&gt;"",$AO73&lt;&gt;"",$H73&lt;&gt;$AO73,IFERROR(VLOOKUP($H73,areaCercaPuntiClassificaSquadra,3,FALSE),-1)=IFERROR(VLOOKUP($AO73,areaCercaPuntiClassificaSquadra,3,FALSE),-2)),SUMIFS(Dati!$E$2:$E$761,Dati!$A$2:$A$761,$H73,Dati!$H$2:$H$761,$AO73)+SUMIFS(Dati!$L$2:$L$761,Dati!$H$2:$H$761,$H73,Dati!$A$2:$A$761,$AO73),"-")</f>
        <v/>
      </c>
      <c r="DD73" s="22">
        <f>IF(AND($H73&lt;&gt;"",$AP73&lt;&gt;"",$H73&lt;&gt;$AP73,IFERROR(VLOOKUP($H73,areaCercaPuntiClassificaSquadra,3,FALSE),-1)=IFERROR(VLOOKUP($AP73,areaCercaPuntiClassificaSquadra,3,FALSE),-2)),SUMIFS(Dati!$E$2:$E$761,Dati!$A$2:$A$761,$H73,Dati!$H$2:$H$761,$AP73)+SUMIFS(Dati!$L$2:$L$761,Dati!$H$2:$H$761,$H73,Dati!$A$2:$A$761,$AP73),"-")</f>
        <v/>
      </c>
      <c r="DE73" s="22">
        <f>IF(AND($H73&lt;&gt;"",$AQ73&lt;&gt;"",$H73&lt;&gt;$AQ73,IFERROR(VLOOKUP($H73,areaCercaPuntiClassificaSquadra,3,FALSE),-1)=IFERROR(VLOOKUP($AQ73,areaCercaPuntiClassificaSquadra,3,FALSE),-2)),SUMIFS(Dati!$E$2:$E$761,Dati!$A$2:$A$761,$H73,Dati!$H$2:$H$761,$AQ73)+SUMIFS(Dati!$L$2:$L$761,Dati!$H$2:$H$761,$H73,Dati!$A$2:$A$761,$AQ73),"-")</f>
        <v/>
      </c>
      <c r="DF73" s="22">
        <f>IF(AND($H73&lt;&gt;"",$AR73&lt;&gt;"",$H73&lt;&gt;$AR73,IFERROR(VLOOKUP($H73,areaCercaPuntiClassificaSquadra,3,FALSE),-1)=IFERROR(VLOOKUP($AR73,areaCercaPuntiClassificaSquadra,3,FALSE),-2)),SUMIFS(Dati!$E$2:$E$761,Dati!$A$2:$A$761,$H73,Dati!$H$2:$H$761,$AR73)+SUMIFS(Dati!$L$2:$L$761,Dati!$H$2:$H$761,$H73,Dati!$A$2:$A$761,$AR73),"-")</f>
        <v/>
      </c>
      <c r="DH73" s="21">
        <f>$C73</f>
        <v/>
      </c>
      <c r="DI73" s="22">
        <f>IF(AND($H73&lt;&gt;"",$Y73&lt;&gt;"",$H73&lt;&gt;$Y73,IFERROR(VLOOKUP($H73,areaCercaPuntiClassificaSquadra,3,FALSE),-1)=IFERROR(VLOOKUP($Y73,areaCercaPuntiClassificaSquadra,3,FALSE),-2)),SUMIFS(Dati!$F$2:$F$761,Dati!$A$2:$A$761,$H73,Dati!$H$2:$H$761,$Y73)+SUMIFS(Dati!$M$2:$M$761,Dati!$H$2:$H$761,$H73,Dati!$A$2:$A$761,$Y73),"-")</f>
        <v/>
      </c>
      <c r="DJ73" s="22">
        <f>IF(AND($H73&lt;&gt;"",$Z73&lt;&gt;"",$H73&lt;&gt;$Z73,IFERROR(VLOOKUP($H73,areaCercaPuntiClassificaSquadra,3,FALSE),-1)=IFERROR(VLOOKUP($Z73,areaCercaPuntiClassificaSquadra,3,FALSE),-2)),SUMIFS(Dati!$F$2:$F$761,Dati!$A$2:$A$761,$H73,Dati!$H$2:$H$761,$Z73)+SUMIFS(Dati!$M$2:$M$761,Dati!$H$2:$H$761,$H73,Dati!$A$2:$A$761,$Z73),"-")</f>
        <v/>
      </c>
      <c r="DK73" s="22">
        <f>IF(AND($H73&lt;&gt;"",$AA73&lt;&gt;"",$H73&lt;&gt;$AA73,IFERROR(VLOOKUP($H73,areaCercaPuntiClassificaSquadra,3,FALSE),-1)=IFERROR(VLOOKUP($AA73,areaCercaPuntiClassificaSquadra,3,FALSE),-2)),SUMIFS(Dati!$F$2:$F$761,Dati!$A$2:$A$761,$H73,Dati!$H$2:$H$761,$AA73)+SUMIFS(Dati!$M$2:$M$761,Dati!$H$2:$H$761,$H73,Dati!$A$2:$A$761,$AA73),"-")</f>
        <v/>
      </c>
      <c r="DL73" s="22">
        <f>IF(AND($H73&lt;&gt;"",$AB73&lt;&gt;"",$H73&lt;&gt;$AB73,IFERROR(VLOOKUP($H73,areaCercaPuntiClassificaSquadra,3,FALSE),-1)=IFERROR(VLOOKUP($AB73,areaCercaPuntiClassificaSquadra,3,FALSE),-2)),SUMIFS(Dati!$F$2:$F$761,Dati!$A$2:$A$761,$H73,Dati!$H$2:$H$761,$AB73)+SUMIFS(Dati!$M$2:$M$761,Dati!$H$2:$H$761,$H73,Dati!$A$2:$A$761,$AB73),"-")</f>
        <v/>
      </c>
      <c r="DM73" s="22">
        <f>IF(AND($H73&lt;&gt;"",$AC73&lt;&gt;"",$H73&lt;&gt;$AC73,IFERROR(VLOOKUP($H73,areaCercaPuntiClassificaSquadra,3,FALSE),-1)=IFERROR(VLOOKUP($AC73,areaCercaPuntiClassificaSquadra,3,FALSE),-2)),SUMIFS(Dati!$F$2:$F$761,Dati!$A$2:$A$761,$H73,Dati!$H$2:$H$761,$AC73)+SUMIFS(Dati!$M$2:$M$761,Dati!$H$2:$H$761,$H73,Dati!$A$2:$A$761,$AC73),"-")</f>
        <v/>
      </c>
      <c r="DN73" s="22">
        <f>IF(AND($H73&lt;&gt;"",$AD73&lt;&gt;"",$H73&lt;&gt;$AD73,IFERROR(VLOOKUP($H73,areaCercaPuntiClassificaSquadra,3,FALSE),-1)=IFERROR(VLOOKUP($AD73,areaCercaPuntiClassificaSquadra,3,FALSE),-2)),SUMIFS(Dati!$F$2:$F$761,Dati!$A$2:$A$761,$H73,Dati!$H$2:$H$761,$AD73)+SUMIFS(Dati!$M$2:$M$761,Dati!$H$2:$H$761,$H73,Dati!$A$2:$A$761,$AD73),"-")</f>
        <v/>
      </c>
      <c r="DO73" s="22">
        <f>IF(AND($H73&lt;&gt;"",$AE73&lt;&gt;"",$H73&lt;&gt;$AE73,IFERROR(VLOOKUP($H73,areaCercaPuntiClassificaSquadra,3,FALSE),-1)=IFERROR(VLOOKUP($AE73,areaCercaPuntiClassificaSquadra,3,FALSE),-2)),SUMIFS(Dati!$F$2:$F$761,Dati!$A$2:$A$761,$H73,Dati!$H$2:$H$761,$AE73)+SUMIFS(Dati!$M$2:$M$761,Dati!$H$2:$H$761,$H73,Dati!$A$2:$A$761,$AE73),"-")</f>
        <v/>
      </c>
      <c r="DP73" s="22">
        <f>IF(AND($H73&lt;&gt;"",$AF73&lt;&gt;"",$H73&lt;&gt;$AF73,IFERROR(VLOOKUP($H73,areaCercaPuntiClassificaSquadra,3,FALSE),-1)=IFERROR(VLOOKUP($AF73,areaCercaPuntiClassificaSquadra,3,FALSE),-2)),SUMIFS(Dati!$F$2:$F$761,Dati!$A$2:$A$761,$H73,Dati!$H$2:$H$761,$AF73)+SUMIFS(Dati!$M$2:$M$761,Dati!$H$2:$H$761,$H73,Dati!$A$2:$A$761,$AF73),"-")</f>
        <v/>
      </c>
      <c r="DQ73" s="22">
        <f>IF(AND($H73&lt;&gt;"",$AG73&lt;&gt;"",$H73&lt;&gt;$AG73,IFERROR(VLOOKUP($H73,areaCercaPuntiClassificaSquadra,3,FALSE),-1)=IFERROR(VLOOKUP($AG73,areaCercaPuntiClassificaSquadra,3,FALSE),-2)),SUMIFS(Dati!$F$2:$F$761,Dati!$A$2:$A$761,$H73,Dati!$H$2:$H$761,$AG73)+SUMIFS(Dati!$M$2:$M$761,Dati!$H$2:$H$761,$H73,Dati!$A$2:$A$761,$AG73),"-")</f>
        <v/>
      </c>
      <c r="DR73" s="22">
        <f>IF(AND($H73&lt;&gt;"",$AH73&lt;&gt;"",$H73&lt;&gt;$AH73,IFERROR(VLOOKUP($H73,areaCercaPuntiClassificaSquadra,3,FALSE),-1)=IFERROR(VLOOKUP($AH73,areaCercaPuntiClassificaSquadra,3,FALSE),-2)),SUMIFS(Dati!$F$2:$F$761,Dati!$A$2:$A$761,$H73,Dati!$H$2:$H$761,$AH73)+SUMIFS(Dati!$M$2:$M$761,Dati!$H$2:$H$761,$H73,Dati!$A$2:$A$761,$AH73),"-")</f>
        <v/>
      </c>
      <c r="DS73" s="22">
        <f>IF(AND($H73&lt;&gt;"",$AI73&lt;&gt;"",$H73&lt;&gt;$AI73,IFERROR(VLOOKUP($H73,areaCercaPuntiClassificaSquadra,3,FALSE),-1)=IFERROR(VLOOKUP($AI73,areaCercaPuntiClassificaSquadra,3,FALSE),-2)),SUMIFS(Dati!$F$2:$F$761,Dati!$A$2:$A$761,$H73,Dati!$H$2:$H$761,$AI73)+SUMIFS(Dati!$M$2:$M$761,Dati!$H$2:$H$761,$H73,Dati!$A$2:$A$761,$AI73),"-")</f>
        <v/>
      </c>
      <c r="DT73" s="22">
        <f>IF(AND($H73&lt;&gt;"",$AJ73&lt;&gt;"",$H73&lt;&gt;$AJ73,IFERROR(VLOOKUP($H73,areaCercaPuntiClassificaSquadra,3,FALSE),-1)=IFERROR(VLOOKUP($AJ73,areaCercaPuntiClassificaSquadra,3,FALSE),-2)),SUMIFS(Dati!$F$2:$F$761,Dati!$A$2:$A$761,$H73,Dati!$H$2:$H$761,$AJ73)+SUMIFS(Dati!$M$2:$M$761,Dati!$H$2:$H$761,$H73,Dati!$A$2:$A$761,$AJ73),"-")</f>
        <v/>
      </c>
      <c r="DU73" s="22">
        <f>IF(AND($H73&lt;&gt;"",$AK73&lt;&gt;"",$H73&lt;&gt;$AK73,IFERROR(VLOOKUP($H73,areaCercaPuntiClassificaSquadra,3,FALSE),-1)=IFERROR(VLOOKUP($AK73,areaCercaPuntiClassificaSquadra,3,FALSE),-2)),SUMIFS(Dati!$F$2:$F$761,Dati!$A$2:$A$761,$H73,Dati!$H$2:$H$761,$AK73)+SUMIFS(Dati!$M$2:$M$761,Dati!$H$2:$H$761,$H73,Dati!$A$2:$A$761,$AK73),"-")</f>
        <v/>
      </c>
      <c r="DV73" s="22">
        <f>IF(AND($H73&lt;&gt;"",$AL73&lt;&gt;"",$H73&lt;&gt;$AL73,IFERROR(VLOOKUP($H73,areaCercaPuntiClassificaSquadra,3,FALSE),-1)=IFERROR(VLOOKUP($AL73,areaCercaPuntiClassificaSquadra,3,FALSE),-2)),SUMIFS(Dati!$F$2:$F$761,Dati!$A$2:$A$761,$H73,Dati!$H$2:$H$761,$AL73)+SUMIFS(Dati!$M$2:$M$761,Dati!$H$2:$H$761,$H73,Dati!$A$2:$A$761,$AL73),"-")</f>
        <v/>
      </c>
      <c r="DW73" s="22">
        <f>IF(AND($H73&lt;&gt;"",$AM73&lt;&gt;"",$H73&lt;&gt;$AM73,IFERROR(VLOOKUP($H73,areaCercaPuntiClassificaSquadra,3,FALSE),-1)=IFERROR(VLOOKUP($AM73,areaCercaPuntiClassificaSquadra,3,FALSE),-2)),SUMIFS(Dati!$F$2:$F$761,Dati!$A$2:$A$761,$H73,Dati!$H$2:$H$761,$AM73)+SUMIFS(Dati!$M$2:$M$761,Dati!$H$2:$H$761,$H73,Dati!$A$2:$A$761,$AM73),"-")</f>
        <v/>
      </c>
      <c r="DX73" s="22">
        <f>IF(AND($H73&lt;&gt;"",$AN73&lt;&gt;"",$H73&lt;&gt;$AN73,IFERROR(VLOOKUP($H73,areaCercaPuntiClassificaSquadra,3,FALSE),-1)=IFERROR(VLOOKUP($AN73,areaCercaPuntiClassificaSquadra,3,FALSE),-2)),SUMIFS(Dati!$F$2:$F$761,Dati!$A$2:$A$761,$H73,Dati!$H$2:$H$761,$AN73)+SUMIFS(Dati!$M$2:$M$761,Dati!$H$2:$H$761,$H73,Dati!$A$2:$A$761,$AN73),"-")</f>
        <v/>
      </c>
      <c r="DY73" s="22">
        <f>IF(AND($H73&lt;&gt;"",$AO73&lt;&gt;"",$H73&lt;&gt;$AO73,IFERROR(VLOOKUP($H73,areaCercaPuntiClassificaSquadra,3,FALSE),-1)=IFERROR(VLOOKUP($AO73,areaCercaPuntiClassificaSquadra,3,FALSE),-2)),SUMIFS(Dati!$F$2:$F$761,Dati!$A$2:$A$761,$H73,Dati!$H$2:$H$761,$AO73)+SUMIFS(Dati!$M$2:$M$761,Dati!$H$2:$H$761,$H73,Dati!$A$2:$A$761,$AO73),"-")</f>
        <v/>
      </c>
      <c r="DZ73" s="22">
        <f>IF(AND($H73&lt;&gt;"",$AP73&lt;&gt;"",$H73&lt;&gt;$AP73,IFERROR(VLOOKUP($H73,areaCercaPuntiClassificaSquadra,3,FALSE),-1)=IFERROR(VLOOKUP($AP73,areaCercaPuntiClassificaSquadra,3,FALSE),-2)),SUMIFS(Dati!$F$2:$F$761,Dati!$A$2:$A$761,$H73,Dati!$H$2:$H$761,$AP73)+SUMIFS(Dati!$M$2:$M$761,Dati!$H$2:$H$761,$H73,Dati!$A$2:$A$761,$AP73),"-")</f>
        <v/>
      </c>
      <c r="EA73" s="22">
        <f>IF(AND($H73&lt;&gt;"",$AQ73&lt;&gt;"",$H73&lt;&gt;$AQ73,IFERROR(VLOOKUP($H73,areaCercaPuntiClassificaSquadra,3,FALSE),-1)=IFERROR(VLOOKUP($AQ73,areaCercaPuntiClassificaSquadra,3,FALSE),-2)),SUMIFS(Dati!$F$2:$F$761,Dati!$A$2:$A$761,$H73,Dati!$H$2:$H$761,$AQ73)+SUMIFS(Dati!$M$2:$M$761,Dati!$H$2:$H$761,$H73,Dati!$A$2:$A$761,$AQ73),"-")</f>
        <v/>
      </c>
      <c r="EB73" s="22">
        <f>IF(AND($H73&lt;&gt;"",$AR73&lt;&gt;"",$H73&lt;&gt;$AR73,IFERROR(VLOOKUP($H73,areaCercaPuntiClassificaSquadra,3,FALSE),-1)=IFERROR(VLOOKUP($AR73,areaCercaPuntiClassificaSquadra,3,FALSE),-2)),SUMIFS(Dati!$F$2:$F$761,Dati!$A$2:$A$761,$H73,Dati!$H$2:$H$761,$AR73)+SUMIFS(Dati!$M$2:$M$761,Dati!$H$2:$H$761,$H73,Dati!$A$2:$A$761,$AR73),"-")</f>
        <v/>
      </c>
      <c r="ED73" s="22">
        <f>IF($C73="","",SUM(AU73:BN73))</f>
        <v/>
      </c>
    </row>
    <row r="74">
      <c r="B74" s="12" t="inlineStr">
        <is>
          <t>D01</t>
        </is>
      </c>
      <c r="C74" s="13" t="inlineStr">
        <is>
          <t>Martore Mobili-Martoreopoli MA</t>
        </is>
      </c>
      <c r="D74" s="14" t="n"/>
      <c r="E74" s="27" t="inlineStr">
        <is>
          <t>D</t>
        </is>
      </c>
      <c r="G74" s="28">
        <f>IF($C74="","",$E74&amp;(COUNTIFS(I$14:I$93,"&gt;"&amp;I74,E$14:E$93,"="&amp;E74,C$14:C$93,"&lt;&gt;")+COUNTIFS(I$14:I$93,"="&amp;I74,H$14:H$93,"&lt;="&amp;H74,E$14:E$93,"="&amp;E74,C$14:C$93,"&lt;&gt;")))</f>
        <v/>
      </c>
      <c r="H74" s="17">
        <f>IF($C74="","",IFERROR(LEFT($C74,FIND("-",$C74)-1),$C74))</f>
        <v/>
      </c>
      <c r="I74" s="12">
        <f>TEXT(1000000000+J74,"|0000000000|")&amp;TEXT(SUM(AU74:BN74),"0000000000|")&amp;IF(SUM(DI74:EB74)=0,"0000000000|",TEXT(ROUND(SUM(CM74:DF74)/SUM(DI74:EB74),4)*100000,"0000000000|"))&amp;IF(P74=0,"0000000000|",TEXT(ROUND(O74/P74,4)*100000,"0000000000|"))</f>
        <v/>
      </c>
      <c r="J74" s="28">
        <f>L74*constPuntiVittoria+M74*constPuntiSconfitta+N74*constPuntiForfait+IF(D74="",0,D74)</f>
        <v/>
      </c>
      <c r="K74" s="12">
        <f>SUM(L74:N74)</f>
        <v/>
      </c>
      <c r="L74" s="12">
        <f>IF($H74="",0,SUMIF(Dati!$A$2:$A$761,$H74,Dati!$B$2:$B$761)+SUMIF(Dati!$H$2:$H$761,$H74,Dati!$I$2:$I$761))</f>
        <v/>
      </c>
      <c r="M74" s="12">
        <f>IF($H74="",0,SUMIF(Dati!$A$2:$A$761,$H74,Dati!$D$2:$D$761)+SUMIF(Dati!$H$2:$H$761,$H74,Dati!$K$2:$K$761))</f>
        <v/>
      </c>
      <c r="N74" s="12">
        <f>IF($H74="",0,SUMIF(Dati!$A$2:$A$761,$H74,Dati!$C$2:$C$761)+SUMIF(Dati!$H$2:$H$761,$H74,Dati!$J$2:$J$761))</f>
        <v/>
      </c>
      <c r="O74" s="12">
        <f>IF($H74="",0,SUMIF(Dati!$A$2:$A$761,$H74,Dati!$E$2:$E$761)+SUMIF(Dati!$H$2:$H$761,$H74,Dati!$L$2:$L$761))</f>
        <v/>
      </c>
      <c r="P74" s="12">
        <f>IF($H74="",0,SUMIF(Dati!$A$2:$A$761,$H74,Dati!$F$2:$F$761)+SUMIF(Dati!$H$2:$H$761,$H74,Dati!$M$2:$M$761))</f>
        <v/>
      </c>
      <c r="Q74" s="12">
        <f>IF($H74="",0,SUMIF(Dati!$A$2:$A$761,$H74,Dati!$G$2:$G$761)+SUMIF(Dati!$H$2:$H$761,$H74,Dati!$N$2:$N$761))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IF(COUNTIFS($E$14:$E$93,$E74,$J$14:$J$93,$J74,$C$14:$C$93,"&lt;&gt;")&lt;=1,"-",SUM(AU74:BN74)&amp;"-"&amp;SUM(BQ74:CJ74))</f>
        <v/>
      </c>
      <c r="V74" s="18">
        <f>IF(COUNTIFS($E$14:$E$93,$E74,$J$14:$J$93,$J74,$C$14:$C$93,"&lt;&gt;",$ED$14:$ED$93,$ED74)&lt;=1,"-",IF(SUM(DI74:EB74)=0,0,ROUND(SUM(CM74:DF74)/SUM(DI74:EB74),3)))</f>
        <v/>
      </c>
      <c r="W74" s="18">
        <f>IF(COUNTIFS($E$14:$E$93,$E74,$J$14:$J$93,$J74,$C$14:$C$93,"&lt;&gt;",$ED$14:$ED$93,$ED74,$V$14:$V$93,$V74)&lt;=1,"-",IF(P74=0,0,ROUND(O74/P74,3)))</f>
        <v/>
      </c>
      <c r="X74" s="19">
        <f>IF($C74="","",$E74&amp;"#"&amp;COUNTIFS($E$14:$E74,$E74,$C$14:$C74,"&lt;&gt;"))</f>
        <v/>
      </c>
      <c r="Y74" s="20">
        <f>IFERROR(INDEX($H$14:$H$93,MATCH($E74&amp;"#1",$X$14:$X$93,0)),"")</f>
        <v/>
      </c>
      <c r="Z74" s="20">
        <f>IFERROR(INDEX($H$14:$H$93,MATCH($E74&amp;"#2",$X$14:$X$93,0)),"")</f>
        <v/>
      </c>
      <c r="AA74" s="20">
        <f>IFERROR(INDEX($H$14:$H$93,MATCH($E74&amp;"#3",$X$14:$X$93,0)),"")</f>
        <v/>
      </c>
      <c r="AB74" s="20">
        <f>IFERROR(INDEX($H$14:$H$93,MATCH($E74&amp;"#4",$X$14:$X$93,0)),"")</f>
        <v/>
      </c>
      <c r="AC74" s="20">
        <f>IFERROR(INDEX($H$14:$H$93,MATCH($E74&amp;"#5",$X$14:$X$93,0)),"")</f>
        <v/>
      </c>
      <c r="AD74" s="20">
        <f>IFERROR(INDEX($H$14:$H$93,MATCH($E74&amp;"#6",$X$14:$X$93,0)),"")</f>
        <v/>
      </c>
      <c r="AE74" s="20">
        <f>IFERROR(INDEX($H$14:$H$93,MATCH($E74&amp;"#7",$X$14:$X$93,0)),"")</f>
        <v/>
      </c>
      <c r="AF74" s="20">
        <f>IFERROR(INDEX($H$14:$H$93,MATCH($E74&amp;"#8",$X$14:$X$93,0)),"")</f>
        <v/>
      </c>
      <c r="AG74" s="20">
        <f>IFERROR(INDEX($H$14:$H$93,MATCH($E74&amp;"#9",$X$14:$X$93,0)),"")</f>
        <v/>
      </c>
      <c r="AH74" s="20">
        <f>IFERROR(INDEX($H$14:$H$93,MATCH($E74&amp;"#10",$X$14:$X$93,0)),"")</f>
        <v/>
      </c>
      <c r="AI74" s="20">
        <f>IFERROR(INDEX($H$14:$H$93,MATCH($E74&amp;"#11",$X$14:$X$93,0)),"")</f>
        <v/>
      </c>
      <c r="AJ74" s="20">
        <f>IFERROR(INDEX($H$14:$H$93,MATCH($E74&amp;"#12",$X$14:$X$93,0)),"")</f>
        <v/>
      </c>
      <c r="AK74" s="20">
        <f>IFERROR(INDEX($H$14:$H$93,MATCH($E74&amp;"#13",$X$14:$X$93,0)),"")</f>
        <v/>
      </c>
      <c r="AL74" s="20">
        <f>IFERROR(INDEX($H$14:$H$93,MATCH($E74&amp;"#14",$X$14:$X$93,0)),"")</f>
        <v/>
      </c>
      <c r="AM74" s="20">
        <f>IFERROR(INDEX($H$14:$H$93,MATCH($E74&amp;"#15",$X$14:$X$93,0)),"")</f>
        <v/>
      </c>
      <c r="AN74" s="20">
        <f>IFERROR(INDEX($H$14:$H$93,MATCH($E74&amp;"#16",$X$14:$X$93,0)),"")</f>
        <v/>
      </c>
      <c r="AO74" s="20">
        <f>IFERROR(INDEX($H$14:$H$93,MATCH($E74&amp;"#17",$X$14:$X$93,0)),"")</f>
        <v/>
      </c>
      <c r="AP74" s="20">
        <f>IFERROR(INDEX($H$14:$H$93,MATCH($E74&amp;"#18",$X$14:$X$93,0)),"")</f>
        <v/>
      </c>
      <c r="AQ74" s="20">
        <f>IFERROR(INDEX($H$14:$H$93,MATCH($E74&amp;"#19",$X$14:$X$93,0)),"")</f>
        <v/>
      </c>
      <c r="AR74" s="20">
        <f>IFERROR(INDEX($H$14:$H$93,MATCH($E74&amp;"#20",$X$14:$X$93,0)),"")</f>
        <v/>
      </c>
      <c r="AT74" s="21">
        <f>$C74</f>
        <v/>
      </c>
      <c r="AU74" s="22">
        <f>IF(AND($H74&lt;&gt;"",$Y74&lt;&gt;"",$H74&lt;&gt;$Y74,IFERROR(VLOOKUP($H74,areaCercaPuntiClassificaSquadra,3,FALSE),-1)=IFERROR(VLOOKUP($Y74,areaCercaPuntiClassificaSquadra,3,FALSE),-2)),SUMIFS(Dati!$B$2:$B$761,Dati!$A$2:$A$761,$H74,Dati!$H$2:$H$761,$Y74)+SUMIFS(Dati!$I$2:$I$761,Dati!$H$2:$H$761,$H74,Dati!$A$2:$A$761,$Y74),"-")</f>
        <v/>
      </c>
      <c r="AV74" s="22">
        <f>IF(AND($H74&lt;&gt;"",$Z74&lt;&gt;"",$H74&lt;&gt;$Z74,IFERROR(VLOOKUP($H74,areaCercaPuntiClassificaSquadra,3,FALSE),-1)=IFERROR(VLOOKUP($Z74,areaCercaPuntiClassificaSquadra,3,FALSE),-2)),SUMIFS(Dati!$B$2:$B$761,Dati!$A$2:$A$761,$H74,Dati!$H$2:$H$761,$Z74)+SUMIFS(Dati!$I$2:$I$761,Dati!$H$2:$H$761,$H74,Dati!$A$2:$A$761,$Z74),"-")</f>
        <v/>
      </c>
      <c r="AW74" s="22">
        <f>IF(AND($H74&lt;&gt;"",$AA74&lt;&gt;"",$H74&lt;&gt;$AA74,IFERROR(VLOOKUP($H74,areaCercaPuntiClassificaSquadra,3,FALSE),-1)=IFERROR(VLOOKUP($AA74,areaCercaPuntiClassificaSquadra,3,FALSE),-2)),SUMIFS(Dati!$B$2:$B$761,Dati!$A$2:$A$761,$H74,Dati!$H$2:$H$761,$AA74)+SUMIFS(Dati!$I$2:$I$761,Dati!$H$2:$H$761,$H74,Dati!$A$2:$A$761,$AA74),"-")</f>
        <v/>
      </c>
      <c r="AX74" s="22">
        <f>IF(AND($H74&lt;&gt;"",$AB74&lt;&gt;"",$H74&lt;&gt;$AB74,IFERROR(VLOOKUP($H74,areaCercaPuntiClassificaSquadra,3,FALSE),-1)=IFERROR(VLOOKUP($AB74,areaCercaPuntiClassificaSquadra,3,FALSE),-2)),SUMIFS(Dati!$B$2:$B$761,Dati!$A$2:$A$761,$H74,Dati!$H$2:$H$761,$AB74)+SUMIFS(Dati!$I$2:$I$761,Dati!$H$2:$H$761,$H74,Dati!$A$2:$A$761,$AB74),"-")</f>
        <v/>
      </c>
      <c r="AY74" s="22">
        <f>IF(AND($H74&lt;&gt;"",$AC74&lt;&gt;"",$H74&lt;&gt;$AC74,IFERROR(VLOOKUP($H74,areaCercaPuntiClassificaSquadra,3,FALSE),-1)=IFERROR(VLOOKUP($AC74,areaCercaPuntiClassificaSquadra,3,FALSE),-2)),SUMIFS(Dati!$B$2:$B$761,Dati!$A$2:$A$761,$H74,Dati!$H$2:$H$761,$AC74)+SUMIFS(Dati!$I$2:$I$761,Dati!$H$2:$H$761,$H74,Dati!$A$2:$A$761,$AC74),"-")</f>
        <v/>
      </c>
      <c r="AZ74" s="22">
        <f>IF(AND($H74&lt;&gt;"",$AD74&lt;&gt;"",$H74&lt;&gt;$AD74,IFERROR(VLOOKUP($H74,areaCercaPuntiClassificaSquadra,3,FALSE),-1)=IFERROR(VLOOKUP($AD74,areaCercaPuntiClassificaSquadra,3,FALSE),-2)),SUMIFS(Dati!$B$2:$B$761,Dati!$A$2:$A$761,$H74,Dati!$H$2:$H$761,$AD74)+SUMIFS(Dati!$I$2:$I$761,Dati!$H$2:$H$761,$H74,Dati!$A$2:$A$761,$AD74),"-")</f>
        <v/>
      </c>
      <c r="BA74" s="22">
        <f>IF(AND($H74&lt;&gt;"",$AE74&lt;&gt;"",$H74&lt;&gt;$AE74,IFERROR(VLOOKUP($H74,areaCercaPuntiClassificaSquadra,3,FALSE),-1)=IFERROR(VLOOKUP($AE74,areaCercaPuntiClassificaSquadra,3,FALSE),-2)),SUMIFS(Dati!$B$2:$B$761,Dati!$A$2:$A$761,$H74,Dati!$H$2:$H$761,$AE74)+SUMIFS(Dati!$I$2:$I$761,Dati!$H$2:$H$761,$H74,Dati!$A$2:$A$761,$AE74),"-")</f>
        <v/>
      </c>
      <c r="BB74" s="22">
        <f>IF(AND($H74&lt;&gt;"",$AF74&lt;&gt;"",$H74&lt;&gt;$AF74,IFERROR(VLOOKUP($H74,areaCercaPuntiClassificaSquadra,3,FALSE),-1)=IFERROR(VLOOKUP($AF74,areaCercaPuntiClassificaSquadra,3,FALSE),-2)),SUMIFS(Dati!$B$2:$B$761,Dati!$A$2:$A$761,$H74,Dati!$H$2:$H$761,$AF74)+SUMIFS(Dati!$I$2:$I$761,Dati!$H$2:$H$761,$H74,Dati!$A$2:$A$761,$AF74),"-")</f>
        <v/>
      </c>
      <c r="BC74" s="22">
        <f>IF(AND($H74&lt;&gt;"",$AG74&lt;&gt;"",$H74&lt;&gt;$AG74,IFERROR(VLOOKUP($H74,areaCercaPuntiClassificaSquadra,3,FALSE),-1)=IFERROR(VLOOKUP($AG74,areaCercaPuntiClassificaSquadra,3,FALSE),-2)),SUMIFS(Dati!$B$2:$B$761,Dati!$A$2:$A$761,$H74,Dati!$H$2:$H$761,$AG74)+SUMIFS(Dati!$I$2:$I$761,Dati!$H$2:$H$761,$H74,Dati!$A$2:$A$761,$AG74),"-")</f>
        <v/>
      </c>
      <c r="BD74" s="22">
        <f>IF(AND($H74&lt;&gt;"",$AH74&lt;&gt;"",$H74&lt;&gt;$AH74,IFERROR(VLOOKUP($H74,areaCercaPuntiClassificaSquadra,3,FALSE),-1)=IFERROR(VLOOKUP($AH74,areaCercaPuntiClassificaSquadra,3,FALSE),-2)),SUMIFS(Dati!$B$2:$B$761,Dati!$A$2:$A$761,$H74,Dati!$H$2:$H$761,$AH74)+SUMIFS(Dati!$I$2:$I$761,Dati!$H$2:$H$761,$H74,Dati!$A$2:$A$761,$AH74),"-")</f>
        <v/>
      </c>
      <c r="BE74" s="22">
        <f>IF(AND($H74&lt;&gt;"",$AI74&lt;&gt;"",$H74&lt;&gt;$AI74,IFERROR(VLOOKUP($H74,areaCercaPuntiClassificaSquadra,3,FALSE),-1)=IFERROR(VLOOKUP($AI74,areaCercaPuntiClassificaSquadra,3,FALSE),-2)),SUMIFS(Dati!$B$2:$B$761,Dati!$A$2:$A$761,$H74,Dati!$H$2:$H$761,$AI74)+SUMIFS(Dati!$I$2:$I$761,Dati!$H$2:$H$761,$H74,Dati!$A$2:$A$761,$AI74),"-")</f>
        <v/>
      </c>
      <c r="BF74" s="22">
        <f>IF(AND($H74&lt;&gt;"",$AJ74&lt;&gt;"",$H74&lt;&gt;$AJ74,IFERROR(VLOOKUP($H74,areaCercaPuntiClassificaSquadra,3,FALSE),-1)=IFERROR(VLOOKUP($AJ74,areaCercaPuntiClassificaSquadra,3,FALSE),-2)),SUMIFS(Dati!$B$2:$B$761,Dati!$A$2:$A$761,$H74,Dati!$H$2:$H$761,$AJ74)+SUMIFS(Dati!$I$2:$I$761,Dati!$H$2:$H$761,$H74,Dati!$A$2:$A$761,$AJ74),"-")</f>
        <v/>
      </c>
      <c r="BG74" s="22">
        <f>IF(AND($H74&lt;&gt;"",$AK74&lt;&gt;"",$H74&lt;&gt;$AK74,IFERROR(VLOOKUP($H74,areaCercaPuntiClassificaSquadra,3,FALSE),-1)=IFERROR(VLOOKUP($AK74,areaCercaPuntiClassificaSquadra,3,FALSE),-2)),SUMIFS(Dati!$B$2:$B$761,Dati!$A$2:$A$761,$H74,Dati!$H$2:$H$761,$AK74)+SUMIFS(Dati!$I$2:$I$761,Dati!$H$2:$H$761,$H74,Dati!$A$2:$A$761,$AK74),"-")</f>
        <v/>
      </c>
      <c r="BH74" s="22">
        <f>IF(AND($H74&lt;&gt;"",$AL74&lt;&gt;"",$H74&lt;&gt;$AL74,IFERROR(VLOOKUP($H74,areaCercaPuntiClassificaSquadra,3,FALSE),-1)=IFERROR(VLOOKUP($AL74,areaCercaPuntiClassificaSquadra,3,FALSE),-2)),SUMIFS(Dati!$B$2:$B$761,Dati!$A$2:$A$761,$H74,Dati!$H$2:$H$761,$AL74)+SUMIFS(Dati!$I$2:$I$761,Dati!$H$2:$H$761,$H74,Dati!$A$2:$A$761,$AL74),"-")</f>
        <v/>
      </c>
      <c r="BI74" s="22">
        <f>IF(AND($H74&lt;&gt;"",$AM74&lt;&gt;"",$H74&lt;&gt;$AM74,IFERROR(VLOOKUP($H74,areaCercaPuntiClassificaSquadra,3,FALSE),-1)=IFERROR(VLOOKUP($AM74,areaCercaPuntiClassificaSquadra,3,FALSE),-2)),SUMIFS(Dati!$B$2:$B$761,Dati!$A$2:$A$761,$H74,Dati!$H$2:$H$761,$AM74)+SUMIFS(Dati!$I$2:$I$761,Dati!$H$2:$H$761,$H74,Dati!$A$2:$A$761,$AM74),"-")</f>
        <v/>
      </c>
      <c r="BJ74" s="22">
        <f>IF(AND($H74&lt;&gt;"",$AN74&lt;&gt;"",$H74&lt;&gt;$AN74,IFERROR(VLOOKUP($H74,areaCercaPuntiClassificaSquadra,3,FALSE),-1)=IFERROR(VLOOKUP($AN74,areaCercaPuntiClassificaSquadra,3,FALSE),-2)),SUMIFS(Dati!$B$2:$B$761,Dati!$A$2:$A$761,$H74,Dati!$H$2:$H$761,$AN74)+SUMIFS(Dati!$I$2:$I$761,Dati!$H$2:$H$761,$H74,Dati!$A$2:$A$761,$AN74),"-")</f>
        <v/>
      </c>
      <c r="BK74" s="22">
        <f>IF(AND($H74&lt;&gt;"",$AO74&lt;&gt;"",$H74&lt;&gt;$AO74,IFERROR(VLOOKUP($H74,areaCercaPuntiClassificaSquadra,3,FALSE),-1)=IFERROR(VLOOKUP($AO74,areaCercaPuntiClassificaSquadra,3,FALSE),-2)),SUMIFS(Dati!$B$2:$B$761,Dati!$A$2:$A$761,$H74,Dati!$H$2:$H$761,$AO74)+SUMIFS(Dati!$I$2:$I$761,Dati!$H$2:$H$761,$H74,Dati!$A$2:$A$761,$AO74),"-")</f>
        <v/>
      </c>
      <c r="BL74" s="22">
        <f>IF(AND($H74&lt;&gt;"",$AP74&lt;&gt;"",$H74&lt;&gt;$AP74,IFERROR(VLOOKUP($H74,areaCercaPuntiClassificaSquadra,3,FALSE),-1)=IFERROR(VLOOKUP($AP74,areaCercaPuntiClassificaSquadra,3,FALSE),-2)),SUMIFS(Dati!$B$2:$B$761,Dati!$A$2:$A$761,$H74,Dati!$H$2:$H$761,$AP74)+SUMIFS(Dati!$I$2:$I$761,Dati!$H$2:$H$761,$H74,Dati!$A$2:$A$761,$AP74),"-")</f>
        <v/>
      </c>
      <c r="BM74" s="22">
        <f>IF(AND($H74&lt;&gt;"",$AQ74&lt;&gt;"",$H74&lt;&gt;$AQ74,IFERROR(VLOOKUP($H74,areaCercaPuntiClassificaSquadra,3,FALSE),-1)=IFERROR(VLOOKUP($AQ74,areaCercaPuntiClassificaSquadra,3,FALSE),-2)),SUMIFS(Dati!$B$2:$B$761,Dati!$A$2:$A$761,$H74,Dati!$H$2:$H$761,$AQ74)+SUMIFS(Dati!$I$2:$I$761,Dati!$H$2:$H$761,$H74,Dati!$A$2:$A$761,$AQ74),"-")</f>
        <v/>
      </c>
      <c r="BN74" s="22">
        <f>IF(AND($H74&lt;&gt;"",$AR74&lt;&gt;"",$H74&lt;&gt;$AR74,IFERROR(VLOOKUP($H74,areaCercaPuntiClassificaSquadra,3,FALSE),-1)=IFERROR(VLOOKUP($AR74,areaCercaPuntiClassificaSquadra,3,FALSE),-2)),SUMIFS(Dati!$B$2:$B$761,Dati!$A$2:$A$761,$H74,Dati!$H$2:$H$761,$AR74)+SUMIFS(Dati!$I$2:$I$761,Dati!$H$2:$H$761,$H74,Dati!$A$2:$A$761,$AR74),"-")</f>
        <v/>
      </c>
      <c r="BP74" s="21">
        <f>$C74</f>
        <v/>
      </c>
      <c r="BQ74" s="22">
        <f>IF(AND($H74&lt;&gt;"",$Y74&lt;&gt;"",$H74&lt;&gt;$Y74,IFERROR(VLOOKUP($H74,areaCercaPuntiClassificaSquadra,3,FALSE),-1)=IFERROR(VLOOKUP($Y74,areaCercaPuntiClassificaSquadra,3,FALSE),-2)),SUMIFS(Dati!$D$2:$D$761,Dati!$A$2:$A$761,$H74,Dati!$H$2:$H$761,$Y74)+SUMIFS(Dati!$K$2:$K$761,Dati!$H$2:$H$761,$H74,Dati!$A$2:$A$761,$Y74)+SUMIFS(Dati!$C$2:$C$761,Dati!$A$2:$A$761,$H74,Dati!$H$2:$H$761,$Y74)+SUMIFS(Dati!$J$2:$J$761,Dati!$H$2:$H$761,$H74,Dati!$A$2:$A$761,$Y74),"-")</f>
        <v/>
      </c>
      <c r="BR74" s="22">
        <f>IF(AND($H74&lt;&gt;"",$Z74&lt;&gt;"",$H74&lt;&gt;$Z74,IFERROR(VLOOKUP($H74,areaCercaPuntiClassificaSquadra,3,FALSE),-1)=IFERROR(VLOOKUP($Z74,areaCercaPuntiClassificaSquadra,3,FALSE),-2)),SUMIFS(Dati!$D$2:$D$761,Dati!$A$2:$A$761,$H74,Dati!$H$2:$H$761,$Z74)+SUMIFS(Dati!$K$2:$K$761,Dati!$H$2:$H$761,$H74,Dati!$A$2:$A$761,$Z74)+SUMIFS(Dati!$C$2:$C$761,Dati!$A$2:$A$761,$H74,Dati!$H$2:$H$761,$Z74)+SUMIFS(Dati!$J$2:$J$761,Dati!$H$2:$H$761,$H74,Dati!$A$2:$A$761,$Z74),"-")</f>
        <v/>
      </c>
      <c r="BS74" s="22">
        <f>IF(AND($H74&lt;&gt;"",$AA74&lt;&gt;"",$H74&lt;&gt;$AA74,IFERROR(VLOOKUP($H74,areaCercaPuntiClassificaSquadra,3,FALSE),-1)=IFERROR(VLOOKUP($AA74,areaCercaPuntiClassificaSquadra,3,FALSE),-2)),SUMIFS(Dati!$D$2:$D$761,Dati!$A$2:$A$761,$H74,Dati!$H$2:$H$761,$AA74)+SUMIFS(Dati!$K$2:$K$761,Dati!$H$2:$H$761,$H74,Dati!$A$2:$A$761,$AA74)+SUMIFS(Dati!$C$2:$C$761,Dati!$A$2:$A$761,$H74,Dati!$H$2:$H$761,$AA74)+SUMIFS(Dati!$J$2:$J$761,Dati!$H$2:$H$761,$H74,Dati!$A$2:$A$761,$AA74),"-")</f>
        <v/>
      </c>
      <c r="BT74" s="22">
        <f>IF(AND($H74&lt;&gt;"",$AB74&lt;&gt;"",$H74&lt;&gt;$AB74,IFERROR(VLOOKUP($H74,areaCercaPuntiClassificaSquadra,3,FALSE),-1)=IFERROR(VLOOKUP($AB74,areaCercaPuntiClassificaSquadra,3,FALSE),-2)),SUMIFS(Dati!$D$2:$D$761,Dati!$A$2:$A$761,$H74,Dati!$H$2:$H$761,$AB74)+SUMIFS(Dati!$K$2:$K$761,Dati!$H$2:$H$761,$H74,Dati!$A$2:$A$761,$AB74)+SUMIFS(Dati!$C$2:$C$761,Dati!$A$2:$A$761,$H74,Dati!$H$2:$H$761,$AB74)+SUMIFS(Dati!$J$2:$J$761,Dati!$H$2:$H$761,$H74,Dati!$A$2:$A$761,$AB74),"-")</f>
        <v/>
      </c>
      <c r="BU74" s="22">
        <f>IF(AND($H74&lt;&gt;"",$AC74&lt;&gt;"",$H74&lt;&gt;$AC74,IFERROR(VLOOKUP($H74,areaCercaPuntiClassificaSquadra,3,FALSE),-1)=IFERROR(VLOOKUP($AC74,areaCercaPuntiClassificaSquadra,3,FALSE),-2)),SUMIFS(Dati!$D$2:$D$761,Dati!$A$2:$A$761,$H74,Dati!$H$2:$H$761,$AC74)+SUMIFS(Dati!$K$2:$K$761,Dati!$H$2:$H$761,$H74,Dati!$A$2:$A$761,$AC74)+SUMIFS(Dati!$C$2:$C$761,Dati!$A$2:$A$761,$H74,Dati!$H$2:$H$761,$AC74)+SUMIFS(Dati!$J$2:$J$761,Dati!$H$2:$H$761,$H74,Dati!$A$2:$A$761,$AC74),"-")</f>
        <v/>
      </c>
      <c r="BV74" s="22">
        <f>IF(AND($H74&lt;&gt;"",$AD74&lt;&gt;"",$H74&lt;&gt;$AD74,IFERROR(VLOOKUP($H74,areaCercaPuntiClassificaSquadra,3,FALSE),-1)=IFERROR(VLOOKUP($AD74,areaCercaPuntiClassificaSquadra,3,FALSE),-2)),SUMIFS(Dati!$D$2:$D$761,Dati!$A$2:$A$761,$H74,Dati!$H$2:$H$761,$AD74)+SUMIFS(Dati!$K$2:$K$761,Dati!$H$2:$H$761,$H74,Dati!$A$2:$A$761,$AD74)+SUMIFS(Dati!$C$2:$C$761,Dati!$A$2:$A$761,$H74,Dati!$H$2:$H$761,$AD74)+SUMIFS(Dati!$J$2:$J$761,Dati!$H$2:$H$761,$H74,Dati!$A$2:$A$761,$AD74),"-")</f>
        <v/>
      </c>
      <c r="BW74" s="22">
        <f>IF(AND($H74&lt;&gt;"",$AE74&lt;&gt;"",$H74&lt;&gt;$AE74,IFERROR(VLOOKUP($H74,areaCercaPuntiClassificaSquadra,3,FALSE),-1)=IFERROR(VLOOKUP($AE74,areaCercaPuntiClassificaSquadra,3,FALSE),-2)),SUMIFS(Dati!$D$2:$D$761,Dati!$A$2:$A$761,$H74,Dati!$H$2:$H$761,$AE74)+SUMIFS(Dati!$K$2:$K$761,Dati!$H$2:$H$761,$H74,Dati!$A$2:$A$761,$AE74)+SUMIFS(Dati!$C$2:$C$761,Dati!$A$2:$A$761,$H74,Dati!$H$2:$H$761,$AE74)+SUMIFS(Dati!$J$2:$J$761,Dati!$H$2:$H$761,$H74,Dati!$A$2:$A$761,$AE74),"-")</f>
        <v/>
      </c>
      <c r="BX74" s="22">
        <f>IF(AND($H74&lt;&gt;"",$AF74&lt;&gt;"",$H74&lt;&gt;$AF74,IFERROR(VLOOKUP($H74,areaCercaPuntiClassificaSquadra,3,FALSE),-1)=IFERROR(VLOOKUP($AF74,areaCercaPuntiClassificaSquadra,3,FALSE),-2)),SUMIFS(Dati!$D$2:$D$761,Dati!$A$2:$A$761,$H74,Dati!$H$2:$H$761,$AF74)+SUMIFS(Dati!$K$2:$K$761,Dati!$H$2:$H$761,$H74,Dati!$A$2:$A$761,$AF74)+SUMIFS(Dati!$C$2:$C$761,Dati!$A$2:$A$761,$H74,Dati!$H$2:$H$761,$AF74)+SUMIFS(Dati!$J$2:$J$761,Dati!$H$2:$H$761,$H74,Dati!$A$2:$A$761,$AF74),"-")</f>
        <v/>
      </c>
      <c r="BY74" s="22">
        <f>IF(AND($H74&lt;&gt;"",$AG74&lt;&gt;"",$H74&lt;&gt;$AG74,IFERROR(VLOOKUP($H74,areaCercaPuntiClassificaSquadra,3,FALSE),-1)=IFERROR(VLOOKUP($AG74,areaCercaPuntiClassificaSquadra,3,FALSE),-2)),SUMIFS(Dati!$D$2:$D$761,Dati!$A$2:$A$761,$H74,Dati!$H$2:$H$761,$AG74)+SUMIFS(Dati!$K$2:$K$761,Dati!$H$2:$H$761,$H74,Dati!$A$2:$A$761,$AG74)+SUMIFS(Dati!$C$2:$C$761,Dati!$A$2:$A$761,$H74,Dati!$H$2:$H$761,$AG74)+SUMIFS(Dati!$J$2:$J$761,Dati!$H$2:$H$761,$H74,Dati!$A$2:$A$761,$AG74),"-")</f>
        <v/>
      </c>
      <c r="BZ74" s="22">
        <f>IF(AND($H74&lt;&gt;"",$AH74&lt;&gt;"",$H74&lt;&gt;$AH74,IFERROR(VLOOKUP($H74,areaCercaPuntiClassificaSquadra,3,FALSE),-1)=IFERROR(VLOOKUP($AH74,areaCercaPuntiClassificaSquadra,3,FALSE),-2)),SUMIFS(Dati!$D$2:$D$761,Dati!$A$2:$A$761,$H74,Dati!$H$2:$H$761,$AH74)+SUMIFS(Dati!$K$2:$K$761,Dati!$H$2:$H$761,$H74,Dati!$A$2:$A$761,$AH74)+SUMIFS(Dati!$C$2:$C$761,Dati!$A$2:$A$761,$H74,Dati!$H$2:$H$761,$AH74)+SUMIFS(Dati!$J$2:$J$761,Dati!$H$2:$H$761,$H74,Dati!$A$2:$A$761,$AH74),"-")</f>
        <v/>
      </c>
      <c r="CA74" s="22">
        <f>IF(AND($H74&lt;&gt;"",$AI74&lt;&gt;"",$H74&lt;&gt;$AI74,IFERROR(VLOOKUP($H74,areaCercaPuntiClassificaSquadra,3,FALSE),-1)=IFERROR(VLOOKUP($AI74,areaCercaPuntiClassificaSquadra,3,FALSE),-2)),SUMIFS(Dati!$D$2:$D$761,Dati!$A$2:$A$761,$H74,Dati!$H$2:$H$761,$AI74)+SUMIFS(Dati!$K$2:$K$761,Dati!$H$2:$H$761,$H74,Dati!$A$2:$A$761,$AI74)+SUMIFS(Dati!$C$2:$C$761,Dati!$A$2:$A$761,$H74,Dati!$H$2:$H$761,$AI74)+SUMIFS(Dati!$J$2:$J$761,Dati!$H$2:$H$761,$H74,Dati!$A$2:$A$761,$AI74),"-")</f>
        <v/>
      </c>
      <c r="CB74" s="22">
        <f>IF(AND($H74&lt;&gt;"",$AJ74&lt;&gt;"",$H74&lt;&gt;$AJ74,IFERROR(VLOOKUP($H74,areaCercaPuntiClassificaSquadra,3,FALSE),-1)=IFERROR(VLOOKUP($AJ74,areaCercaPuntiClassificaSquadra,3,FALSE),-2)),SUMIFS(Dati!$D$2:$D$761,Dati!$A$2:$A$761,$H74,Dati!$H$2:$H$761,$AJ74)+SUMIFS(Dati!$K$2:$K$761,Dati!$H$2:$H$761,$H74,Dati!$A$2:$A$761,$AJ74)+SUMIFS(Dati!$C$2:$C$761,Dati!$A$2:$A$761,$H74,Dati!$H$2:$H$761,$AJ74)+SUMIFS(Dati!$J$2:$J$761,Dati!$H$2:$H$761,$H74,Dati!$A$2:$A$761,$AJ74),"-")</f>
        <v/>
      </c>
      <c r="CC74" s="22">
        <f>IF(AND($H74&lt;&gt;"",$AK74&lt;&gt;"",$H74&lt;&gt;$AK74,IFERROR(VLOOKUP($H74,areaCercaPuntiClassificaSquadra,3,FALSE),-1)=IFERROR(VLOOKUP($AK74,areaCercaPuntiClassificaSquadra,3,FALSE),-2)),SUMIFS(Dati!$D$2:$D$761,Dati!$A$2:$A$761,$H74,Dati!$H$2:$H$761,$AK74)+SUMIFS(Dati!$K$2:$K$761,Dati!$H$2:$H$761,$H74,Dati!$A$2:$A$761,$AK74)+SUMIFS(Dati!$C$2:$C$761,Dati!$A$2:$A$761,$H74,Dati!$H$2:$H$761,$AK74)+SUMIFS(Dati!$J$2:$J$761,Dati!$H$2:$H$761,$H74,Dati!$A$2:$A$761,$AK74),"-")</f>
        <v/>
      </c>
      <c r="CD74" s="22">
        <f>IF(AND($H74&lt;&gt;"",$AL74&lt;&gt;"",$H74&lt;&gt;$AL74,IFERROR(VLOOKUP($H74,areaCercaPuntiClassificaSquadra,3,FALSE),-1)=IFERROR(VLOOKUP($AL74,areaCercaPuntiClassificaSquadra,3,FALSE),-2)),SUMIFS(Dati!$D$2:$D$761,Dati!$A$2:$A$761,$H74,Dati!$H$2:$H$761,$AL74)+SUMIFS(Dati!$K$2:$K$761,Dati!$H$2:$H$761,$H74,Dati!$A$2:$A$761,$AL74)+SUMIFS(Dati!$C$2:$C$761,Dati!$A$2:$A$761,$H74,Dati!$H$2:$H$761,$AL74)+SUMIFS(Dati!$J$2:$J$761,Dati!$H$2:$H$761,$H74,Dati!$A$2:$A$761,$AL74),"-")</f>
        <v/>
      </c>
      <c r="CE74" s="22">
        <f>IF(AND($H74&lt;&gt;"",$AM74&lt;&gt;"",$H74&lt;&gt;$AM74,IFERROR(VLOOKUP($H74,areaCercaPuntiClassificaSquadra,3,FALSE),-1)=IFERROR(VLOOKUP($AM74,areaCercaPuntiClassificaSquadra,3,FALSE),-2)),SUMIFS(Dati!$D$2:$D$761,Dati!$A$2:$A$761,$H74,Dati!$H$2:$H$761,$AM74)+SUMIFS(Dati!$K$2:$K$761,Dati!$H$2:$H$761,$H74,Dati!$A$2:$A$761,$AM74)+SUMIFS(Dati!$C$2:$C$761,Dati!$A$2:$A$761,$H74,Dati!$H$2:$H$761,$AM74)+SUMIFS(Dati!$J$2:$J$761,Dati!$H$2:$H$761,$H74,Dati!$A$2:$A$761,$AM74),"-")</f>
        <v/>
      </c>
      <c r="CF74" s="22">
        <f>IF(AND($H74&lt;&gt;"",$AN74&lt;&gt;"",$H74&lt;&gt;$AN74,IFERROR(VLOOKUP($H74,areaCercaPuntiClassificaSquadra,3,FALSE),-1)=IFERROR(VLOOKUP($AN74,areaCercaPuntiClassificaSquadra,3,FALSE),-2)),SUMIFS(Dati!$D$2:$D$761,Dati!$A$2:$A$761,$H74,Dati!$H$2:$H$761,$AN74)+SUMIFS(Dati!$K$2:$K$761,Dati!$H$2:$H$761,$H74,Dati!$A$2:$A$761,$AN74)+SUMIFS(Dati!$C$2:$C$761,Dati!$A$2:$A$761,$H74,Dati!$H$2:$H$761,$AN74)+SUMIFS(Dati!$J$2:$J$761,Dati!$H$2:$H$761,$H74,Dati!$A$2:$A$761,$AN74),"-")</f>
        <v/>
      </c>
      <c r="CG74" s="22">
        <f>IF(AND($H74&lt;&gt;"",$AO74&lt;&gt;"",$H74&lt;&gt;$AO74,IFERROR(VLOOKUP($H74,areaCercaPuntiClassificaSquadra,3,FALSE),-1)=IFERROR(VLOOKUP($AO74,areaCercaPuntiClassificaSquadra,3,FALSE),-2)),SUMIFS(Dati!$D$2:$D$761,Dati!$A$2:$A$761,$H74,Dati!$H$2:$H$761,$AO74)+SUMIFS(Dati!$K$2:$K$761,Dati!$H$2:$H$761,$H74,Dati!$A$2:$A$761,$AO74)+SUMIFS(Dati!$C$2:$C$761,Dati!$A$2:$A$761,$H74,Dati!$H$2:$H$761,$AO74)+SUMIFS(Dati!$J$2:$J$761,Dati!$H$2:$H$761,$H74,Dati!$A$2:$A$761,$AO74),"-")</f>
        <v/>
      </c>
      <c r="CH74" s="22">
        <f>IF(AND($H74&lt;&gt;"",$AP74&lt;&gt;"",$H74&lt;&gt;$AP74,IFERROR(VLOOKUP($H74,areaCercaPuntiClassificaSquadra,3,FALSE),-1)=IFERROR(VLOOKUP($AP74,areaCercaPuntiClassificaSquadra,3,FALSE),-2)),SUMIFS(Dati!$D$2:$D$761,Dati!$A$2:$A$761,$H74,Dati!$H$2:$H$761,$AP74)+SUMIFS(Dati!$K$2:$K$761,Dati!$H$2:$H$761,$H74,Dati!$A$2:$A$761,$AP74)+SUMIFS(Dati!$C$2:$C$761,Dati!$A$2:$A$761,$H74,Dati!$H$2:$H$761,$AP74)+SUMIFS(Dati!$J$2:$J$761,Dati!$H$2:$H$761,$H74,Dati!$A$2:$A$761,$AP74),"-")</f>
        <v/>
      </c>
      <c r="CI74" s="22">
        <f>IF(AND($H74&lt;&gt;"",$AQ74&lt;&gt;"",$H74&lt;&gt;$AQ74,IFERROR(VLOOKUP($H74,areaCercaPuntiClassificaSquadra,3,FALSE),-1)=IFERROR(VLOOKUP($AQ74,areaCercaPuntiClassificaSquadra,3,FALSE),-2)),SUMIFS(Dati!$D$2:$D$761,Dati!$A$2:$A$761,$H74,Dati!$H$2:$H$761,$AQ74)+SUMIFS(Dati!$K$2:$K$761,Dati!$H$2:$H$761,$H74,Dati!$A$2:$A$761,$AQ74)+SUMIFS(Dati!$C$2:$C$761,Dati!$A$2:$A$761,$H74,Dati!$H$2:$H$761,$AQ74)+SUMIFS(Dati!$J$2:$J$761,Dati!$H$2:$H$761,$H74,Dati!$A$2:$A$761,$AQ74),"-")</f>
        <v/>
      </c>
      <c r="CJ74" s="22">
        <f>IF(AND($H74&lt;&gt;"",$AR74&lt;&gt;"",$H74&lt;&gt;$AR74,IFERROR(VLOOKUP($H74,areaCercaPuntiClassificaSquadra,3,FALSE),-1)=IFERROR(VLOOKUP($AR74,areaCercaPuntiClassificaSquadra,3,FALSE),-2)),SUMIFS(Dati!$D$2:$D$761,Dati!$A$2:$A$761,$H74,Dati!$H$2:$H$761,$AR74)+SUMIFS(Dati!$K$2:$K$761,Dati!$H$2:$H$761,$H74,Dati!$A$2:$A$761,$AR74)+SUMIFS(Dati!$C$2:$C$761,Dati!$A$2:$A$761,$H74,Dati!$H$2:$H$761,$AR74)+SUMIFS(Dati!$J$2:$J$761,Dati!$H$2:$H$761,$H74,Dati!$A$2:$A$761,$AR74),"-")</f>
        <v/>
      </c>
      <c r="CL74" s="21">
        <f>$C74</f>
        <v/>
      </c>
      <c r="CM74" s="22">
        <f>IF(AND($H74&lt;&gt;"",$Y74&lt;&gt;"",$H74&lt;&gt;$Y74,IFERROR(VLOOKUP($H74,areaCercaPuntiClassificaSquadra,3,FALSE),-1)=IFERROR(VLOOKUP($Y74,areaCercaPuntiClassificaSquadra,3,FALSE),-2)),SUMIFS(Dati!$E$2:$E$761,Dati!$A$2:$A$761,$H74,Dati!$H$2:$H$761,$Y74)+SUMIFS(Dati!$L$2:$L$761,Dati!$H$2:$H$761,$H74,Dati!$A$2:$A$761,$Y74),"-")</f>
        <v/>
      </c>
      <c r="CN74" s="22">
        <f>IF(AND($H74&lt;&gt;"",$Z74&lt;&gt;"",$H74&lt;&gt;$Z74,IFERROR(VLOOKUP($H74,areaCercaPuntiClassificaSquadra,3,FALSE),-1)=IFERROR(VLOOKUP($Z74,areaCercaPuntiClassificaSquadra,3,FALSE),-2)),SUMIFS(Dati!$E$2:$E$761,Dati!$A$2:$A$761,$H74,Dati!$H$2:$H$761,$Z74)+SUMIFS(Dati!$L$2:$L$761,Dati!$H$2:$H$761,$H74,Dati!$A$2:$A$761,$Z74),"-")</f>
        <v/>
      </c>
      <c r="CO74" s="22">
        <f>IF(AND($H74&lt;&gt;"",$AA74&lt;&gt;"",$H74&lt;&gt;$AA74,IFERROR(VLOOKUP($H74,areaCercaPuntiClassificaSquadra,3,FALSE),-1)=IFERROR(VLOOKUP($AA74,areaCercaPuntiClassificaSquadra,3,FALSE),-2)),SUMIFS(Dati!$E$2:$E$761,Dati!$A$2:$A$761,$H74,Dati!$H$2:$H$761,$AA74)+SUMIFS(Dati!$L$2:$L$761,Dati!$H$2:$H$761,$H74,Dati!$A$2:$A$761,$AA74),"-")</f>
        <v/>
      </c>
      <c r="CP74" s="22">
        <f>IF(AND($H74&lt;&gt;"",$AB74&lt;&gt;"",$H74&lt;&gt;$AB74,IFERROR(VLOOKUP($H74,areaCercaPuntiClassificaSquadra,3,FALSE),-1)=IFERROR(VLOOKUP($AB74,areaCercaPuntiClassificaSquadra,3,FALSE),-2)),SUMIFS(Dati!$E$2:$E$761,Dati!$A$2:$A$761,$H74,Dati!$H$2:$H$761,$AB74)+SUMIFS(Dati!$L$2:$L$761,Dati!$H$2:$H$761,$H74,Dati!$A$2:$A$761,$AB74),"-")</f>
        <v/>
      </c>
      <c r="CQ74" s="22">
        <f>IF(AND($H74&lt;&gt;"",$AC74&lt;&gt;"",$H74&lt;&gt;$AC74,IFERROR(VLOOKUP($H74,areaCercaPuntiClassificaSquadra,3,FALSE),-1)=IFERROR(VLOOKUP($AC74,areaCercaPuntiClassificaSquadra,3,FALSE),-2)),SUMIFS(Dati!$E$2:$E$761,Dati!$A$2:$A$761,$H74,Dati!$H$2:$H$761,$AC74)+SUMIFS(Dati!$L$2:$L$761,Dati!$H$2:$H$761,$H74,Dati!$A$2:$A$761,$AC74),"-")</f>
        <v/>
      </c>
      <c r="CR74" s="22">
        <f>IF(AND($H74&lt;&gt;"",$AD74&lt;&gt;"",$H74&lt;&gt;$AD74,IFERROR(VLOOKUP($H74,areaCercaPuntiClassificaSquadra,3,FALSE),-1)=IFERROR(VLOOKUP($AD74,areaCercaPuntiClassificaSquadra,3,FALSE),-2)),SUMIFS(Dati!$E$2:$E$761,Dati!$A$2:$A$761,$H74,Dati!$H$2:$H$761,$AD74)+SUMIFS(Dati!$L$2:$L$761,Dati!$H$2:$H$761,$H74,Dati!$A$2:$A$761,$AD74),"-")</f>
        <v/>
      </c>
      <c r="CS74" s="22">
        <f>IF(AND($H74&lt;&gt;"",$AE74&lt;&gt;"",$H74&lt;&gt;$AE74,IFERROR(VLOOKUP($H74,areaCercaPuntiClassificaSquadra,3,FALSE),-1)=IFERROR(VLOOKUP($AE74,areaCercaPuntiClassificaSquadra,3,FALSE),-2)),SUMIFS(Dati!$E$2:$E$761,Dati!$A$2:$A$761,$H74,Dati!$H$2:$H$761,$AE74)+SUMIFS(Dati!$L$2:$L$761,Dati!$H$2:$H$761,$H74,Dati!$A$2:$A$761,$AE74),"-")</f>
        <v/>
      </c>
      <c r="CT74" s="22">
        <f>IF(AND($H74&lt;&gt;"",$AF74&lt;&gt;"",$H74&lt;&gt;$AF74,IFERROR(VLOOKUP($H74,areaCercaPuntiClassificaSquadra,3,FALSE),-1)=IFERROR(VLOOKUP($AF74,areaCercaPuntiClassificaSquadra,3,FALSE),-2)),SUMIFS(Dati!$E$2:$E$761,Dati!$A$2:$A$761,$H74,Dati!$H$2:$H$761,$AF74)+SUMIFS(Dati!$L$2:$L$761,Dati!$H$2:$H$761,$H74,Dati!$A$2:$A$761,$AF74),"-")</f>
        <v/>
      </c>
      <c r="CU74" s="22">
        <f>IF(AND($H74&lt;&gt;"",$AG74&lt;&gt;"",$H74&lt;&gt;$AG74,IFERROR(VLOOKUP($H74,areaCercaPuntiClassificaSquadra,3,FALSE),-1)=IFERROR(VLOOKUP($AG74,areaCercaPuntiClassificaSquadra,3,FALSE),-2)),SUMIFS(Dati!$E$2:$E$761,Dati!$A$2:$A$761,$H74,Dati!$H$2:$H$761,$AG74)+SUMIFS(Dati!$L$2:$L$761,Dati!$H$2:$H$761,$H74,Dati!$A$2:$A$761,$AG74),"-")</f>
        <v/>
      </c>
      <c r="CV74" s="22">
        <f>IF(AND($H74&lt;&gt;"",$AH74&lt;&gt;"",$H74&lt;&gt;$AH74,IFERROR(VLOOKUP($H74,areaCercaPuntiClassificaSquadra,3,FALSE),-1)=IFERROR(VLOOKUP($AH74,areaCercaPuntiClassificaSquadra,3,FALSE),-2)),SUMIFS(Dati!$E$2:$E$761,Dati!$A$2:$A$761,$H74,Dati!$H$2:$H$761,$AH74)+SUMIFS(Dati!$L$2:$L$761,Dati!$H$2:$H$761,$H74,Dati!$A$2:$A$761,$AH74),"-")</f>
        <v/>
      </c>
      <c r="CW74" s="22">
        <f>IF(AND($H74&lt;&gt;"",$AI74&lt;&gt;"",$H74&lt;&gt;$AI74,IFERROR(VLOOKUP($H74,areaCercaPuntiClassificaSquadra,3,FALSE),-1)=IFERROR(VLOOKUP($AI74,areaCercaPuntiClassificaSquadra,3,FALSE),-2)),SUMIFS(Dati!$E$2:$E$761,Dati!$A$2:$A$761,$H74,Dati!$H$2:$H$761,$AI74)+SUMIFS(Dati!$L$2:$L$761,Dati!$H$2:$H$761,$H74,Dati!$A$2:$A$761,$AI74),"-")</f>
        <v/>
      </c>
      <c r="CX74" s="22">
        <f>IF(AND($H74&lt;&gt;"",$AJ74&lt;&gt;"",$H74&lt;&gt;$AJ74,IFERROR(VLOOKUP($H74,areaCercaPuntiClassificaSquadra,3,FALSE),-1)=IFERROR(VLOOKUP($AJ74,areaCercaPuntiClassificaSquadra,3,FALSE),-2)),SUMIFS(Dati!$E$2:$E$761,Dati!$A$2:$A$761,$H74,Dati!$H$2:$H$761,$AJ74)+SUMIFS(Dati!$L$2:$L$761,Dati!$H$2:$H$761,$H74,Dati!$A$2:$A$761,$AJ74),"-")</f>
        <v/>
      </c>
      <c r="CY74" s="22">
        <f>IF(AND($H74&lt;&gt;"",$AK74&lt;&gt;"",$H74&lt;&gt;$AK74,IFERROR(VLOOKUP($H74,areaCercaPuntiClassificaSquadra,3,FALSE),-1)=IFERROR(VLOOKUP($AK74,areaCercaPuntiClassificaSquadra,3,FALSE),-2)),SUMIFS(Dati!$E$2:$E$761,Dati!$A$2:$A$761,$H74,Dati!$H$2:$H$761,$AK74)+SUMIFS(Dati!$L$2:$L$761,Dati!$H$2:$H$761,$H74,Dati!$A$2:$A$761,$AK74),"-")</f>
        <v/>
      </c>
      <c r="CZ74" s="22">
        <f>IF(AND($H74&lt;&gt;"",$AL74&lt;&gt;"",$H74&lt;&gt;$AL74,IFERROR(VLOOKUP($H74,areaCercaPuntiClassificaSquadra,3,FALSE),-1)=IFERROR(VLOOKUP($AL74,areaCercaPuntiClassificaSquadra,3,FALSE),-2)),SUMIFS(Dati!$E$2:$E$761,Dati!$A$2:$A$761,$H74,Dati!$H$2:$H$761,$AL74)+SUMIFS(Dati!$L$2:$L$761,Dati!$H$2:$H$761,$H74,Dati!$A$2:$A$761,$AL74),"-")</f>
        <v/>
      </c>
      <c r="DA74" s="22">
        <f>IF(AND($H74&lt;&gt;"",$AM74&lt;&gt;"",$H74&lt;&gt;$AM74,IFERROR(VLOOKUP($H74,areaCercaPuntiClassificaSquadra,3,FALSE),-1)=IFERROR(VLOOKUP($AM74,areaCercaPuntiClassificaSquadra,3,FALSE),-2)),SUMIFS(Dati!$E$2:$E$761,Dati!$A$2:$A$761,$H74,Dati!$H$2:$H$761,$AM74)+SUMIFS(Dati!$L$2:$L$761,Dati!$H$2:$H$761,$H74,Dati!$A$2:$A$761,$AM74),"-")</f>
        <v/>
      </c>
      <c r="DB74" s="22">
        <f>IF(AND($H74&lt;&gt;"",$AN74&lt;&gt;"",$H74&lt;&gt;$AN74,IFERROR(VLOOKUP($H74,areaCercaPuntiClassificaSquadra,3,FALSE),-1)=IFERROR(VLOOKUP($AN74,areaCercaPuntiClassificaSquadra,3,FALSE),-2)),SUMIFS(Dati!$E$2:$E$761,Dati!$A$2:$A$761,$H74,Dati!$H$2:$H$761,$AN74)+SUMIFS(Dati!$L$2:$L$761,Dati!$H$2:$H$761,$H74,Dati!$A$2:$A$761,$AN74),"-")</f>
        <v/>
      </c>
      <c r="DC74" s="22">
        <f>IF(AND($H74&lt;&gt;"",$AO74&lt;&gt;"",$H74&lt;&gt;$AO74,IFERROR(VLOOKUP($H74,areaCercaPuntiClassificaSquadra,3,FALSE),-1)=IFERROR(VLOOKUP($AO74,areaCercaPuntiClassificaSquadra,3,FALSE),-2)),SUMIFS(Dati!$E$2:$E$761,Dati!$A$2:$A$761,$H74,Dati!$H$2:$H$761,$AO74)+SUMIFS(Dati!$L$2:$L$761,Dati!$H$2:$H$761,$H74,Dati!$A$2:$A$761,$AO74),"-")</f>
        <v/>
      </c>
      <c r="DD74" s="22">
        <f>IF(AND($H74&lt;&gt;"",$AP74&lt;&gt;"",$H74&lt;&gt;$AP74,IFERROR(VLOOKUP($H74,areaCercaPuntiClassificaSquadra,3,FALSE),-1)=IFERROR(VLOOKUP($AP74,areaCercaPuntiClassificaSquadra,3,FALSE),-2)),SUMIFS(Dati!$E$2:$E$761,Dati!$A$2:$A$761,$H74,Dati!$H$2:$H$761,$AP74)+SUMIFS(Dati!$L$2:$L$761,Dati!$H$2:$H$761,$H74,Dati!$A$2:$A$761,$AP74),"-")</f>
        <v/>
      </c>
      <c r="DE74" s="22">
        <f>IF(AND($H74&lt;&gt;"",$AQ74&lt;&gt;"",$H74&lt;&gt;$AQ74,IFERROR(VLOOKUP($H74,areaCercaPuntiClassificaSquadra,3,FALSE),-1)=IFERROR(VLOOKUP($AQ74,areaCercaPuntiClassificaSquadra,3,FALSE),-2)),SUMIFS(Dati!$E$2:$E$761,Dati!$A$2:$A$761,$H74,Dati!$H$2:$H$761,$AQ74)+SUMIFS(Dati!$L$2:$L$761,Dati!$H$2:$H$761,$H74,Dati!$A$2:$A$761,$AQ74),"-")</f>
        <v/>
      </c>
      <c r="DF74" s="22">
        <f>IF(AND($H74&lt;&gt;"",$AR74&lt;&gt;"",$H74&lt;&gt;$AR74,IFERROR(VLOOKUP($H74,areaCercaPuntiClassificaSquadra,3,FALSE),-1)=IFERROR(VLOOKUP($AR74,areaCercaPuntiClassificaSquadra,3,FALSE),-2)),SUMIFS(Dati!$E$2:$E$761,Dati!$A$2:$A$761,$H74,Dati!$H$2:$H$761,$AR74)+SUMIFS(Dati!$L$2:$L$761,Dati!$H$2:$H$761,$H74,Dati!$A$2:$A$761,$AR74),"-")</f>
        <v/>
      </c>
      <c r="DH74" s="21">
        <f>$C74</f>
        <v/>
      </c>
      <c r="DI74" s="22">
        <f>IF(AND($H74&lt;&gt;"",$Y74&lt;&gt;"",$H74&lt;&gt;$Y74,IFERROR(VLOOKUP($H74,areaCercaPuntiClassificaSquadra,3,FALSE),-1)=IFERROR(VLOOKUP($Y74,areaCercaPuntiClassificaSquadra,3,FALSE),-2)),SUMIFS(Dati!$F$2:$F$761,Dati!$A$2:$A$761,$H74,Dati!$H$2:$H$761,$Y74)+SUMIFS(Dati!$M$2:$M$761,Dati!$H$2:$H$761,$H74,Dati!$A$2:$A$761,$Y74),"-")</f>
        <v/>
      </c>
      <c r="DJ74" s="22">
        <f>IF(AND($H74&lt;&gt;"",$Z74&lt;&gt;"",$H74&lt;&gt;$Z74,IFERROR(VLOOKUP($H74,areaCercaPuntiClassificaSquadra,3,FALSE),-1)=IFERROR(VLOOKUP($Z74,areaCercaPuntiClassificaSquadra,3,FALSE),-2)),SUMIFS(Dati!$F$2:$F$761,Dati!$A$2:$A$761,$H74,Dati!$H$2:$H$761,$Z74)+SUMIFS(Dati!$M$2:$M$761,Dati!$H$2:$H$761,$H74,Dati!$A$2:$A$761,$Z74),"-")</f>
        <v/>
      </c>
      <c r="DK74" s="22">
        <f>IF(AND($H74&lt;&gt;"",$AA74&lt;&gt;"",$H74&lt;&gt;$AA74,IFERROR(VLOOKUP($H74,areaCercaPuntiClassificaSquadra,3,FALSE),-1)=IFERROR(VLOOKUP($AA74,areaCercaPuntiClassificaSquadra,3,FALSE),-2)),SUMIFS(Dati!$F$2:$F$761,Dati!$A$2:$A$761,$H74,Dati!$H$2:$H$761,$AA74)+SUMIFS(Dati!$M$2:$M$761,Dati!$H$2:$H$761,$H74,Dati!$A$2:$A$761,$AA74),"-")</f>
        <v/>
      </c>
      <c r="DL74" s="22">
        <f>IF(AND($H74&lt;&gt;"",$AB74&lt;&gt;"",$H74&lt;&gt;$AB74,IFERROR(VLOOKUP($H74,areaCercaPuntiClassificaSquadra,3,FALSE),-1)=IFERROR(VLOOKUP($AB74,areaCercaPuntiClassificaSquadra,3,FALSE),-2)),SUMIFS(Dati!$F$2:$F$761,Dati!$A$2:$A$761,$H74,Dati!$H$2:$H$761,$AB74)+SUMIFS(Dati!$M$2:$M$761,Dati!$H$2:$H$761,$H74,Dati!$A$2:$A$761,$AB74),"-")</f>
        <v/>
      </c>
      <c r="DM74" s="22">
        <f>IF(AND($H74&lt;&gt;"",$AC74&lt;&gt;"",$H74&lt;&gt;$AC74,IFERROR(VLOOKUP($H74,areaCercaPuntiClassificaSquadra,3,FALSE),-1)=IFERROR(VLOOKUP($AC74,areaCercaPuntiClassificaSquadra,3,FALSE),-2)),SUMIFS(Dati!$F$2:$F$761,Dati!$A$2:$A$761,$H74,Dati!$H$2:$H$761,$AC74)+SUMIFS(Dati!$M$2:$M$761,Dati!$H$2:$H$761,$H74,Dati!$A$2:$A$761,$AC74),"-")</f>
        <v/>
      </c>
      <c r="DN74" s="22">
        <f>IF(AND($H74&lt;&gt;"",$AD74&lt;&gt;"",$H74&lt;&gt;$AD74,IFERROR(VLOOKUP($H74,areaCercaPuntiClassificaSquadra,3,FALSE),-1)=IFERROR(VLOOKUP($AD74,areaCercaPuntiClassificaSquadra,3,FALSE),-2)),SUMIFS(Dati!$F$2:$F$761,Dati!$A$2:$A$761,$H74,Dati!$H$2:$H$761,$AD74)+SUMIFS(Dati!$M$2:$M$761,Dati!$H$2:$H$761,$H74,Dati!$A$2:$A$761,$AD74),"-")</f>
        <v/>
      </c>
      <c r="DO74" s="22">
        <f>IF(AND($H74&lt;&gt;"",$AE74&lt;&gt;"",$H74&lt;&gt;$AE74,IFERROR(VLOOKUP($H74,areaCercaPuntiClassificaSquadra,3,FALSE),-1)=IFERROR(VLOOKUP($AE74,areaCercaPuntiClassificaSquadra,3,FALSE),-2)),SUMIFS(Dati!$F$2:$F$761,Dati!$A$2:$A$761,$H74,Dati!$H$2:$H$761,$AE74)+SUMIFS(Dati!$M$2:$M$761,Dati!$H$2:$H$761,$H74,Dati!$A$2:$A$761,$AE74),"-")</f>
        <v/>
      </c>
      <c r="DP74" s="22">
        <f>IF(AND($H74&lt;&gt;"",$AF74&lt;&gt;"",$H74&lt;&gt;$AF74,IFERROR(VLOOKUP($H74,areaCercaPuntiClassificaSquadra,3,FALSE),-1)=IFERROR(VLOOKUP($AF74,areaCercaPuntiClassificaSquadra,3,FALSE),-2)),SUMIFS(Dati!$F$2:$F$761,Dati!$A$2:$A$761,$H74,Dati!$H$2:$H$761,$AF74)+SUMIFS(Dati!$M$2:$M$761,Dati!$H$2:$H$761,$H74,Dati!$A$2:$A$761,$AF74),"-")</f>
        <v/>
      </c>
      <c r="DQ74" s="22">
        <f>IF(AND($H74&lt;&gt;"",$AG74&lt;&gt;"",$H74&lt;&gt;$AG74,IFERROR(VLOOKUP($H74,areaCercaPuntiClassificaSquadra,3,FALSE),-1)=IFERROR(VLOOKUP($AG74,areaCercaPuntiClassificaSquadra,3,FALSE),-2)),SUMIFS(Dati!$F$2:$F$761,Dati!$A$2:$A$761,$H74,Dati!$H$2:$H$761,$AG74)+SUMIFS(Dati!$M$2:$M$761,Dati!$H$2:$H$761,$H74,Dati!$A$2:$A$761,$AG74),"-")</f>
        <v/>
      </c>
      <c r="DR74" s="22">
        <f>IF(AND($H74&lt;&gt;"",$AH74&lt;&gt;"",$H74&lt;&gt;$AH74,IFERROR(VLOOKUP($H74,areaCercaPuntiClassificaSquadra,3,FALSE),-1)=IFERROR(VLOOKUP($AH74,areaCercaPuntiClassificaSquadra,3,FALSE),-2)),SUMIFS(Dati!$F$2:$F$761,Dati!$A$2:$A$761,$H74,Dati!$H$2:$H$761,$AH74)+SUMIFS(Dati!$M$2:$M$761,Dati!$H$2:$H$761,$H74,Dati!$A$2:$A$761,$AH74),"-")</f>
        <v/>
      </c>
      <c r="DS74" s="22">
        <f>IF(AND($H74&lt;&gt;"",$AI74&lt;&gt;"",$H74&lt;&gt;$AI74,IFERROR(VLOOKUP($H74,areaCercaPuntiClassificaSquadra,3,FALSE),-1)=IFERROR(VLOOKUP($AI74,areaCercaPuntiClassificaSquadra,3,FALSE),-2)),SUMIFS(Dati!$F$2:$F$761,Dati!$A$2:$A$761,$H74,Dati!$H$2:$H$761,$AI74)+SUMIFS(Dati!$M$2:$M$761,Dati!$H$2:$H$761,$H74,Dati!$A$2:$A$761,$AI74),"-")</f>
        <v/>
      </c>
      <c r="DT74" s="22">
        <f>IF(AND($H74&lt;&gt;"",$AJ74&lt;&gt;"",$H74&lt;&gt;$AJ74,IFERROR(VLOOKUP($H74,areaCercaPuntiClassificaSquadra,3,FALSE),-1)=IFERROR(VLOOKUP($AJ74,areaCercaPuntiClassificaSquadra,3,FALSE),-2)),SUMIFS(Dati!$F$2:$F$761,Dati!$A$2:$A$761,$H74,Dati!$H$2:$H$761,$AJ74)+SUMIFS(Dati!$M$2:$M$761,Dati!$H$2:$H$761,$H74,Dati!$A$2:$A$761,$AJ74),"-")</f>
        <v/>
      </c>
      <c r="DU74" s="22">
        <f>IF(AND($H74&lt;&gt;"",$AK74&lt;&gt;"",$H74&lt;&gt;$AK74,IFERROR(VLOOKUP($H74,areaCercaPuntiClassificaSquadra,3,FALSE),-1)=IFERROR(VLOOKUP($AK74,areaCercaPuntiClassificaSquadra,3,FALSE),-2)),SUMIFS(Dati!$F$2:$F$761,Dati!$A$2:$A$761,$H74,Dati!$H$2:$H$761,$AK74)+SUMIFS(Dati!$M$2:$M$761,Dati!$H$2:$H$761,$H74,Dati!$A$2:$A$761,$AK74),"-")</f>
        <v/>
      </c>
      <c r="DV74" s="22">
        <f>IF(AND($H74&lt;&gt;"",$AL74&lt;&gt;"",$H74&lt;&gt;$AL74,IFERROR(VLOOKUP($H74,areaCercaPuntiClassificaSquadra,3,FALSE),-1)=IFERROR(VLOOKUP($AL74,areaCercaPuntiClassificaSquadra,3,FALSE),-2)),SUMIFS(Dati!$F$2:$F$761,Dati!$A$2:$A$761,$H74,Dati!$H$2:$H$761,$AL74)+SUMIFS(Dati!$M$2:$M$761,Dati!$H$2:$H$761,$H74,Dati!$A$2:$A$761,$AL74),"-")</f>
        <v/>
      </c>
      <c r="DW74" s="22">
        <f>IF(AND($H74&lt;&gt;"",$AM74&lt;&gt;"",$H74&lt;&gt;$AM74,IFERROR(VLOOKUP($H74,areaCercaPuntiClassificaSquadra,3,FALSE),-1)=IFERROR(VLOOKUP($AM74,areaCercaPuntiClassificaSquadra,3,FALSE),-2)),SUMIFS(Dati!$F$2:$F$761,Dati!$A$2:$A$761,$H74,Dati!$H$2:$H$761,$AM74)+SUMIFS(Dati!$M$2:$M$761,Dati!$H$2:$H$761,$H74,Dati!$A$2:$A$761,$AM74),"-")</f>
        <v/>
      </c>
      <c r="DX74" s="22">
        <f>IF(AND($H74&lt;&gt;"",$AN74&lt;&gt;"",$H74&lt;&gt;$AN74,IFERROR(VLOOKUP($H74,areaCercaPuntiClassificaSquadra,3,FALSE),-1)=IFERROR(VLOOKUP($AN74,areaCercaPuntiClassificaSquadra,3,FALSE),-2)),SUMIFS(Dati!$F$2:$F$761,Dati!$A$2:$A$761,$H74,Dati!$H$2:$H$761,$AN74)+SUMIFS(Dati!$M$2:$M$761,Dati!$H$2:$H$761,$H74,Dati!$A$2:$A$761,$AN74),"-")</f>
        <v/>
      </c>
      <c r="DY74" s="22">
        <f>IF(AND($H74&lt;&gt;"",$AO74&lt;&gt;"",$H74&lt;&gt;$AO74,IFERROR(VLOOKUP($H74,areaCercaPuntiClassificaSquadra,3,FALSE),-1)=IFERROR(VLOOKUP($AO74,areaCercaPuntiClassificaSquadra,3,FALSE),-2)),SUMIFS(Dati!$F$2:$F$761,Dati!$A$2:$A$761,$H74,Dati!$H$2:$H$761,$AO74)+SUMIFS(Dati!$M$2:$M$761,Dati!$H$2:$H$761,$H74,Dati!$A$2:$A$761,$AO74),"-")</f>
        <v/>
      </c>
      <c r="DZ74" s="22">
        <f>IF(AND($H74&lt;&gt;"",$AP74&lt;&gt;"",$H74&lt;&gt;$AP74,IFERROR(VLOOKUP($H74,areaCercaPuntiClassificaSquadra,3,FALSE),-1)=IFERROR(VLOOKUP($AP74,areaCercaPuntiClassificaSquadra,3,FALSE),-2)),SUMIFS(Dati!$F$2:$F$761,Dati!$A$2:$A$761,$H74,Dati!$H$2:$H$761,$AP74)+SUMIFS(Dati!$M$2:$M$761,Dati!$H$2:$H$761,$H74,Dati!$A$2:$A$761,$AP74),"-")</f>
        <v/>
      </c>
      <c r="EA74" s="22">
        <f>IF(AND($H74&lt;&gt;"",$AQ74&lt;&gt;"",$H74&lt;&gt;$AQ74,IFERROR(VLOOKUP($H74,areaCercaPuntiClassificaSquadra,3,FALSE),-1)=IFERROR(VLOOKUP($AQ74,areaCercaPuntiClassificaSquadra,3,FALSE),-2)),SUMIFS(Dati!$F$2:$F$761,Dati!$A$2:$A$761,$H74,Dati!$H$2:$H$761,$AQ74)+SUMIFS(Dati!$M$2:$M$761,Dati!$H$2:$H$761,$H74,Dati!$A$2:$A$761,$AQ74),"-")</f>
        <v/>
      </c>
      <c r="EB74" s="22">
        <f>IF(AND($H74&lt;&gt;"",$AR74&lt;&gt;"",$H74&lt;&gt;$AR74,IFERROR(VLOOKUP($H74,areaCercaPuntiClassificaSquadra,3,FALSE),-1)=IFERROR(VLOOKUP($AR74,areaCercaPuntiClassificaSquadra,3,FALSE),-2)),SUMIFS(Dati!$F$2:$F$761,Dati!$A$2:$A$761,$H74,Dati!$H$2:$H$761,$AR74)+SUMIFS(Dati!$M$2:$M$761,Dati!$H$2:$H$761,$H74,Dati!$A$2:$A$761,$AR74),"-")</f>
        <v/>
      </c>
      <c r="ED74" s="22">
        <f>IF($C74="","",SUM(AU74:BN74))</f>
        <v/>
      </c>
    </row>
    <row r="75">
      <c r="B75" s="12" t="inlineStr">
        <is>
          <t>D02</t>
        </is>
      </c>
      <c r="C75" s="13" t="inlineStr">
        <is>
          <t>Nasuti Nobili-Nasutiopoli NE</t>
        </is>
      </c>
      <c r="D75" s="14" t="n"/>
      <c r="E75" s="27" t="inlineStr">
        <is>
          <t>D</t>
        </is>
      </c>
      <c r="G75" s="28">
        <f>IF($C75="","",$E75&amp;(COUNTIFS(I$14:I$93,"&gt;"&amp;I75,E$14:E$93,"="&amp;E75,C$14:C$93,"&lt;&gt;")+COUNTIFS(I$14:I$93,"="&amp;I75,H$14:H$93,"&lt;="&amp;H75,E$14:E$93,"="&amp;E75,C$14:C$93,"&lt;&gt;")))</f>
        <v/>
      </c>
      <c r="H75" s="17">
        <f>IF($C75="","",IFERROR(LEFT($C75,FIND("-",$C75)-1),$C75))</f>
        <v/>
      </c>
      <c r="I75" s="12">
        <f>TEXT(1000000000+J75,"|0000000000|")&amp;TEXT(SUM(AU75:BN75),"0000000000|")&amp;IF(SUM(DI75:EB75)=0,"0000000000|",TEXT(ROUND(SUM(CM75:DF75)/SUM(DI75:EB75),4)*100000,"0000000000|"))&amp;IF(P75=0,"0000000000|",TEXT(ROUND(O75/P75,4)*100000,"0000000000|"))</f>
        <v/>
      </c>
      <c r="J75" s="28">
        <f>L75*constPuntiVittoria+M75*constPuntiSconfitta+N75*constPuntiForfait+IF(D75="",0,D75)</f>
        <v/>
      </c>
      <c r="K75" s="12">
        <f>SUM(L75:N75)</f>
        <v/>
      </c>
      <c r="L75" s="12">
        <f>IF($H75="",0,SUMIF(Dati!$A$2:$A$761,$H75,Dati!$B$2:$B$761)+SUMIF(Dati!$H$2:$H$761,$H75,Dati!$I$2:$I$761))</f>
        <v/>
      </c>
      <c r="M75" s="12">
        <f>IF($H75="",0,SUMIF(Dati!$A$2:$A$761,$H75,Dati!$D$2:$D$761)+SUMIF(Dati!$H$2:$H$761,$H75,Dati!$K$2:$K$761))</f>
        <v/>
      </c>
      <c r="N75" s="12">
        <f>IF($H75="",0,SUMIF(Dati!$A$2:$A$761,$H75,Dati!$C$2:$C$761)+SUMIF(Dati!$H$2:$H$761,$H75,Dati!$J$2:$J$761))</f>
        <v/>
      </c>
      <c r="O75" s="12">
        <f>IF($H75="",0,SUMIF(Dati!$A$2:$A$761,$H75,Dati!$E$2:$E$761)+SUMIF(Dati!$H$2:$H$761,$H75,Dati!$L$2:$L$761))</f>
        <v/>
      </c>
      <c r="P75" s="12">
        <f>IF($H75="",0,SUMIF(Dati!$A$2:$A$761,$H75,Dati!$F$2:$F$761)+SUMIF(Dati!$H$2:$H$761,$H75,Dati!$M$2:$M$761))</f>
        <v/>
      </c>
      <c r="Q75" s="12">
        <f>IF($H75="",0,SUMIF(Dati!$A$2:$A$761,$H75,Dati!$G$2:$G$761)+SUMIF(Dati!$H$2:$H$761,$H75,Dati!$N$2:$N$761))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IF(COUNTIFS($E$14:$E$93,$E75,$J$14:$J$93,$J75,$C$14:$C$93,"&lt;&gt;")&lt;=1,"-",SUM(AU75:BN75)&amp;"-"&amp;SUM(BQ75:CJ75))</f>
        <v/>
      </c>
      <c r="V75" s="18">
        <f>IF(COUNTIFS($E$14:$E$93,$E75,$J$14:$J$93,$J75,$C$14:$C$93,"&lt;&gt;",$ED$14:$ED$93,$ED75)&lt;=1,"-",IF(SUM(DI75:EB75)=0,0,ROUND(SUM(CM75:DF75)/SUM(DI75:EB75),3)))</f>
        <v/>
      </c>
      <c r="W75" s="18">
        <f>IF(COUNTIFS($E$14:$E$93,$E75,$J$14:$J$93,$J75,$C$14:$C$93,"&lt;&gt;",$ED$14:$ED$93,$ED75,$V$14:$V$93,$V75)&lt;=1,"-",IF(P75=0,0,ROUND(O75/P75,3)))</f>
        <v/>
      </c>
      <c r="X75" s="19">
        <f>IF($C75="","",$E75&amp;"#"&amp;COUNTIFS($E$14:$E75,$E75,$C$14:$C75,"&lt;&gt;"))</f>
        <v/>
      </c>
      <c r="Y75" s="20">
        <f>IFERROR(INDEX($H$14:$H$93,MATCH($E75&amp;"#1",$X$14:$X$93,0)),"")</f>
        <v/>
      </c>
      <c r="Z75" s="20">
        <f>IFERROR(INDEX($H$14:$H$93,MATCH($E75&amp;"#2",$X$14:$X$93,0)),"")</f>
        <v/>
      </c>
      <c r="AA75" s="20">
        <f>IFERROR(INDEX($H$14:$H$93,MATCH($E75&amp;"#3",$X$14:$X$93,0)),"")</f>
        <v/>
      </c>
      <c r="AB75" s="20">
        <f>IFERROR(INDEX($H$14:$H$93,MATCH($E75&amp;"#4",$X$14:$X$93,0)),"")</f>
        <v/>
      </c>
      <c r="AC75" s="20">
        <f>IFERROR(INDEX($H$14:$H$93,MATCH($E75&amp;"#5",$X$14:$X$93,0)),"")</f>
        <v/>
      </c>
      <c r="AD75" s="20">
        <f>IFERROR(INDEX($H$14:$H$93,MATCH($E75&amp;"#6",$X$14:$X$93,0)),"")</f>
        <v/>
      </c>
      <c r="AE75" s="20">
        <f>IFERROR(INDEX($H$14:$H$93,MATCH($E75&amp;"#7",$X$14:$X$93,0)),"")</f>
        <v/>
      </c>
      <c r="AF75" s="20">
        <f>IFERROR(INDEX($H$14:$H$93,MATCH($E75&amp;"#8",$X$14:$X$93,0)),"")</f>
        <v/>
      </c>
      <c r="AG75" s="20">
        <f>IFERROR(INDEX($H$14:$H$93,MATCH($E75&amp;"#9",$X$14:$X$93,0)),"")</f>
        <v/>
      </c>
      <c r="AH75" s="20">
        <f>IFERROR(INDEX($H$14:$H$93,MATCH($E75&amp;"#10",$X$14:$X$93,0)),"")</f>
        <v/>
      </c>
      <c r="AI75" s="20">
        <f>IFERROR(INDEX($H$14:$H$93,MATCH($E75&amp;"#11",$X$14:$X$93,0)),"")</f>
        <v/>
      </c>
      <c r="AJ75" s="20">
        <f>IFERROR(INDEX($H$14:$H$93,MATCH($E75&amp;"#12",$X$14:$X$93,0)),"")</f>
        <v/>
      </c>
      <c r="AK75" s="20">
        <f>IFERROR(INDEX($H$14:$H$93,MATCH($E75&amp;"#13",$X$14:$X$93,0)),"")</f>
        <v/>
      </c>
      <c r="AL75" s="20">
        <f>IFERROR(INDEX($H$14:$H$93,MATCH($E75&amp;"#14",$X$14:$X$93,0)),"")</f>
        <v/>
      </c>
      <c r="AM75" s="20">
        <f>IFERROR(INDEX($H$14:$H$93,MATCH($E75&amp;"#15",$X$14:$X$93,0)),"")</f>
        <v/>
      </c>
      <c r="AN75" s="20">
        <f>IFERROR(INDEX($H$14:$H$93,MATCH($E75&amp;"#16",$X$14:$X$93,0)),"")</f>
        <v/>
      </c>
      <c r="AO75" s="20">
        <f>IFERROR(INDEX($H$14:$H$93,MATCH($E75&amp;"#17",$X$14:$X$93,0)),"")</f>
        <v/>
      </c>
      <c r="AP75" s="20">
        <f>IFERROR(INDEX($H$14:$H$93,MATCH($E75&amp;"#18",$X$14:$X$93,0)),"")</f>
        <v/>
      </c>
      <c r="AQ75" s="20">
        <f>IFERROR(INDEX($H$14:$H$93,MATCH($E75&amp;"#19",$X$14:$X$93,0)),"")</f>
        <v/>
      </c>
      <c r="AR75" s="20">
        <f>IFERROR(INDEX($H$14:$H$93,MATCH($E75&amp;"#20",$X$14:$X$93,0)),"")</f>
        <v/>
      </c>
      <c r="AT75" s="21">
        <f>$C75</f>
        <v/>
      </c>
      <c r="AU75" s="22">
        <f>IF(AND($H75&lt;&gt;"",$Y75&lt;&gt;"",$H75&lt;&gt;$Y75,IFERROR(VLOOKUP($H75,areaCercaPuntiClassificaSquadra,3,FALSE),-1)=IFERROR(VLOOKUP($Y75,areaCercaPuntiClassificaSquadra,3,FALSE),-2)),SUMIFS(Dati!$B$2:$B$761,Dati!$A$2:$A$761,$H75,Dati!$H$2:$H$761,$Y75)+SUMIFS(Dati!$I$2:$I$761,Dati!$H$2:$H$761,$H75,Dati!$A$2:$A$761,$Y75),"-")</f>
        <v/>
      </c>
      <c r="AV75" s="22">
        <f>IF(AND($H75&lt;&gt;"",$Z75&lt;&gt;"",$H75&lt;&gt;$Z75,IFERROR(VLOOKUP($H75,areaCercaPuntiClassificaSquadra,3,FALSE),-1)=IFERROR(VLOOKUP($Z75,areaCercaPuntiClassificaSquadra,3,FALSE),-2)),SUMIFS(Dati!$B$2:$B$761,Dati!$A$2:$A$761,$H75,Dati!$H$2:$H$761,$Z75)+SUMIFS(Dati!$I$2:$I$761,Dati!$H$2:$H$761,$H75,Dati!$A$2:$A$761,$Z75),"-")</f>
        <v/>
      </c>
      <c r="AW75" s="22">
        <f>IF(AND($H75&lt;&gt;"",$AA75&lt;&gt;"",$H75&lt;&gt;$AA75,IFERROR(VLOOKUP($H75,areaCercaPuntiClassificaSquadra,3,FALSE),-1)=IFERROR(VLOOKUP($AA75,areaCercaPuntiClassificaSquadra,3,FALSE),-2)),SUMIFS(Dati!$B$2:$B$761,Dati!$A$2:$A$761,$H75,Dati!$H$2:$H$761,$AA75)+SUMIFS(Dati!$I$2:$I$761,Dati!$H$2:$H$761,$H75,Dati!$A$2:$A$761,$AA75),"-")</f>
        <v/>
      </c>
      <c r="AX75" s="22">
        <f>IF(AND($H75&lt;&gt;"",$AB75&lt;&gt;"",$H75&lt;&gt;$AB75,IFERROR(VLOOKUP($H75,areaCercaPuntiClassificaSquadra,3,FALSE),-1)=IFERROR(VLOOKUP($AB75,areaCercaPuntiClassificaSquadra,3,FALSE),-2)),SUMIFS(Dati!$B$2:$B$761,Dati!$A$2:$A$761,$H75,Dati!$H$2:$H$761,$AB75)+SUMIFS(Dati!$I$2:$I$761,Dati!$H$2:$H$761,$H75,Dati!$A$2:$A$761,$AB75),"-")</f>
        <v/>
      </c>
      <c r="AY75" s="22">
        <f>IF(AND($H75&lt;&gt;"",$AC75&lt;&gt;"",$H75&lt;&gt;$AC75,IFERROR(VLOOKUP($H75,areaCercaPuntiClassificaSquadra,3,FALSE),-1)=IFERROR(VLOOKUP($AC75,areaCercaPuntiClassificaSquadra,3,FALSE),-2)),SUMIFS(Dati!$B$2:$B$761,Dati!$A$2:$A$761,$H75,Dati!$H$2:$H$761,$AC75)+SUMIFS(Dati!$I$2:$I$761,Dati!$H$2:$H$761,$H75,Dati!$A$2:$A$761,$AC75),"-")</f>
        <v/>
      </c>
      <c r="AZ75" s="22">
        <f>IF(AND($H75&lt;&gt;"",$AD75&lt;&gt;"",$H75&lt;&gt;$AD75,IFERROR(VLOOKUP($H75,areaCercaPuntiClassificaSquadra,3,FALSE),-1)=IFERROR(VLOOKUP($AD75,areaCercaPuntiClassificaSquadra,3,FALSE),-2)),SUMIFS(Dati!$B$2:$B$761,Dati!$A$2:$A$761,$H75,Dati!$H$2:$H$761,$AD75)+SUMIFS(Dati!$I$2:$I$761,Dati!$H$2:$H$761,$H75,Dati!$A$2:$A$761,$AD75),"-")</f>
        <v/>
      </c>
      <c r="BA75" s="22">
        <f>IF(AND($H75&lt;&gt;"",$AE75&lt;&gt;"",$H75&lt;&gt;$AE75,IFERROR(VLOOKUP($H75,areaCercaPuntiClassificaSquadra,3,FALSE),-1)=IFERROR(VLOOKUP($AE75,areaCercaPuntiClassificaSquadra,3,FALSE),-2)),SUMIFS(Dati!$B$2:$B$761,Dati!$A$2:$A$761,$H75,Dati!$H$2:$H$761,$AE75)+SUMIFS(Dati!$I$2:$I$761,Dati!$H$2:$H$761,$H75,Dati!$A$2:$A$761,$AE75),"-")</f>
        <v/>
      </c>
      <c r="BB75" s="22">
        <f>IF(AND($H75&lt;&gt;"",$AF75&lt;&gt;"",$H75&lt;&gt;$AF75,IFERROR(VLOOKUP($H75,areaCercaPuntiClassificaSquadra,3,FALSE),-1)=IFERROR(VLOOKUP($AF75,areaCercaPuntiClassificaSquadra,3,FALSE),-2)),SUMIFS(Dati!$B$2:$B$761,Dati!$A$2:$A$761,$H75,Dati!$H$2:$H$761,$AF75)+SUMIFS(Dati!$I$2:$I$761,Dati!$H$2:$H$761,$H75,Dati!$A$2:$A$761,$AF75),"-")</f>
        <v/>
      </c>
      <c r="BC75" s="22">
        <f>IF(AND($H75&lt;&gt;"",$AG75&lt;&gt;"",$H75&lt;&gt;$AG75,IFERROR(VLOOKUP($H75,areaCercaPuntiClassificaSquadra,3,FALSE),-1)=IFERROR(VLOOKUP($AG75,areaCercaPuntiClassificaSquadra,3,FALSE),-2)),SUMIFS(Dati!$B$2:$B$761,Dati!$A$2:$A$761,$H75,Dati!$H$2:$H$761,$AG75)+SUMIFS(Dati!$I$2:$I$761,Dati!$H$2:$H$761,$H75,Dati!$A$2:$A$761,$AG75),"-")</f>
        <v/>
      </c>
      <c r="BD75" s="22">
        <f>IF(AND($H75&lt;&gt;"",$AH75&lt;&gt;"",$H75&lt;&gt;$AH75,IFERROR(VLOOKUP($H75,areaCercaPuntiClassificaSquadra,3,FALSE),-1)=IFERROR(VLOOKUP($AH75,areaCercaPuntiClassificaSquadra,3,FALSE),-2)),SUMIFS(Dati!$B$2:$B$761,Dati!$A$2:$A$761,$H75,Dati!$H$2:$H$761,$AH75)+SUMIFS(Dati!$I$2:$I$761,Dati!$H$2:$H$761,$H75,Dati!$A$2:$A$761,$AH75),"-")</f>
        <v/>
      </c>
      <c r="BE75" s="22">
        <f>IF(AND($H75&lt;&gt;"",$AI75&lt;&gt;"",$H75&lt;&gt;$AI75,IFERROR(VLOOKUP($H75,areaCercaPuntiClassificaSquadra,3,FALSE),-1)=IFERROR(VLOOKUP($AI75,areaCercaPuntiClassificaSquadra,3,FALSE),-2)),SUMIFS(Dati!$B$2:$B$761,Dati!$A$2:$A$761,$H75,Dati!$H$2:$H$761,$AI75)+SUMIFS(Dati!$I$2:$I$761,Dati!$H$2:$H$761,$H75,Dati!$A$2:$A$761,$AI75),"-")</f>
        <v/>
      </c>
      <c r="BF75" s="22">
        <f>IF(AND($H75&lt;&gt;"",$AJ75&lt;&gt;"",$H75&lt;&gt;$AJ75,IFERROR(VLOOKUP($H75,areaCercaPuntiClassificaSquadra,3,FALSE),-1)=IFERROR(VLOOKUP($AJ75,areaCercaPuntiClassificaSquadra,3,FALSE),-2)),SUMIFS(Dati!$B$2:$B$761,Dati!$A$2:$A$761,$H75,Dati!$H$2:$H$761,$AJ75)+SUMIFS(Dati!$I$2:$I$761,Dati!$H$2:$H$761,$H75,Dati!$A$2:$A$761,$AJ75),"-")</f>
        <v/>
      </c>
      <c r="BG75" s="22">
        <f>IF(AND($H75&lt;&gt;"",$AK75&lt;&gt;"",$H75&lt;&gt;$AK75,IFERROR(VLOOKUP($H75,areaCercaPuntiClassificaSquadra,3,FALSE),-1)=IFERROR(VLOOKUP($AK75,areaCercaPuntiClassificaSquadra,3,FALSE),-2)),SUMIFS(Dati!$B$2:$B$761,Dati!$A$2:$A$761,$H75,Dati!$H$2:$H$761,$AK75)+SUMIFS(Dati!$I$2:$I$761,Dati!$H$2:$H$761,$H75,Dati!$A$2:$A$761,$AK75),"-")</f>
        <v/>
      </c>
      <c r="BH75" s="22">
        <f>IF(AND($H75&lt;&gt;"",$AL75&lt;&gt;"",$H75&lt;&gt;$AL75,IFERROR(VLOOKUP($H75,areaCercaPuntiClassificaSquadra,3,FALSE),-1)=IFERROR(VLOOKUP($AL75,areaCercaPuntiClassificaSquadra,3,FALSE),-2)),SUMIFS(Dati!$B$2:$B$761,Dati!$A$2:$A$761,$H75,Dati!$H$2:$H$761,$AL75)+SUMIFS(Dati!$I$2:$I$761,Dati!$H$2:$H$761,$H75,Dati!$A$2:$A$761,$AL75),"-")</f>
        <v/>
      </c>
      <c r="BI75" s="22">
        <f>IF(AND($H75&lt;&gt;"",$AM75&lt;&gt;"",$H75&lt;&gt;$AM75,IFERROR(VLOOKUP($H75,areaCercaPuntiClassificaSquadra,3,FALSE),-1)=IFERROR(VLOOKUP($AM75,areaCercaPuntiClassificaSquadra,3,FALSE),-2)),SUMIFS(Dati!$B$2:$B$761,Dati!$A$2:$A$761,$H75,Dati!$H$2:$H$761,$AM75)+SUMIFS(Dati!$I$2:$I$761,Dati!$H$2:$H$761,$H75,Dati!$A$2:$A$761,$AM75),"-")</f>
        <v/>
      </c>
      <c r="BJ75" s="22">
        <f>IF(AND($H75&lt;&gt;"",$AN75&lt;&gt;"",$H75&lt;&gt;$AN75,IFERROR(VLOOKUP($H75,areaCercaPuntiClassificaSquadra,3,FALSE),-1)=IFERROR(VLOOKUP($AN75,areaCercaPuntiClassificaSquadra,3,FALSE),-2)),SUMIFS(Dati!$B$2:$B$761,Dati!$A$2:$A$761,$H75,Dati!$H$2:$H$761,$AN75)+SUMIFS(Dati!$I$2:$I$761,Dati!$H$2:$H$761,$H75,Dati!$A$2:$A$761,$AN75),"-")</f>
        <v/>
      </c>
      <c r="BK75" s="22">
        <f>IF(AND($H75&lt;&gt;"",$AO75&lt;&gt;"",$H75&lt;&gt;$AO75,IFERROR(VLOOKUP($H75,areaCercaPuntiClassificaSquadra,3,FALSE),-1)=IFERROR(VLOOKUP($AO75,areaCercaPuntiClassificaSquadra,3,FALSE),-2)),SUMIFS(Dati!$B$2:$B$761,Dati!$A$2:$A$761,$H75,Dati!$H$2:$H$761,$AO75)+SUMIFS(Dati!$I$2:$I$761,Dati!$H$2:$H$761,$H75,Dati!$A$2:$A$761,$AO75),"-")</f>
        <v/>
      </c>
      <c r="BL75" s="22">
        <f>IF(AND($H75&lt;&gt;"",$AP75&lt;&gt;"",$H75&lt;&gt;$AP75,IFERROR(VLOOKUP($H75,areaCercaPuntiClassificaSquadra,3,FALSE),-1)=IFERROR(VLOOKUP($AP75,areaCercaPuntiClassificaSquadra,3,FALSE),-2)),SUMIFS(Dati!$B$2:$B$761,Dati!$A$2:$A$761,$H75,Dati!$H$2:$H$761,$AP75)+SUMIFS(Dati!$I$2:$I$761,Dati!$H$2:$H$761,$H75,Dati!$A$2:$A$761,$AP75),"-")</f>
        <v/>
      </c>
      <c r="BM75" s="22">
        <f>IF(AND($H75&lt;&gt;"",$AQ75&lt;&gt;"",$H75&lt;&gt;$AQ75,IFERROR(VLOOKUP($H75,areaCercaPuntiClassificaSquadra,3,FALSE),-1)=IFERROR(VLOOKUP($AQ75,areaCercaPuntiClassificaSquadra,3,FALSE),-2)),SUMIFS(Dati!$B$2:$B$761,Dati!$A$2:$A$761,$H75,Dati!$H$2:$H$761,$AQ75)+SUMIFS(Dati!$I$2:$I$761,Dati!$H$2:$H$761,$H75,Dati!$A$2:$A$761,$AQ75),"-")</f>
        <v/>
      </c>
      <c r="BN75" s="22">
        <f>IF(AND($H75&lt;&gt;"",$AR75&lt;&gt;"",$H75&lt;&gt;$AR75,IFERROR(VLOOKUP($H75,areaCercaPuntiClassificaSquadra,3,FALSE),-1)=IFERROR(VLOOKUP($AR75,areaCercaPuntiClassificaSquadra,3,FALSE),-2)),SUMIFS(Dati!$B$2:$B$761,Dati!$A$2:$A$761,$H75,Dati!$H$2:$H$761,$AR75)+SUMIFS(Dati!$I$2:$I$761,Dati!$H$2:$H$761,$H75,Dati!$A$2:$A$761,$AR75),"-")</f>
        <v/>
      </c>
      <c r="BP75" s="21">
        <f>$C75</f>
        <v/>
      </c>
      <c r="BQ75" s="22">
        <f>IF(AND($H75&lt;&gt;"",$Y75&lt;&gt;"",$H75&lt;&gt;$Y75,IFERROR(VLOOKUP($H75,areaCercaPuntiClassificaSquadra,3,FALSE),-1)=IFERROR(VLOOKUP($Y75,areaCercaPuntiClassificaSquadra,3,FALSE),-2)),SUMIFS(Dati!$D$2:$D$761,Dati!$A$2:$A$761,$H75,Dati!$H$2:$H$761,$Y75)+SUMIFS(Dati!$K$2:$K$761,Dati!$H$2:$H$761,$H75,Dati!$A$2:$A$761,$Y75)+SUMIFS(Dati!$C$2:$C$761,Dati!$A$2:$A$761,$H75,Dati!$H$2:$H$761,$Y75)+SUMIFS(Dati!$J$2:$J$761,Dati!$H$2:$H$761,$H75,Dati!$A$2:$A$761,$Y75),"-")</f>
        <v/>
      </c>
      <c r="BR75" s="22">
        <f>IF(AND($H75&lt;&gt;"",$Z75&lt;&gt;"",$H75&lt;&gt;$Z75,IFERROR(VLOOKUP($H75,areaCercaPuntiClassificaSquadra,3,FALSE),-1)=IFERROR(VLOOKUP($Z75,areaCercaPuntiClassificaSquadra,3,FALSE),-2)),SUMIFS(Dati!$D$2:$D$761,Dati!$A$2:$A$761,$H75,Dati!$H$2:$H$761,$Z75)+SUMIFS(Dati!$K$2:$K$761,Dati!$H$2:$H$761,$H75,Dati!$A$2:$A$761,$Z75)+SUMIFS(Dati!$C$2:$C$761,Dati!$A$2:$A$761,$H75,Dati!$H$2:$H$761,$Z75)+SUMIFS(Dati!$J$2:$J$761,Dati!$H$2:$H$761,$H75,Dati!$A$2:$A$761,$Z75),"-")</f>
        <v/>
      </c>
      <c r="BS75" s="22">
        <f>IF(AND($H75&lt;&gt;"",$AA75&lt;&gt;"",$H75&lt;&gt;$AA75,IFERROR(VLOOKUP($H75,areaCercaPuntiClassificaSquadra,3,FALSE),-1)=IFERROR(VLOOKUP($AA75,areaCercaPuntiClassificaSquadra,3,FALSE),-2)),SUMIFS(Dati!$D$2:$D$761,Dati!$A$2:$A$761,$H75,Dati!$H$2:$H$761,$AA75)+SUMIFS(Dati!$K$2:$K$761,Dati!$H$2:$H$761,$H75,Dati!$A$2:$A$761,$AA75)+SUMIFS(Dati!$C$2:$C$761,Dati!$A$2:$A$761,$H75,Dati!$H$2:$H$761,$AA75)+SUMIFS(Dati!$J$2:$J$761,Dati!$H$2:$H$761,$H75,Dati!$A$2:$A$761,$AA75),"-")</f>
        <v/>
      </c>
      <c r="BT75" s="22">
        <f>IF(AND($H75&lt;&gt;"",$AB75&lt;&gt;"",$H75&lt;&gt;$AB75,IFERROR(VLOOKUP($H75,areaCercaPuntiClassificaSquadra,3,FALSE),-1)=IFERROR(VLOOKUP($AB75,areaCercaPuntiClassificaSquadra,3,FALSE),-2)),SUMIFS(Dati!$D$2:$D$761,Dati!$A$2:$A$761,$H75,Dati!$H$2:$H$761,$AB75)+SUMIFS(Dati!$K$2:$K$761,Dati!$H$2:$H$761,$H75,Dati!$A$2:$A$761,$AB75)+SUMIFS(Dati!$C$2:$C$761,Dati!$A$2:$A$761,$H75,Dati!$H$2:$H$761,$AB75)+SUMIFS(Dati!$J$2:$J$761,Dati!$H$2:$H$761,$H75,Dati!$A$2:$A$761,$AB75),"-")</f>
        <v/>
      </c>
      <c r="BU75" s="22">
        <f>IF(AND($H75&lt;&gt;"",$AC75&lt;&gt;"",$H75&lt;&gt;$AC75,IFERROR(VLOOKUP($H75,areaCercaPuntiClassificaSquadra,3,FALSE),-1)=IFERROR(VLOOKUP($AC75,areaCercaPuntiClassificaSquadra,3,FALSE),-2)),SUMIFS(Dati!$D$2:$D$761,Dati!$A$2:$A$761,$H75,Dati!$H$2:$H$761,$AC75)+SUMIFS(Dati!$K$2:$K$761,Dati!$H$2:$H$761,$H75,Dati!$A$2:$A$761,$AC75)+SUMIFS(Dati!$C$2:$C$761,Dati!$A$2:$A$761,$H75,Dati!$H$2:$H$761,$AC75)+SUMIFS(Dati!$J$2:$J$761,Dati!$H$2:$H$761,$H75,Dati!$A$2:$A$761,$AC75),"-")</f>
        <v/>
      </c>
      <c r="BV75" s="22">
        <f>IF(AND($H75&lt;&gt;"",$AD75&lt;&gt;"",$H75&lt;&gt;$AD75,IFERROR(VLOOKUP($H75,areaCercaPuntiClassificaSquadra,3,FALSE),-1)=IFERROR(VLOOKUP($AD75,areaCercaPuntiClassificaSquadra,3,FALSE),-2)),SUMIFS(Dati!$D$2:$D$761,Dati!$A$2:$A$761,$H75,Dati!$H$2:$H$761,$AD75)+SUMIFS(Dati!$K$2:$K$761,Dati!$H$2:$H$761,$H75,Dati!$A$2:$A$761,$AD75)+SUMIFS(Dati!$C$2:$C$761,Dati!$A$2:$A$761,$H75,Dati!$H$2:$H$761,$AD75)+SUMIFS(Dati!$J$2:$J$761,Dati!$H$2:$H$761,$H75,Dati!$A$2:$A$761,$AD75),"-")</f>
        <v/>
      </c>
      <c r="BW75" s="22">
        <f>IF(AND($H75&lt;&gt;"",$AE75&lt;&gt;"",$H75&lt;&gt;$AE75,IFERROR(VLOOKUP($H75,areaCercaPuntiClassificaSquadra,3,FALSE),-1)=IFERROR(VLOOKUP($AE75,areaCercaPuntiClassificaSquadra,3,FALSE),-2)),SUMIFS(Dati!$D$2:$D$761,Dati!$A$2:$A$761,$H75,Dati!$H$2:$H$761,$AE75)+SUMIFS(Dati!$K$2:$K$761,Dati!$H$2:$H$761,$H75,Dati!$A$2:$A$761,$AE75)+SUMIFS(Dati!$C$2:$C$761,Dati!$A$2:$A$761,$H75,Dati!$H$2:$H$761,$AE75)+SUMIFS(Dati!$J$2:$J$761,Dati!$H$2:$H$761,$H75,Dati!$A$2:$A$761,$AE75),"-")</f>
        <v/>
      </c>
      <c r="BX75" s="22">
        <f>IF(AND($H75&lt;&gt;"",$AF75&lt;&gt;"",$H75&lt;&gt;$AF75,IFERROR(VLOOKUP($H75,areaCercaPuntiClassificaSquadra,3,FALSE),-1)=IFERROR(VLOOKUP($AF75,areaCercaPuntiClassificaSquadra,3,FALSE),-2)),SUMIFS(Dati!$D$2:$D$761,Dati!$A$2:$A$761,$H75,Dati!$H$2:$H$761,$AF75)+SUMIFS(Dati!$K$2:$K$761,Dati!$H$2:$H$761,$H75,Dati!$A$2:$A$761,$AF75)+SUMIFS(Dati!$C$2:$C$761,Dati!$A$2:$A$761,$H75,Dati!$H$2:$H$761,$AF75)+SUMIFS(Dati!$J$2:$J$761,Dati!$H$2:$H$761,$H75,Dati!$A$2:$A$761,$AF75),"-")</f>
        <v/>
      </c>
      <c r="BY75" s="22">
        <f>IF(AND($H75&lt;&gt;"",$AG75&lt;&gt;"",$H75&lt;&gt;$AG75,IFERROR(VLOOKUP($H75,areaCercaPuntiClassificaSquadra,3,FALSE),-1)=IFERROR(VLOOKUP($AG75,areaCercaPuntiClassificaSquadra,3,FALSE),-2)),SUMIFS(Dati!$D$2:$D$761,Dati!$A$2:$A$761,$H75,Dati!$H$2:$H$761,$AG75)+SUMIFS(Dati!$K$2:$K$761,Dati!$H$2:$H$761,$H75,Dati!$A$2:$A$761,$AG75)+SUMIFS(Dati!$C$2:$C$761,Dati!$A$2:$A$761,$H75,Dati!$H$2:$H$761,$AG75)+SUMIFS(Dati!$J$2:$J$761,Dati!$H$2:$H$761,$H75,Dati!$A$2:$A$761,$AG75),"-")</f>
        <v/>
      </c>
      <c r="BZ75" s="22">
        <f>IF(AND($H75&lt;&gt;"",$AH75&lt;&gt;"",$H75&lt;&gt;$AH75,IFERROR(VLOOKUP($H75,areaCercaPuntiClassificaSquadra,3,FALSE),-1)=IFERROR(VLOOKUP($AH75,areaCercaPuntiClassificaSquadra,3,FALSE),-2)),SUMIFS(Dati!$D$2:$D$761,Dati!$A$2:$A$761,$H75,Dati!$H$2:$H$761,$AH75)+SUMIFS(Dati!$K$2:$K$761,Dati!$H$2:$H$761,$H75,Dati!$A$2:$A$761,$AH75)+SUMIFS(Dati!$C$2:$C$761,Dati!$A$2:$A$761,$H75,Dati!$H$2:$H$761,$AH75)+SUMIFS(Dati!$J$2:$J$761,Dati!$H$2:$H$761,$H75,Dati!$A$2:$A$761,$AH75),"-")</f>
        <v/>
      </c>
      <c r="CA75" s="22">
        <f>IF(AND($H75&lt;&gt;"",$AI75&lt;&gt;"",$H75&lt;&gt;$AI75,IFERROR(VLOOKUP($H75,areaCercaPuntiClassificaSquadra,3,FALSE),-1)=IFERROR(VLOOKUP($AI75,areaCercaPuntiClassificaSquadra,3,FALSE),-2)),SUMIFS(Dati!$D$2:$D$761,Dati!$A$2:$A$761,$H75,Dati!$H$2:$H$761,$AI75)+SUMIFS(Dati!$K$2:$K$761,Dati!$H$2:$H$761,$H75,Dati!$A$2:$A$761,$AI75)+SUMIFS(Dati!$C$2:$C$761,Dati!$A$2:$A$761,$H75,Dati!$H$2:$H$761,$AI75)+SUMIFS(Dati!$J$2:$J$761,Dati!$H$2:$H$761,$H75,Dati!$A$2:$A$761,$AI75),"-")</f>
        <v/>
      </c>
      <c r="CB75" s="22">
        <f>IF(AND($H75&lt;&gt;"",$AJ75&lt;&gt;"",$H75&lt;&gt;$AJ75,IFERROR(VLOOKUP($H75,areaCercaPuntiClassificaSquadra,3,FALSE),-1)=IFERROR(VLOOKUP($AJ75,areaCercaPuntiClassificaSquadra,3,FALSE),-2)),SUMIFS(Dati!$D$2:$D$761,Dati!$A$2:$A$761,$H75,Dati!$H$2:$H$761,$AJ75)+SUMIFS(Dati!$K$2:$K$761,Dati!$H$2:$H$761,$H75,Dati!$A$2:$A$761,$AJ75)+SUMIFS(Dati!$C$2:$C$761,Dati!$A$2:$A$761,$H75,Dati!$H$2:$H$761,$AJ75)+SUMIFS(Dati!$J$2:$J$761,Dati!$H$2:$H$761,$H75,Dati!$A$2:$A$761,$AJ75),"-")</f>
        <v/>
      </c>
      <c r="CC75" s="22">
        <f>IF(AND($H75&lt;&gt;"",$AK75&lt;&gt;"",$H75&lt;&gt;$AK75,IFERROR(VLOOKUP($H75,areaCercaPuntiClassificaSquadra,3,FALSE),-1)=IFERROR(VLOOKUP($AK75,areaCercaPuntiClassificaSquadra,3,FALSE),-2)),SUMIFS(Dati!$D$2:$D$761,Dati!$A$2:$A$761,$H75,Dati!$H$2:$H$761,$AK75)+SUMIFS(Dati!$K$2:$K$761,Dati!$H$2:$H$761,$H75,Dati!$A$2:$A$761,$AK75)+SUMIFS(Dati!$C$2:$C$761,Dati!$A$2:$A$761,$H75,Dati!$H$2:$H$761,$AK75)+SUMIFS(Dati!$J$2:$J$761,Dati!$H$2:$H$761,$H75,Dati!$A$2:$A$761,$AK75),"-")</f>
        <v/>
      </c>
      <c r="CD75" s="22">
        <f>IF(AND($H75&lt;&gt;"",$AL75&lt;&gt;"",$H75&lt;&gt;$AL75,IFERROR(VLOOKUP($H75,areaCercaPuntiClassificaSquadra,3,FALSE),-1)=IFERROR(VLOOKUP($AL75,areaCercaPuntiClassificaSquadra,3,FALSE),-2)),SUMIFS(Dati!$D$2:$D$761,Dati!$A$2:$A$761,$H75,Dati!$H$2:$H$761,$AL75)+SUMIFS(Dati!$K$2:$K$761,Dati!$H$2:$H$761,$H75,Dati!$A$2:$A$761,$AL75)+SUMIFS(Dati!$C$2:$C$761,Dati!$A$2:$A$761,$H75,Dati!$H$2:$H$761,$AL75)+SUMIFS(Dati!$J$2:$J$761,Dati!$H$2:$H$761,$H75,Dati!$A$2:$A$761,$AL75),"-")</f>
        <v/>
      </c>
      <c r="CE75" s="22">
        <f>IF(AND($H75&lt;&gt;"",$AM75&lt;&gt;"",$H75&lt;&gt;$AM75,IFERROR(VLOOKUP($H75,areaCercaPuntiClassificaSquadra,3,FALSE),-1)=IFERROR(VLOOKUP($AM75,areaCercaPuntiClassificaSquadra,3,FALSE),-2)),SUMIFS(Dati!$D$2:$D$761,Dati!$A$2:$A$761,$H75,Dati!$H$2:$H$761,$AM75)+SUMIFS(Dati!$K$2:$K$761,Dati!$H$2:$H$761,$H75,Dati!$A$2:$A$761,$AM75)+SUMIFS(Dati!$C$2:$C$761,Dati!$A$2:$A$761,$H75,Dati!$H$2:$H$761,$AM75)+SUMIFS(Dati!$J$2:$J$761,Dati!$H$2:$H$761,$H75,Dati!$A$2:$A$761,$AM75),"-")</f>
        <v/>
      </c>
      <c r="CF75" s="22">
        <f>IF(AND($H75&lt;&gt;"",$AN75&lt;&gt;"",$H75&lt;&gt;$AN75,IFERROR(VLOOKUP($H75,areaCercaPuntiClassificaSquadra,3,FALSE),-1)=IFERROR(VLOOKUP($AN75,areaCercaPuntiClassificaSquadra,3,FALSE),-2)),SUMIFS(Dati!$D$2:$D$761,Dati!$A$2:$A$761,$H75,Dati!$H$2:$H$761,$AN75)+SUMIFS(Dati!$K$2:$K$761,Dati!$H$2:$H$761,$H75,Dati!$A$2:$A$761,$AN75)+SUMIFS(Dati!$C$2:$C$761,Dati!$A$2:$A$761,$H75,Dati!$H$2:$H$761,$AN75)+SUMIFS(Dati!$J$2:$J$761,Dati!$H$2:$H$761,$H75,Dati!$A$2:$A$761,$AN75),"-")</f>
        <v/>
      </c>
      <c r="CG75" s="22">
        <f>IF(AND($H75&lt;&gt;"",$AO75&lt;&gt;"",$H75&lt;&gt;$AO75,IFERROR(VLOOKUP($H75,areaCercaPuntiClassificaSquadra,3,FALSE),-1)=IFERROR(VLOOKUP($AO75,areaCercaPuntiClassificaSquadra,3,FALSE),-2)),SUMIFS(Dati!$D$2:$D$761,Dati!$A$2:$A$761,$H75,Dati!$H$2:$H$761,$AO75)+SUMIFS(Dati!$K$2:$K$761,Dati!$H$2:$H$761,$H75,Dati!$A$2:$A$761,$AO75)+SUMIFS(Dati!$C$2:$C$761,Dati!$A$2:$A$761,$H75,Dati!$H$2:$H$761,$AO75)+SUMIFS(Dati!$J$2:$J$761,Dati!$H$2:$H$761,$H75,Dati!$A$2:$A$761,$AO75),"-")</f>
        <v/>
      </c>
      <c r="CH75" s="22">
        <f>IF(AND($H75&lt;&gt;"",$AP75&lt;&gt;"",$H75&lt;&gt;$AP75,IFERROR(VLOOKUP($H75,areaCercaPuntiClassificaSquadra,3,FALSE),-1)=IFERROR(VLOOKUP($AP75,areaCercaPuntiClassificaSquadra,3,FALSE),-2)),SUMIFS(Dati!$D$2:$D$761,Dati!$A$2:$A$761,$H75,Dati!$H$2:$H$761,$AP75)+SUMIFS(Dati!$K$2:$K$761,Dati!$H$2:$H$761,$H75,Dati!$A$2:$A$761,$AP75)+SUMIFS(Dati!$C$2:$C$761,Dati!$A$2:$A$761,$H75,Dati!$H$2:$H$761,$AP75)+SUMIFS(Dati!$J$2:$J$761,Dati!$H$2:$H$761,$H75,Dati!$A$2:$A$761,$AP75),"-")</f>
        <v/>
      </c>
      <c r="CI75" s="22">
        <f>IF(AND($H75&lt;&gt;"",$AQ75&lt;&gt;"",$H75&lt;&gt;$AQ75,IFERROR(VLOOKUP($H75,areaCercaPuntiClassificaSquadra,3,FALSE),-1)=IFERROR(VLOOKUP($AQ75,areaCercaPuntiClassificaSquadra,3,FALSE),-2)),SUMIFS(Dati!$D$2:$D$761,Dati!$A$2:$A$761,$H75,Dati!$H$2:$H$761,$AQ75)+SUMIFS(Dati!$K$2:$K$761,Dati!$H$2:$H$761,$H75,Dati!$A$2:$A$761,$AQ75)+SUMIFS(Dati!$C$2:$C$761,Dati!$A$2:$A$761,$H75,Dati!$H$2:$H$761,$AQ75)+SUMIFS(Dati!$J$2:$J$761,Dati!$H$2:$H$761,$H75,Dati!$A$2:$A$761,$AQ75),"-")</f>
        <v/>
      </c>
      <c r="CJ75" s="22">
        <f>IF(AND($H75&lt;&gt;"",$AR75&lt;&gt;"",$H75&lt;&gt;$AR75,IFERROR(VLOOKUP($H75,areaCercaPuntiClassificaSquadra,3,FALSE),-1)=IFERROR(VLOOKUP($AR75,areaCercaPuntiClassificaSquadra,3,FALSE),-2)),SUMIFS(Dati!$D$2:$D$761,Dati!$A$2:$A$761,$H75,Dati!$H$2:$H$761,$AR75)+SUMIFS(Dati!$K$2:$K$761,Dati!$H$2:$H$761,$H75,Dati!$A$2:$A$761,$AR75)+SUMIFS(Dati!$C$2:$C$761,Dati!$A$2:$A$761,$H75,Dati!$H$2:$H$761,$AR75)+SUMIFS(Dati!$J$2:$J$761,Dati!$H$2:$H$761,$H75,Dati!$A$2:$A$761,$AR75),"-")</f>
        <v/>
      </c>
      <c r="CL75" s="21">
        <f>$C75</f>
        <v/>
      </c>
      <c r="CM75" s="22">
        <f>IF(AND($H75&lt;&gt;"",$Y75&lt;&gt;"",$H75&lt;&gt;$Y75,IFERROR(VLOOKUP($H75,areaCercaPuntiClassificaSquadra,3,FALSE),-1)=IFERROR(VLOOKUP($Y75,areaCercaPuntiClassificaSquadra,3,FALSE),-2)),SUMIFS(Dati!$E$2:$E$761,Dati!$A$2:$A$761,$H75,Dati!$H$2:$H$761,$Y75)+SUMIFS(Dati!$L$2:$L$761,Dati!$H$2:$H$761,$H75,Dati!$A$2:$A$761,$Y75),"-")</f>
        <v/>
      </c>
      <c r="CN75" s="22">
        <f>IF(AND($H75&lt;&gt;"",$Z75&lt;&gt;"",$H75&lt;&gt;$Z75,IFERROR(VLOOKUP($H75,areaCercaPuntiClassificaSquadra,3,FALSE),-1)=IFERROR(VLOOKUP($Z75,areaCercaPuntiClassificaSquadra,3,FALSE),-2)),SUMIFS(Dati!$E$2:$E$761,Dati!$A$2:$A$761,$H75,Dati!$H$2:$H$761,$Z75)+SUMIFS(Dati!$L$2:$L$761,Dati!$H$2:$H$761,$H75,Dati!$A$2:$A$761,$Z75),"-")</f>
        <v/>
      </c>
      <c r="CO75" s="22">
        <f>IF(AND($H75&lt;&gt;"",$AA75&lt;&gt;"",$H75&lt;&gt;$AA75,IFERROR(VLOOKUP($H75,areaCercaPuntiClassificaSquadra,3,FALSE),-1)=IFERROR(VLOOKUP($AA75,areaCercaPuntiClassificaSquadra,3,FALSE),-2)),SUMIFS(Dati!$E$2:$E$761,Dati!$A$2:$A$761,$H75,Dati!$H$2:$H$761,$AA75)+SUMIFS(Dati!$L$2:$L$761,Dati!$H$2:$H$761,$H75,Dati!$A$2:$A$761,$AA75),"-")</f>
        <v/>
      </c>
      <c r="CP75" s="22">
        <f>IF(AND($H75&lt;&gt;"",$AB75&lt;&gt;"",$H75&lt;&gt;$AB75,IFERROR(VLOOKUP($H75,areaCercaPuntiClassificaSquadra,3,FALSE),-1)=IFERROR(VLOOKUP($AB75,areaCercaPuntiClassificaSquadra,3,FALSE),-2)),SUMIFS(Dati!$E$2:$E$761,Dati!$A$2:$A$761,$H75,Dati!$H$2:$H$761,$AB75)+SUMIFS(Dati!$L$2:$L$761,Dati!$H$2:$H$761,$H75,Dati!$A$2:$A$761,$AB75),"-")</f>
        <v/>
      </c>
      <c r="CQ75" s="22">
        <f>IF(AND($H75&lt;&gt;"",$AC75&lt;&gt;"",$H75&lt;&gt;$AC75,IFERROR(VLOOKUP($H75,areaCercaPuntiClassificaSquadra,3,FALSE),-1)=IFERROR(VLOOKUP($AC75,areaCercaPuntiClassificaSquadra,3,FALSE),-2)),SUMIFS(Dati!$E$2:$E$761,Dati!$A$2:$A$761,$H75,Dati!$H$2:$H$761,$AC75)+SUMIFS(Dati!$L$2:$L$761,Dati!$H$2:$H$761,$H75,Dati!$A$2:$A$761,$AC75),"-")</f>
        <v/>
      </c>
      <c r="CR75" s="22">
        <f>IF(AND($H75&lt;&gt;"",$AD75&lt;&gt;"",$H75&lt;&gt;$AD75,IFERROR(VLOOKUP($H75,areaCercaPuntiClassificaSquadra,3,FALSE),-1)=IFERROR(VLOOKUP($AD75,areaCercaPuntiClassificaSquadra,3,FALSE),-2)),SUMIFS(Dati!$E$2:$E$761,Dati!$A$2:$A$761,$H75,Dati!$H$2:$H$761,$AD75)+SUMIFS(Dati!$L$2:$L$761,Dati!$H$2:$H$761,$H75,Dati!$A$2:$A$761,$AD75),"-")</f>
        <v/>
      </c>
      <c r="CS75" s="22">
        <f>IF(AND($H75&lt;&gt;"",$AE75&lt;&gt;"",$H75&lt;&gt;$AE75,IFERROR(VLOOKUP($H75,areaCercaPuntiClassificaSquadra,3,FALSE),-1)=IFERROR(VLOOKUP($AE75,areaCercaPuntiClassificaSquadra,3,FALSE),-2)),SUMIFS(Dati!$E$2:$E$761,Dati!$A$2:$A$761,$H75,Dati!$H$2:$H$761,$AE75)+SUMIFS(Dati!$L$2:$L$761,Dati!$H$2:$H$761,$H75,Dati!$A$2:$A$761,$AE75),"-")</f>
        <v/>
      </c>
      <c r="CT75" s="22">
        <f>IF(AND($H75&lt;&gt;"",$AF75&lt;&gt;"",$H75&lt;&gt;$AF75,IFERROR(VLOOKUP($H75,areaCercaPuntiClassificaSquadra,3,FALSE),-1)=IFERROR(VLOOKUP($AF75,areaCercaPuntiClassificaSquadra,3,FALSE),-2)),SUMIFS(Dati!$E$2:$E$761,Dati!$A$2:$A$761,$H75,Dati!$H$2:$H$761,$AF75)+SUMIFS(Dati!$L$2:$L$761,Dati!$H$2:$H$761,$H75,Dati!$A$2:$A$761,$AF75),"-")</f>
        <v/>
      </c>
      <c r="CU75" s="22">
        <f>IF(AND($H75&lt;&gt;"",$AG75&lt;&gt;"",$H75&lt;&gt;$AG75,IFERROR(VLOOKUP($H75,areaCercaPuntiClassificaSquadra,3,FALSE),-1)=IFERROR(VLOOKUP($AG75,areaCercaPuntiClassificaSquadra,3,FALSE),-2)),SUMIFS(Dati!$E$2:$E$761,Dati!$A$2:$A$761,$H75,Dati!$H$2:$H$761,$AG75)+SUMIFS(Dati!$L$2:$L$761,Dati!$H$2:$H$761,$H75,Dati!$A$2:$A$761,$AG75),"-")</f>
        <v/>
      </c>
      <c r="CV75" s="22">
        <f>IF(AND($H75&lt;&gt;"",$AH75&lt;&gt;"",$H75&lt;&gt;$AH75,IFERROR(VLOOKUP($H75,areaCercaPuntiClassificaSquadra,3,FALSE),-1)=IFERROR(VLOOKUP($AH75,areaCercaPuntiClassificaSquadra,3,FALSE),-2)),SUMIFS(Dati!$E$2:$E$761,Dati!$A$2:$A$761,$H75,Dati!$H$2:$H$761,$AH75)+SUMIFS(Dati!$L$2:$L$761,Dati!$H$2:$H$761,$H75,Dati!$A$2:$A$761,$AH75),"-")</f>
        <v/>
      </c>
      <c r="CW75" s="22">
        <f>IF(AND($H75&lt;&gt;"",$AI75&lt;&gt;"",$H75&lt;&gt;$AI75,IFERROR(VLOOKUP($H75,areaCercaPuntiClassificaSquadra,3,FALSE),-1)=IFERROR(VLOOKUP($AI75,areaCercaPuntiClassificaSquadra,3,FALSE),-2)),SUMIFS(Dati!$E$2:$E$761,Dati!$A$2:$A$761,$H75,Dati!$H$2:$H$761,$AI75)+SUMIFS(Dati!$L$2:$L$761,Dati!$H$2:$H$761,$H75,Dati!$A$2:$A$761,$AI75),"-")</f>
        <v/>
      </c>
      <c r="CX75" s="22">
        <f>IF(AND($H75&lt;&gt;"",$AJ75&lt;&gt;"",$H75&lt;&gt;$AJ75,IFERROR(VLOOKUP($H75,areaCercaPuntiClassificaSquadra,3,FALSE),-1)=IFERROR(VLOOKUP($AJ75,areaCercaPuntiClassificaSquadra,3,FALSE),-2)),SUMIFS(Dati!$E$2:$E$761,Dati!$A$2:$A$761,$H75,Dati!$H$2:$H$761,$AJ75)+SUMIFS(Dati!$L$2:$L$761,Dati!$H$2:$H$761,$H75,Dati!$A$2:$A$761,$AJ75),"-")</f>
        <v/>
      </c>
      <c r="CY75" s="22">
        <f>IF(AND($H75&lt;&gt;"",$AK75&lt;&gt;"",$H75&lt;&gt;$AK75,IFERROR(VLOOKUP($H75,areaCercaPuntiClassificaSquadra,3,FALSE),-1)=IFERROR(VLOOKUP($AK75,areaCercaPuntiClassificaSquadra,3,FALSE),-2)),SUMIFS(Dati!$E$2:$E$761,Dati!$A$2:$A$761,$H75,Dati!$H$2:$H$761,$AK75)+SUMIFS(Dati!$L$2:$L$761,Dati!$H$2:$H$761,$H75,Dati!$A$2:$A$761,$AK75),"-")</f>
        <v/>
      </c>
      <c r="CZ75" s="22">
        <f>IF(AND($H75&lt;&gt;"",$AL75&lt;&gt;"",$H75&lt;&gt;$AL75,IFERROR(VLOOKUP($H75,areaCercaPuntiClassificaSquadra,3,FALSE),-1)=IFERROR(VLOOKUP($AL75,areaCercaPuntiClassificaSquadra,3,FALSE),-2)),SUMIFS(Dati!$E$2:$E$761,Dati!$A$2:$A$761,$H75,Dati!$H$2:$H$761,$AL75)+SUMIFS(Dati!$L$2:$L$761,Dati!$H$2:$H$761,$H75,Dati!$A$2:$A$761,$AL75),"-")</f>
        <v/>
      </c>
      <c r="DA75" s="22">
        <f>IF(AND($H75&lt;&gt;"",$AM75&lt;&gt;"",$H75&lt;&gt;$AM75,IFERROR(VLOOKUP($H75,areaCercaPuntiClassificaSquadra,3,FALSE),-1)=IFERROR(VLOOKUP($AM75,areaCercaPuntiClassificaSquadra,3,FALSE),-2)),SUMIFS(Dati!$E$2:$E$761,Dati!$A$2:$A$761,$H75,Dati!$H$2:$H$761,$AM75)+SUMIFS(Dati!$L$2:$L$761,Dati!$H$2:$H$761,$H75,Dati!$A$2:$A$761,$AM75),"-")</f>
        <v/>
      </c>
      <c r="DB75" s="22">
        <f>IF(AND($H75&lt;&gt;"",$AN75&lt;&gt;"",$H75&lt;&gt;$AN75,IFERROR(VLOOKUP($H75,areaCercaPuntiClassificaSquadra,3,FALSE),-1)=IFERROR(VLOOKUP($AN75,areaCercaPuntiClassificaSquadra,3,FALSE),-2)),SUMIFS(Dati!$E$2:$E$761,Dati!$A$2:$A$761,$H75,Dati!$H$2:$H$761,$AN75)+SUMIFS(Dati!$L$2:$L$761,Dati!$H$2:$H$761,$H75,Dati!$A$2:$A$761,$AN75),"-")</f>
        <v/>
      </c>
      <c r="DC75" s="22">
        <f>IF(AND($H75&lt;&gt;"",$AO75&lt;&gt;"",$H75&lt;&gt;$AO75,IFERROR(VLOOKUP($H75,areaCercaPuntiClassificaSquadra,3,FALSE),-1)=IFERROR(VLOOKUP($AO75,areaCercaPuntiClassificaSquadra,3,FALSE),-2)),SUMIFS(Dati!$E$2:$E$761,Dati!$A$2:$A$761,$H75,Dati!$H$2:$H$761,$AO75)+SUMIFS(Dati!$L$2:$L$761,Dati!$H$2:$H$761,$H75,Dati!$A$2:$A$761,$AO75),"-")</f>
        <v/>
      </c>
      <c r="DD75" s="22">
        <f>IF(AND($H75&lt;&gt;"",$AP75&lt;&gt;"",$H75&lt;&gt;$AP75,IFERROR(VLOOKUP($H75,areaCercaPuntiClassificaSquadra,3,FALSE),-1)=IFERROR(VLOOKUP($AP75,areaCercaPuntiClassificaSquadra,3,FALSE),-2)),SUMIFS(Dati!$E$2:$E$761,Dati!$A$2:$A$761,$H75,Dati!$H$2:$H$761,$AP75)+SUMIFS(Dati!$L$2:$L$761,Dati!$H$2:$H$761,$H75,Dati!$A$2:$A$761,$AP75),"-")</f>
        <v/>
      </c>
      <c r="DE75" s="22">
        <f>IF(AND($H75&lt;&gt;"",$AQ75&lt;&gt;"",$H75&lt;&gt;$AQ75,IFERROR(VLOOKUP($H75,areaCercaPuntiClassificaSquadra,3,FALSE),-1)=IFERROR(VLOOKUP($AQ75,areaCercaPuntiClassificaSquadra,3,FALSE),-2)),SUMIFS(Dati!$E$2:$E$761,Dati!$A$2:$A$761,$H75,Dati!$H$2:$H$761,$AQ75)+SUMIFS(Dati!$L$2:$L$761,Dati!$H$2:$H$761,$H75,Dati!$A$2:$A$761,$AQ75),"-")</f>
        <v/>
      </c>
      <c r="DF75" s="22">
        <f>IF(AND($H75&lt;&gt;"",$AR75&lt;&gt;"",$H75&lt;&gt;$AR75,IFERROR(VLOOKUP($H75,areaCercaPuntiClassificaSquadra,3,FALSE),-1)=IFERROR(VLOOKUP($AR75,areaCercaPuntiClassificaSquadra,3,FALSE),-2)),SUMIFS(Dati!$E$2:$E$761,Dati!$A$2:$A$761,$H75,Dati!$H$2:$H$761,$AR75)+SUMIFS(Dati!$L$2:$L$761,Dati!$H$2:$H$761,$H75,Dati!$A$2:$A$761,$AR75),"-")</f>
        <v/>
      </c>
      <c r="DH75" s="21">
        <f>$C75</f>
        <v/>
      </c>
      <c r="DI75" s="22">
        <f>IF(AND($H75&lt;&gt;"",$Y75&lt;&gt;"",$H75&lt;&gt;$Y75,IFERROR(VLOOKUP($H75,areaCercaPuntiClassificaSquadra,3,FALSE),-1)=IFERROR(VLOOKUP($Y75,areaCercaPuntiClassificaSquadra,3,FALSE),-2)),SUMIFS(Dati!$F$2:$F$761,Dati!$A$2:$A$761,$H75,Dati!$H$2:$H$761,$Y75)+SUMIFS(Dati!$M$2:$M$761,Dati!$H$2:$H$761,$H75,Dati!$A$2:$A$761,$Y75),"-")</f>
        <v/>
      </c>
      <c r="DJ75" s="22">
        <f>IF(AND($H75&lt;&gt;"",$Z75&lt;&gt;"",$H75&lt;&gt;$Z75,IFERROR(VLOOKUP($H75,areaCercaPuntiClassificaSquadra,3,FALSE),-1)=IFERROR(VLOOKUP($Z75,areaCercaPuntiClassificaSquadra,3,FALSE),-2)),SUMIFS(Dati!$F$2:$F$761,Dati!$A$2:$A$761,$H75,Dati!$H$2:$H$761,$Z75)+SUMIFS(Dati!$M$2:$M$761,Dati!$H$2:$H$761,$H75,Dati!$A$2:$A$761,$Z75),"-")</f>
        <v/>
      </c>
      <c r="DK75" s="22">
        <f>IF(AND($H75&lt;&gt;"",$AA75&lt;&gt;"",$H75&lt;&gt;$AA75,IFERROR(VLOOKUP($H75,areaCercaPuntiClassificaSquadra,3,FALSE),-1)=IFERROR(VLOOKUP($AA75,areaCercaPuntiClassificaSquadra,3,FALSE),-2)),SUMIFS(Dati!$F$2:$F$761,Dati!$A$2:$A$761,$H75,Dati!$H$2:$H$761,$AA75)+SUMIFS(Dati!$M$2:$M$761,Dati!$H$2:$H$761,$H75,Dati!$A$2:$A$761,$AA75),"-")</f>
        <v/>
      </c>
      <c r="DL75" s="22">
        <f>IF(AND($H75&lt;&gt;"",$AB75&lt;&gt;"",$H75&lt;&gt;$AB75,IFERROR(VLOOKUP($H75,areaCercaPuntiClassificaSquadra,3,FALSE),-1)=IFERROR(VLOOKUP($AB75,areaCercaPuntiClassificaSquadra,3,FALSE),-2)),SUMIFS(Dati!$F$2:$F$761,Dati!$A$2:$A$761,$H75,Dati!$H$2:$H$761,$AB75)+SUMIFS(Dati!$M$2:$M$761,Dati!$H$2:$H$761,$H75,Dati!$A$2:$A$761,$AB75),"-")</f>
        <v/>
      </c>
      <c r="DM75" s="22">
        <f>IF(AND($H75&lt;&gt;"",$AC75&lt;&gt;"",$H75&lt;&gt;$AC75,IFERROR(VLOOKUP($H75,areaCercaPuntiClassificaSquadra,3,FALSE),-1)=IFERROR(VLOOKUP($AC75,areaCercaPuntiClassificaSquadra,3,FALSE),-2)),SUMIFS(Dati!$F$2:$F$761,Dati!$A$2:$A$761,$H75,Dati!$H$2:$H$761,$AC75)+SUMIFS(Dati!$M$2:$M$761,Dati!$H$2:$H$761,$H75,Dati!$A$2:$A$761,$AC75),"-")</f>
        <v/>
      </c>
      <c r="DN75" s="22">
        <f>IF(AND($H75&lt;&gt;"",$AD75&lt;&gt;"",$H75&lt;&gt;$AD75,IFERROR(VLOOKUP($H75,areaCercaPuntiClassificaSquadra,3,FALSE),-1)=IFERROR(VLOOKUP($AD75,areaCercaPuntiClassificaSquadra,3,FALSE),-2)),SUMIFS(Dati!$F$2:$F$761,Dati!$A$2:$A$761,$H75,Dati!$H$2:$H$761,$AD75)+SUMIFS(Dati!$M$2:$M$761,Dati!$H$2:$H$761,$H75,Dati!$A$2:$A$761,$AD75),"-")</f>
        <v/>
      </c>
      <c r="DO75" s="22">
        <f>IF(AND($H75&lt;&gt;"",$AE75&lt;&gt;"",$H75&lt;&gt;$AE75,IFERROR(VLOOKUP($H75,areaCercaPuntiClassificaSquadra,3,FALSE),-1)=IFERROR(VLOOKUP($AE75,areaCercaPuntiClassificaSquadra,3,FALSE),-2)),SUMIFS(Dati!$F$2:$F$761,Dati!$A$2:$A$761,$H75,Dati!$H$2:$H$761,$AE75)+SUMIFS(Dati!$M$2:$M$761,Dati!$H$2:$H$761,$H75,Dati!$A$2:$A$761,$AE75),"-")</f>
        <v/>
      </c>
      <c r="DP75" s="22">
        <f>IF(AND($H75&lt;&gt;"",$AF75&lt;&gt;"",$H75&lt;&gt;$AF75,IFERROR(VLOOKUP($H75,areaCercaPuntiClassificaSquadra,3,FALSE),-1)=IFERROR(VLOOKUP($AF75,areaCercaPuntiClassificaSquadra,3,FALSE),-2)),SUMIFS(Dati!$F$2:$F$761,Dati!$A$2:$A$761,$H75,Dati!$H$2:$H$761,$AF75)+SUMIFS(Dati!$M$2:$M$761,Dati!$H$2:$H$761,$H75,Dati!$A$2:$A$761,$AF75),"-")</f>
        <v/>
      </c>
      <c r="DQ75" s="22">
        <f>IF(AND($H75&lt;&gt;"",$AG75&lt;&gt;"",$H75&lt;&gt;$AG75,IFERROR(VLOOKUP($H75,areaCercaPuntiClassificaSquadra,3,FALSE),-1)=IFERROR(VLOOKUP($AG75,areaCercaPuntiClassificaSquadra,3,FALSE),-2)),SUMIFS(Dati!$F$2:$F$761,Dati!$A$2:$A$761,$H75,Dati!$H$2:$H$761,$AG75)+SUMIFS(Dati!$M$2:$M$761,Dati!$H$2:$H$761,$H75,Dati!$A$2:$A$761,$AG75),"-")</f>
        <v/>
      </c>
      <c r="DR75" s="22">
        <f>IF(AND($H75&lt;&gt;"",$AH75&lt;&gt;"",$H75&lt;&gt;$AH75,IFERROR(VLOOKUP($H75,areaCercaPuntiClassificaSquadra,3,FALSE),-1)=IFERROR(VLOOKUP($AH75,areaCercaPuntiClassificaSquadra,3,FALSE),-2)),SUMIFS(Dati!$F$2:$F$761,Dati!$A$2:$A$761,$H75,Dati!$H$2:$H$761,$AH75)+SUMIFS(Dati!$M$2:$M$761,Dati!$H$2:$H$761,$H75,Dati!$A$2:$A$761,$AH75),"-")</f>
        <v/>
      </c>
      <c r="DS75" s="22">
        <f>IF(AND($H75&lt;&gt;"",$AI75&lt;&gt;"",$H75&lt;&gt;$AI75,IFERROR(VLOOKUP($H75,areaCercaPuntiClassificaSquadra,3,FALSE),-1)=IFERROR(VLOOKUP($AI75,areaCercaPuntiClassificaSquadra,3,FALSE),-2)),SUMIFS(Dati!$F$2:$F$761,Dati!$A$2:$A$761,$H75,Dati!$H$2:$H$761,$AI75)+SUMIFS(Dati!$M$2:$M$761,Dati!$H$2:$H$761,$H75,Dati!$A$2:$A$761,$AI75),"-")</f>
        <v/>
      </c>
      <c r="DT75" s="22">
        <f>IF(AND($H75&lt;&gt;"",$AJ75&lt;&gt;"",$H75&lt;&gt;$AJ75,IFERROR(VLOOKUP($H75,areaCercaPuntiClassificaSquadra,3,FALSE),-1)=IFERROR(VLOOKUP($AJ75,areaCercaPuntiClassificaSquadra,3,FALSE),-2)),SUMIFS(Dati!$F$2:$F$761,Dati!$A$2:$A$761,$H75,Dati!$H$2:$H$761,$AJ75)+SUMIFS(Dati!$M$2:$M$761,Dati!$H$2:$H$761,$H75,Dati!$A$2:$A$761,$AJ75),"-")</f>
        <v/>
      </c>
      <c r="DU75" s="22">
        <f>IF(AND($H75&lt;&gt;"",$AK75&lt;&gt;"",$H75&lt;&gt;$AK75,IFERROR(VLOOKUP($H75,areaCercaPuntiClassificaSquadra,3,FALSE),-1)=IFERROR(VLOOKUP($AK75,areaCercaPuntiClassificaSquadra,3,FALSE),-2)),SUMIFS(Dati!$F$2:$F$761,Dati!$A$2:$A$761,$H75,Dati!$H$2:$H$761,$AK75)+SUMIFS(Dati!$M$2:$M$761,Dati!$H$2:$H$761,$H75,Dati!$A$2:$A$761,$AK75),"-")</f>
        <v/>
      </c>
      <c r="DV75" s="22">
        <f>IF(AND($H75&lt;&gt;"",$AL75&lt;&gt;"",$H75&lt;&gt;$AL75,IFERROR(VLOOKUP($H75,areaCercaPuntiClassificaSquadra,3,FALSE),-1)=IFERROR(VLOOKUP($AL75,areaCercaPuntiClassificaSquadra,3,FALSE),-2)),SUMIFS(Dati!$F$2:$F$761,Dati!$A$2:$A$761,$H75,Dati!$H$2:$H$761,$AL75)+SUMIFS(Dati!$M$2:$M$761,Dati!$H$2:$H$761,$H75,Dati!$A$2:$A$761,$AL75),"-")</f>
        <v/>
      </c>
      <c r="DW75" s="22">
        <f>IF(AND($H75&lt;&gt;"",$AM75&lt;&gt;"",$H75&lt;&gt;$AM75,IFERROR(VLOOKUP($H75,areaCercaPuntiClassificaSquadra,3,FALSE),-1)=IFERROR(VLOOKUP($AM75,areaCercaPuntiClassificaSquadra,3,FALSE),-2)),SUMIFS(Dati!$F$2:$F$761,Dati!$A$2:$A$761,$H75,Dati!$H$2:$H$761,$AM75)+SUMIFS(Dati!$M$2:$M$761,Dati!$H$2:$H$761,$H75,Dati!$A$2:$A$761,$AM75),"-")</f>
        <v/>
      </c>
      <c r="DX75" s="22">
        <f>IF(AND($H75&lt;&gt;"",$AN75&lt;&gt;"",$H75&lt;&gt;$AN75,IFERROR(VLOOKUP($H75,areaCercaPuntiClassificaSquadra,3,FALSE),-1)=IFERROR(VLOOKUP($AN75,areaCercaPuntiClassificaSquadra,3,FALSE),-2)),SUMIFS(Dati!$F$2:$F$761,Dati!$A$2:$A$761,$H75,Dati!$H$2:$H$761,$AN75)+SUMIFS(Dati!$M$2:$M$761,Dati!$H$2:$H$761,$H75,Dati!$A$2:$A$761,$AN75),"-")</f>
        <v/>
      </c>
      <c r="DY75" s="22">
        <f>IF(AND($H75&lt;&gt;"",$AO75&lt;&gt;"",$H75&lt;&gt;$AO75,IFERROR(VLOOKUP($H75,areaCercaPuntiClassificaSquadra,3,FALSE),-1)=IFERROR(VLOOKUP($AO75,areaCercaPuntiClassificaSquadra,3,FALSE),-2)),SUMIFS(Dati!$F$2:$F$761,Dati!$A$2:$A$761,$H75,Dati!$H$2:$H$761,$AO75)+SUMIFS(Dati!$M$2:$M$761,Dati!$H$2:$H$761,$H75,Dati!$A$2:$A$761,$AO75),"-")</f>
        <v/>
      </c>
      <c r="DZ75" s="22">
        <f>IF(AND($H75&lt;&gt;"",$AP75&lt;&gt;"",$H75&lt;&gt;$AP75,IFERROR(VLOOKUP($H75,areaCercaPuntiClassificaSquadra,3,FALSE),-1)=IFERROR(VLOOKUP($AP75,areaCercaPuntiClassificaSquadra,3,FALSE),-2)),SUMIFS(Dati!$F$2:$F$761,Dati!$A$2:$A$761,$H75,Dati!$H$2:$H$761,$AP75)+SUMIFS(Dati!$M$2:$M$761,Dati!$H$2:$H$761,$H75,Dati!$A$2:$A$761,$AP75),"-")</f>
        <v/>
      </c>
      <c r="EA75" s="22">
        <f>IF(AND($H75&lt;&gt;"",$AQ75&lt;&gt;"",$H75&lt;&gt;$AQ75,IFERROR(VLOOKUP($H75,areaCercaPuntiClassificaSquadra,3,FALSE),-1)=IFERROR(VLOOKUP($AQ75,areaCercaPuntiClassificaSquadra,3,FALSE),-2)),SUMIFS(Dati!$F$2:$F$761,Dati!$A$2:$A$761,$H75,Dati!$H$2:$H$761,$AQ75)+SUMIFS(Dati!$M$2:$M$761,Dati!$H$2:$H$761,$H75,Dati!$A$2:$A$761,$AQ75),"-")</f>
        <v/>
      </c>
      <c r="EB75" s="22">
        <f>IF(AND($H75&lt;&gt;"",$AR75&lt;&gt;"",$H75&lt;&gt;$AR75,IFERROR(VLOOKUP($H75,areaCercaPuntiClassificaSquadra,3,FALSE),-1)=IFERROR(VLOOKUP($AR75,areaCercaPuntiClassificaSquadra,3,FALSE),-2)),SUMIFS(Dati!$F$2:$F$761,Dati!$A$2:$A$761,$H75,Dati!$H$2:$H$761,$AR75)+SUMIFS(Dati!$M$2:$M$761,Dati!$H$2:$H$761,$H75,Dati!$A$2:$A$761,$AR75),"-")</f>
        <v/>
      </c>
      <c r="ED75" s="22">
        <f>IF($C75="","",SUM(AU75:BN75))</f>
        <v/>
      </c>
    </row>
    <row r="76">
      <c r="B76" s="12" t="inlineStr">
        <is>
          <t>D03</t>
        </is>
      </c>
      <c r="C76" s="13" t="inlineStr">
        <is>
          <t>Oritteropi Onorevoli-Oritteropiopoli OI</t>
        </is>
      </c>
      <c r="D76" s="14" t="n"/>
      <c r="E76" s="27" t="inlineStr">
        <is>
          <t>D</t>
        </is>
      </c>
      <c r="G76" s="28">
        <f>IF($C76="","",$E76&amp;(COUNTIFS(I$14:I$93,"&gt;"&amp;I76,E$14:E$93,"="&amp;E76,C$14:C$93,"&lt;&gt;")+COUNTIFS(I$14:I$93,"="&amp;I76,H$14:H$93,"&lt;="&amp;H76,E$14:E$93,"="&amp;E76,C$14:C$93,"&lt;&gt;")))</f>
        <v/>
      </c>
      <c r="H76" s="17">
        <f>IF($C76="","",IFERROR(LEFT($C76,FIND("-",$C76)-1),$C76))</f>
        <v/>
      </c>
      <c r="I76" s="12">
        <f>TEXT(1000000000+J76,"|0000000000|")&amp;TEXT(SUM(AU76:BN76),"0000000000|")&amp;IF(SUM(DI76:EB76)=0,"0000000000|",TEXT(ROUND(SUM(CM76:DF76)/SUM(DI76:EB76),4)*100000,"0000000000|"))&amp;IF(P76=0,"0000000000|",TEXT(ROUND(O76/P76,4)*100000,"0000000000|"))</f>
        <v/>
      </c>
      <c r="J76" s="28">
        <f>L76*constPuntiVittoria+M76*constPuntiSconfitta+N76*constPuntiForfait+IF(D76="",0,D76)</f>
        <v/>
      </c>
      <c r="K76" s="12">
        <f>SUM(L76:N76)</f>
        <v/>
      </c>
      <c r="L76" s="12">
        <f>IF($H76="",0,SUMIF(Dati!$A$2:$A$761,$H76,Dati!$B$2:$B$761)+SUMIF(Dati!$H$2:$H$761,$H76,Dati!$I$2:$I$761))</f>
        <v/>
      </c>
      <c r="M76" s="12">
        <f>IF($H76="",0,SUMIF(Dati!$A$2:$A$761,$H76,Dati!$D$2:$D$761)+SUMIF(Dati!$H$2:$H$761,$H76,Dati!$K$2:$K$761))</f>
        <v/>
      </c>
      <c r="N76" s="12">
        <f>IF($H76="",0,SUMIF(Dati!$A$2:$A$761,$H76,Dati!$C$2:$C$761)+SUMIF(Dati!$H$2:$H$761,$H76,Dati!$J$2:$J$761))</f>
        <v/>
      </c>
      <c r="O76" s="12">
        <f>IF($H76="",0,SUMIF(Dati!$A$2:$A$761,$H76,Dati!$E$2:$E$761)+SUMIF(Dati!$H$2:$H$761,$H76,Dati!$L$2:$L$761))</f>
        <v/>
      </c>
      <c r="P76" s="12">
        <f>IF($H76="",0,SUMIF(Dati!$A$2:$A$761,$H76,Dati!$F$2:$F$761)+SUMIF(Dati!$H$2:$H$761,$H76,Dati!$M$2:$M$761))</f>
        <v/>
      </c>
      <c r="Q76" s="12">
        <f>IF($H76="",0,SUMIF(Dati!$A$2:$A$761,$H76,Dati!$G$2:$G$761)+SUMIF(Dati!$H$2:$H$761,$H76,Dati!$N$2:$N$761))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IF(COUNTIFS($E$14:$E$93,$E76,$J$14:$J$93,$J76,$C$14:$C$93,"&lt;&gt;")&lt;=1,"-",SUM(AU76:BN76)&amp;"-"&amp;SUM(BQ76:CJ76))</f>
        <v/>
      </c>
      <c r="V76" s="18">
        <f>IF(COUNTIFS($E$14:$E$93,$E76,$J$14:$J$93,$J76,$C$14:$C$93,"&lt;&gt;",$ED$14:$ED$93,$ED76)&lt;=1,"-",IF(SUM(DI76:EB76)=0,0,ROUND(SUM(CM76:DF76)/SUM(DI76:EB76),3)))</f>
        <v/>
      </c>
      <c r="W76" s="18">
        <f>IF(COUNTIFS($E$14:$E$93,$E76,$J$14:$J$93,$J76,$C$14:$C$93,"&lt;&gt;",$ED$14:$ED$93,$ED76,$V$14:$V$93,$V76)&lt;=1,"-",IF(P76=0,0,ROUND(O76/P76,3)))</f>
        <v/>
      </c>
      <c r="X76" s="19">
        <f>IF($C76="","",$E76&amp;"#"&amp;COUNTIFS($E$14:$E76,$E76,$C$14:$C76,"&lt;&gt;"))</f>
        <v/>
      </c>
      <c r="Y76" s="20">
        <f>IFERROR(INDEX($H$14:$H$93,MATCH($E76&amp;"#1",$X$14:$X$93,0)),"")</f>
        <v/>
      </c>
      <c r="Z76" s="20">
        <f>IFERROR(INDEX($H$14:$H$93,MATCH($E76&amp;"#2",$X$14:$X$93,0)),"")</f>
        <v/>
      </c>
      <c r="AA76" s="20">
        <f>IFERROR(INDEX($H$14:$H$93,MATCH($E76&amp;"#3",$X$14:$X$93,0)),"")</f>
        <v/>
      </c>
      <c r="AB76" s="20">
        <f>IFERROR(INDEX($H$14:$H$93,MATCH($E76&amp;"#4",$X$14:$X$93,0)),"")</f>
        <v/>
      </c>
      <c r="AC76" s="20">
        <f>IFERROR(INDEX($H$14:$H$93,MATCH($E76&amp;"#5",$X$14:$X$93,0)),"")</f>
        <v/>
      </c>
      <c r="AD76" s="20">
        <f>IFERROR(INDEX($H$14:$H$93,MATCH($E76&amp;"#6",$X$14:$X$93,0)),"")</f>
        <v/>
      </c>
      <c r="AE76" s="20">
        <f>IFERROR(INDEX($H$14:$H$93,MATCH($E76&amp;"#7",$X$14:$X$93,0)),"")</f>
        <v/>
      </c>
      <c r="AF76" s="20">
        <f>IFERROR(INDEX($H$14:$H$93,MATCH($E76&amp;"#8",$X$14:$X$93,0)),"")</f>
        <v/>
      </c>
      <c r="AG76" s="20">
        <f>IFERROR(INDEX($H$14:$H$93,MATCH($E76&amp;"#9",$X$14:$X$93,0)),"")</f>
        <v/>
      </c>
      <c r="AH76" s="20">
        <f>IFERROR(INDEX($H$14:$H$93,MATCH($E76&amp;"#10",$X$14:$X$93,0)),"")</f>
        <v/>
      </c>
      <c r="AI76" s="20">
        <f>IFERROR(INDEX($H$14:$H$93,MATCH($E76&amp;"#11",$X$14:$X$93,0)),"")</f>
        <v/>
      </c>
      <c r="AJ76" s="20">
        <f>IFERROR(INDEX($H$14:$H$93,MATCH($E76&amp;"#12",$X$14:$X$93,0)),"")</f>
        <v/>
      </c>
      <c r="AK76" s="20">
        <f>IFERROR(INDEX($H$14:$H$93,MATCH($E76&amp;"#13",$X$14:$X$93,0)),"")</f>
        <v/>
      </c>
      <c r="AL76" s="20">
        <f>IFERROR(INDEX($H$14:$H$93,MATCH($E76&amp;"#14",$X$14:$X$93,0)),"")</f>
        <v/>
      </c>
      <c r="AM76" s="20">
        <f>IFERROR(INDEX($H$14:$H$93,MATCH($E76&amp;"#15",$X$14:$X$93,0)),"")</f>
        <v/>
      </c>
      <c r="AN76" s="20">
        <f>IFERROR(INDEX($H$14:$H$93,MATCH($E76&amp;"#16",$X$14:$X$93,0)),"")</f>
        <v/>
      </c>
      <c r="AO76" s="20">
        <f>IFERROR(INDEX($H$14:$H$93,MATCH($E76&amp;"#17",$X$14:$X$93,0)),"")</f>
        <v/>
      </c>
      <c r="AP76" s="20">
        <f>IFERROR(INDEX($H$14:$H$93,MATCH($E76&amp;"#18",$X$14:$X$93,0)),"")</f>
        <v/>
      </c>
      <c r="AQ76" s="20">
        <f>IFERROR(INDEX($H$14:$H$93,MATCH($E76&amp;"#19",$X$14:$X$93,0)),"")</f>
        <v/>
      </c>
      <c r="AR76" s="20">
        <f>IFERROR(INDEX($H$14:$H$93,MATCH($E76&amp;"#20",$X$14:$X$93,0)),"")</f>
        <v/>
      </c>
      <c r="AT76" s="21">
        <f>$C76</f>
        <v/>
      </c>
      <c r="AU76" s="22">
        <f>IF(AND($H76&lt;&gt;"",$Y76&lt;&gt;"",$H76&lt;&gt;$Y76,IFERROR(VLOOKUP($H76,areaCercaPuntiClassificaSquadra,3,FALSE),-1)=IFERROR(VLOOKUP($Y76,areaCercaPuntiClassificaSquadra,3,FALSE),-2)),SUMIFS(Dati!$B$2:$B$761,Dati!$A$2:$A$761,$H76,Dati!$H$2:$H$761,$Y76)+SUMIFS(Dati!$I$2:$I$761,Dati!$H$2:$H$761,$H76,Dati!$A$2:$A$761,$Y76),"-")</f>
        <v/>
      </c>
      <c r="AV76" s="22">
        <f>IF(AND($H76&lt;&gt;"",$Z76&lt;&gt;"",$H76&lt;&gt;$Z76,IFERROR(VLOOKUP($H76,areaCercaPuntiClassificaSquadra,3,FALSE),-1)=IFERROR(VLOOKUP($Z76,areaCercaPuntiClassificaSquadra,3,FALSE),-2)),SUMIFS(Dati!$B$2:$B$761,Dati!$A$2:$A$761,$H76,Dati!$H$2:$H$761,$Z76)+SUMIFS(Dati!$I$2:$I$761,Dati!$H$2:$H$761,$H76,Dati!$A$2:$A$761,$Z76),"-")</f>
        <v/>
      </c>
      <c r="AW76" s="22">
        <f>IF(AND($H76&lt;&gt;"",$AA76&lt;&gt;"",$H76&lt;&gt;$AA76,IFERROR(VLOOKUP($H76,areaCercaPuntiClassificaSquadra,3,FALSE),-1)=IFERROR(VLOOKUP($AA76,areaCercaPuntiClassificaSquadra,3,FALSE),-2)),SUMIFS(Dati!$B$2:$B$761,Dati!$A$2:$A$761,$H76,Dati!$H$2:$H$761,$AA76)+SUMIFS(Dati!$I$2:$I$761,Dati!$H$2:$H$761,$H76,Dati!$A$2:$A$761,$AA76),"-")</f>
        <v/>
      </c>
      <c r="AX76" s="22">
        <f>IF(AND($H76&lt;&gt;"",$AB76&lt;&gt;"",$H76&lt;&gt;$AB76,IFERROR(VLOOKUP($H76,areaCercaPuntiClassificaSquadra,3,FALSE),-1)=IFERROR(VLOOKUP($AB76,areaCercaPuntiClassificaSquadra,3,FALSE),-2)),SUMIFS(Dati!$B$2:$B$761,Dati!$A$2:$A$761,$H76,Dati!$H$2:$H$761,$AB76)+SUMIFS(Dati!$I$2:$I$761,Dati!$H$2:$H$761,$H76,Dati!$A$2:$A$761,$AB76),"-")</f>
        <v/>
      </c>
      <c r="AY76" s="22">
        <f>IF(AND($H76&lt;&gt;"",$AC76&lt;&gt;"",$H76&lt;&gt;$AC76,IFERROR(VLOOKUP($H76,areaCercaPuntiClassificaSquadra,3,FALSE),-1)=IFERROR(VLOOKUP($AC76,areaCercaPuntiClassificaSquadra,3,FALSE),-2)),SUMIFS(Dati!$B$2:$B$761,Dati!$A$2:$A$761,$H76,Dati!$H$2:$H$761,$AC76)+SUMIFS(Dati!$I$2:$I$761,Dati!$H$2:$H$761,$H76,Dati!$A$2:$A$761,$AC76),"-")</f>
        <v/>
      </c>
      <c r="AZ76" s="22">
        <f>IF(AND($H76&lt;&gt;"",$AD76&lt;&gt;"",$H76&lt;&gt;$AD76,IFERROR(VLOOKUP($H76,areaCercaPuntiClassificaSquadra,3,FALSE),-1)=IFERROR(VLOOKUP($AD76,areaCercaPuntiClassificaSquadra,3,FALSE),-2)),SUMIFS(Dati!$B$2:$B$761,Dati!$A$2:$A$761,$H76,Dati!$H$2:$H$761,$AD76)+SUMIFS(Dati!$I$2:$I$761,Dati!$H$2:$H$761,$H76,Dati!$A$2:$A$761,$AD76),"-")</f>
        <v/>
      </c>
      <c r="BA76" s="22">
        <f>IF(AND($H76&lt;&gt;"",$AE76&lt;&gt;"",$H76&lt;&gt;$AE76,IFERROR(VLOOKUP($H76,areaCercaPuntiClassificaSquadra,3,FALSE),-1)=IFERROR(VLOOKUP($AE76,areaCercaPuntiClassificaSquadra,3,FALSE),-2)),SUMIFS(Dati!$B$2:$B$761,Dati!$A$2:$A$761,$H76,Dati!$H$2:$H$761,$AE76)+SUMIFS(Dati!$I$2:$I$761,Dati!$H$2:$H$761,$H76,Dati!$A$2:$A$761,$AE76),"-")</f>
        <v/>
      </c>
      <c r="BB76" s="22">
        <f>IF(AND($H76&lt;&gt;"",$AF76&lt;&gt;"",$H76&lt;&gt;$AF76,IFERROR(VLOOKUP($H76,areaCercaPuntiClassificaSquadra,3,FALSE),-1)=IFERROR(VLOOKUP($AF76,areaCercaPuntiClassificaSquadra,3,FALSE),-2)),SUMIFS(Dati!$B$2:$B$761,Dati!$A$2:$A$761,$H76,Dati!$H$2:$H$761,$AF76)+SUMIFS(Dati!$I$2:$I$761,Dati!$H$2:$H$761,$H76,Dati!$A$2:$A$761,$AF76),"-")</f>
        <v/>
      </c>
      <c r="BC76" s="22">
        <f>IF(AND($H76&lt;&gt;"",$AG76&lt;&gt;"",$H76&lt;&gt;$AG76,IFERROR(VLOOKUP($H76,areaCercaPuntiClassificaSquadra,3,FALSE),-1)=IFERROR(VLOOKUP($AG76,areaCercaPuntiClassificaSquadra,3,FALSE),-2)),SUMIFS(Dati!$B$2:$B$761,Dati!$A$2:$A$761,$H76,Dati!$H$2:$H$761,$AG76)+SUMIFS(Dati!$I$2:$I$761,Dati!$H$2:$H$761,$H76,Dati!$A$2:$A$761,$AG76),"-")</f>
        <v/>
      </c>
      <c r="BD76" s="22">
        <f>IF(AND($H76&lt;&gt;"",$AH76&lt;&gt;"",$H76&lt;&gt;$AH76,IFERROR(VLOOKUP($H76,areaCercaPuntiClassificaSquadra,3,FALSE),-1)=IFERROR(VLOOKUP($AH76,areaCercaPuntiClassificaSquadra,3,FALSE),-2)),SUMIFS(Dati!$B$2:$B$761,Dati!$A$2:$A$761,$H76,Dati!$H$2:$H$761,$AH76)+SUMIFS(Dati!$I$2:$I$761,Dati!$H$2:$H$761,$H76,Dati!$A$2:$A$761,$AH76),"-")</f>
        <v/>
      </c>
      <c r="BE76" s="22">
        <f>IF(AND($H76&lt;&gt;"",$AI76&lt;&gt;"",$H76&lt;&gt;$AI76,IFERROR(VLOOKUP($H76,areaCercaPuntiClassificaSquadra,3,FALSE),-1)=IFERROR(VLOOKUP($AI76,areaCercaPuntiClassificaSquadra,3,FALSE),-2)),SUMIFS(Dati!$B$2:$B$761,Dati!$A$2:$A$761,$H76,Dati!$H$2:$H$761,$AI76)+SUMIFS(Dati!$I$2:$I$761,Dati!$H$2:$H$761,$H76,Dati!$A$2:$A$761,$AI76),"-")</f>
        <v/>
      </c>
      <c r="BF76" s="22">
        <f>IF(AND($H76&lt;&gt;"",$AJ76&lt;&gt;"",$H76&lt;&gt;$AJ76,IFERROR(VLOOKUP($H76,areaCercaPuntiClassificaSquadra,3,FALSE),-1)=IFERROR(VLOOKUP($AJ76,areaCercaPuntiClassificaSquadra,3,FALSE),-2)),SUMIFS(Dati!$B$2:$B$761,Dati!$A$2:$A$761,$H76,Dati!$H$2:$H$761,$AJ76)+SUMIFS(Dati!$I$2:$I$761,Dati!$H$2:$H$761,$H76,Dati!$A$2:$A$761,$AJ76),"-")</f>
        <v/>
      </c>
      <c r="BG76" s="22">
        <f>IF(AND($H76&lt;&gt;"",$AK76&lt;&gt;"",$H76&lt;&gt;$AK76,IFERROR(VLOOKUP($H76,areaCercaPuntiClassificaSquadra,3,FALSE),-1)=IFERROR(VLOOKUP($AK76,areaCercaPuntiClassificaSquadra,3,FALSE),-2)),SUMIFS(Dati!$B$2:$B$761,Dati!$A$2:$A$761,$H76,Dati!$H$2:$H$761,$AK76)+SUMIFS(Dati!$I$2:$I$761,Dati!$H$2:$H$761,$H76,Dati!$A$2:$A$761,$AK76),"-")</f>
        <v/>
      </c>
      <c r="BH76" s="22">
        <f>IF(AND($H76&lt;&gt;"",$AL76&lt;&gt;"",$H76&lt;&gt;$AL76,IFERROR(VLOOKUP($H76,areaCercaPuntiClassificaSquadra,3,FALSE),-1)=IFERROR(VLOOKUP($AL76,areaCercaPuntiClassificaSquadra,3,FALSE),-2)),SUMIFS(Dati!$B$2:$B$761,Dati!$A$2:$A$761,$H76,Dati!$H$2:$H$761,$AL76)+SUMIFS(Dati!$I$2:$I$761,Dati!$H$2:$H$761,$H76,Dati!$A$2:$A$761,$AL76),"-")</f>
        <v/>
      </c>
      <c r="BI76" s="22">
        <f>IF(AND($H76&lt;&gt;"",$AM76&lt;&gt;"",$H76&lt;&gt;$AM76,IFERROR(VLOOKUP($H76,areaCercaPuntiClassificaSquadra,3,FALSE),-1)=IFERROR(VLOOKUP($AM76,areaCercaPuntiClassificaSquadra,3,FALSE),-2)),SUMIFS(Dati!$B$2:$B$761,Dati!$A$2:$A$761,$H76,Dati!$H$2:$H$761,$AM76)+SUMIFS(Dati!$I$2:$I$761,Dati!$H$2:$H$761,$H76,Dati!$A$2:$A$761,$AM76),"-")</f>
        <v/>
      </c>
      <c r="BJ76" s="22">
        <f>IF(AND($H76&lt;&gt;"",$AN76&lt;&gt;"",$H76&lt;&gt;$AN76,IFERROR(VLOOKUP($H76,areaCercaPuntiClassificaSquadra,3,FALSE),-1)=IFERROR(VLOOKUP($AN76,areaCercaPuntiClassificaSquadra,3,FALSE),-2)),SUMIFS(Dati!$B$2:$B$761,Dati!$A$2:$A$761,$H76,Dati!$H$2:$H$761,$AN76)+SUMIFS(Dati!$I$2:$I$761,Dati!$H$2:$H$761,$H76,Dati!$A$2:$A$761,$AN76),"-")</f>
        <v/>
      </c>
      <c r="BK76" s="22">
        <f>IF(AND($H76&lt;&gt;"",$AO76&lt;&gt;"",$H76&lt;&gt;$AO76,IFERROR(VLOOKUP($H76,areaCercaPuntiClassificaSquadra,3,FALSE),-1)=IFERROR(VLOOKUP($AO76,areaCercaPuntiClassificaSquadra,3,FALSE),-2)),SUMIFS(Dati!$B$2:$B$761,Dati!$A$2:$A$761,$H76,Dati!$H$2:$H$761,$AO76)+SUMIFS(Dati!$I$2:$I$761,Dati!$H$2:$H$761,$H76,Dati!$A$2:$A$761,$AO76),"-")</f>
        <v/>
      </c>
      <c r="BL76" s="22">
        <f>IF(AND($H76&lt;&gt;"",$AP76&lt;&gt;"",$H76&lt;&gt;$AP76,IFERROR(VLOOKUP($H76,areaCercaPuntiClassificaSquadra,3,FALSE),-1)=IFERROR(VLOOKUP($AP76,areaCercaPuntiClassificaSquadra,3,FALSE),-2)),SUMIFS(Dati!$B$2:$B$761,Dati!$A$2:$A$761,$H76,Dati!$H$2:$H$761,$AP76)+SUMIFS(Dati!$I$2:$I$761,Dati!$H$2:$H$761,$H76,Dati!$A$2:$A$761,$AP76),"-")</f>
        <v/>
      </c>
      <c r="BM76" s="22">
        <f>IF(AND($H76&lt;&gt;"",$AQ76&lt;&gt;"",$H76&lt;&gt;$AQ76,IFERROR(VLOOKUP($H76,areaCercaPuntiClassificaSquadra,3,FALSE),-1)=IFERROR(VLOOKUP($AQ76,areaCercaPuntiClassificaSquadra,3,FALSE),-2)),SUMIFS(Dati!$B$2:$B$761,Dati!$A$2:$A$761,$H76,Dati!$H$2:$H$761,$AQ76)+SUMIFS(Dati!$I$2:$I$761,Dati!$H$2:$H$761,$H76,Dati!$A$2:$A$761,$AQ76),"-")</f>
        <v/>
      </c>
      <c r="BN76" s="22">
        <f>IF(AND($H76&lt;&gt;"",$AR76&lt;&gt;"",$H76&lt;&gt;$AR76,IFERROR(VLOOKUP($H76,areaCercaPuntiClassificaSquadra,3,FALSE),-1)=IFERROR(VLOOKUP($AR76,areaCercaPuntiClassificaSquadra,3,FALSE),-2)),SUMIFS(Dati!$B$2:$B$761,Dati!$A$2:$A$761,$H76,Dati!$H$2:$H$761,$AR76)+SUMIFS(Dati!$I$2:$I$761,Dati!$H$2:$H$761,$H76,Dati!$A$2:$A$761,$AR76),"-")</f>
        <v/>
      </c>
      <c r="BP76" s="21">
        <f>$C76</f>
        <v/>
      </c>
      <c r="BQ76" s="22">
        <f>IF(AND($H76&lt;&gt;"",$Y76&lt;&gt;"",$H76&lt;&gt;$Y76,IFERROR(VLOOKUP($H76,areaCercaPuntiClassificaSquadra,3,FALSE),-1)=IFERROR(VLOOKUP($Y76,areaCercaPuntiClassificaSquadra,3,FALSE),-2)),SUMIFS(Dati!$D$2:$D$761,Dati!$A$2:$A$761,$H76,Dati!$H$2:$H$761,$Y76)+SUMIFS(Dati!$K$2:$K$761,Dati!$H$2:$H$761,$H76,Dati!$A$2:$A$761,$Y76)+SUMIFS(Dati!$C$2:$C$761,Dati!$A$2:$A$761,$H76,Dati!$H$2:$H$761,$Y76)+SUMIFS(Dati!$J$2:$J$761,Dati!$H$2:$H$761,$H76,Dati!$A$2:$A$761,$Y76),"-")</f>
        <v/>
      </c>
      <c r="BR76" s="22">
        <f>IF(AND($H76&lt;&gt;"",$Z76&lt;&gt;"",$H76&lt;&gt;$Z76,IFERROR(VLOOKUP($H76,areaCercaPuntiClassificaSquadra,3,FALSE),-1)=IFERROR(VLOOKUP($Z76,areaCercaPuntiClassificaSquadra,3,FALSE),-2)),SUMIFS(Dati!$D$2:$D$761,Dati!$A$2:$A$761,$H76,Dati!$H$2:$H$761,$Z76)+SUMIFS(Dati!$K$2:$K$761,Dati!$H$2:$H$761,$H76,Dati!$A$2:$A$761,$Z76)+SUMIFS(Dati!$C$2:$C$761,Dati!$A$2:$A$761,$H76,Dati!$H$2:$H$761,$Z76)+SUMIFS(Dati!$J$2:$J$761,Dati!$H$2:$H$761,$H76,Dati!$A$2:$A$761,$Z76),"-")</f>
        <v/>
      </c>
      <c r="BS76" s="22">
        <f>IF(AND($H76&lt;&gt;"",$AA76&lt;&gt;"",$H76&lt;&gt;$AA76,IFERROR(VLOOKUP($H76,areaCercaPuntiClassificaSquadra,3,FALSE),-1)=IFERROR(VLOOKUP($AA76,areaCercaPuntiClassificaSquadra,3,FALSE),-2)),SUMIFS(Dati!$D$2:$D$761,Dati!$A$2:$A$761,$H76,Dati!$H$2:$H$761,$AA76)+SUMIFS(Dati!$K$2:$K$761,Dati!$H$2:$H$761,$H76,Dati!$A$2:$A$761,$AA76)+SUMIFS(Dati!$C$2:$C$761,Dati!$A$2:$A$761,$H76,Dati!$H$2:$H$761,$AA76)+SUMIFS(Dati!$J$2:$J$761,Dati!$H$2:$H$761,$H76,Dati!$A$2:$A$761,$AA76),"-")</f>
        <v/>
      </c>
      <c r="BT76" s="22">
        <f>IF(AND($H76&lt;&gt;"",$AB76&lt;&gt;"",$H76&lt;&gt;$AB76,IFERROR(VLOOKUP($H76,areaCercaPuntiClassificaSquadra,3,FALSE),-1)=IFERROR(VLOOKUP($AB76,areaCercaPuntiClassificaSquadra,3,FALSE),-2)),SUMIFS(Dati!$D$2:$D$761,Dati!$A$2:$A$761,$H76,Dati!$H$2:$H$761,$AB76)+SUMIFS(Dati!$K$2:$K$761,Dati!$H$2:$H$761,$H76,Dati!$A$2:$A$761,$AB76)+SUMIFS(Dati!$C$2:$C$761,Dati!$A$2:$A$761,$H76,Dati!$H$2:$H$761,$AB76)+SUMIFS(Dati!$J$2:$J$761,Dati!$H$2:$H$761,$H76,Dati!$A$2:$A$761,$AB76),"-")</f>
        <v/>
      </c>
      <c r="BU76" s="22">
        <f>IF(AND($H76&lt;&gt;"",$AC76&lt;&gt;"",$H76&lt;&gt;$AC76,IFERROR(VLOOKUP($H76,areaCercaPuntiClassificaSquadra,3,FALSE),-1)=IFERROR(VLOOKUP($AC76,areaCercaPuntiClassificaSquadra,3,FALSE),-2)),SUMIFS(Dati!$D$2:$D$761,Dati!$A$2:$A$761,$H76,Dati!$H$2:$H$761,$AC76)+SUMIFS(Dati!$K$2:$K$761,Dati!$H$2:$H$761,$H76,Dati!$A$2:$A$761,$AC76)+SUMIFS(Dati!$C$2:$C$761,Dati!$A$2:$A$761,$H76,Dati!$H$2:$H$761,$AC76)+SUMIFS(Dati!$J$2:$J$761,Dati!$H$2:$H$761,$H76,Dati!$A$2:$A$761,$AC76),"-")</f>
        <v/>
      </c>
      <c r="BV76" s="22">
        <f>IF(AND($H76&lt;&gt;"",$AD76&lt;&gt;"",$H76&lt;&gt;$AD76,IFERROR(VLOOKUP($H76,areaCercaPuntiClassificaSquadra,3,FALSE),-1)=IFERROR(VLOOKUP($AD76,areaCercaPuntiClassificaSquadra,3,FALSE),-2)),SUMIFS(Dati!$D$2:$D$761,Dati!$A$2:$A$761,$H76,Dati!$H$2:$H$761,$AD76)+SUMIFS(Dati!$K$2:$K$761,Dati!$H$2:$H$761,$H76,Dati!$A$2:$A$761,$AD76)+SUMIFS(Dati!$C$2:$C$761,Dati!$A$2:$A$761,$H76,Dati!$H$2:$H$761,$AD76)+SUMIFS(Dati!$J$2:$J$761,Dati!$H$2:$H$761,$H76,Dati!$A$2:$A$761,$AD76),"-")</f>
        <v/>
      </c>
      <c r="BW76" s="22">
        <f>IF(AND($H76&lt;&gt;"",$AE76&lt;&gt;"",$H76&lt;&gt;$AE76,IFERROR(VLOOKUP($H76,areaCercaPuntiClassificaSquadra,3,FALSE),-1)=IFERROR(VLOOKUP($AE76,areaCercaPuntiClassificaSquadra,3,FALSE),-2)),SUMIFS(Dati!$D$2:$D$761,Dati!$A$2:$A$761,$H76,Dati!$H$2:$H$761,$AE76)+SUMIFS(Dati!$K$2:$K$761,Dati!$H$2:$H$761,$H76,Dati!$A$2:$A$761,$AE76)+SUMIFS(Dati!$C$2:$C$761,Dati!$A$2:$A$761,$H76,Dati!$H$2:$H$761,$AE76)+SUMIFS(Dati!$J$2:$J$761,Dati!$H$2:$H$761,$H76,Dati!$A$2:$A$761,$AE76),"-")</f>
        <v/>
      </c>
      <c r="BX76" s="22">
        <f>IF(AND($H76&lt;&gt;"",$AF76&lt;&gt;"",$H76&lt;&gt;$AF76,IFERROR(VLOOKUP($H76,areaCercaPuntiClassificaSquadra,3,FALSE),-1)=IFERROR(VLOOKUP($AF76,areaCercaPuntiClassificaSquadra,3,FALSE),-2)),SUMIFS(Dati!$D$2:$D$761,Dati!$A$2:$A$761,$H76,Dati!$H$2:$H$761,$AF76)+SUMIFS(Dati!$K$2:$K$761,Dati!$H$2:$H$761,$H76,Dati!$A$2:$A$761,$AF76)+SUMIFS(Dati!$C$2:$C$761,Dati!$A$2:$A$761,$H76,Dati!$H$2:$H$761,$AF76)+SUMIFS(Dati!$J$2:$J$761,Dati!$H$2:$H$761,$H76,Dati!$A$2:$A$761,$AF76),"-")</f>
        <v/>
      </c>
      <c r="BY76" s="22">
        <f>IF(AND($H76&lt;&gt;"",$AG76&lt;&gt;"",$H76&lt;&gt;$AG76,IFERROR(VLOOKUP($H76,areaCercaPuntiClassificaSquadra,3,FALSE),-1)=IFERROR(VLOOKUP($AG76,areaCercaPuntiClassificaSquadra,3,FALSE),-2)),SUMIFS(Dati!$D$2:$D$761,Dati!$A$2:$A$761,$H76,Dati!$H$2:$H$761,$AG76)+SUMIFS(Dati!$K$2:$K$761,Dati!$H$2:$H$761,$H76,Dati!$A$2:$A$761,$AG76)+SUMIFS(Dati!$C$2:$C$761,Dati!$A$2:$A$761,$H76,Dati!$H$2:$H$761,$AG76)+SUMIFS(Dati!$J$2:$J$761,Dati!$H$2:$H$761,$H76,Dati!$A$2:$A$761,$AG76),"-")</f>
        <v/>
      </c>
      <c r="BZ76" s="22">
        <f>IF(AND($H76&lt;&gt;"",$AH76&lt;&gt;"",$H76&lt;&gt;$AH76,IFERROR(VLOOKUP($H76,areaCercaPuntiClassificaSquadra,3,FALSE),-1)=IFERROR(VLOOKUP($AH76,areaCercaPuntiClassificaSquadra,3,FALSE),-2)),SUMIFS(Dati!$D$2:$D$761,Dati!$A$2:$A$761,$H76,Dati!$H$2:$H$761,$AH76)+SUMIFS(Dati!$K$2:$K$761,Dati!$H$2:$H$761,$H76,Dati!$A$2:$A$761,$AH76)+SUMIFS(Dati!$C$2:$C$761,Dati!$A$2:$A$761,$H76,Dati!$H$2:$H$761,$AH76)+SUMIFS(Dati!$J$2:$J$761,Dati!$H$2:$H$761,$H76,Dati!$A$2:$A$761,$AH76),"-")</f>
        <v/>
      </c>
      <c r="CA76" s="22">
        <f>IF(AND($H76&lt;&gt;"",$AI76&lt;&gt;"",$H76&lt;&gt;$AI76,IFERROR(VLOOKUP($H76,areaCercaPuntiClassificaSquadra,3,FALSE),-1)=IFERROR(VLOOKUP($AI76,areaCercaPuntiClassificaSquadra,3,FALSE),-2)),SUMIFS(Dati!$D$2:$D$761,Dati!$A$2:$A$761,$H76,Dati!$H$2:$H$761,$AI76)+SUMIFS(Dati!$K$2:$K$761,Dati!$H$2:$H$761,$H76,Dati!$A$2:$A$761,$AI76)+SUMIFS(Dati!$C$2:$C$761,Dati!$A$2:$A$761,$H76,Dati!$H$2:$H$761,$AI76)+SUMIFS(Dati!$J$2:$J$761,Dati!$H$2:$H$761,$H76,Dati!$A$2:$A$761,$AI76),"-")</f>
        <v/>
      </c>
      <c r="CB76" s="22">
        <f>IF(AND($H76&lt;&gt;"",$AJ76&lt;&gt;"",$H76&lt;&gt;$AJ76,IFERROR(VLOOKUP($H76,areaCercaPuntiClassificaSquadra,3,FALSE),-1)=IFERROR(VLOOKUP($AJ76,areaCercaPuntiClassificaSquadra,3,FALSE),-2)),SUMIFS(Dati!$D$2:$D$761,Dati!$A$2:$A$761,$H76,Dati!$H$2:$H$761,$AJ76)+SUMIFS(Dati!$K$2:$K$761,Dati!$H$2:$H$761,$H76,Dati!$A$2:$A$761,$AJ76)+SUMIFS(Dati!$C$2:$C$761,Dati!$A$2:$A$761,$H76,Dati!$H$2:$H$761,$AJ76)+SUMIFS(Dati!$J$2:$J$761,Dati!$H$2:$H$761,$H76,Dati!$A$2:$A$761,$AJ76),"-")</f>
        <v/>
      </c>
      <c r="CC76" s="22">
        <f>IF(AND($H76&lt;&gt;"",$AK76&lt;&gt;"",$H76&lt;&gt;$AK76,IFERROR(VLOOKUP($H76,areaCercaPuntiClassificaSquadra,3,FALSE),-1)=IFERROR(VLOOKUP($AK76,areaCercaPuntiClassificaSquadra,3,FALSE),-2)),SUMIFS(Dati!$D$2:$D$761,Dati!$A$2:$A$761,$H76,Dati!$H$2:$H$761,$AK76)+SUMIFS(Dati!$K$2:$K$761,Dati!$H$2:$H$761,$H76,Dati!$A$2:$A$761,$AK76)+SUMIFS(Dati!$C$2:$C$761,Dati!$A$2:$A$761,$H76,Dati!$H$2:$H$761,$AK76)+SUMIFS(Dati!$J$2:$J$761,Dati!$H$2:$H$761,$H76,Dati!$A$2:$A$761,$AK76),"-")</f>
        <v/>
      </c>
      <c r="CD76" s="22">
        <f>IF(AND($H76&lt;&gt;"",$AL76&lt;&gt;"",$H76&lt;&gt;$AL76,IFERROR(VLOOKUP($H76,areaCercaPuntiClassificaSquadra,3,FALSE),-1)=IFERROR(VLOOKUP($AL76,areaCercaPuntiClassificaSquadra,3,FALSE),-2)),SUMIFS(Dati!$D$2:$D$761,Dati!$A$2:$A$761,$H76,Dati!$H$2:$H$761,$AL76)+SUMIFS(Dati!$K$2:$K$761,Dati!$H$2:$H$761,$H76,Dati!$A$2:$A$761,$AL76)+SUMIFS(Dati!$C$2:$C$761,Dati!$A$2:$A$761,$H76,Dati!$H$2:$H$761,$AL76)+SUMIFS(Dati!$J$2:$J$761,Dati!$H$2:$H$761,$H76,Dati!$A$2:$A$761,$AL76),"-")</f>
        <v/>
      </c>
      <c r="CE76" s="22">
        <f>IF(AND($H76&lt;&gt;"",$AM76&lt;&gt;"",$H76&lt;&gt;$AM76,IFERROR(VLOOKUP($H76,areaCercaPuntiClassificaSquadra,3,FALSE),-1)=IFERROR(VLOOKUP($AM76,areaCercaPuntiClassificaSquadra,3,FALSE),-2)),SUMIFS(Dati!$D$2:$D$761,Dati!$A$2:$A$761,$H76,Dati!$H$2:$H$761,$AM76)+SUMIFS(Dati!$K$2:$K$761,Dati!$H$2:$H$761,$H76,Dati!$A$2:$A$761,$AM76)+SUMIFS(Dati!$C$2:$C$761,Dati!$A$2:$A$761,$H76,Dati!$H$2:$H$761,$AM76)+SUMIFS(Dati!$J$2:$J$761,Dati!$H$2:$H$761,$H76,Dati!$A$2:$A$761,$AM76),"-")</f>
        <v/>
      </c>
      <c r="CF76" s="22">
        <f>IF(AND($H76&lt;&gt;"",$AN76&lt;&gt;"",$H76&lt;&gt;$AN76,IFERROR(VLOOKUP($H76,areaCercaPuntiClassificaSquadra,3,FALSE),-1)=IFERROR(VLOOKUP($AN76,areaCercaPuntiClassificaSquadra,3,FALSE),-2)),SUMIFS(Dati!$D$2:$D$761,Dati!$A$2:$A$761,$H76,Dati!$H$2:$H$761,$AN76)+SUMIFS(Dati!$K$2:$K$761,Dati!$H$2:$H$761,$H76,Dati!$A$2:$A$761,$AN76)+SUMIFS(Dati!$C$2:$C$761,Dati!$A$2:$A$761,$H76,Dati!$H$2:$H$761,$AN76)+SUMIFS(Dati!$J$2:$J$761,Dati!$H$2:$H$761,$H76,Dati!$A$2:$A$761,$AN76),"-")</f>
        <v/>
      </c>
      <c r="CG76" s="22">
        <f>IF(AND($H76&lt;&gt;"",$AO76&lt;&gt;"",$H76&lt;&gt;$AO76,IFERROR(VLOOKUP($H76,areaCercaPuntiClassificaSquadra,3,FALSE),-1)=IFERROR(VLOOKUP($AO76,areaCercaPuntiClassificaSquadra,3,FALSE),-2)),SUMIFS(Dati!$D$2:$D$761,Dati!$A$2:$A$761,$H76,Dati!$H$2:$H$761,$AO76)+SUMIFS(Dati!$K$2:$K$761,Dati!$H$2:$H$761,$H76,Dati!$A$2:$A$761,$AO76)+SUMIFS(Dati!$C$2:$C$761,Dati!$A$2:$A$761,$H76,Dati!$H$2:$H$761,$AO76)+SUMIFS(Dati!$J$2:$J$761,Dati!$H$2:$H$761,$H76,Dati!$A$2:$A$761,$AO76),"-")</f>
        <v/>
      </c>
      <c r="CH76" s="22">
        <f>IF(AND($H76&lt;&gt;"",$AP76&lt;&gt;"",$H76&lt;&gt;$AP76,IFERROR(VLOOKUP($H76,areaCercaPuntiClassificaSquadra,3,FALSE),-1)=IFERROR(VLOOKUP($AP76,areaCercaPuntiClassificaSquadra,3,FALSE),-2)),SUMIFS(Dati!$D$2:$D$761,Dati!$A$2:$A$761,$H76,Dati!$H$2:$H$761,$AP76)+SUMIFS(Dati!$K$2:$K$761,Dati!$H$2:$H$761,$H76,Dati!$A$2:$A$761,$AP76)+SUMIFS(Dati!$C$2:$C$761,Dati!$A$2:$A$761,$H76,Dati!$H$2:$H$761,$AP76)+SUMIFS(Dati!$J$2:$J$761,Dati!$H$2:$H$761,$H76,Dati!$A$2:$A$761,$AP76),"-")</f>
        <v/>
      </c>
      <c r="CI76" s="22">
        <f>IF(AND($H76&lt;&gt;"",$AQ76&lt;&gt;"",$H76&lt;&gt;$AQ76,IFERROR(VLOOKUP($H76,areaCercaPuntiClassificaSquadra,3,FALSE),-1)=IFERROR(VLOOKUP($AQ76,areaCercaPuntiClassificaSquadra,3,FALSE),-2)),SUMIFS(Dati!$D$2:$D$761,Dati!$A$2:$A$761,$H76,Dati!$H$2:$H$761,$AQ76)+SUMIFS(Dati!$K$2:$K$761,Dati!$H$2:$H$761,$H76,Dati!$A$2:$A$761,$AQ76)+SUMIFS(Dati!$C$2:$C$761,Dati!$A$2:$A$761,$H76,Dati!$H$2:$H$761,$AQ76)+SUMIFS(Dati!$J$2:$J$761,Dati!$H$2:$H$761,$H76,Dati!$A$2:$A$761,$AQ76),"-")</f>
        <v/>
      </c>
      <c r="CJ76" s="22">
        <f>IF(AND($H76&lt;&gt;"",$AR76&lt;&gt;"",$H76&lt;&gt;$AR76,IFERROR(VLOOKUP($H76,areaCercaPuntiClassificaSquadra,3,FALSE),-1)=IFERROR(VLOOKUP($AR76,areaCercaPuntiClassificaSquadra,3,FALSE),-2)),SUMIFS(Dati!$D$2:$D$761,Dati!$A$2:$A$761,$H76,Dati!$H$2:$H$761,$AR76)+SUMIFS(Dati!$K$2:$K$761,Dati!$H$2:$H$761,$H76,Dati!$A$2:$A$761,$AR76)+SUMIFS(Dati!$C$2:$C$761,Dati!$A$2:$A$761,$H76,Dati!$H$2:$H$761,$AR76)+SUMIFS(Dati!$J$2:$J$761,Dati!$H$2:$H$761,$H76,Dati!$A$2:$A$761,$AR76),"-")</f>
        <v/>
      </c>
      <c r="CL76" s="21">
        <f>$C76</f>
        <v/>
      </c>
      <c r="CM76" s="22">
        <f>IF(AND($H76&lt;&gt;"",$Y76&lt;&gt;"",$H76&lt;&gt;$Y76,IFERROR(VLOOKUP($H76,areaCercaPuntiClassificaSquadra,3,FALSE),-1)=IFERROR(VLOOKUP($Y76,areaCercaPuntiClassificaSquadra,3,FALSE),-2)),SUMIFS(Dati!$E$2:$E$761,Dati!$A$2:$A$761,$H76,Dati!$H$2:$H$761,$Y76)+SUMIFS(Dati!$L$2:$L$761,Dati!$H$2:$H$761,$H76,Dati!$A$2:$A$761,$Y76),"-")</f>
        <v/>
      </c>
      <c r="CN76" s="22">
        <f>IF(AND($H76&lt;&gt;"",$Z76&lt;&gt;"",$H76&lt;&gt;$Z76,IFERROR(VLOOKUP($H76,areaCercaPuntiClassificaSquadra,3,FALSE),-1)=IFERROR(VLOOKUP($Z76,areaCercaPuntiClassificaSquadra,3,FALSE),-2)),SUMIFS(Dati!$E$2:$E$761,Dati!$A$2:$A$761,$H76,Dati!$H$2:$H$761,$Z76)+SUMIFS(Dati!$L$2:$L$761,Dati!$H$2:$H$761,$H76,Dati!$A$2:$A$761,$Z76),"-")</f>
        <v/>
      </c>
      <c r="CO76" s="22">
        <f>IF(AND($H76&lt;&gt;"",$AA76&lt;&gt;"",$H76&lt;&gt;$AA76,IFERROR(VLOOKUP($H76,areaCercaPuntiClassificaSquadra,3,FALSE),-1)=IFERROR(VLOOKUP($AA76,areaCercaPuntiClassificaSquadra,3,FALSE),-2)),SUMIFS(Dati!$E$2:$E$761,Dati!$A$2:$A$761,$H76,Dati!$H$2:$H$761,$AA76)+SUMIFS(Dati!$L$2:$L$761,Dati!$H$2:$H$761,$H76,Dati!$A$2:$A$761,$AA76),"-")</f>
        <v/>
      </c>
      <c r="CP76" s="22">
        <f>IF(AND($H76&lt;&gt;"",$AB76&lt;&gt;"",$H76&lt;&gt;$AB76,IFERROR(VLOOKUP($H76,areaCercaPuntiClassificaSquadra,3,FALSE),-1)=IFERROR(VLOOKUP($AB76,areaCercaPuntiClassificaSquadra,3,FALSE),-2)),SUMIFS(Dati!$E$2:$E$761,Dati!$A$2:$A$761,$H76,Dati!$H$2:$H$761,$AB76)+SUMIFS(Dati!$L$2:$L$761,Dati!$H$2:$H$761,$H76,Dati!$A$2:$A$761,$AB76),"-")</f>
        <v/>
      </c>
      <c r="CQ76" s="22">
        <f>IF(AND($H76&lt;&gt;"",$AC76&lt;&gt;"",$H76&lt;&gt;$AC76,IFERROR(VLOOKUP($H76,areaCercaPuntiClassificaSquadra,3,FALSE),-1)=IFERROR(VLOOKUP($AC76,areaCercaPuntiClassificaSquadra,3,FALSE),-2)),SUMIFS(Dati!$E$2:$E$761,Dati!$A$2:$A$761,$H76,Dati!$H$2:$H$761,$AC76)+SUMIFS(Dati!$L$2:$L$761,Dati!$H$2:$H$761,$H76,Dati!$A$2:$A$761,$AC76),"-")</f>
        <v/>
      </c>
      <c r="CR76" s="22">
        <f>IF(AND($H76&lt;&gt;"",$AD76&lt;&gt;"",$H76&lt;&gt;$AD76,IFERROR(VLOOKUP($H76,areaCercaPuntiClassificaSquadra,3,FALSE),-1)=IFERROR(VLOOKUP($AD76,areaCercaPuntiClassificaSquadra,3,FALSE),-2)),SUMIFS(Dati!$E$2:$E$761,Dati!$A$2:$A$761,$H76,Dati!$H$2:$H$761,$AD76)+SUMIFS(Dati!$L$2:$L$761,Dati!$H$2:$H$761,$H76,Dati!$A$2:$A$761,$AD76),"-")</f>
        <v/>
      </c>
      <c r="CS76" s="22">
        <f>IF(AND($H76&lt;&gt;"",$AE76&lt;&gt;"",$H76&lt;&gt;$AE76,IFERROR(VLOOKUP($H76,areaCercaPuntiClassificaSquadra,3,FALSE),-1)=IFERROR(VLOOKUP($AE76,areaCercaPuntiClassificaSquadra,3,FALSE),-2)),SUMIFS(Dati!$E$2:$E$761,Dati!$A$2:$A$761,$H76,Dati!$H$2:$H$761,$AE76)+SUMIFS(Dati!$L$2:$L$761,Dati!$H$2:$H$761,$H76,Dati!$A$2:$A$761,$AE76),"-")</f>
        <v/>
      </c>
      <c r="CT76" s="22">
        <f>IF(AND($H76&lt;&gt;"",$AF76&lt;&gt;"",$H76&lt;&gt;$AF76,IFERROR(VLOOKUP($H76,areaCercaPuntiClassificaSquadra,3,FALSE),-1)=IFERROR(VLOOKUP($AF76,areaCercaPuntiClassificaSquadra,3,FALSE),-2)),SUMIFS(Dati!$E$2:$E$761,Dati!$A$2:$A$761,$H76,Dati!$H$2:$H$761,$AF76)+SUMIFS(Dati!$L$2:$L$761,Dati!$H$2:$H$761,$H76,Dati!$A$2:$A$761,$AF76),"-")</f>
        <v/>
      </c>
      <c r="CU76" s="22">
        <f>IF(AND($H76&lt;&gt;"",$AG76&lt;&gt;"",$H76&lt;&gt;$AG76,IFERROR(VLOOKUP($H76,areaCercaPuntiClassificaSquadra,3,FALSE),-1)=IFERROR(VLOOKUP($AG76,areaCercaPuntiClassificaSquadra,3,FALSE),-2)),SUMIFS(Dati!$E$2:$E$761,Dati!$A$2:$A$761,$H76,Dati!$H$2:$H$761,$AG76)+SUMIFS(Dati!$L$2:$L$761,Dati!$H$2:$H$761,$H76,Dati!$A$2:$A$761,$AG76),"-")</f>
        <v/>
      </c>
      <c r="CV76" s="22">
        <f>IF(AND($H76&lt;&gt;"",$AH76&lt;&gt;"",$H76&lt;&gt;$AH76,IFERROR(VLOOKUP($H76,areaCercaPuntiClassificaSquadra,3,FALSE),-1)=IFERROR(VLOOKUP($AH76,areaCercaPuntiClassificaSquadra,3,FALSE),-2)),SUMIFS(Dati!$E$2:$E$761,Dati!$A$2:$A$761,$H76,Dati!$H$2:$H$761,$AH76)+SUMIFS(Dati!$L$2:$L$761,Dati!$H$2:$H$761,$H76,Dati!$A$2:$A$761,$AH76),"-")</f>
        <v/>
      </c>
      <c r="CW76" s="22">
        <f>IF(AND($H76&lt;&gt;"",$AI76&lt;&gt;"",$H76&lt;&gt;$AI76,IFERROR(VLOOKUP($H76,areaCercaPuntiClassificaSquadra,3,FALSE),-1)=IFERROR(VLOOKUP($AI76,areaCercaPuntiClassificaSquadra,3,FALSE),-2)),SUMIFS(Dati!$E$2:$E$761,Dati!$A$2:$A$761,$H76,Dati!$H$2:$H$761,$AI76)+SUMIFS(Dati!$L$2:$L$761,Dati!$H$2:$H$761,$H76,Dati!$A$2:$A$761,$AI76),"-")</f>
        <v/>
      </c>
      <c r="CX76" s="22">
        <f>IF(AND($H76&lt;&gt;"",$AJ76&lt;&gt;"",$H76&lt;&gt;$AJ76,IFERROR(VLOOKUP($H76,areaCercaPuntiClassificaSquadra,3,FALSE),-1)=IFERROR(VLOOKUP($AJ76,areaCercaPuntiClassificaSquadra,3,FALSE),-2)),SUMIFS(Dati!$E$2:$E$761,Dati!$A$2:$A$761,$H76,Dati!$H$2:$H$761,$AJ76)+SUMIFS(Dati!$L$2:$L$761,Dati!$H$2:$H$761,$H76,Dati!$A$2:$A$761,$AJ76),"-")</f>
        <v/>
      </c>
      <c r="CY76" s="22">
        <f>IF(AND($H76&lt;&gt;"",$AK76&lt;&gt;"",$H76&lt;&gt;$AK76,IFERROR(VLOOKUP($H76,areaCercaPuntiClassificaSquadra,3,FALSE),-1)=IFERROR(VLOOKUP($AK76,areaCercaPuntiClassificaSquadra,3,FALSE),-2)),SUMIFS(Dati!$E$2:$E$761,Dati!$A$2:$A$761,$H76,Dati!$H$2:$H$761,$AK76)+SUMIFS(Dati!$L$2:$L$761,Dati!$H$2:$H$761,$H76,Dati!$A$2:$A$761,$AK76),"-")</f>
        <v/>
      </c>
      <c r="CZ76" s="22">
        <f>IF(AND($H76&lt;&gt;"",$AL76&lt;&gt;"",$H76&lt;&gt;$AL76,IFERROR(VLOOKUP($H76,areaCercaPuntiClassificaSquadra,3,FALSE),-1)=IFERROR(VLOOKUP($AL76,areaCercaPuntiClassificaSquadra,3,FALSE),-2)),SUMIFS(Dati!$E$2:$E$761,Dati!$A$2:$A$761,$H76,Dati!$H$2:$H$761,$AL76)+SUMIFS(Dati!$L$2:$L$761,Dati!$H$2:$H$761,$H76,Dati!$A$2:$A$761,$AL76),"-")</f>
        <v/>
      </c>
      <c r="DA76" s="22">
        <f>IF(AND($H76&lt;&gt;"",$AM76&lt;&gt;"",$H76&lt;&gt;$AM76,IFERROR(VLOOKUP($H76,areaCercaPuntiClassificaSquadra,3,FALSE),-1)=IFERROR(VLOOKUP($AM76,areaCercaPuntiClassificaSquadra,3,FALSE),-2)),SUMIFS(Dati!$E$2:$E$761,Dati!$A$2:$A$761,$H76,Dati!$H$2:$H$761,$AM76)+SUMIFS(Dati!$L$2:$L$761,Dati!$H$2:$H$761,$H76,Dati!$A$2:$A$761,$AM76),"-")</f>
        <v/>
      </c>
      <c r="DB76" s="22">
        <f>IF(AND($H76&lt;&gt;"",$AN76&lt;&gt;"",$H76&lt;&gt;$AN76,IFERROR(VLOOKUP($H76,areaCercaPuntiClassificaSquadra,3,FALSE),-1)=IFERROR(VLOOKUP($AN76,areaCercaPuntiClassificaSquadra,3,FALSE),-2)),SUMIFS(Dati!$E$2:$E$761,Dati!$A$2:$A$761,$H76,Dati!$H$2:$H$761,$AN76)+SUMIFS(Dati!$L$2:$L$761,Dati!$H$2:$H$761,$H76,Dati!$A$2:$A$761,$AN76),"-")</f>
        <v/>
      </c>
      <c r="DC76" s="22">
        <f>IF(AND($H76&lt;&gt;"",$AO76&lt;&gt;"",$H76&lt;&gt;$AO76,IFERROR(VLOOKUP($H76,areaCercaPuntiClassificaSquadra,3,FALSE),-1)=IFERROR(VLOOKUP($AO76,areaCercaPuntiClassificaSquadra,3,FALSE),-2)),SUMIFS(Dati!$E$2:$E$761,Dati!$A$2:$A$761,$H76,Dati!$H$2:$H$761,$AO76)+SUMIFS(Dati!$L$2:$L$761,Dati!$H$2:$H$761,$H76,Dati!$A$2:$A$761,$AO76),"-")</f>
        <v/>
      </c>
      <c r="DD76" s="22">
        <f>IF(AND($H76&lt;&gt;"",$AP76&lt;&gt;"",$H76&lt;&gt;$AP76,IFERROR(VLOOKUP($H76,areaCercaPuntiClassificaSquadra,3,FALSE),-1)=IFERROR(VLOOKUP($AP76,areaCercaPuntiClassificaSquadra,3,FALSE),-2)),SUMIFS(Dati!$E$2:$E$761,Dati!$A$2:$A$761,$H76,Dati!$H$2:$H$761,$AP76)+SUMIFS(Dati!$L$2:$L$761,Dati!$H$2:$H$761,$H76,Dati!$A$2:$A$761,$AP76),"-")</f>
        <v/>
      </c>
      <c r="DE76" s="22">
        <f>IF(AND($H76&lt;&gt;"",$AQ76&lt;&gt;"",$H76&lt;&gt;$AQ76,IFERROR(VLOOKUP($H76,areaCercaPuntiClassificaSquadra,3,FALSE),-1)=IFERROR(VLOOKUP($AQ76,areaCercaPuntiClassificaSquadra,3,FALSE),-2)),SUMIFS(Dati!$E$2:$E$761,Dati!$A$2:$A$761,$H76,Dati!$H$2:$H$761,$AQ76)+SUMIFS(Dati!$L$2:$L$761,Dati!$H$2:$H$761,$H76,Dati!$A$2:$A$761,$AQ76),"-")</f>
        <v/>
      </c>
      <c r="DF76" s="22">
        <f>IF(AND($H76&lt;&gt;"",$AR76&lt;&gt;"",$H76&lt;&gt;$AR76,IFERROR(VLOOKUP($H76,areaCercaPuntiClassificaSquadra,3,FALSE),-1)=IFERROR(VLOOKUP($AR76,areaCercaPuntiClassificaSquadra,3,FALSE),-2)),SUMIFS(Dati!$E$2:$E$761,Dati!$A$2:$A$761,$H76,Dati!$H$2:$H$761,$AR76)+SUMIFS(Dati!$L$2:$L$761,Dati!$H$2:$H$761,$H76,Dati!$A$2:$A$761,$AR76),"-")</f>
        <v/>
      </c>
      <c r="DH76" s="21">
        <f>$C76</f>
        <v/>
      </c>
      <c r="DI76" s="22">
        <f>IF(AND($H76&lt;&gt;"",$Y76&lt;&gt;"",$H76&lt;&gt;$Y76,IFERROR(VLOOKUP($H76,areaCercaPuntiClassificaSquadra,3,FALSE),-1)=IFERROR(VLOOKUP($Y76,areaCercaPuntiClassificaSquadra,3,FALSE),-2)),SUMIFS(Dati!$F$2:$F$761,Dati!$A$2:$A$761,$H76,Dati!$H$2:$H$761,$Y76)+SUMIFS(Dati!$M$2:$M$761,Dati!$H$2:$H$761,$H76,Dati!$A$2:$A$761,$Y76),"-")</f>
        <v/>
      </c>
      <c r="DJ76" s="22">
        <f>IF(AND($H76&lt;&gt;"",$Z76&lt;&gt;"",$H76&lt;&gt;$Z76,IFERROR(VLOOKUP($H76,areaCercaPuntiClassificaSquadra,3,FALSE),-1)=IFERROR(VLOOKUP($Z76,areaCercaPuntiClassificaSquadra,3,FALSE),-2)),SUMIFS(Dati!$F$2:$F$761,Dati!$A$2:$A$761,$H76,Dati!$H$2:$H$761,$Z76)+SUMIFS(Dati!$M$2:$M$761,Dati!$H$2:$H$761,$H76,Dati!$A$2:$A$761,$Z76),"-")</f>
        <v/>
      </c>
      <c r="DK76" s="22">
        <f>IF(AND($H76&lt;&gt;"",$AA76&lt;&gt;"",$H76&lt;&gt;$AA76,IFERROR(VLOOKUP($H76,areaCercaPuntiClassificaSquadra,3,FALSE),-1)=IFERROR(VLOOKUP($AA76,areaCercaPuntiClassificaSquadra,3,FALSE),-2)),SUMIFS(Dati!$F$2:$F$761,Dati!$A$2:$A$761,$H76,Dati!$H$2:$H$761,$AA76)+SUMIFS(Dati!$M$2:$M$761,Dati!$H$2:$H$761,$H76,Dati!$A$2:$A$761,$AA76),"-")</f>
        <v/>
      </c>
      <c r="DL76" s="22">
        <f>IF(AND($H76&lt;&gt;"",$AB76&lt;&gt;"",$H76&lt;&gt;$AB76,IFERROR(VLOOKUP($H76,areaCercaPuntiClassificaSquadra,3,FALSE),-1)=IFERROR(VLOOKUP($AB76,areaCercaPuntiClassificaSquadra,3,FALSE),-2)),SUMIFS(Dati!$F$2:$F$761,Dati!$A$2:$A$761,$H76,Dati!$H$2:$H$761,$AB76)+SUMIFS(Dati!$M$2:$M$761,Dati!$H$2:$H$761,$H76,Dati!$A$2:$A$761,$AB76),"-")</f>
        <v/>
      </c>
      <c r="DM76" s="22">
        <f>IF(AND($H76&lt;&gt;"",$AC76&lt;&gt;"",$H76&lt;&gt;$AC76,IFERROR(VLOOKUP($H76,areaCercaPuntiClassificaSquadra,3,FALSE),-1)=IFERROR(VLOOKUP($AC76,areaCercaPuntiClassificaSquadra,3,FALSE),-2)),SUMIFS(Dati!$F$2:$F$761,Dati!$A$2:$A$761,$H76,Dati!$H$2:$H$761,$AC76)+SUMIFS(Dati!$M$2:$M$761,Dati!$H$2:$H$761,$H76,Dati!$A$2:$A$761,$AC76),"-")</f>
        <v/>
      </c>
      <c r="DN76" s="22">
        <f>IF(AND($H76&lt;&gt;"",$AD76&lt;&gt;"",$H76&lt;&gt;$AD76,IFERROR(VLOOKUP($H76,areaCercaPuntiClassificaSquadra,3,FALSE),-1)=IFERROR(VLOOKUP($AD76,areaCercaPuntiClassificaSquadra,3,FALSE),-2)),SUMIFS(Dati!$F$2:$F$761,Dati!$A$2:$A$761,$H76,Dati!$H$2:$H$761,$AD76)+SUMIFS(Dati!$M$2:$M$761,Dati!$H$2:$H$761,$H76,Dati!$A$2:$A$761,$AD76),"-")</f>
        <v/>
      </c>
      <c r="DO76" s="22">
        <f>IF(AND($H76&lt;&gt;"",$AE76&lt;&gt;"",$H76&lt;&gt;$AE76,IFERROR(VLOOKUP($H76,areaCercaPuntiClassificaSquadra,3,FALSE),-1)=IFERROR(VLOOKUP($AE76,areaCercaPuntiClassificaSquadra,3,FALSE),-2)),SUMIFS(Dati!$F$2:$F$761,Dati!$A$2:$A$761,$H76,Dati!$H$2:$H$761,$AE76)+SUMIFS(Dati!$M$2:$M$761,Dati!$H$2:$H$761,$H76,Dati!$A$2:$A$761,$AE76),"-")</f>
        <v/>
      </c>
      <c r="DP76" s="22">
        <f>IF(AND($H76&lt;&gt;"",$AF76&lt;&gt;"",$H76&lt;&gt;$AF76,IFERROR(VLOOKUP($H76,areaCercaPuntiClassificaSquadra,3,FALSE),-1)=IFERROR(VLOOKUP($AF76,areaCercaPuntiClassificaSquadra,3,FALSE),-2)),SUMIFS(Dati!$F$2:$F$761,Dati!$A$2:$A$761,$H76,Dati!$H$2:$H$761,$AF76)+SUMIFS(Dati!$M$2:$M$761,Dati!$H$2:$H$761,$H76,Dati!$A$2:$A$761,$AF76),"-")</f>
        <v/>
      </c>
      <c r="DQ76" s="22">
        <f>IF(AND($H76&lt;&gt;"",$AG76&lt;&gt;"",$H76&lt;&gt;$AG76,IFERROR(VLOOKUP($H76,areaCercaPuntiClassificaSquadra,3,FALSE),-1)=IFERROR(VLOOKUP($AG76,areaCercaPuntiClassificaSquadra,3,FALSE),-2)),SUMIFS(Dati!$F$2:$F$761,Dati!$A$2:$A$761,$H76,Dati!$H$2:$H$761,$AG76)+SUMIFS(Dati!$M$2:$M$761,Dati!$H$2:$H$761,$H76,Dati!$A$2:$A$761,$AG76),"-")</f>
        <v/>
      </c>
      <c r="DR76" s="22">
        <f>IF(AND($H76&lt;&gt;"",$AH76&lt;&gt;"",$H76&lt;&gt;$AH76,IFERROR(VLOOKUP($H76,areaCercaPuntiClassificaSquadra,3,FALSE),-1)=IFERROR(VLOOKUP($AH76,areaCercaPuntiClassificaSquadra,3,FALSE),-2)),SUMIFS(Dati!$F$2:$F$761,Dati!$A$2:$A$761,$H76,Dati!$H$2:$H$761,$AH76)+SUMIFS(Dati!$M$2:$M$761,Dati!$H$2:$H$761,$H76,Dati!$A$2:$A$761,$AH76),"-")</f>
        <v/>
      </c>
      <c r="DS76" s="22">
        <f>IF(AND($H76&lt;&gt;"",$AI76&lt;&gt;"",$H76&lt;&gt;$AI76,IFERROR(VLOOKUP($H76,areaCercaPuntiClassificaSquadra,3,FALSE),-1)=IFERROR(VLOOKUP($AI76,areaCercaPuntiClassificaSquadra,3,FALSE),-2)),SUMIFS(Dati!$F$2:$F$761,Dati!$A$2:$A$761,$H76,Dati!$H$2:$H$761,$AI76)+SUMIFS(Dati!$M$2:$M$761,Dati!$H$2:$H$761,$H76,Dati!$A$2:$A$761,$AI76),"-")</f>
        <v/>
      </c>
      <c r="DT76" s="22">
        <f>IF(AND($H76&lt;&gt;"",$AJ76&lt;&gt;"",$H76&lt;&gt;$AJ76,IFERROR(VLOOKUP($H76,areaCercaPuntiClassificaSquadra,3,FALSE),-1)=IFERROR(VLOOKUP($AJ76,areaCercaPuntiClassificaSquadra,3,FALSE),-2)),SUMIFS(Dati!$F$2:$F$761,Dati!$A$2:$A$761,$H76,Dati!$H$2:$H$761,$AJ76)+SUMIFS(Dati!$M$2:$M$761,Dati!$H$2:$H$761,$H76,Dati!$A$2:$A$761,$AJ76),"-")</f>
        <v/>
      </c>
      <c r="DU76" s="22">
        <f>IF(AND($H76&lt;&gt;"",$AK76&lt;&gt;"",$H76&lt;&gt;$AK76,IFERROR(VLOOKUP($H76,areaCercaPuntiClassificaSquadra,3,FALSE),-1)=IFERROR(VLOOKUP($AK76,areaCercaPuntiClassificaSquadra,3,FALSE),-2)),SUMIFS(Dati!$F$2:$F$761,Dati!$A$2:$A$761,$H76,Dati!$H$2:$H$761,$AK76)+SUMIFS(Dati!$M$2:$M$761,Dati!$H$2:$H$761,$H76,Dati!$A$2:$A$761,$AK76),"-")</f>
        <v/>
      </c>
      <c r="DV76" s="22">
        <f>IF(AND($H76&lt;&gt;"",$AL76&lt;&gt;"",$H76&lt;&gt;$AL76,IFERROR(VLOOKUP($H76,areaCercaPuntiClassificaSquadra,3,FALSE),-1)=IFERROR(VLOOKUP($AL76,areaCercaPuntiClassificaSquadra,3,FALSE),-2)),SUMIFS(Dati!$F$2:$F$761,Dati!$A$2:$A$761,$H76,Dati!$H$2:$H$761,$AL76)+SUMIFS(Dati!$M$2:$M$761,Dati!$H$2:$H$761,$H76,Dati!$A$2:$A$761,$AL76),"-")</f>
        <v/>
      </c>
      <c r="DW76" s="22">
        <f>IF(AND($H76&lt;&gt;"",$AM76&lt;&gt;"",$H76&lt;&gt;$AM76,IFERROR(VLOOKUP($H76,areaCercaPuntiClassificaSquadra,3,FALSE),-1)=IFERROR(VLOOKUP($AM76,areaCercaPuntiClassificaSquadra,3,FALSE),-2)),SUMIFS(Dati!$F$2:$F$761,Dati!$A$2:$A$761,$H76,Dati!$H$2:$H$761,$AM76)+SUMIFS(Dati!$M$2:$M$761,Dati!$H$2:$H$761,$H76,Dati!$A$2:$A$761,$AM76),"-")</f>
        <v/>
      </c>
      <c r="DX76" s="22">
        <f>IF(AND($H76&lt;&gt;"",$AN76&lt;&gt;"",$H76&lt;&gt;$AN76,IFERROR(VLOOKUP($H76,areaCercaPuntiClassificaSquadra,3,FALSE),-1)=IFERROR(VLOOKUP($AN76,areaCercaPuntiClassificaSquadra,3,FALSE),-2)),SUMIFS(Dati!$F$2:$F$761,Dati!$A$2:$A$761,$H76,Dati!$H$2:$H$761,$AN76)+SUMIFS(Dati!$M$2:$M$761,Dati!$H$2:$H$761,$H76,Dati!$A$2:$A$761,$AN76),"-")</f>
        <v/>
      </c>
      <c r="DY76" s="22">
        <f>IF(AND($H76&lt;&gt;"",$AO76&lt;&gt;"",$H76&lt;&gt;$AO76,IFERROR(VLOOKUP($H76,areaCercaPuntiClassificaSquadra,3,FALSE),-1)=IFERROR(VLOOKUP($AO76,areaCercaPuntiClassificaSquadra,3,FALSE),-2)),SUMIFS(Dati!$F$2:$F$761,Dati!$A$2:$A$761,$H76,Dati!$H$2:$H$761,$AO76)+SUMIFS(Dati!$M$2:$M$761,Dati!$H$2:$H$761,$H76,Dati!$A$2:$A$761,$AO76),"-")</f>
        <v/>
      </c>
      <c r="DZ76" s="22">
        <f>IF(AND($H76&lt;&gt;"",$AP76&lt;&gt;"",$H76&lt;&gt;$AP76,IFERROR(VLOOKUP($H76,areaCercaPuntiClassificaSquadra,3,FALSE),-1)=IFERROR(VLOOKUP($AP76,areaCercaPuntiClassificaSquadra,3,FALSE),-2)),SUMIFS(Dati!$F$2:$F$761,Dati!$A$2:$A$761,$H76,Dati!$H$2:$H$761,$AP76)+SUMIFS(Dati!$M$2:$M$761,Dati!$H$2:$H$761,$H76,Dati!$A$2:$A$761,$AP76),"-")</f>
        <v/>
      </c>
      <c r="EA76" s="22">
        <f>IF(AND($H76&lt;&gt;"",$AQ76&lt;&gt;"",$H76&lt;&gt;$AQ76,IFERROR(VLOOKUP($H76,areaCercaPuntiClassificaSquadra,3,FALSE),-1)=IFERROR(VLOOKUP($AQ76,areaCercaPuntiClassificaSquadra,3,FALSE),-2)),SUMIFS(Dati!$F$2:$F$761,Dati!$A$2:$A$761,$H76,Dati!$H$2:$H$761,$AQ76)+SUMIFS(Dati!$M$2:$M$761,Dati!$H$2:$H$761,$H76,Dati!$A$2:$A$761,$AQ76),"-")</f>
        <v/>
      </c>
      <c r="EB76" s="22">
        <f>IF(AND($H76&lt;&gt;"",$AR76&lt;&gt;"",$H76&lt;&gt;$AR76,IFERROR(VLOOKUP($H76,areaCercaPuntiClassificaSquadra,3,FALSE),-1)=IFERROR(VLOOKUP($AR76,areaCercaPuntiClassificaSquadra,3,FALSE),-2)),SUMIFS(Dati!$F$2:$F$761,Dati!$A$2:$A$761,$H76,Dati!$H$2:$H$761,$AR76)+SUMIFS(Dati!$M$2:$M$761,Dati!$H$2:$H$761,$H76,Dati!$A$2:$A$761,$AR76),"-")</f>
        <v/>
      </c>
      <c r="ED76" s="22">
        <f>IF($C76="","",SUM(AU76:BN76))</f>
        <v/>
      </c>
    </row>
    <row r="77">
      <c r="B77" s="12" t="inlineStr">
        <is>
          <t>D04</t>
        </is>
      </c>
      <c r="C77" s="13" t="inlineStr">
        <is>
          <t>Pellicani Prudenti-Pellicaniopoli PO</t>
        </is>
      </c>
      <c r="D77" s="14" t="n"/>
      <c r="E77" s="27" t="inlineStr">
        <is>
          <t>D</t>
        </is>
      </c>
      <c r="G77" s="28">
        <f>IF($C77="","",$E77&amp;(COUNTIFS(I$14:I$93,"&gt;"&amp;I77,E$14:E$93,"="&amp;E77,C$14:C$93,"&lt;&gt;")+COUNTIFS(I$14:I$93,"="&amp;I77,H$14:H$93,"&lt;="&amp;H77,E$14:E$93,"="&amp;E77,C$14:C$93,"&lt;&gt;")))</f>
        <v/>
      </c>
      <c r="H77" s="17">
        <f>IF($C77="","",IFERROR(LEFT($C77,FIND("-",$C77)-1),$C77))</f>
        <v/>
      </c>
      <c r="I77" s="12">
        <f>TEXT(1000000000+J77,"|0000000000|")&amp;TEXT(SUM(AU77:BN77),"0000000000|")&amp;IF(SUM(DI77:EB77)=0,"0000000000|",TEXT(ROUND(SUM(CM77:DF77)/SUM(DI77:EB77),4)*100000,"0000000000|"))&amp;IF(P77=0,"0000000000|",TEXT(ROUND(O77/P77,4)*100000,"0000000000|"))</f>
        <v/>
      </c>
      <c r="J77" s="28">
        <f>L77*constPuntiVittoria+M77*constPuntiSconfitta+N77*constPuntiForfait+IF(D77="",0,D77)</f>
        <v/>
      </c>
      <c r="K77" s="12">
        <f>SUM(L77:N77)</f>
        <v/>
      </c>
      <c r="L77" s="12">
        <f>IF($H77="",0,SUMIF(Dati!$A$2:$A$761,$H77,Dati!$B$2:$B$761)+SUMIF(Dati!$H$2:$H$761,$H77,Dati!$I$2:$I$761))</f>
        <v/>
      </c>
      <c r="M77" s="12">
        <f>IF($H77="",0,SUMIF(Dati!$A$2:$A$761,$H77,Dati!$D$2:$D$761)+SUMIF(Dati!$H$2:$H$761,$H77,Dati!$K$2:$K$761))</f>
        <v/>
      </c>
      <c r="N77" s="12">
        <f>IF($H77="",0,SUMIF(Dati!$A$2:$A$761,$H77,Dati!$C$2:$C$761)+SUMIF(Dati!$H$2:$H$761,$H77,Dati!$J$2:$J$761))</f>
        <v/>
      </c>
      <c r="O77" s="12">
        <f>IF($H77="",0,SUMIF(Dati!$A$2:$A$761,$H77,Dati!$E$2:$E$761)+SUMIF(Dati!$H$2:$H$761,$H77,Dati!$L$2:$L$761))</f>
        <v/>
      </c>
      <c r="P77" s="12">
        <f>IF($H77="",0,SUMIF(Dati!$A$2:$A$761,$H77,Dati!$F$2:$F$761)+SUMIF(Dati!$H$2:$H$761,$H77,Dati!$M$2:$M$761))</f>
        <v/>
      </c>
      <c r="Q77" s="12">
        <f>IF($H77="",0,SUMIF(Dati!$A$2:$A$761,$H77,Dati!$G$2:$G$761)+SUMIF(Dati!$H$2:$H$761,$H77,Dati!$N$2:$N$761))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IF(COUNTIFS($E$14:$E$93,$E77,$J$14:$J$93,$J77,$C$14:$C$93,"&lt;&gt;")&lt;=1,"-",SUM(AU77:BN77)&amp;"-"&amp;SUM(BQ77:CJ77))</f>
        <v/>
      </c>
      <c r="V77" s="18">
        <f>IF(COUNTIFS($E$14:$E$93,$E77,$J$14:$J$93,$J77,$C$14:$C$93,"&lt;&gt;",$ED$14:$ED$93,$ED77)&lt;=1,"-",IF(SUM(DI77:EB77)=0,0,ROUND(SUM(CM77:DF77)/SUM(DI77:EB77),3)))</f>
        <v/>
      </c>
      <c r="W77" s="18">
        <f>IF(COUNTIFS($E$14:$E$93,$E77,$J$14:$J$93,$J77,$C$14:$C$93,"&lt;&gt;",$ED$14:$ED$93,$ED77,$V$14:$V$93,$V77)&lt;=1,"-",IF(P77=0,0,ROUND(O77/P77,3)))</f>
        <v/>
      </c>
      <c r="X77" s="19">
        <f>IF($C77="","",$E77&amp;"#"&amp;COUNTIFS($E$14:$E77,$E77,$C$14:$C77,"&lt;&gt;"))</f>
        <v/>
      </c>
      <c r="Y77" s="20">
        <f>IFERROR(INDEX($H$14:$H$93,MATCH($E77&amp;"#1",$X$14:$X$93,0)),"")</f>
        <v/>
      </c>
      <c r="Z77" s="20">
        <f>IFERROR(INDEX($H$14:$H$93,MATCH($E77&amp;"#2",$X$14:$X$93,0)),"")</f>
        <v/>
      </c>
      <c r="AA77" s="20">
        <f>IFERROR(INDEX($H$14:$H$93,MATCH($E77&amp;"#3",$X$14:$X$93,0)),"")</f>
        <v/>
      </c>
      <c r="AB77" s="20">
        <f>IFERROR(INDEX($H$14:$H$93,MATCH($E77&amp;"#4",$X$14:$X$93,0)),"")</f>
        <v/>
      </c>
      <c r="AC77" s="20">
        <f>IFERROR(INDEX($H$14:$H$93,MATCH($E77&amp;"#5",$X$14:$X$93,0)),"")</f>
        <v/>
      </c>
      <c r="AD77" s="20">
        <f>IFERROR(INDEX($H$14:$H$93,MATCH($E77&amp;"#6",$X$14:$X$93,0)),"")</f>
        <v/>
      </c>
      <c r="AE77" s="20">
        <f>IFERROR(INDEX($H$14:$H$93,MATCH($E77&amp;"#7",$X$14:$X$93,0)),"")</f>
        <v/>
      </c>
      <c r="AF77" s="20">
        <f>IFERROR(INDEX($H$14:$H$93,MATCH($E77&amp;"#8",$X$14:$X$93,0)),"")</f>
        <v/>
      </c>
      <c r="AG77" s="20">
        <f>IFERROR(INDEX($H$14:$H$93,MATCH($E77&amp;"#9",$X$14:$X$93,0)),"")</f>
        <v/>
      </c>
      <c r="AH77" s="20">
        <f>IFERROR(INDEX($H$14:$H$93,MATCH($E77&amp;"#10",$X$14:$X$93,0)),"")</f>
        <v/>
      </c>
      <c r="AI77" s="20">
        <f>IFERROR(INDEX($H$14:$H$93,MATCH($E77&amp;"#11",$X$14:$X$93,0)),"")</f>
        <v/>
      </c>
      <c r="AJ77" s="20">
        <f>IFERROR(INDEX($H$14:$H$93,MATCH($E77&amp;"#12",$X$14:$X$93,0)),"")</f>
        <v/>
      </c>
      <c r="AK77" s="20">
        <f>IFERROR(INDEX($H$14:$H$93,MATCH($E77&amp;"#13",$X$14:$X$93,0)),"")</f>
        <v/>
      </c>
      <c r="AL77" s="20">
        <f>IFERROR(INDEX($H$14:$H$93,MATCH($E77&amp;"#14",$X$14:$X$93,0)),"")</f>
        <v/>
      </c>
      <c r="AM77" s="20">
        <f>IFERROR(INDEX($H$14:$H$93,MATCH($E77&amp;"#15",$X$14:$X$93,0)),"")</f>
        <v/>
      </c>
      <c r="AN77" s="20">
        <f>IFERROR(INDEX($H$14:$H$93,MATCH($E77&amp;"#16",$X$14:$X$93,0)),"")</f>
        <v/>
      </c>
      <c r="AO77" s="20">
        <f>IFERROR(INDEX($H$14:$H$93,MATCH($E77&amp;"#17",$X$14:$X$93,0)),"")</f>
        <v/>
      </c>
      <c r="AP77" s="20">
        <f>IFERROR(INDEX($H$14:$H$93,MATCH($E77&amp;"#18",$X$14:$X$93,0)),"")</f>
        <v/>
      </c>
      <c r="AQ77" s="20">
        <f>IFERROR(INDEX($H$14:$H$93,MATCH($E77&amp;"#19",$X$14:$X$93,0)),"")</f>
        <v/>
      </c>
      <c r="AR77" s="20">
        <f>IFERROR(INDEX($H$14:$H$93,MATCH($E77&amp;"#20",$X$14:$X$93,0)),"")</f>
        <v/>
      </c>
      <c r="AT77" s="21">
        <f>$C77</f>
        <v/>
      </c>
      <c r="AU77" s="22">
        <f>IF(AND($H77&lt;&gt;"",$Y77&lt;&gt;"",$H77&lt;&gt;$Y77,IFERROR(VLOOKUP($H77,areaCercaPuntiClassificaSquadra,3,FALSE),-1)=IFERROR(VLOOKUP($Y77,areaCercaPuntiClassificaSquadra,3,FALSE),-2)),SUMIFS(Dati!$B$2:$B$761,Dati!$A$2:$A$761,$H77,Dati!$H$2:$H$761,$Y77)+SUMIFS(Dati!$I$2:$I$761,Dati!$H$2:$H$761,$H77,Dati!$A$2:$A$761,$Y77),"-")</f>
        <v/>
      </c>
      <c r="AV77" s="22">
        <f>IF(AND($H77&lt;&gt;"",$Z77&lt;&gt;"",$H77&lt;&gt;$Z77,IFERROR(VLOOKUP($H77,areaCercaPuntiClassificaSquadra,3,FALSE),-1)=IFERROR(VLOOKUP($Z77,areaCercaPuntiClassificaSquadra,3,FALSE),-2)),SUMIFS(Dati!$B$2:$B$761,Dati!$A$2:$A$761,$H77,Dati!$H$2:$H$761,$Z77)+SUMIFS(Dati!$I$2:$I$761,Dati!$H$2:$H$761,$H77,Dati!$A$2:$A$761,$Z77),"-")</f>
        <v/>
      </c>
      <c r="AW77" s="22">
        <f>IF(AND($H77&lt;&gt;"",$AA77&lt;&gt;"",$H77&lt;&gt;$AA77,IFERROR(VLOOKUP($H77,areaCercaPuntiClassificaSquadra,3,FALSE),-1)=IFERROR(VLOOKUP($AA77,areaCercaPuntiClassificaSquadra,3,FALSE),-2)),SUMIFS(Dati!$B$2:$B$761,Dati!$A$2:$A$761,$H77,Dati!$H$2:$H$761,$AA77)+SUMIFS(Dati!$I$2:$I$761,Dati!$H$2:$H$761,$H77,Dati!$A$2:$A$761,$AA77),"-")</f>
        <v/>
      </c>
      <c r="AX77" s="22">
        <f>IF(AND($H77&lt;&gt;"",$AB77&lt;&gt;"",$H77&lt;&gt;$AB77,IFERROR(VLOOKUP($H77,areaCercaPuntiClassificaSquadra,3,FALSE),-1)=IFERROR(VLOOKUP($AB77,areaCercaPuntiClassificaSquadra,3,FALSE),-2)),SUMIFS(Dati!$B$2:$B$761,Dati!$A$2:$A$761,$H77,Dati!$H$2:$H$761,$AB77)+SUMIFS(Dati!$I$2:$I$761,Dati!$H$2:$H$761,$H77,Dati!$A$2:$A$761,$AB77),"-")</f>
        <v/>
      </c>
      <c r="AY77" s="22">
        <f>IF(AND($H77&lt;&gt;"",$AC77&lt;&gt;"",$H77&lt;&gt;$AC77,IFERROR(VLOOKUP($H77,areaCercaPuntiClassificaSquadra,3,FALSE),-1)=IFERROR(VLOOKUP($AC77,areaCercaPuntiClassificaSquadra,3,FALSE),-2)),SUMIFS(Dati!$B$2:$B$761,Dati!$A$2:$A$761,$H77,Dati!$H$2:$H$761,$AC77)+SUMIFS(Dati!$I$2:$I$761,Dati!$H$2:$H$761,$H77,Dati!$A$2:$A$761,$AC77),"-")</f>
        <v/>
      </c>
      <c r="AZ77" s="22">
        <f>IF(AND($H77&lt;&gt;"",$AD77&lt;&gt;"",$H77&lt;&gt;$AD77,IFERROR(VLOOKUP($H77,areaCercaPuntiClassificaSquadra,3,FALSE),-1)=IFERROR(VLOOKUP($AD77,areaCercaPuntiClassificaSquadra,3,FALSE),-2)),SUMIFS(Dati!$B$2:$B$761,Dati!$A$2:$A$761,$H77,Dati!$H$2:$H$761,$AD77)+SUMIFS(Dati!$I$2:$I$761,Dati!$H$2:$H$761,$H77,Dati!$A$2:$A$761,$AD77),"-")</f>
        <v/>
      </c>
      <c r="BA77" s="22">
        <f>IF(AND($H77&lt;&gt;"",$AE77&lt;&gt;"",$H77&lt;&gt;$AE77,IFERROR(VLOOKUP($H77,areaCercaPuntiClassificaSquadra,3,FALSE),-1)=IFERROR(VLOOKUP($AE77,areaCercaPuntiClassificaSquadra,3,FALSE),-2)),SUMIFS(Dati!$B$2:$B$761,Dati!$A$2:$A$761,$H77,Dati!$H$2:$H$761,$AE77)+SUMIFS(Dati!$I$2:$I$761,Dati!$H$2:$H$761,$H77,Dati!$A$2:$A$761,$AE77),"-")</f>
        <v/>
      </c>
      <c r="BB77" s="22">
        <f>IF(AND($H77&lt;&gt;"",$AF77&lt;&gt;"",$H77&lt;&gt;$AF77,IFERROR(VLOOKUP($H77,areaCercaPuntiClassificaSquadra,3,FALSE),-1)=IFERROR(VLOOKUP($AF77,areaCercaPuntiClassificaSquadra,3,FALSE),-2)),SUMIFS(Dati!$B$2:$B$761,Dati!$A$2:$A$761,$H77,Dati!$H$2:$H$761,$AF77)+SUMIFS(Dati!$I$2:$I$761,Dati!$H$2:$H$761,$H77,Dati!$A$2:$A$761,$AF77),"-")</f>
        <v/>
      </c>
      <c r="BC77" s="22">
        <f>IF(AND($H77&lt;&gt;"",$AG77&lt;&gt;"",$H77&lt;&gt;$AG77,IFERROR(VLOOKUP($H77,areaCercaPuntiClassificaSquadra,3,FALSE),-1)=IFERROR(VLOOKUP($AG77,areaCercaPuntiClassificaSquadra,3,FALSE),-2)),SUMIFS(Dati!$B$2:$B$761,Dati!$A$2:$A$761,$H77,Dati!$H$2:$H$761,$AG77)+SUMIFS(Dati!$I$2:$I$761,Dati!$H$2:$H$761,$H77,Dati!$A$2:$A$761,$AG77),"-")</f>
        <v/>
      </c>
      <c r="BD77" s="22">
        <f>IF(AND($H77&lt;&gt;"",$AH77&lt;&gt;"",$H77&lt;&gt;$AH77,IFERROR(VLOOKUP($H77,areaCercaPuntiClassificaSquadra,3,FALSE),-1)=IFERROR(VLOOKUP($AH77,areaCercaPuntiClassificaSquadra,3,FALSE),-2)),SUMIFS(Dati!$B$2:$B$761,Dati!$A$2:$A$761,$H77,Dati!$H$2:$H$761,$AH77)+SUMIFS(Dati!$I$2:$I$761,Dati!$H$2:$H$761,$H77,Dati!$A$2:$A$761,$AH77),"-")</f>
        <v/>
      </c>
      <c r="BE77" s="22">
        <f>IF(AND($H77&lt;&gt;"",$AI77&lt;&gt;"",$H77&lt;&gt;$AI77,IFERROR(VLOOKUP($H77,areaCercaPuntiClassificaSquadra,3,FALSE),-1)=IFERROR(VLOOKUP($AI77,areaCercaPuntiClassificaSquadra,3,FALSE),-2)),SUMIFS(Dati!$B$2:$B$761,Dati!$A$2:$A$761,$H77,Dati!$H$2:$H$761,$AI77)+SUMIFS(Dati!$I$2:$I$761,Dati!$H$2:$H$761,$H77,Dati!$A$2:$A$761,$AI77),"-")</f>
        <v/>
      </c>
      <c r="BF77" s="22">
        <f>IF(AND($H77&lt;&gt;"",$AJ77&lt;&gt;"",$H77&lt;&gt;$AJ77,IFERROR(VLOOKUP($H77,areaCercaPuntiClassificaSquadra,3,FALSE),-1)=IFERROR(VLOOKUP($AJ77,areaCercaPuntiClassificaSquadra,3,FALSE),-2)),SUMIFS(Dati!$B$2:$B$761,Dati!$A$2:$A$761,$H77,Dati!$H$2:$H$761,$AJ77)+SUMIFS(Dati!$I$2:$I$761,Dati!$H$2:$H$761,$H77,Dati!$A$2:$A$761,$AJ77),"-")</f>
        <v/>
      </c>
      <c r="BG77" s="22">
        <f>IF(AND($H77&lt;&gt;"",$AK77&lt;&gt;"",$H77&lt;&gt;$AK77,IFERROR(VLOOKUP($H77,areaCercaPuntiClassificaSquadra,3,FALSE),-1)=IFERROR(VLOOKUP($AK77,areaCercaPuntiClassificaSquadra,3,FALSE),-2)),SUMIFS(Dati!$B$2:$B$761,Dati!$A$2:$A$761,$H77,Dati!$H$2:$H$761,$AK77)+SUMIFS(Dati!$I$2:$I$761,Dati!$H$2:$H$761,$H77,Dati!$A$2:$A$761,$AK77),"-")</f>
        <v/>
      </c>
      <c r="BH77" s="22">
        <f>IF(AND($H77&lt;&gt;"",$AL77&lt;&gt;"",$H77&lt;&gt;$AL77,IFERROR(VLOOKUP($H77,areaCercaPuntiClassificaSquadra,3,FALSE),-1)=IFERROR(VLOOKUP($AL77,areaCercaPuntiClassificaSquadra,3,FALSE),-2)),SUMIFS(Dati!$B$2:$B$761,Dati!$A$2:$A$761,$H77,Dati!$H$2:$H$761,$AL77)+SUMIFS(Dati!$I$2:$I$761,Dati!$H$2:$H$761,$H77,Dati!$A$2:$A$761,$AL77),"-")</f>
        <v/>
      </c>
      <c r="BI77" s="22">
        <f>IF(AND($H77&lt;&gt;"",$AM77&lt;&gt;"",$H77&lt;&gt;$AM77,IFERROR(VLOOKUP($H77,areaCercaPuntiClassificaSquadra,3,FALSE),-1)=IFERROR(VLOOKUP($AM77,areaCercaPuntiClassificaSquadra,3,FALSE),-2)),SUMIFS(Dati!$B$2:$B$761,Dati!$A$2:$A$761,$H77,Dati!$H$2:$H$761,$AM77)+SUMIFS(Dati!$I$2:$I$761,Dati!$H$2:$H$761,$H77,Dati!$A$2:$A$761,$AM77),"-")</f>
        <v/>
      </c>
      <c r="BJ77" s="22">
        <f>IF(AND($H77&lt;&gt;"",$AN77&lt;&gt;"",$H77&lt;&gt;$AN77,IFERROR(VLOOKUP($H77,areaCercaPuntiClassificaSquadra,3,FALSE),-1)=IFERROR(VLOOKUP($AN77,areaCercaPuntiClassificaSquadra,3,FALSE),-2)),SUMIFS(Dati!$B$2:$B$761,Dati!$A$2:$A$761,$H77,Dati!$H$2:$H$761,$AN77)+SUMIFS(Dati!$I$2:$I$761,Dati!$H$2:$H$761,$H77,Dati!$A$2:$A$761,$AN77),"-")</f>
        <v/>
      </c>
      <c r="BK77" s="22">
        <f>IF(AND($H77&lt;&gt;"",$AO77&lt;&gt;"",$H77&lt;&gt;$AO77,IFERROR(VLOOKUP($H77,areaCercaPuntiClassificaSquadra,3,FALSE),-1)=IFERROR(VLOOKUP($AO77,areaCercaPuntiClassificaSquadra,3,FALSE),-2)),SUMIFS(Dati!$B$2:$B$761,Dati!$A$2:$A$761,$H77,Dati!$H$2:$H$761,$AO77)+SUMIFS(Dati!$I$2:$I$761,Dati!$H$2:$H$761,$H77,Dati!$A$2:$A$761,$AO77),"-")</f>
        <v/>
      </c>
      <c r="BL77" s="22">
        <f>IF(AND($H77&lt;&gt;"",$AP77&lt;&gt;"",$H77&lt;&gt;$AP77,IFERROR(VLOOKUP($H77,areaCercaPuntiClassificaSquadra,3,FALSE),-1)=IFERROR(VLOOKUP($AP77,areaCercaPuntiClassificaSquadra,3,FALSE),-2)),SUMIFS(Dati!$B$2:$B$761,Dati!$A$2:$A$761,$H77,Dati!$H$2:$H$761,$AP77)+SUMIFS(Dati!$I$2:$I$761,Dati!$H$2:$H$761,$H77,Dati!$A$2:$A$761,$AP77),"-")</f>
        <v/>
      </c>
      <c r="BM77" s="22">
        <f>IF(AND($H77&lt;&gt;"",$AQ77&lt;&gt;"",$H77&lt;&gt;$AQ77,IFERROR(VLOOKUP($H77,areaCercaPuntiClassificaSquadra,3,FALSE),-1)=IFERROR(VLOOKUP($AQ77,areaCercaPuntiClassificaSquadra,3,FALSE),-2)),SUMIFS(Dati!$B$2:$B$761,Dati!$A$2:$A$761,$H77,Dati!$H$2:$H$761,$AQ77)+SUMIFS(Dati!$I$2:$I$761,Dati!$H$2:$H$761,$H77,Dati!$A$2:$A$761,$AQ77),"-")</f>
        <v/>
      </c>
      <c r="BN77" s="22">
        <f>IF(AND($H77&lt;&gt;"",$AR77&lt;&gt;"",$H77&lt;&gt;$AR77,IFERROR(VLOOKUP($H77,areaCercaPuntiClassificaSquadra,3,FALSE),-1)=IFERROR(VLOOKUP($AR77,areaCercaPuntiClassificaSquadra,3,FALSE),-2)),SUMIFS(Dati!$B$2:$B$761,Dati!$A$2:$A$761,$H77,Dati!$H$2:$H$761,$AR77)+SUMIFS(Dati!$I$2:$I$761,Dati!$H$2:$H$761,$H77,Dati!$A$2:$A$761,$AR77),"-")</f>
        <v/>
      </c>
      <c r="BP77" s="21">
        <f>$C77</f>
        <v/>
      </c>
      <c r="BQ77" s="22">
        <f>IF(AND($H77&lt;&gt;"",$Y77&lt;&gt;"",$H77&lt;&gt;$Y77,IFERROR(VLOOKUP($H77,areaCercaPuntiClassificaSquadra,3,FALSE),-1)=IFERROR(VLOOKUP($Y77,areaCercaPuntiClassificaSquadra,3,FALSE),-2)),SUMIFS(Dati!$D$2:$D$761,Dati!$A$2:$A$761,$H77,Dati!$H$2:$H$761,$Y77)+SUMIFS(Dati!$K$2:$K$761,Dati!$H$2:$H$761,$H77,Dati!$A$2:$A$761,$Y77)+SUMIFS(Dati!$C$2:$C$761,Dati!$A$2:$A$761,$H77,Dati!$H$2:$H$761,$Y77)+SUMIFS(Dati!$J$2:$J$761,Dati!$H$2:$H$761,$H77,Dati!$A$2:$A$761,$Y77),"-")</f>
        <v/>
      </c>
      <c r="BR77" s="22">
        <f>IF(AND($H77&lt;&gt;"",$Z77&lt;&gt;"",$H77&lt;&gt;$Z77,IFERROR(VLOOKUP($H77,areaCercaPuntiClassificaSquadra,3,FALSE),-1)=IFERROR(VLOOKUP($Z77,areaCercaPuntiClassificaSquadra,3,FALSE),-2)),SUMIFS(Dati!$D$2:$D$761,Dati!$A$2:$A$761,$H77,Dati!$H$2:$H$761,$Z77)+SUMIFS(Dati!$K$2:$K$761,Dati!$H$2:$H$761,$H77,Dati!$A$2:$A$761,$Z77)+SUMIFS(Dati!$C$2:$C$761,Dati!$A$2:$A$761,$H77,Dati!$H$2:$H$761,$Z77)+SUMIFS(Dati!$J$2:$J$761,Dati!$H$2:$H$761,$H77,Dati!$A$2:$A$761,$Z77),"-")</f>
        <v/>
      </c>
      <c r="BS77" s="22">
        <f>IF(AND($H77&lt;&gt;"",$AA77&lt;&gt;"",$H77&lt;&gt;$AA77,IFERROR(VLOOKUP($H77,areaCercaPuntiClassificaSquadra,3,FALSE),-1)=IFERROR(VLOOKUP($AA77,areaCercaPuntiClassificaSquadra,3,FALSE),-2)),SUMIFS(Dati!$D$2:$D$761,Dati!$A$2:$A$761,$H77,Dati!$H$2:$H$761,$AA77)+SUMIFS(Dati!$K$2:$K$761,Dati!$H$2:$H$761,$H77,Dati!$A$2:$A$761,$AA77)+SUMIFS(Dati!$C$2:$C$761,Dati!$A$2:$A$761,$H77,Dati!$H$2:$H$761,$AA77)+SUMIFS(Dati!$J$2:$J$761,Dati!$H$2:$H$761,$H77,Dati!$A$2:$A$761,$AA77),"-")</f>
        <v/>
      </c>
      <c r="BT77" s="22">
        <f>IF(AND($H77&lt;&gt;"",$AB77&lt;&gt;"",$H77&lt;&gt;$AB77,IFERROR(VLOOKUP($H77,areaCercaPuntiClassificaSquadra,3,FALSE),-1)=IFERROR(VLOOKUP($AB77,areaCercaPuntiClassificaSquadra,3,FALSE),-2)),SUMIFS(Dati!$D$2:$D$761,Dati!$A$2:$A$761,$H77,Dati!$H$2:$H$761,$AB77)+SUMIFS(Dati!$K$2:$K$761,Dati!$H$2:$H$761,$H77,Dati!$A$2:$A$761,$AB77)+SUMIFS(Dati!$C$2:$C$761,Dati!$A$2:$A$761,$H77,Dati!$H$2:$H$761,$AB77)+SUMIFS(Dati!$J$2:$J$761,Dati!$H$2:$H$761,$H77,Dati!$A$2:$A$761,$AB77),"-")</f>
        <v/>
      </c>
      <c r="BU77" s="22">
        <f>IF(AND($H77&lt;&gt;"",$AC77&lt;&gt;"",$H77&lt;&gt;$AC77,IFERROR(VLOOKUP($H77,areaCercaPuntiClassificaSquadra,3,FALSE),-1)=IFERROR(VLOOKUP($AC77,areaCercaPuntiClassificaSquadra,3,FALSE),-2)),SUMIFS(Dati!$D$2:$D$761,Dati!$A$2:$A$761,$H77,Dati!$H$2:$H$761,$AC77)+SUMIFS(Dati!$K$2:$K$761,Dati!$H$2:$H$761,$H77,Dati!$A$2:$A$761,$AC77)+SUMIFS(Dati!$C$2:$C$761,Dati!$A$2:$A$761,$H77,Dati!$H$2:$H$761,$AC77)+SUMIFS(Dati!$J$2:$J$761,Dati!$H$2:$H$761,$H77,Dati!$A$2:$A$761,$AC77),"-")</f>
        <v/>
      </c>
      <c r="BV77" s="22">
        <f>IF(AND($H77&lt;&gt;"",$AD77&lt;&gt;"",$H77&lt;&gt;$AD77,IFERROR(VLOOKUP($H77,areaCercaPuntiClassificaSquadra,3,FALSE),-1)=IFERROR(VLOOKUP($AD77,areaCercaPuntiClassificaSquadra,3,FALSE),-2)),SUMIFS(Dati!$D$2:$D$761,Dati!$A$2:$A$761,$H77,Dati!$H$2:$H$761,$AD77)+SUMIFS(Dati!$K$2:$K$761,Dati!$H$2:$H$761,$H77,Dati!$A$2:$A$761,$AD77)+SUMIFS(Dati!$C$2:$C$761,Dati!$A$2:$A$761,$H77,Dati!$H$2:$H$761,$AD77)+SUMIFS(Dati!$J$2:$J$761,Dati!$H$2:$H$761,$H77,Dati!$A$2:$A$761,$AD77),"-")</f>
        <v/>
      </c>
      <c r="BW77" s="22">
        <f>IF(AND($H77&lt;&gt;"",$AE77&lt;&gt;"",$H77&lt;&gt;$AE77,IFERROR(VLOOKUP($H77,areaCercaPuntiClassificaSquadra,3,FALSE),-1)=IFERROR(VLOOKUP($AE77,areaCercaPuntiClassificaSquadra,3,FALSE),-2)),SUMIFS(Dati!$D$2:$D$761,Dati!$A$2:$A$761,$H77,Dati!$H$2:$H$761,$AE77)+SUMIFS(Dati!$K$2:$K$761,Dati!$H$2:$H$761,$H77,Dati!$A$2:$A$761,$AE77)+SUMIFS(Dati!$C$2:$C$761,Dati!$A$2:$A$761,$H77,Dati!$H$2:$H$761,$AE77)+SUMIFS(Dati!$J$2:$J$761,Dati!$H$2:$H$761,$H77,Dati!$A$2:$A$761,$AE77),"-")</f>
        <v/>
      </c>
      <c r="BX77" s="22">
        <f>IF(AND($H77&lt;&gt;"",$AF77&lt;&gt;"",$H77&lt;&gt;$AF77,IFERROR(VLOOKUP($H77,areaCercaPuntiClassificaSquadra,3,FALSE),-1)=IFERROR(VLOOKUP($AF77,areaCercaPuntiClassificaSquadra,3,FALSE),-2)),SUMIFS(Dati!$D$2:$D$761,Dati!$A$2:$A$761,$H77,Dati!$H$2:$H$761,$AF77)+SUMIFS(Dati!$K$2:$K$761,Dati!$H$2:$H$761,$H77,Dati!$A$2:$A$761,$AF77)+SUMIFS(Dati!$C$2:$C$761,Dati!$A$2:$A$761,$H77,Dati!$H$2:$H$761,$AF77)+SUMIFS(Dati!$J$2:$J$761,Dati!$H$2:$H$761,$H77,Dati!$A$2:$A$761,$AF77),"-")</f>
        <v/>
      </c>
      <c r="BY77" s="22">
        <f>IF(AND($H77&lt;&gt;"",$AG77&lt;&gt;"",$H77&lt;&gt;$AG77,IFERROR(VLOOKUP($H77,areaCercaPuntiClassificaSquadra,3,FALSE),-1)=IFERROR(VLOOKUP($AG77,areaCercaPuntiClassificaSquadra,3,FALSE),-2)),SUMIFS(Dati!$D$2:$D$761,Dati!$A$2:$A$761,$H77,Dati!$H$2:$H$761,$AG77)+SUMIFS(Dati!$K$2:$K$761,Dati!$H$2:$H$761,$H77,Dati!$A$2:$A$761,$AG77)+SUMIFS(Dati!$C$2:$C$761,Dati!$A$2:$A$761,$H77,Dati!$H$2:$H$761,$AG77)+SUMIFS(Dati!$J$2:$J$761,Dati!$H$2:$H$761,$H77,Dati!$A$2:$A$761,$AG77),"-")</f>
        <v/>
      </c>
      <c r="BZ77" s="22">
        <f>IF(AND($H77&lt;&gt;"",$AH77&lt;&gt;"",$H77&lt;&gt;$AH77,IFERROR(VLOOKUP($H77,areaCercaPuntiClassificaSquadra,3,FALSE),-1)=IFERROR(VLOOKUP($AH77,areaCercaPuntiClassificaSquadra,3,FALSE),-2)),SUMIFS(Dati!$D$2:$D$761,Dati!$A$2:$A$761,$H77,Dati!$H$2:$H$761,$AH77)+SUMIFS(Dati!$K$2:$K$761,Dati!$H$2:$H$761,$H77,Dati!$A$2:$A$761,$AH77)+SUMIFS(Dati!$C$2:$C$761,Dati!$A$2:$A$761,$H77,Dati!$H$2:$H$761,$AH77)+SUMIFS(Dati!$J$2:$J$761,Dati!$H$2:$H$761,$H77,Dati!$A$2:$A$761,$AH77),"-")</f>
        <v/>
      </c>
      <c r="CA77" s="22">
        <f>IF(AND($H77&lt;&gt;"",$AI77&lt;&gt;"",$H77&lt;&gt;$AI77,IFERROR(VLOOKUP($H77,areaCercaPuntiClassificaSquadra,3,FALSE),-1)=IFERROR(VLOOKUP($AI77,areaCercaPuntiClassificaSquadra,3,FALSE),-2)),SUMIFS(Dati!$D$2:$D$761,Dati!$A$2:$A$761,$H77,Dati!$H$2:$H$761,$AI77)+SUMIFS(Dati!$K$2:$K$761,Dati!$H$2:$H$761,$H77,Dati!$A$2:$A$761,$AI77)+SUMIFS(Dati!$C$2:$C$761,Dati!$A$2:$A$761,$H77,Dati!$H$2:$H$761,$AI77)+SUMIFS(Dati!$J$2:$J$761,Dati!$H$2:$H$761,$H77,Dati!$A$2:$A$761,$AI77),"-")</f>
        <v/>
      </c>
      <c r="CB77" s="22">
        <f>IF(AND($H77&lt;&gt;"",$AJ77&lt;&gt;"",$H77&lt;&gt;$AJ77,IFERROR(VLOOKUP($H77,areaCercaPuntiClassificaSquadra,3,FALSE),-1)=IFERROR(VLOOKUP($AJ77,areaCercaPuntiClassificaSquadra,3,FALSE),-2)),SUMIFS(Dati!$D$2:$D$761,Dati!$A$2:$A$761,$H77,Dati!$H$2:$H$761,$AJ77)+SUMIFS(Dati!$K$2:$K$761,Dati!$H$2:$H$761,$H77,Dati!$A$2:$A$761,$AJ77)+SUMIFS(Dati!$C$2:$C$761,Dati!$A$2:$A$761,$H77,Dati!$H$2:$H$761,$AJ77)+SUMIFS(Dati!$J$2:$J$761,Dati!$H$2:$H$761,$H77,Dati!$A$2:$A$761,$AJ77),"-")</f>
        <v/>
      </c>
      <c r="CC77" s="22">
        <f>IF(AND($H77&lt;&gt;"",$AK77&lt;&gt;"",$H77&lt;&gt;$AK77,IFERROR(VLOOKUP($H77,areaCercaPuntiClassificaSquadra,3,FALSE),-1)=IFERROR(VLOOKUP($AK77,areaCercaPuntiClassificaSquadra,3,FALSE),-2)),SUMIFS(Dati!$D$2:$D$761,Dati!$A$2:$A$761,$H77,Dati!$H$2:$H$761,$AK77)+SUMIFS(Dati!$K$2:$K$761,Dati!$H$2:$H$761,$H77,Dati!$A$2:$A$761,$AK77)+SUMIFS(Dati!$C$2:$C$761,Dati!$A$2:$A$761,$H77,Dati!$H$2:$H$761,$AK77)+SUMIFS(Dati!$J$2:$J$761,Dati!$H$2:$H$761,$H77,Dati!$A$2:$A$761,$AK77),"-")</f>
        <v/>
      </c>
      <c r="CD77" s="22">
        <f>IF(AND($H77&lt;&gt;"",$AL77&lt;&gt;"",$H77&lt;&gt;$AL77,IFERROR(VLOOKUP($H77,areaCercaPuntiClassificaSquadra,3,FALSE),-1)=IFERROR(VLOOKUP($AL77,areaCercaPuntiClassificaSquadra,3,FALSE),-2)),SUMIFS(Dati!$D$2:$D$761,Dati!$A$2:$A$761,$H77,Dati!$H$2:$H$761,$AL77)+SUMIFS(Dati!$K$2:$K$761,Dati!$H$2:$H$761,$H77,Dati!$A$2:$A$761,$AL77)+SUMIFS(Dati!$C$2:$C$761,Dati!$A$2:$A$761,$H77,Dati!$H$2:$H$761,$AL77)+SUMIFS(Dati!$J$2:$J$761,Dati!$H$2:$H$761,$H77,Dati!$A$2:$A$761,$AL77),"-")</f>
        <v/>
      </c>
      <c r="CE77" s="22">
        <f>IF(AND($H77&lt;&gt;"",$AM77&lt;&gt;"",$H77&lt;&gt;$AM77,IFERROR(VLOOKUP($H77,areaCercaPuntiClassificaSquadra,3,FALSE),-1)=IFERROR(VLOOKUP($AM77,areaCercaPuntiClassificaSquadra,3,FALSE),-2)),SUMIFS(Dati!$D$2:$D$761,Dati!$A$2:$A$761,$H77,Dati!$H$2:$H$761,$AM77)+SUMIFS(Dati!$K$2:$K$761,Dati!$H$2:$H$761,$H77,Dati!$A$2:$A$761,$AM77)+SUMIFS(Dati!$C$2:$C$761,Dati!$A$2:$A$761,$H77,Dati!$H$2:$H$761,$AM77)+SUMIFS(Dati!$J$2:$J$761,Dati!$H$2:$H$761,$H77,Dati!$A$2:$A$761,$AM77),"-")</f>
        <v/>
      </c>
      <c r="CF77" s="22">
        <f>IF(AND($H77&lt;&gt;"",$AN77&lt;&gt;"",$H77&lt;&gt;$AN77,IFERROR(VLOOKUP($H77,areaCercaPuntiClassificaSquadra,3,FALSE),-1)=IFERROR(VLOOKUP($AN77,areaCercaPuntiClassificaSquadra,3,FALSE),-2)),SUMIFS(Dati!$D$2:$D$761,Dati!$A$2:$A$761,$H77,Dati!$H$2:$H$761,$AN77)+SUMIFS(Dati!$K$2:$K$761,Dati!$H$2:$H$761,$H77,Dati!$A$2:$A$761,$AN77)+SUMIFS(Dati!$C$2:$C$761,Dati!$A$2:$A$761,$H77,Dati!$H$2:$H$761,$AN77)+SUMIFS(Dati!$J$2:$J$761,Dati!$H$2:$H$761,$H77,Dati!$A$2:$A$761,$AN77),"-")</f>
        <v/>
      </c>
      <c r="CG77" s="22">
        <f>IF(AND($H77&lt;&gt;"",$AO77&lt;&gt;"",$H77&lt;&gt;$AO77,IFERROR(VLOOKUP($H77,areaCercaPuntiClassificaSquadra,3,FALSE),-1)=IFERROR(VLOOKUP($AO77,areaCercaPuntiClassificaSquadra,3,FALSE),-2)),SUMIFS(Dati!$D$2:$D$761,Dati!$A$2:$A$761,$H77,Dati!$H$2:$H$761,$AO77)+SUMIFS(Dati!$K$2:$K$761,Dati!$H$2:$H$761,$H77,Dati!$A$2:$A$761,$AO77)+SUMIFS(Dati!$C$2:$C$761,Dati!$A$2:$A$761,$H77,Dati!$H$2:$H$761,$AO77)+SUMIFS(Dati!$J$2:$J$761,Dati!$H$2:$H$761,$H77,Dati!$A$2:$A$761,$AO77),"-")</f>
        <v/>
      </c>
      <c r="CH77" s="22">
        <f>IF(AND($H77&lt;&gt;"",$AP77&lt;&gt;"",$H77&lt;&gt;$AP77,IFERROR(VLOOKUP($H77,areaCercaPuntiClassificaSquadra,3,FALSE),-1)=IFERROR(VLOOKUP($AP77,areaCercaPuntiClassificaSquadra,3,FALSE),-2)),SUMIFS(Dati!$D$2:$D$761,Dati!$A$2:$A$761,$H77,Dati!$H$2:$H$761,$AP77)+SUMIFS(Dati!$K$2:$K$761,Dati!$H$2:$H$761,$H77,Dati!$A$2:$A$761,$AP77)+SUMIFS(Dati!$C$2:$C$761,Dati!$A$2:$A$761,$H77,Dati!$H$2:$H$761,$AP77)+SUMIFS(Dati!$J$2:$J$761,Dati!$H$2:$H$761,$H77,Dati!$A$2:$A$761,$AP77),"-")</f>
        <v/>
      </c>
      <c r="CI77" s="22">
        <f>IF(AND($H77&lt;&gt;"",$AQ77&lt;&gt;"",$H77&lt;&gt;$AQ77,IFERROR(VLOOKUP($H77,areaCercaPuntiClassificaSquadra,3,FALSE),-1)=IFERROR(VLOOKUP($AQ77,areaCercaPuntiClassificaSquadra,3,FALSE),-2)),SUMIFS(Dati!$D$2:$D$761,Dati!$A$2:$A$761,$H77,Dati!$H$2:$H$761,$AQ77)+SUMIFS(Dati!$K$2:$K$761,Dati!$H$2:$H$761,$H77,Dati!$A$2:$A$761,$AQ77)+SUMIFS(Dati!$C$2:$C$761,Dati!$A$2:$A$761,$H77,Dati!$H$2:$H$761,$AQ77)+SUMIFS(Dati!$J$2:$J$761,Dati!$H$2:$H$761,$H77,Dati!$A$2:$A$761,$AQ77),"-")</f>
        <v/>
      </c>
      <c r="CJ77" s="22">
        <f>IF(AND($H77&lt;&gt;"",$AR77&lt;&gt;"",$H77&lt;&gt;$AR77,IFERROR(VLOOKUP($H77,areaCercaPuntiClassificaSquadra,3,FALSE),-1)=IFERROR(VLOOKUP($AR77,areaCercaPuntiClassificaSquadra,3,FALSE),-2)),SUMIFS(Dati!$D$2:$D$761,Dati!$A$2:$A$761,$H77,Dati!$H$2:$H$761,$AR77)+SUMIFS(Dati!$K$2:$K$761,Dati!$H$2:$H$761,$H77,Dati!$A$2:$A$761,$AR77)+SUMIFS(Dati!$C$2:$C$761,Dati!$A$2:$A$761,$H77,Dati!$H$2:$H$761,$AR77)+SUMIFS(Dati!$J$2:$J$761,Dati!$H$2:$H$761,$H77,Dati!$A$2:$A$761,$AR77),"-")</f>
        <v/>
      </c>
      <c r="CL77" s="21">
        <f>$C77</f>
        <v/>
      </c>
      <c r="CM77" s="22">
        <f>IF(AND($H77&lt;&gt;"",$Y77&lt;&gt;"",$H77&lt;&gt;$Y77,IFERROR(VLOOKUP($H77,areaCercaPuntiClassificaSquadra,3,FALSE),-1)=IFERROR(VLOOKUP($Y77,areaCercaPuntiClassificaSquadra,3,FALSE),-2)),SUMIFS(Dati!$E$2:$E$761,Dati!$A$2:$A$761,$H77,Dati!$H$2:$H$761,$Y77)+SUMIFS(Dati!$L$2:$L$761,Dati!$H$2:$H$761,$H77,Dati!$A$2:$A$761,$Y77),"-")</f>
        <v/>
      </c>
      <c r="CN77" s="22">
        <f>IF(AND($H77&lt;&gt;"",$Z77&lt;&gt;"",$H77&lt;&gt;$Z77,IFERROR(VLOOKUP($H77,areaCercaPuntiClassificaSquadra,3,FALSE),-1)=IFERROR(VLOOKUP($Z77,areaCercaPuntiClassificaSquadra,3,FALSE),-2)),SUMIFS(Dati!$E$2:$E$761,Dati!$A$2:$A$761,$H77,Dati!$H$2:$H$761,$Z77)+SUMIFS(Dati!$L$2:$L$761,Dati!$H$2:$H$761,$H77,Dati!$A$2:$A$761,$Z77),"-")</f>
        <v/>
      </c>
      <c r="CO77" s="22">
        <f>IF(AND($H77&lt;&gt;"",$AA77&lt;&gt;"",$H77&lt;&gt;$AA77,IFERROR(VLOOKUP($H77,areaCercaPuntiClassificaSquadra,3,FALSE),-1)=IFERROR(VLOOKUP($AA77,areaCercaPuntiClassificaSquadra,3,FALSE),-2)),SUMIFS(Dati!$E$2:$E$761,Dati!$A$2:$A$761,$H77,Dati!$H$2:$H$761,$AA77)+SUMIFS(Dati!$L$2:$L$761,Dati!$H$2:$H$761,$H77,Dati!$A$2:$A$761,$AA77),"-")</f>
        <v/>
      </c>
      <c r="CP77" s="22">
        <f>IF(AND($H77&lt;&gt;"",$AB77&lt;&gt;"",$H77&lt;&gt;$AB77,IFERROR(VLOOKUP($H77,areaCercaPuntiClassificaSquadra,3,FALSE),-1)=IFERROR(VLOOKUP($AB77,areaCercaPuntiClassificaSquadra,3,FALSE),-2)),SUMIFS(Dati!$E$2:$E$761,Dati!$A$2:$A$761,$H77,Dati!$H$2:$H$761,$AB77)+SUMIFS(Dati!$L$2:$L$761,Dati!$H$2:$H$761,$H77,Dati!$A$2:$A$761,$AB77),"-")</f>
        <v/>
      </c>
      <c r="CQ77" s="22">
        <f>IF(AND($H77&lt;&gt;"",$AC77&lt;&gt;"",$H77&lt;&gt;$AC77,IFERROR(VLOOKUP($H77,areaCercaPuntiClassificaSquadra,3,FALSE),-1)=IFERROR(VLOOKUP($AC77,areaCercaPuntiClassificaSquadra,3,FALSE),-2)),SUMIFS(Dati!$E$2:$E$761,Dati!$A$2:$A$761,$H77,Dati!$H$2:$H$761,$AC77)+SUMIFS(Dati!$L$2:$L$761,Dati!$H$2:$H$761,$H77,Dati!$A$2:$A$761,$AC77),"-")</f>
        <v/>
      </c>
      <c r="CR77" s="22">
        <f>IF(AND($H77&lt;&gt;"",$AD77&lt;&gt;"",$H77&lt;&gt;$AD77,IFERROR(VLOOKUP($H77,areaCercaPuntiClassificaSquadra,3,FALSE),-1)=IFERROR(VLOOKUP($AD77,areaCercaPuntiClassificaSquadra,3,FALSE),-2)),SUMIFS(Dati!$E$2:$E$761,Dati!$A$2:$A$761,$H77,Dati!$H$2:$H$761,$AD77)+SUMIFS(Dati!$L$2:$L$761,Dati!$H$2:$H$761,$H77,Dati!$A$2:$A$761,$AD77),"-")</f>
        <v/>
      </c>
      <c r="CS77" s="22">
        <f>IF(AND($H77&lt;&gt;"",$AE77&lt;&gt;"",$H77&lt;&gt;$AE77,IFERROR(VLOOKUP($H77,areaCercaPuntiClassificaSquadra,3,FALSE),-1)=IFERROR(VLOOKUP($AE77,areaCercaPuntiClassificaSquadra,3,FALSE),-2)),SUMIFS(Dati!$E$2:$E$761,Dati!$A$2:$A$761,$H77,Dati!$H$2:$H$761,$AE77)+SUMIFS(Dati!$L$2:$L$761,Dati!$H$2:$H$761,$H77,Dati!$A$2:$A$761,$AE77),"-")</f>
        <v/>
      </c>
      <c r="CT77" s="22">
        <f>IF(AND($H77&lt;&gt;"",$AF77&lt;&gt;"",$H77&lt;&gt;$AF77,IFERROR(VLOOKUP($H77,areaCercaPuntiClassificaSquadra,3,FALSE),-1)=IFERROR(VLOOKUP($AF77,areaCercaPuntiClassificaSquadra,3,FALSE),-2)),SUMIFS(Dati!$E$2:$E$761,Dati!$A$2:$A$761,$H77,Dati!$H$2:$H$761,$AF77)+SUMIFS(Dati!$L$2:$L$761,Dati!$H$2:$H$761,$H77,Dati!$A$2:$A$761,$AF77),"-")</f>
        <v/>
      </c>
      <c r="CU77" s="22">
        <f>IF(AND($H77&lt;&gt;"",$AG77&lt;&gt;"",$H77&lt;&gt;$AG77,IFERROR(VLOOKUP($H77,areaCercaPuntiClassificaSquadra,3,FALSE),-1)=IFERROR(VLOOKUP($AG77,areaCercaPuntiClassificaSquadra,3,FALSE),-2)),SUMIFS(Dati!$E$2:$E$761,Dati!$A$2:$A$761,$H77,Dati!$H$2:$H$761,$AG77)+SUMIFS(Dati!$L$2:$L$761,Dati!$H$2:$H$761,$H77,Dati!$A$2:$A$761,$AG77),"-")</f>
        <v/>
      </c>
      <c r="CV77" s="22">
        <f>IF(AND($H77&lt;&gt;"",$AH77&lt;&gt;"",$H77&lt;&gt;$AH77,IFERROR(VLOOKUP($H77,areaCercaPuntiClassificaSquadra,3,FALSE),-1)=IFERROR(VLOOKUP($AH77,areaCercaPuntiClassificaSquadra,3,FALSE),-2)),SUMIFS(Dati!$E$2:$E$761,Dati!$A$2:$A$761,$H77,Dati!$H$2:$H$761,$AH77)+SUMIFS(Dati!$L$2:$L$761,Dati!$H$2:$H$761,$H77,Dati!$A$2:$A$761,$AH77),"-")</f>
        <v/>
      </c>
      <c r="CW77" s="22">
        <f>IF(AND($H77&lt;&gt;"",$AI77&lt;&gt;"",$H77&lt;&gt;$AI77,IFERROR(VLOOKUP($H77,areaCercaPuntiClassificaSquadra,3,FALSE),-1)=IFERROR(VLOOKUP($AI77,areaCercaPuntiClassificaSquadra,3,FALSE),-2)),SUMIFS(Dati!$E$2:$E$761,Dati!$A$2:$A$761,$H77,Dati!$H$2:$H$761,$AI77)+SUMIFS(Dati!$L$2:$L$761,Dati!$H$2:$H$761,$H77,Dati!$A$2:$A$761,$AI77),"-")</f>
        <v/>
      </c>
      <c r="CX77" s="22">
        <f>IF(AND($H77&lt;&gt;"",$AJ77&lt;&gt;"",$H77&lt;&gt;$AJ77,IFERROR(VLOOKUP($H77,areaCercaPuntiClassificaSquadra,3,FALSE),-1)=IFERROR(VLOOKUP($AJ77,areaCercaPuntiClassificaSquadra,3,FALSE),-2)),SUMIFS(Dati!$E$2:$E$761,Dati!$A$2:$A$761,$H77,Dati!$H$2:$H$761,$AJ77)+SUMIFS(Dati!$L$2:$L$761,Dati!$H$2:$H$761,$H77,Dati!$A$2:$A$761,$AJ77),"-")</f>
        <v/>
      </c>
      <c r="CY77" s="22">
        <f>IF(AND($H77&lt;&gt;"",$AK77&lt;&gt;"",$H77&lt;&gt;$AK77,IFERROR(VLOOKUP($H77,areaCercaPuntiClassificaSquadra,3,FALSE),-1)=IFERROR(VLOOKUP($AK77,areaCercaPuntiClassificaSquadra,3,FALSE),-2)),SUMIFS(Dati!$E$2:$E$761,Dati!$A$2:$A$761,$H77,Dati!$H$2:$H$761,$AK77)+SUMIFS(Dati!$L$2:$L$761,Dati!$H$2:$H$761,$H77,Dati!$A$2:$A$761,$AK77),"-")</f>
        <v/>
      </c>
      <c r="CZ77" s="22">
        <f>IF(AND($H77&lt;&gt;"",$AL77&lt;&gt;"",$H77&lt;&gt;$AL77,IFERROR(VLOOKUP($H77,areaCercaPuntiClassificaSquadra,3,FALSE),-1)=IFERROR(VLOOKUP($AL77,areaCercaPuntiClassificaSquadra,3,FALSE),-2)),SUMIFS(Dati!$E$2:$E$761,Dati!$A$2:$A$761,$H77,Dati!$H$2:$H$761,$AL77)+SUMIFS(Dati!$L$2:$L$761,Dati!$H$2:$H$761,$H77,Dati!$A$2:$A$761,$AL77),"-")</f>
        <v/>
      </c>
      <c r="DA77" s="22">
        <f>IF(AND($H77&lt;&gt;"",$AM77&lt;&gt;"",$H77&lt;&gt;$AM77,IFERROR(VLOOKUP($H77,areaCercaPuntiClassificaSquadra,3,FALSE),-1)=IFERROR(VLOOKUP($AM77,areaCercaPuntiClassificaSquadra,3,FALSE),-2)),SUMIFS(Dati!$E$2:$E$761,Dati!$A$2:$A$761,$H77,Dati!$H$2:$H$761,$AM77)+SUMIFS(Dati!$L$2:$L$761,Dati!$H$2:$H$761,$H77,Dati!$A$2:$A$761,$AM77),"-")</f>
        <v/>
      </c>
      <c r="DB77" s="22">
        <f>IF(AND($H77&lt;&gt;"",$AN77&lt;&gt;"",$H77&lt;&gt;$AN77,IFERROR(VLOOKUP($H77,areaCercaPuntiClassificaSquadra,3,FALSE),-1)=IFERROR(VLOOKUP($AN77,areaCercaPuntiClassificaSquadra,3,FALSE),-2)),SUMIFS(Dati!$E$2:$E$761,Dati!$A$2:$A$761,$H77,Dati!$H$2:$H$761,$AN77)+SUMIFS(Dati!$L$2:$L$761,Dati!$H$2:$H$761,$H77,Dati!$A$2:$A$761,$AN77),"-")</f>
        <v/>
      </c>
      <c r="DC77" s="22">
        <f>IF(AND($H77&lt;&gt;"",$AO77&lt;&gt;"",$H77&lt;&gt;$AO77,IFERROR(VLOOKUP($H77,areaCercaPuntiClassificaSquadra,3,FALSE),-1)=IFERROR(VLOOKUP($AO77,areaCercaPuntiClassificaSquadra,3,FALSE),-2)),SUMIFS(Dati!$E$2:$E$761,Dati!$A$2:$A$761,$H77,Dati!$H$2:$H$761,$AO77)+SUMIFS(Dati!$L$2:$L$761,Dati!$H$2:$H$761,$H77,Dati!$A$2:$A$761,$AO77),"-")</f>
        <v/>
      </c>
      <c r="DD77" s="22">
        <f>IF(AND($H77&lt;&gt;"",$AP77&lt;&gt;"",$H77&lt;&gt;$AP77,IFERROR(VLOOKUP($H77,areaCercaPuntiClassificaSquadra,3,FALSE),-1)=IFERROR(VLOOKUP($AP77,areaCercaPuntiClassificaSquadra,3,FALSE),-2)),SUMIFS(Dati!$E$2:$E$761,Dati!$A$2:$A$761,$H77,Dati!$H$2:$H$761,$AP77)+SUMIFS(Dati!$L$2:$L$761,Dati!$H$2:$H$761,$H77,Dati!$A$2:$A$761,$AP77),"-")</f>
        <v/>
      </c>
      <c r="DE77" s="22">
        <f>IF(AND($H77&lt;&gt;"",$AQ77&lt;&gt;"",$H77&lt;&gt;$AQ77,IFERROR(VLOOKUP($H77,areaCercaPuntiClassificaSquadra,3,FALSE),-1)=IFERROR(VLOOKUP($AQ77,areaCercaPuntiClassificaSquadra,3,FALSE),-2)),SUMIFS(Dati!$E$2:$E$761,Dati!$A$2:$A$761,$H77,Dati!$H$2:$H$761,$AQ77)+SUMIFS(Dati!$L$2:$L$761,Dati!$H$2:$H$761,$H77,Dati!$A$2:$A$761,$AQ77),"-")</f>
        <v/>
      </c>
      <c r="DF77" s="22">
        <f>IF(AND($H77&lt;&gt;"",$AR77&lt;&gt;"",$H77&lt;&gt;$AR77,IFERROR(VLOOKUP($H77,areaCercaPuntiClassificaSquadra,3,FALSE),-1)=IFERROR(VLOOKUP($AR77,areaCercaPuntiClassificaSquadra,3,FALSE),-2)),SUMIFS(Dati!$E$2:$E$761,Dati!$A$2:$A$761,$H77,Dati!$H$2:$H$761,$AR77)+SUMIFS(Dati!$L$2:$L$761,Dati!$H$2:$H$761,$H77,Dati!$A$2:$A$761,$AR77),"-")</f>
        <v/>
      </c>
      <c r="DH77" s="21">
        <f>$C77</f>
        <v/>
      </c>
      <c r="DI77" s="22">
        <f>IF(AND($H77&lt;&gt;"",$Y77&lt;&gt;"",$H77&lt;&gt;$Y77,IFERROR(VLOOKUP($H77,areaCercaPuntiClassificaSquadra,3,FALSE),-1)=IFERROR(VLOOKUP($Y77,areaCercaPuntiClassificaSquadra,3,FALSE),-2)),SUMIFS(Dati!$F$2:$F$761,Dati!$A$2:$A$761,$H77,Dati!$H$2:$H$761,$Y77)+SUMIFS(Dati!$M$2:$M$761,Dati!$H$2:$H$761,$H77,Dati!$A$2:$A$761,$Y77),"-")</f>
        <v/>
      </c>
      <c r="DJ77" s="22">
        <f>IF(AND($H77&lt;&gt;"",$Z77&lt;&gt;"",$H77&lt;&gt;$Z77,IFERROR(VLOOKUP($H77,areaCercaPuntiClassificaSquadra,3,FALSE),-1)=IFERROR(VLOOKUP($Z77,areaCercaPuntiClassificaSquadra,3,FALSE),-2)),SUMIFS(Dati!$F$2:$F$761,Dati!$A$2:$A$761,$H77,Dati!$H$2:$H$761,$Z77)+SUMIFS(Dati!$M$2:$M$761,Dati!$H$2:$H$761,$H77,Dati!$A$2:$A$761,$Z77),"-")</f>
        <v/>
      </c>
      <c r="DK77" s="22">
        <f>IF(AND($H77&lt;&gt;"",$AA77&lt;&gt;"",$H77&lt;&gt;$AA77,IFERROR(VLOOKUP($H77,areaCercaPuntiClassificaSquadra,3,FALSE),-1)=IFERROR(VLOOKUP($AA77,areaCercaPuntiClassificaSquadra,3,FALSE),-2)),SUMIFS(Dati!$F$2:$F$761,Dati!$A$2:$A$761,$H77,Dati!$H$2:$H$761,$AA77)+SUMIFS(Dati!$M$2:$M$761,Dati!$H$2:$H$761,$H77,Dati!$A$2:$A$761,$AA77),"-")</f>
        <v/>
      </c>
      <c r="DL77" s="22">
        <f>IF(AND($H77&lt;&gt;"",$AB77&lt;&gt;"",$H77&lt;&gt;$AB77,IFERROR(VLOOKUP($H77,areaCercaPuntiClassificaSquadra,3,FALSE),-1)=IFERROR(VLOOKUP($AB77,areaCercaPuntiClassificaSquadra,3,FALSE),-2)),SUMIFS(Dati!$F$2:$F$761,Dati!$A$2:$A$761,$H77,Dati!$H$2:$H$761,$AB77)+SUMIFS(Dati!$M$2:$M$761,Dati!$H$2:$H$761,$H77,Dati!$A$2:$A$761,$AB77),"-")</f>
        <v/>
      </c>
      <c r="DM77" s="22">
        <f>IF(AND($H77&lt;&gt;"",$AC77&lt;&gt;"",$H77&lt;&gt;$AC77,IFERROR(VLOOKUP($H77,areaCercaPuntiClassificaSquadra,3,FALSE),-1)=IFERROR(VLOOKUP($AC77,areaCercaPuntiClassificaSquadra,3,FALSE),-2)),SUMIFS(Dati!$F$2:$F$761,Dati!$A$2:$A$761,$H77,Dati!$H$2:$H$761,$AC77)+SUMIFS(Dati!$M$2:$M$761,Dati!$H$2:$H$761,$H77,Dati!$A$2:$A$761,$AC77),"-")</f>
        <v/>
      </c>
      <c r="DN77" s="22">
        <f>IF(AND($H77&lt;&gt;"",$AD77&lt;&gt;"",$H77&lt;&gt;$AD77,IFERROR(VLOOKUP($H77,areaCercaPuntiClassificaSquadra,3,FALSE),-1)=IFERROR(VLOOKUP($AD77,areaCercaPuntiClassificaSquadra,3,FALSE),-2)),SUMIFS(Dati!$F$2:$F$761,Dati!$A$2:$A$761,$H77,Dati!$H$2:$H$761,$AD77)+SUMIFS(Dati!$M$2:$M$761,Dati!$H$2:$H$761,$H77,Dati!$A$2:$A$761,$AD77),"-")</f>
        <v/>
      </c>
      <c r="DO77" s="22">
        <f>IF(AND($H77&lt;&gt;"",$AE77&lt;&gt;"",$H77&lt;&gt;$AE77,IFERROR(VLOOKUP($H77,areaCercaPuntiClassificaSquadra,3,FALSE),-1)=IFERROR(VLOOKUP($AE77,areaCercaPuntiClassificaSquadra,3,FALSE),-2)),SUMIFS(Dati!$F$2:$F$761,Dati!$A$2:$A$761,$H77,Dati!$H$2:$H$761,$AE77)+SUMIFS(Dati!$M$2:$M$761,Dati!$H$2:$H$761,$H77,Dati!$A$2:$A$761,$AE77),"-")</f>
        <v/>
      </c>
      <c r="DP77" s="22">
        <f>IF(AND($H77&lt;&gt;"",$AF77&lt;&gt;"",$H77&lt;&gt;$AF77,IFERROR(VLOOKUP($H77,areaCercaPuntiClassificaSquadra,3,FALSE),-1)=IFERROR(VLOOKUP($AF77,areaCercaPuntiClassificaSquadra,3,FALSE),-2)),SUMIFS(Dati!$F$2:$F$761,Dati!$A$2:$A$761,$H77,Dati!$H$2:$H$761,$AF77)+SUMIFS(Dati!$M$2:$M$761,Dati!$H$2:$H$761,$H77,Dati!$A$2:$A$761,$AF77),"-")</f>
        <v/>
      </c>
      <c r="DQ77" s="22">
        <f>IF(AND($H77&lt;&gt;"",$AG77&lt;&gt;"",$H77&lt;&gt;$AG77,IFERROR(VLOOKUP($H77,areaCercaPuntiClassificaSquadra,3,FALSE),-1)=IFERROR(VLOOKUP($AG77,areaCercaPuntiClassificaSquadra,3,FALSE),-2)),SUMIFS(Dati!$F$2:$F$761,Dati!$A$2:$A$761,$H77,Dati!$H$2:$H$761,$AG77)+SUMIFS(Dati!$M$2:$M$761,Dati!$H$2:$H$761,$H77,Dati!$A$2:$A$761,$AG77),"-")</f>
        <v/>
      </c>
      <c r="DR77" s="22">
        <f>IF(AND($H77&lt;&gt;"",$AH77&lt;&gt;"",$H77&lt;&gt;$AH77,IFERROR(VLOOKUP($H77,areaCercaPuntiClassificaSquadra,3,FALSE),-1)=IFERROR(VLOOKUP($AH77,areaCercaPuntiClassificaSquadra,3,FALSE),-2)),SUMIFS(Dati!$F$2:$F$761,Dati!$A$2:$A$761,$H77,Dati!$H$2:$H$761,$AH77)+SUMIFS(Dati!$M$2:$M$761,Dati!$H$2:$H$761,$H77,Dati!$A$2:$A$761,$AH77),"-")</f>
        <v/>
      </c>
      <c r="DS77" s="22">
        <f>IF(AND($H77&lt;&gt;"",$AI77&lt;&gt;"",$H77&lt;&gt;$AI77,IFERROR(VLOOKUP($H77,areaCercaPuntiClassificaSquadra,3,FALSE),-1)=IFERROR(VLOOKUP($AI77,areaCercaPuntiClassificaSquadra,3,FALSE),-2)),SUMIFS(Dati!$F$2:$F$761,Dati!$A$2:$A$761,$H77,Dati!$H$2:$H$761,$AI77)+SUMIFS(Dati!$M$2:$M$761,Dati!$H$2:$H$761,$H77,Dati!$A$2:$A$761,$AI77),"-")</f>
        <v/>
      </c>
      <c r="DT77" s="22">
        <f>IF(AND($H77&lt;&gt;"",$AJ77&lt;&gt;"",$H77&lt;&gt;$AJ77,IFERROR(VLOOKUP($H77,areaCercaPuntiClassificaSquadra,3,FALSE),-1)=IFERROR(VLOOKUP($AJ77,areaCercaPuntiClassificaSquadra,3,FALSE),-2)),SUMIFS(Dati!$F$2:$F$761,Dati!$A$2:$A$761,$H77,Dati!$H$2:$H$761,$AJ77)+SUMIFS(Dati!$M$2:$M$761,Dati!$H$2:$H$761,$H77,Dati!$A$2:$A$761,$AJ77),"-")</f>
        <v/>
      </c>
      <c r="DU77" s="22">
        <f>IF(AND($H77&lt;&gt;"",$AK77&lt;&gt;"",$H77&lt;&gt;$AK77,IFERROR(VLOOKUP($H77,areaCercaPuntiClassificaSquadra,3,FALSE),-1)=IFERROR(VLOOKUP($AK77,areaCercaPuntiClassificaSquadra,3,FALSE),-2)),SUMIFS(Dati!$F$2:$F$761,Dati!$A$2:$A$761,$H77,Dati!$H$2:$H$761,$AK77)+SUMIFS(Dati!$M$2:$M$761,Dati!$H$2:$H$761,$H77,Dati!$A$2:$A$761,$AK77),"-")</f>
        <v/>
      </c>
      <c r="DV77" s="22">
        <f>IF(AND($H77&lt;&gt;"",$AL77&lt;&gt;"",$H77&lt;&gt;$AL77,IFERROR(VLOOKUP($H77,areaCercaPuntiClassificaSquadra,3,FALSE),-1)=IFERROR(VLOOKUP($AL77,areaCercaPuntiClassificaSquadra,3,FALSE),-2)),SUMIFS(Dati!$F$2:$F$761,Dati!$A$2:$A$761,$H77,Dati!$H$2:$H$761,$AL77)+SUMIFS(Dati!$M$2:$M$761,Dati!$H$2:$H$761,$H77,Dati!$A$2:$A$761,$AL77),"-")</f>
        <v/>
      </c>
      <c r="DW77" s="22">
        <f>IF(AND($H77&lt;&gt;"",$AM77&lt;&gt;"",$H77&lt;&gt;$AM77,IFERROR(VLOOKUP($H77,areaCercaPuntiClassificaSquadra,3,FALSE),-1)=IFERROR(VLOOKUP($AM77,areaCercaPuntiClassificaSquadra,3,FALSE),-2)),SUMIFS(Dati!$F$2:$F$761,Dati!$A$2:$A$761,$H77,Dati!$H$2:$H$761,$AM77)+SUMIFS(Dati!$M$2:$M$761,Dati!$H$2:$H$761,$H77,Dati!$A$2:$A$761,$AM77),"-")</f>
        <v/>
      </c>
      <c r="DX77" s="22">
        <f>IF(AND($H77&lt;&gt;"",$AN77&lt;&gt;"",$H77&lt;&gt;$AN77,IFERROR(VLOOKUP($H77,areaCercaPuntiClassificaSquadra,3,FALSE),-1)=IFERROR(VLOOKUP($AN77,areaCercaPuntiClassificaSquadra,3,FALSE),-2)),SUMIFS(Dati!$F$2:$F$761,Dati!$A$2:$A$761,$H77,Dati!$H$2:$H$761,$AN77)+SUMIFS(Dati!$M$2:$M$761,Dati!$H$2:$H$761,$H77,Dati!$A$2:$A$761,$AN77),"-")</f>
        <v/>
      </c>
      <c r="DY77" s="22">
        <f>IF(AND($H77&lt;&gt;"",$AO77&lt;&gt;"",$H77&lt;&gt;$AO77,IFERROR(VLOOKUP($H77,areaCercaPuntiClassificaSquadra,3,FALSE),-1)=IFERROR(VLOOKUP($AO77,areaCercaPuntiClassificaSquadra,3,FALSE),-2)),SUMIFS(Dati!$F$2:$F$761,Dati!$A$2:$A$761,$H77,Dati!$H$2:$H$761,$AO77)+SUMIFS(Dati!$M$2:$M$761,Dati!$H$2:$H$761,$H77,Dati!$A$2:$A$761,$AO77),"-")</f>
        <v/>
      </c>
      <c r="DZ77" s="22">
        <f>IF(AND($H77&lt;&gt;"",$AP77&lt;&gt;"",$H77&lt;&gt;$AP77,IFERROR(VLOOKUP($H77,areaCercaPuntiClassificaSquadra,3,FALSE),-1)=IFERROR(VLOOKUP($AP77,areaCercaPuntiClassificaSquadra,3,FALSE),-2)),SUMIFS(Dati!$F$2:$F$761,Dati!$A$2:$A$761,$H77,Dati!$H$2:$H$761,$AP77)+SUMIFS(Dati!$M$2:$M$761,Dati!$H$2:$H$761,$H77,Dati!$A$2:$A$761,$AP77),"-")</f>
        <v/>
      </c>
      <c r="EA77" s="22">
        <f>IF(AND($H77&lt;&gt;"",$AQ77&lt;&gt;"",$H77&lt;&gt;$AQ77,IFERROR(VLOOKUP($H77,areaCercaPuntiClassificaSquadra,3,FALSE),-1)=IFERROR(VLOOKUP($AQ77,areaCercaPuntiClassificaSquadra,3,FALSE),-2)),SUMIFS(Dati!$F$2:$F$761,Dati!$A$2:$A$761,$H77,Dati!$H$2:$H$761,$AQ77)+SUMIFS(Dati!$M$2:$M$761,Dati!$H$2:$H$761,$H77,Dati!$A$2:$A$761,$AQ77),"-")</f>
        <v/>
      </c>
      <c r="EB77" s="22">
        <f>IF(AND($H77&lt;&gt;"",$AR77&lt;&gt;"",$H77&lt;&gt;$AR77,IFERROR(VLOOKUP($H77,areaCercaPuntiClassificaSquadra,3,FALSE),-1)=IFERROR(VLOOKUP($AR77,areaCercaPuntiClassificaSquadra,3,FALSE),-2)),SUMIFS(Dati!$F$2:$F$761,Dati!$A$2:$A$761,$H77,Dati!$H$2:$H$761,$AR77)+SUMIFS(Dati!$M$2:$M$761,Dati!$H$2:$H$761,$H77,Dati!$A$2:$A$761,$AR77),"-")</f>
        <v/>
      </c>
      <c r="ED77" s="22">
        <f>IF($C77="","",SUM(AU77:BN77))</f>
        <v/>
      </c>
    </row>
    <row r="78">
      <c r="B78" s="12" t="inlineStr">
        <is>
          <t>D05</t>
        </is>
      </c>
      <c r="C78" s="13" t="inlineStr">
        <is>
          <t>Rondini Regali-Rondiniopoli RU</t>
        </is>
      </c>
      <c r="D78" s="14" t="n"/>
      <c r="E78" s="27" t="inlineStr">
        <is>
          <t>D</t>
        </is>
      </c>
      <c r="G78" s="28">
        <f>IF($C78="","",$E78&amp;(COUNTIFS(I$14:I$93,"&gt;"&amp;I78,E$14:E$93,"="&amp;E78,C$14:C$93,"&lt;&gt;")+COUNTIFS(I$14:I$93,"="&amp;I78,H$14:H$93,"&lt;="&amp;H78,E$14:E$93,"="&amp;E78,C$14:C$93,"&lt;&gt;")))</f>
        <v/>
      </c>
      <c r="H78" s="17">
        <f>IF($C78="","",IFERROR(LEFT($C78,FIND("-",$C78)-1),$C78))</f>
        <v/>
      </c>
      <c r="I78" s="12">
        <f>TEXT(1000000000+J78,"|0000000000|")&amp;TEXT(SUM(AU78:BN78),"0000000000|")&amp;IF(SUM(DI78:EB78)=0,"0000000000|",TEXT(ROUND(SUM(CM78:DF78)/SUM(DI78:EB78),4)*100000,"0000000000|"))&amp;IF(P78=0,"0000000000|",TEXT(ROUND(O78/P78,4)*100000,"0000000000|"))</f>
        <v/>
      </c>
      <c r="J78" s="28">
        <f>L78*constPuntiVittoria+M78*constPuntiSconfitta+N78*constPuntiForfait+IF(D78="",0,D78)</f>
        <v/>
      </c>
      <c r="K78" s="12">
        <f>SUM(L78:N78)</f>
        <v/>
      </c>
      <c r="L78" s="12">
        <f>IF($H78="",0,SUMIF(Dati!$A$2:$A$761,$H78,Dati!$B$2:$B$761)+SUMIF(Dati!$H$2:$H$761,$H78,Dati!$I$2:$I$761))</f>
        <v/>
      </c>
      <c r="M78" s="12">
        <f>IF($H78="",0,SUMIF(Dati!$A$2:$A$761,$H78,Dati!$D$2:$D$761)+SUMIF(Dati!$H$2:$H$761,$H78,Dati!$K$2:$K$761))</f>
        <v/>
      </c>
      <c r="N78" s="12">
        <f>IF($H78="",0,SUMIF(Dati!$A$2:$A$761,$H78,Dati!$C$2:$C$761)+SUMIF(Dati!$H$2:$H$761,$H78,Dati!$J$2:$J$761))</f>
        <v/>
      </c>
      <c r="O78" s="12">
        <f>IF($H78="",0,SUMIF(Dati!$A$2:$A$761,$H78,Dati!$E$2:$E$761)+SUMIF(Dati!$H$2:$H$761,$H78,Dati!$L$2:$L$761))</f>
        <v/>
      </c>
      <c r="P78" s="12">
        <f>IF($H78="",0,SUMIF(Dati!$A$2:$A$761,$H78,Dati!$F$2:$F$761)+SUMIF(Dati!$H$2:$H$761,$H78,Dati!$M$2:$M$761))</f>
        <v/>
      </c>
      <c r="Q78" s="12">
        <f>IF($H78="",0,SUMIF(Dati!$A$2:$A$761,$H78,Dati!$G$2:$G$761)+SUMIF(Dati!$H$2:$H$761,$H78,Dati!$N$2:$N$761))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IF(COUNTIFS($E$14:$E$93,$E78,$J$14:$J$93,$J78,$C$14:$C$93,"&lt;&gt;")&lt;=1,"-",SUM(AU78:BN78)&amp;"-"&amp;SUM(BQ78:CJ78))</f>
        <v/>
      </c>
      <c r="V78" s="18">
        <f>IF(COUNTIFS($E$14:$E$93,$E78,$J$14:$J$93,$J78,$C$14:$C$93,"&lt;&gt;",$ED$14:$ED$93,$ED78)&lt;=1,"-",IF(SUM(DI78:EB78)=0,0,ROUND(SUM(CM78:DF78)/SUM(DI78:EB78),3)))</f>
        <v/>
      </c>
      <c r="W78" s="18">
        <f>IF(COUNTIFS($E$14:$E$93,$E78,$J$14:$J$93,$J78,$C$14:$C$93,"&lt;&gt;",$ED$14:$ED$93,$ED78,$V$14:$V$93,$V78)&lt;=1,"-",IF(P78=0,0,ROUND(O78/P78,3)))</f>
        <v/>
      </c>
      <c r="X78" s="19">
        <f>IF($C78="","",$E78&amp;"#"&amp;COUNTIFS($E$14:$E78,$E78,$C$14:$C78,"&lt;&gt;"))</f>
        <v/>
      </c>
      <c r="Y78" s="20">
        <f>IFERROR(INDEX($H$14:$H$93,MATCH($E78&amp;"#1",$X$14:$X$93,0)),"")</f>
        <v/>
      </c>
      <c r="Z78" s="20">
        <f>IFERROR(INDEX($H$14:$H$93,MATCH($E78&amp;"#2",$X$14:$X$93,0)),"")</f>
        <v/>
      </c>
      <c r="AA78" s="20">
        <f>IFERROR(INDEX($H$14:$H$93,MATCH($E78&amp;"#3",$X$14:$X$93,0)),"")</f>
        <v/>
      </c>
      <c r="AB78" s="20">
        <f>IFERROR(INDEX($H$14:$H$93,MATCH($E78&amp;"#4",$X$14:$X$93,0)),"")</f>
        <v/>
      </c>
      <c r="AC78" s="20">
        <f>IFERROR(INDEX($H$14:$H$93,MATCH($E78&amp;"#5",$X$14:$X$93,0)),"")</f>
        <v/>
      </c>
      <c r="AD78" s="20">
        <f>IFERROR(INDEX($H$14:$H$93,MATCH($E78&amp;"#6",$X$14:$X$93,0)),"")</f>
        <v/>
      </c>
      <c r="AE78" s="20">
        <f>IFERROR(INDEX($H$14:$H$93,MATCH($E78&amp;"#7",$X$14:$X$93,0)),"")</f>
        <v/>
      </c>
      <c r="AF78" s="20">
        <f>IFERROR(INDEX($H$14:$H$93,MATCH($E78&amp;"#8",$X$14:$X$93,0)),"")</f>
        <v/>
      </c>
      <c r="AG78" s="20">
        <f>IFERROR(INDEX($H$14:$H$93,MATCH($E78&amp;"#9",$X$14:$X$93,0)),"")</f>
        <v/>
      </c>
      <c r="AH78" s="20">
        <f>IFERROR(INDEX($H$14:$H$93,MATCH($E78&amp;"#10",$X$14:$X$93,0)),"")</f>
        <v/>
      </c>
      <c r="AI78" s="20">
        <f>IFERROR(INDEX($H$14:$H$93,MATCH($E78&amp;"#11",$X$14:$X$93,0)),"")</f>
        <v/>
      </c>
      <c r="AJ78" s="20">
        <f>IFERROR(INDEX($H$14:$H$93,MATCH($E78&amp;"#12",$X$14:$X$93,0)),"")</f>
        <v/>
      </c>
      <c r="AK78" s="20">
        <f>IFERROR(INDEX($H$14:$H$93,MATCH($E78&amp;"#13",$X$14:$X$93,0)),"")</f>
        <v/>
      </c>
      <c r="AL78" s="20">
        <f>IFERROR(INDEX($H$14:$H$93,MATCH($E78&amp;"#14",$X$14:$X$93,0)),"")</f>
        <v/>
      </c>
      <c r="AM78" s="20">
        <f>IFERROR(INDEX($H$14:$H$93,MATCH($E78&amp;"#15",$X$14:$X$93,0)),"")</f>
        <v/>
      </c>
      <c r="AN78" s="20">
        <f>IFERROR(INDEX($H$14:$H$93,MATCH($E78&amp;"#16",$X$14:$X$93,0)),"")</f>
        <v/>
      </c>
      <c r="AO78" s="20">
        <f>IFERROR(INDEX($H$14:$H$93,MATCH($E78&amp;"#17",$X$14:$X$93,0)),"")</f>
        <v/>
      </c>
      <c r="AP78" s="20">
        <f>IFERROR(INDEX($H$14:$H$93,MATCH($E78&amp;"#18",$X$14:$X$93,0)),"")</f>
        <v/>
      </c>
      <c r="AQ78" s="20">
        <f>IFERROR(INDEX($H$14:$H$93,MATCH($E78&amp;"#19",$X$14:$X$93,0)),"")</f>
        <v/>
      </c>
      <c r="AR78" s="20">
        <f>IFERROR(INDEX($H$14:$H$93,MATCH($E78&amp;"#20",$X$14:$X$93,0)),"")</f>
        <v/>
      </c>
      <c r="AT78" s="21">
        <f>$C78</f>
        <v/>
      </c>
      <c r="AU78" s="22">
        <f>IF(AND($H78&lt;&gt;"",$Y78&lt;&gt;"",$H78&lt;&gt;$Y78,IFERROR(VLOOKUP($H78,areaCercaPuntiClassificaSquadra,3,FALSE),-1)=IFERROR(VLOOKUP($Y78,areaCercaPuntiClassificaSquadra,3,FALSE),-2)),SUMIFS(Dati!$B$2:$B$761,Dati!$A$2:$A$761,$H78,Dati!$H$2:$H$761,$Y78)+SUMIFS(Dati!$I$2:$I$761,Dati!$H$2:$H$761,$H78,Dati!$A$2:$A$761,$Y78),"-")</f>
        <v/>
      </c>
      <c r="AV78" s="22">
        <f>IF(AND($H78&lt;&gt;"",$Z78&lt;&gt;"",$H78&lt;&gt;$Z78,IFERROR(VLOOKUP($H78,areaCercaPuntiClassificaSquadra,3,FALSE),-1)=IFERROR(VLOOKUP($Z78,areaCercaPuntiClassificaSquadra,3,FALSE),-2)),SUMIFS(Dati!$B$2:$B$761,Dati!$A$2:$A$761,$H78,Dati!$H$2:$H$761,$Z78)+SUMIFS(Dati!$I$2:$I$761,Dati!$H$2:$H$761,$H78,Dati!$A$2:$A$761,$Z78),"-")</f>
        <v/>
      </c>
      <c r="AW78" s="22">
        <f>IF(AND($H78&lt;&gt;"",$AA78&lt;&gt;"",$H78&lt;&gt;$AA78,IFERROR(VLOOKUP($H78,areaCercaPuntiClassificaSquadra,3,FALSE),-1)=IFERROR(VLOOKUP($AA78,areaCercaPuntiClassificaSquadra,3,FALSE),-2)),SUMIFS(Dati!$B$2:$B$761,Dati!$A$2:$A$761,$H78,Dati!$H$2:$H$761,$AA78)+SUMIFS(Dati!$I$2:$I$761,Dati!$H$2:$H$761,$H78,Dati!$A$2:$A$761,$AA78),"-")</f>
        <v/>
      </c>
      <c r="AX78" s="22">
        <f>IF(AND($H78&lt;&gt;"",$AB78&lt;&gt;"",$H78&lt;&gt;$AB78,IFERROR(VLOOKUP($H78,areaCercaPuntiClassificaSquadra,3,FALSE),-1)=IFERROR(VLOOKUP($AB78,areaCercaPuntiClassificaSquadra,3,FALSE),-2)),SUMIFS(Dati!$B$2:$B$761,Dati!$A$2:$A$761,$H78,Dati!$H$2:$H$761,$AB78)+SUMIFS(Dati!$I$2:$I$761,Dati!$H$2:$H$761,$H78,Dati!$A$2:$A$761,$AB78),"-")</f>
        <v/>
      </c>
      <c r="AY78" s="22">
        <f>IF(AND($H78&lt;&gt;"",$AC78&lt;&gt;"",$H78&lt;&gt;$AC78,IFERROR(VLOOKUP($H78,areaCercaPuntiClassificaSquadra,3,FALSE),-1)=IFERROR(VLOOKUP($AC78,areaCercaPuntiClassificaSquadra,3,FALSE),-2)),SUMIFS(Dati!$B$2:$B$761,Dati!$A$2:$A$761,$H78,Dati!$H$2:$H$761,$AC78)+SUMIFS(Dati!$I$2:$I$761,Dati!$H$2:$H$761,$H78,Dati!$A$2:$A$761,$AC78),"-")</f>
        <v/>
      </c>
      <c r="AZ78" s="22">
        <f>IF(AND($H78&lt;&gt;"",$AD78&lt;&gt;"",$H78&lt;&gt;$AD78,IFERROR(VLOOKUP($H78,areaCercaPuntiClassificaSquadra,3,FALSE),-1)=IFERROR(VLOOKUP($AD78,areaCercaPuntiClassificaSquadra,3,FALSE),-2)),SUMIFS(Dati!$B$2:$B$761,Dati!$A$2:$A$761,$H78,Dati!$H$2:$H$761,$AD78)+SUMIFS(Dati!$I$2:$I$761,Dati!$H$2:$H$761,$H78,Dati!$A$2:$A$761,$AD78),"-")</f>
        <v/>
      </c>
      <c r="BA78" s="22">
        <f>IF(AND($H78&lt;&gt;"",$AE78&lt;&gt;"",$H78&lt;&gt;$AE78,IFERROR(VLOOKUP($H78,areaCercaPuntiClassificaSquadra,3,FALSE),-1)=IFERROR(VLOOKUP($AE78,areaCercaPuntiClassificaSquadra,3,FALSE),-2)),SUMIFS(Dati!$B$2:$B$761,Dati!$A$2:$A$761,$H78,Dati!$H$2:$H$761,$AE78)+SUMIFS(Dati!$I$2:$I$761,Dati!$H$2:$H$761,$H78,Dati!$A$2:$A$761,$AE78),"-")</f>
        <v/>
      </c>
      <c r="BB78" s="22">
        <f>IF(AND($H78&lt;&gt;"",$AF78&lt;&gt;"",$H78&lt;&gt;$AF78,IFERROR(VLOOKUP($H78,areaCercaPuntiClassificaSquadra,3,FALSE),-1)=IFERROR(VLOOKUP($AF78,areaCercaPuntiClassificaSquadra,3,FALSE),-2)),SUMIFS(Dati!$B$2:$B$761,Dati!$A$2:$A$761,$H78,Dati!$H$2:$H$761,$AF78)+SUMIFS(Dati!$I$2:$I$761,Dati!$H$2:$H$761,$H78,Dati!$A$2:$A$761,$AF78),"-")</f>
        <v/>
      </c>
      <c r="BC78" s="22">
        <f>IF(AND($H78&lt;&gt;"",$AG78&lt;&gt;"",$H78&lt;&gt;$AG78,IFERROR(VLOOKUP($H78,areaCercaPuntiClassificaSquadra,3,FALSE),-1)=IFERROR(VLOOKUP($AG78,areaCercaPuntiClassificaSquadra,3,FALSE),-2)),SUMIFS(Dati!$B$2:$B$761,Dati!$A$2:$A$761,$H78,Dati!$H$2:$H$761,$AG78)+SUMIFS(Dati!$I$2:$I$761,Dati!$H$2:$H$761,$H78,Dati!$A$2:$A$761,$AG78),"-")</f>
        <v/>
      </c>
      <c r="BD78" s="22">
        <f>IF(AND($H78&lt;&gt;"",$AH78&lt;&gt;"",$H78&lt;&gt;$AH78,IFERROR(VLOOKUP($H78,areaCercaPuntiClassificaSquadra,3,FALSE),-1)=IFERROR(VLOOKUP($AH78,areaCercaPuntiClassificaSquadra,3,FALSE),-2)),SUMIFS(Dati!$B$2:$B$761,Dati!$A$2:$A$761,$H78,Dati!$H$2:$H$761,$AH78)+SUMIFS(Dati!$I$2:$I$761,Dati!$H$2:$H$761,$H78,Dati!$A$2:$A$761,$AH78),"-")</f>
        <v/>
      </c>
      <c r="BE78" s="22">
        <f>IF(AND($H78&lt;&gt;"",$AI78&lt;&gt;"",$H78&lt;&gt;$AI78,IFERROR(VLOOKUP($H78,areaCercaPuntiClassificaSquadra,3,FALSE),-1)=IFERROR(VLOOKUP($AI78,areaCercaPuntiClassificaSquadra,3,FALSE),-2)),SUMIFS(Dati!$B$2:$B$761,Dati!$A$2:$A$761,$H78,Dati!$H$2:$H$761,$AI78)+SUMIFS(Dati!$I$2:$I$761,Dati!$H$2:$H$761,$H78,Dati!$A$2:$A$761,$AI78),"-")</f>
        <v/>
      </c>
      <c r="BF78" s="22">
        <f>IF(AND($H78&lt;&gt;"",$AJ78&lt;&gt;"",$H78&lt;&gt;$AJ78,IFERROR(VLOOKUP($H78,areaCercaPuntiClassificaSquadra,3,FALSE),-1)=IFERROR(VLOOKUP($AJ78,areaCercaPuntiClassificaSquadra,3,FALSE),-2)),SUMIFS(Dati!$B$2:$B$761,Dati!$A$2:$A$761,$H78,Dati!$H$2:$H$761,$AJ78)+SUMIFS(Dati!$I$2:$I$761,Dati!$H$2:$H$761,$H78,Dati!$A$2:$A$761,$AJ78),"-")</f>
        <v/>
      </c>
      <c r="BG78" s="22">
        <f>IF(AND($H78&lt;&gt;"",$AK78&lt;&gt;"",$H78&lt;&gt;$AK78,IFERROR(VLOOKUP($H78,areaCercaPuntiClassificaSquadra,3,FALSE),-1)=IFERROR(VLOOKUP($AK78,areaCercaPuntiClassificaSquadra,3,FALSE),-2)),SUMIFS(Dati!$B$2:$B$761,Dati!$A$2:$A$761,$H78,Dati!$H$2:$H$761,$AK78)+SUMIFS(Dati!$I$2:$I$761,Dati!$H$2:$H$761,$H78,Dati!$A$2:$A$761,$AK78),"-")</f>
        <v/>
      </c>
      <c r="BH78" s="22">
        <f>IF(AND($H78&lt;&gt;"",$AL78&lt;&gt;"",$H78&lt;&gt;$AL78,IFERROR(VLOOKUP($H78,areaCercaPuntiClassificaSquadra,3,FALSE),-1)=IFERROR(VLOOKUP($AL78,areaCercaPuntiClassificaSquadra,3,FALSE),-2)),SUMIFS(Dati!$B$2:$B$761,Dati!$A$2:$A$761,$H78,Dati!$H$2:$H$761,$AL78)+SUMIFS(Dati!$I$2:$I$761,Dati!$H$2:$H$761,$H78,Dati!$A$2:$A$761,$AL78),"-")</f>
        <v/>
      </c>
      <c r="BI78" s="22">
        <f>IF(AND($H78&lt;&gt;"",$AM78&lt;&gt;"",$H78&lt;&gt;$AM78,IFERROR(VLOOKUP($H78,areaCercaPuntiClassificaSquadra,3,FALSE),-1)=IFERROR(VLOOKUP($AM78,areaCercaPuntiClassificaSquadra,3,FALSE),-2)),SUMIFS(Dati!$B$2:$B$761,Dati!$A$2:$A$761,$H78,Dati!$H$2:$H$761,$AM78)+SUMIFS(Dati!$I$2:$I$761,Dati!$H$2:$H$761,$H78,Dati!$A$2:$A$761,$AM78),"-")</f>
        <v/>
      </c>
      <c r="BJ78" s="22">
        <f>IF(AND($H78&lt;&gt;"",$AN78&lt;&gt;"",$H78&lt;&gt;$AN78,IFERROR(VLOOKUP($H78,areaCercaPuntiClassificaSquadra,3,FALSE),-1)=IFERROR(VLOOKUP($AN78,areaCercaPuntiClassificaSquadra,3,FALSE),-2)),SUMIFS(Dati!$B$2:$B$761,Dati!$A$2:$A$761,$H78,Dati!$H$2:$H$761,$AN78)+SUMIFS(Dati!$I$2:$I$761,Dati!$H$2:$H$761,$H78,Dati!$A$2:$A$761,$AN78),"-")</f>
        <v/>
      </c>
      <c r="BK78" s="22">
        <f>IF(AND($H78&lt;&gt;"",$AO78&lt;&gt;"",$H78&lt;&gt;$AO78,IFERROR(VLOOKUP($H78,areaCercaPuntiClassificaSquadra,3,FALSE),-1)=IFERROR(VLOOKUP($AO78,areaCercaPuntiClassificaSquadra,3,FALSE),-2)),SUMIFS(Dati!$B$2:$B$761,Dati!$A$2:$A$761,$H78,Dati!$H$2:$H$761,$AO78)+SUMIFS(Dati!$I$2:$I$761,Dati!$H$2:$H$761,$H78,Dati!$A$2:$A$761,$AO78),"-")</f>
        <v/>
      </c>
      <c r="BL78" s="22">
        <f>IF(AND($H78&lt;&gt;"",$AP78&lt;&gt;"",$H78&lt;&gt;$AP78,IFERROR(VLOOKUP($H78,areaCercaPuntiClassificaSquadra,3,FALSE),-1)=IFERROR(VLOOKUP($AP78,areaCercaPuntiClassificaSquadra,3,FALSE),-2)),SUMIFS(Dati!$B$2:$B$761,Dati!$A$2:$A$761,$H78,Dati!$H$2:$H$761,$AP78)+SUMIFS(Dati!$I$2:$I$761,Dati!$H$2:$H$761,$H78,Dati!$A$2:$A$761,$AP78),"-")</f>
        <v/>
      </c>
      <c r="BM78" s="22">
        <f>IF(AND($H78&lt;&gt;"",$AQ78&lt;&gt;"",$H78&lt;&gt;$AQ78,IFERROR(VLOOKUP($H78,areaCercaPuntiClassificaSquadra,3,FALSE),-1)=IFERROR(VLOOKUP($AQ78,areaCercaPuntiClassificaSquadra,3,FALSE),-2)),SUMIFS(Dati!$B$2:$B$761,Dati!$A$2:$A$761,$H78,Dati!$H$2:$H$761,$AQ78)+SUMIFS(Dati!$I$2:$I$761,Dati!$H$2:$H$761,$H78,Dati!$A$2:$A$761,$AQ78),"-")</f>
        <v/>
      </c>
      <c r="BN78" s="22">
        <f>IF(AND($H78&lt;&gt;"",$AR78&lt;&gt;"",$H78&lt;&gt;$AR78,IFERROR(VLOOKUP($H78,areaCercaPuntiClassificaSquadra,3,FALSE),-1)=IFERROR(VLOOKUP($AR78,areaCercaPuntiClassificaSquadra,3,FALSE),-2)),SUMIFS(Dati!$B$2:$B$761,Dati!$A$2:$A$761,$H78,Dati!$H$2:$H$761,$AR78)+SUMIFS(Dati!$I$2:$I$761,Dati!$H$2:$H$761,$H78,Dati!$A$2:$A$761,$AR78),"-")</f>
        <v/>
      </c>
      <c r="BP78" s="21">
        <f>$C78</f>
        <v/>
      </c>
      <c r="BQ78" s="22">
        <f>IF(AND($H78&lt;&gt;"",$Y78&lt;&gt;"",$H78&lt;&gt;$Y78,IFERROR(VLOOKUP($H78,areaCercaPuntiClassificaSquadra,3,FALSE),-1)=IFERROR(VLOOKUP($Y78,areaCercaPuntiClassificaSquadra,3,FALSE),-2)),SUMIFS(Dati!$D$2:$D$761,Dati!$A$2:$A$761,$H78,Dati!$H$2:$H$761,$Y78)+SUMIFS(Dati!$K$2:$K$761,Dati!$H$2:$H$761,$H78,Dati!$A$2:$A$761,$Y78)+SUMIFS(Dati!$C$2:$C$761,Dati!$A$2:$A$761,$H78,Dati!$H$2:$H$761,$Y78)+SUMIFS(Dati!$J$2:$J$761,Dati!$H$2:$H$761,$H78,Dati!$A$2:$A$761,$Y78),"-")</f>
        <v/>
      </c>
      <c r="BR78" s="22">
        <f>IF(AND($H78&lt;&gt;"",$Z78&lt;&gt;"",$H78&lt;&gt;$Z78,IFERROR(VLOOKUP($H78,areaCercaPuntiClassificaSquadra,3,FALSE),-1)=IFERROR(VLOOKUP($Z78,areaCercaPuntiClassificaSquadra,3,FALSE),-2)),SUMIFS(Dati!$D$2:$D$761,Dati!$A$2:$A$761,$H78,Dati!$H$2:$H$761,$Z78)+SUMIFS(Dati!$K$2:$K$761,Dati!$H$2:$H$761,$H78,Dati!$A$2:$A$761,$Z78)+SUMIFS(Dati!$C$2:$C$761,Dati!$A$2:$A$761,$H78,Dati!$H$2:$H$761,$Z78)+SUMIFS(Dati!$J$2:$J$761,Dati!$H$2:$H$761,$H78,Dati!$A$2:$A$761,$Z78),"-")</f>
        <v/>
      </c>
      <c r="BS78" s="22">
        <f>IF(AND($H78&lt;&gt;"",$AA78&lt;&gt;"",$H78&lt;&gt;$AA78,IFERROR(VLOOKUP($H78,areaCercaPuntiClassificaSquadra,3,FALSE),-1)=IFERROR(VLOOKUP($AA78,areaCercaPuntiClassificaSquadra,3,FALSE),-2)),SUMIFS(Dati!$D$2:$D$761,Dati!$A$2:$A$761,$H78,Dati!$H$2:$H$761,$AA78)+SUMIFS(Dati!$K$2:$K$761,Dati!$H$2:$H$761,$H78,Dati!$A$2:$A$761,$AA78)+SUMIFS(Dati!$C$2:$C$761,Dati!$A$2:$A$761,$H78,Dati!$H$2:$H$761,$AA78)+SUMIFS(Dati!$J$2:$J$761,Dati!$H$2:$H$761,$H78,Dati!$A$2:$A$761,$AA78),"-")</f>
        <v/>
      </c>
      <c r="BT78" s="22">
        <f>IF(AND($H78&lt;&gt;"",$AB78&lt;&gt;"",$H78&lt;&gt;$AB78,IFERROR(VLOOKUP($H78,areaCercaPuntiClassificaSquadra,3,FALSE),-1)=IFERROR(VLOOKUP($AB78,areaCercaPuntiClassificaSquadra,3,FALSE),-2)),SUMIFS(Dati!$D$2:$D$761,Dati!$A$2:$A$761,$H78,Dati!$H$2:$H$761,$AB78)+SUMIFS(Dati!$K$2:$K$761,Dati!$H$2:$H$761,$H78,Dati!$A$2:$A$761,$AB78)+SUMIFS(Dati!$C$2:$C$761,Dati!$A$2:$A$761,$H78,Dati!$H$2:$H$761,$AB78)+SUMIFS(Dati!$J$2:$J$761,Dati!$H$2:$H$761,$H78,Dati!$A$2:$A$761,$AB78),"-")</f>
        <v/>
      </c>
      <c r="BU78" s="22">
        <f>IF(AND($H78&lt;&gt;"",$AC78&lt;&gt;"",$H78&lt;&gt;$AC78,IFERROR(VLOOKUP($H78,areaCercaPuntiClassificaSquadra,3,FALSE),-1)=IFERROR(VLOOKUP($AC78,areaCercaPuntiClassificaSquadra,3,FALSE),-2)),SUMIFS(Dati!$D$2:$D$761,Dati!$A$2:$A$761,$H78,Dati!$H$2:$H$761,$AC78)+SUMIFS(Dati!$K$2:$K$761,Dati!$H$2:$H$761,$H78,Dati!$A$2:$A$761,$AC78)+SUMIFS(Dati!$C$2:$C$761,Dati!$A$2:$A$761,$H78,Dati!$H$2:$H$761,$AC78)+SUMIFS(Dati!$J$2:$J$761,Dati!$H$2:$H$761,$H78,Dati!$A$2:$A$761,$AC78),"-")</f>
        <v/>
      </c>
      <c r="BV78" s="22">
        <f>IF(AND($H78&lt;&gt;"",$AD78&lt;&gt;"",$H78&lt;&gt;$AD78,IFERROR(VLOOKUP($H78,areaCercaPuntiClassificaSquadra,3,FALSE),-1)=IFERROR(VLOOKUP($AD78,areaCercaPuntiClassificaSquadra,3,FALSE),-2)),SUMIFS(Dati!$D$2:$D$761,Dati!$A$2:$A$761,$H78,Dati!$H$2:$H$761,$AD78)+SUMIFS(Dati!$K$2:$K$761,Dati!$H$2:$H$761,$H78,Dati!$A$2:$A$761,$AD78)+SUMIFS(Dati!$C$2:$C$761,Dati!$A$2:$A$761,$H78,Dati!$H$2:$H$761,$AD78)+SUMIFS(Dati!$J$2:$J$761,Dati!$H$2:$H$761,$H78,Dati!$A$2:$A$761,$AD78),"-")</f>
        <v/>
      </c>
      <c r="BW78" s="22">
        <f>IF(AND($H78&lt;&gt;"",$AE78&lt;&gt;"",$H78&lt;&gt;$AE78,IFERROR(VLOOKUP($H78,areaCercaPuntiClassificaSquadra,3,FALSE),-1)=IFERROR(VLOOKUP($AE78,areaCercaPuntiClassificaSquadra,3,FALSE),-2)),SUMIFS(Dati!$D$2:$D$761,Dati!$A$2:$A$761,$H78,Dati!$H$2:$H$761,$AE78)+SUMIFS(Dati!$K$2:$K$761,Dati!$H$2:$H$761,$H78,Dati!$A$2:$A$761,$AE78)+SUMIFS(Dati!$C$2:$C$761,Dati!$A$2:$A$761,$H78,Dati!$H$2:$H$761,$AE78)+SUMIFS(Dati!$J$2:$J$761,Dati!$H$2:$H$761,$H78,Dati!$A$2:$A$761,$AE78),"-")</f>
        <v/>
      </c>
      <c r="BX78" s="22">
        <f>IF(AND($H78&lt;&gt;"",$AF78&lt;&gt;"",$H78&lt;&gt;$AF78,IFERROR(VLOOKUP($H78,areaCercaPuntiClassificaSquadra,3,FALSE),-1)=IFERROR(VLOOKUP($AF78,areaCercaPuntiClassificaSquadra,3,FALSE),-2)),SUMIFS(Dati!$D$2:$D$761,Dati!$A$2:$A$761,$H78,Dati!$H$2:$H$761,$AF78)+SUMIFS(Dati!$K$2:$K$761,Dati!$H$2:$H$761,$H78,Dati!$A$2:$A$761,$AF78)+SUMIFS(Dati!$C$2:$C$761,Dati!$A$2:$A$761,$H78,Dati!$H$2:$H$761,$AF78)+SUMIFS(Dati!$J$2:$J$761,Dati!$H$2:$H$761,$H78,Dati!$A$2:$A$761,$AF78),"-")</f>
        <v/>
      </c>
      <c r="BY78" s="22">
        <f>IF(AND($H78&lt;&gt;"",$AG78&lt;&gt;"",$H78&lt;&gt;$AG78,IFERROR(VLOOKUP($H78,areaCercaPuntiClassificaSquadra,3,FALSE),-1)=IFERROR(VLOOKUP($AG78,areaCercaPuntiClassificaSquadra,3,FALSE),-2)),SUMIFS(Dati!$D$2:$D$761,Dati!$A$2:$A$761,$H78,Dati!$H$2:$H$761,$AG78)+SUMIFS(Dati!$K$2:$K$761,Dati!$H$2:$H$761,$H78,Dati!$A$2:$A$761,$AG78)+SUMIFS(Dati!$C$2:$C$761,Dati!$A$2:$A$761,$H78,Dati!$H$2:$H$761,$AG78)+SUMIFS(Dati!$J$2:$J$761,Dati!$H$2:$H$761,$H78,Dati!$A$2:$A$761,$AG78),"-")</f>
        <v/>
      </c>
      <c r="BZ78" s="22">
        <f>IF(AND($H78&lt;&gt;"",$AH78&lt;&gt;"",$H78&lt;&gt;$AH78,IFERROR(VLOOKUP($H78,areaCercaPuntiClassificaSquadra,3,FALSE),-1)=IFERROR(VLOOKUP($AH78,areaCercaPuntiClassificaSquadra,3,FALSE),-2)),SUMIFS(Dati!$D$2:$D$761,Dati!$A$2:$A$761,$H78,Dati!$H$2:$H$761,$AH78)+SUMIFS(Dati!$K$2:$K$761,Dati!$H$2:$H$761,$H78,Dati!$A$2:$A$761,$AH78)+SUMIFS(Dati!$C$2:$C$761,Dati!$A$2:$A$761,$H78,Dati!$H$2:$H$761,$AH78)+SUMIFS(Dati!$J$2:$J$761,Dati!$H$2:$H$761,$H78,Dati!$A$2:$A$761,$AH78),"-")</f>
        <v/>
      </c>
      <c r="CA78" s="22">
        <f>IF(AND($H78&lt;&gt;"",$AI78&lt;&gt;"",$H78&lt;&gt;$AI78,IFERROR(VLOOKUP($H78,areaCercaPuntiClassificaSquadra,3,FALSE),-1)=IFERROR(VLOOKUP($AI78,areaCercaPuntiClassificaSquadra,3,FALSE),-2)),SUMIFS(Dati!$D$2:$D$761,Dati!$A$2:$A$761,$H78,Dati!$H$2:$H$761,$AI78)+SUMIFS(Dati!$K$2:$K$761,Dati!$H$2:$H$761,$H78,Dati!$A$2:$A$761,$AI78)+SUMIFS(Dati!$C$2:$C$761,Dati!$A$2:$A$761,$H78,Dati!$H$2:$H$761,$AI78)+SUMIFS(Dati!$J$2:$J$761,Dati!$H$2:$H$761,$H78,Dati!$A$2:$A$761,$AI78),"-")</f>
        <v/>
      </c>
      <c r="CB78" s="22">
        <f>IF(AND($H78&lt;&gt;"",$AJ78&lt;&gt;"",$H78&lt;&gt;$AJ78,IFERROR(VLOOKUP($H78,areaCercaPuntiClassificaSquadra,3,FALSE),-1)=IFERROR(VLOOKUP($AJ78,areaCercaPuntiClassificaSquadra,3,FALSE),-2)),SUMIFS(Dati!$D$2:$D$761,Dati!$A$2:$A$761,$H78,Dati!$H$2:$H$761,$AJ78)+SUMIFS(Dati!$K$2:$K$761,Dati!$H$2:$H$761,$H78,Dati!$A$2:$A$761,$AJ78)+SUMIFS(Dati!$C$2:$C$761,Dati!$A$2:$A$761,$H78,Dati!$H$2:$H$761,$AJ78)+SUMIFS(Dati!$J$2:$J$761,Dati!$H$2:$H$761,$H78,Dati!$A$2:$A$761,$AJ78),"-")</f>
        <v/>
      </c>
      <c r="CC78" s="22">
        <f>IF(AND($H78&lt;&gt;"",$AK78&lt;&gt;"",$H78&lt;&gt;$AK78,IFERROR(VLOOKUP($H78,areaCercaPuntiClassificaSquadra,3,FALSE),-1)=IFERROR(VLOOKUP($AK78,areaCercaPuntiClassificaSquadra,3,FALSE),-2)),SUMIFS(Dati!$D$2:$D$761,Dati!$A$2:$A$761,$H78,Dati!$H$2:$H$761,$AK78)+SUMIFS(Dati!$K$2:$K$761,Dati!$H$2:$H$761,$H78,Dati!$A$2:$A$761,$AK78)+SUMIFS(Dati!$C$2:$C$761,Dati!$A$2:$A$761,$H78,Dati!$H$2:$H$761,$AK78)+SUMIFS(Dati!$J$2:$J$761,Dati!$H$2:$H$761,$H78,Dati!$A$2:$A$761,$AK78),"-")</f>
        <v/>
      </c>
      <c r="CD78" s="22">
        <f>IF(AND($H78&lt;&gt;"",$AL78&lt;&gt;"",$H78&lt;&gt;$AL78,IFERROR(VLOOKUP($H78,areaCercaPuntiClassificaSquadra,3,FALSE),-1)=IFERROR(VLOOKUP($AL78,areaCercaPuntiClassificaSquadra,3,FALSE),-2)),SUMIFS(Dati!$D$2:$D$761,Dati!$A$2:$A$761,$H78,Dati!$H$2:$H$761,$AL78)+SUMIFS(Dati!$K$2:$K$761,Dati!$H$2:$H$761,$H78,Dati!$A$2:$A$761,$AL78)+SUMIFS(Dati!$C$2:$C$761,Dati!$A$2:$A$761,$H78,Dati!$H$2:$H$761,$AL78)+SUMIFS(Dati!$J$2:$J$761,Dati!$H$2:$H$761,$H78,Dati!$A$2:$A$761,$AL78),"-")</f>
        <v/>
      </c>
      <c r="CE78" s="22">
        <f>IF(AND($H78&lt;&gt;"",$AM78&lt;&gt;"",$H78&lt;&gt;$AM78,IFERROR(VLOOKUP($H78,areaCercaPuntiClassificaSquadra,3,FALSE),-1)=IFERROR(VLOOKUP($AM78,areaCercaPuntiClassificaSquadra,3,FALSE),-2)),SUMIFS(Dati!$D$2:$D$761,Dati!$A$2:$A$761,$H78,Dati!$H$2:$H$761,$AM78)+SUMIFS(Dati!$K$2:$K$761,Dati!$H$2:$H$761,$H78,Dati!$A$2:$A$761,$AM78)+SUMIFS(Dati!$C$2:$C$761,Dati!$A$2:$A$761,$H78,Dati!$H$2:$H$761,$AM78)+SUMIFS(Dati!$J$2:$J$761,Dati!$H$2:$H$761,$H78,Dati!$A$2:$A$761,$AM78),"-")</f>
        <v/>
      </c>
      <c r="CF78" s="22">
        <f>IF(AND($H78&lt;&gt;"",$AN78&lt;&gt;"",$H78&lt;&gt;$AN78,IFERROR(VLOOKUP($H78,areaCercaPuntiClassificaSquadra,3,FALSE),-1)=IFERROR(VLOOKUP($AN78,areaCercaPuntiClassificaSquadra,3,FALSE),-2)),SUMIFS(Dati!$D$2:$D$761,Dati!$A$2:$A$761,$H78,Dati!$H$2:$H$761,$AN78)+SUMIFS(Dati!$K$2:$K$761,Dati!$H$2:$H$761,$H78,Dati!$A$2:$A$761,$AN78)+SUMIFS(Dati!$C$2:$C$761,Dati!$A$2:$A$761,$H78,Dati!$H$2:$H$761,$AN78)+SUMIFS(Dati!$J$2:$J$761,Dati!$H$2:$H$761,$H78,Dati!$A$2:$A$761,$AN78),"-")</f>
        <v/>
      </c>
      <c r="CG78" s="22">
        <f>IF(AND($H78&lt;&gt;"",$AO78&lt;&gt;"",$H78&lt;&gt;$AO78,IFERROR(VLOOKUP($H78,areaCercaPuntiClassificaSquadra,3,FALSE),-1)=IFERROR(VLOOKUP($AO78,areaCercaPuntiClassificaSquadra,3,FALSE),-2)),SUMIFS(Dati!$D$2:$D$761,Dati!$A$2:$A$761,$H78,Dati!$H$2:$H$761,$AO78)+SUMIFS(Dati!$K$2:$K$761,Dati!$H$2:$H$761,$H78,Dati!$A$2:$A$761,$AO78)+SUMIFS(Dati!$C$2:$C$761,Dati!$A$2:$A$761,$H78,Dati!$H$2:$H$761,$AO78)+SUMIFS(Dati!$J$2:$J$761,Dati!$H$2:$H$761,$H78,Dati!$A$2:$A$761,$AO78),"-")</f>
        <v/>
      </c>
      <c r="CH78" s="22">
        <f>IF(AND($H78&lt;&gt;"",$AP78&lt;&gt;"",$H78&lt;&gt;$AP78,IFERROR(VLOOKUP($H78,areaCercaPuntiClassificaSquadra,3,FALSE),-1)=IFERROR(VLOOKUP($AP78,areaCercaPuntiClassificaSquadra,3,FALSE),-2)),SUMIFS(Dati!$D$2:$D$761,Dati!$A$2:$A$761,$H78,Dati!$H$2:$H$761,$AP78)+SUMIFS(Dati!$K$2:$K$761,Dati!$H$2:$H$761,$H78,Dati!$A$2:$A$761,$AP78)+SUMIFS(Dati!$C$2:$C$761,Dati!$A$2:$A$761,$H78,Dati!$H$2:$H$761,$AP78)+SUMIFS(Dati!$J$2:$J$761,Dati!$H$2:$H$761,$H78,Dati!$A$2:$A$761,$AP78),"-")</f>
        <v/>
      </c>
      <c r="CI78" s="22">
        <f>IF(AND($H78&lt;&gt;"",$AQ78&lt;&gt;"",$H78&lt;&gt;$AQ78,IFERROR(VLOOKUP($H78,areaCercaPuntiClassificaSquadra,3,FALSE),-1)=IFERROR(VLOOKUP($AQ78,areaCercaPuntiClassificaSquadra,3,FALSE),-2)),SUMIFS(Dati!$D$2:$D$761,Dati!$A$2:$A$761,$H78,Dati!$H$2:$H$761,$AQ78)+SUMIFS(Dati!$K$2:$K$761,Dati!$H$2:$H$761,$H78,Dati!$A$2:$A$761,$AQ78)+SUMIFS(Dati!$C$2:$C$761,Dati!$A$2:$A$761,$H78,Dati!$H$2:$H$761,$AQ78)+SUMIFS(Dati!$J$2:$J$761,Dati!$H$2:$H$761,$H78,Dati!$A$2:$A$761,$AQ78),"-")</f>
        <v/>
      </c>
      <c r="CJ78" s="22">
        <f>IF(AND($H78&lt;&gt;"",$AR78&lt;&gt;"",$H78&lt;&gt;$AR78,IFERROR(VLOOKUP($H78,areaCercaPuntiClassificaSquadra,3,FALSE),-1)=IFERROR(VLOOKUP($AR78,areaCercaPuntiClassificaSquadra,3,FALSE),-2)),SUMIFS(Dati!$D$2:$D$761,Dati!$A$2:$A$761,$H78,Dati!$H$2:$H$761,$AR78)+SUMIFS(Dati!$K$2:$K$761,Dati!$H$2:$H$761,$H78,Dati!$A$2:$A$761,$AR78)+SUMIFS(Dati!$C$2:$C$761,Dati!$A$2:$A$761,$H78,Dati!$H$2:$H$761,$AR78)+SUMIFS(Dati!$J$2:$J$761,Dati!$H$2:$H$761,$H78,Dati!$A$2:$A$761,$AR78),"-")</f>
        <v/>
      </c>
      <c r="CL78" s="21">
        <f>$C78</f>
        <v/>
      </c>
      <c r="CM78" s="22">
        <f>IF(AND($H78&lt;&gt;"",$Y78&lt;&gt;"",$H78&lt;&gt;$Y78,IFERROR(VLOOKUP($H78,areaCercaPuntiClassificaSquadra,3,FALSE),-1)=IFERROR(VLOOKUP($Y78,areaCercaPuntiClassificaSquadra,3,FALSE),-2)),SUMIFS(Dati!$E$2:$E$761,Dati!$A$2:$A$761,$H78,Dati!$H$2:$H$761,$Y78)+SUMIFS(Dati!$L$2:$L$761,Dati!$H$2:$H$761,$H78,Dati!$A$2:$A$761,$Y78),"-")</f>
        <v/>
      </c>
      <c r="CN78" s="22">
        <f>IF(AND($H78&lt;&gt;"",$Z78&lt;&gt;"",$H78&lt;&gt;$Z78,IFERROR(VLOOKUP($H78,areaCercaPuntiClassificaSquadra,3,FALSE),-1)=IFERROR(VLOOKUP($Z78,areaCercaPuntiClassificaSquadra,3,FALSE),-2)),SUMIFS(Dati!$E$2:$E$761,Dati!$A$2:$A$761,$H78,Dati!$H$2:$H$761,$Z78)+SUMIFS(Dati!$L$2:$L$761,Dati!$H$2:$H$761,$H78,Dati!$A$2:$A$761,$Z78),"-")</f>
        <v/>
      </c>
      <c r="CO78" s="22">
        <f>IF(AND($H78&lt;&gt;"",$AA78&lt;&gt;"",$H78&lt;&gt;$AA78,IFERROR(VLOOKUP($H78,areaCercaPuntiClassificaSquadra,3,FALSE),-1)=IFERROR(VLOOKUP($AA78,areaCercaPuntiClassificaSquadra,3,FALSE),-2)),SUMIFS(Dati!$E$2:$E$761,Dati!$A$2:$A$761,$H78,Dati!$H$2:$H$761,$AA78)+SUMIFS(Dati!$L$2:$L$761,Dati!$H$2:$H$761,$H78,Dati!$A$2:$A$761,$AA78),"-")</f>
        <v/>
      </c>
      <c r="CP78" s="22">
        <f>IF(AND($H78&lt;&gt;"",$AB78&lt;&gt;"",$H78&lt;&gt;$AB78,IFERROR(VLOOKUP($H78,areaCercaPuntiClassificaSquadra,3,FALSE),-1)=IFERROR(VLOOKUP($AB78,areaCercaPuntiClassificaSquadra,3,FALSE),-2)),SUMIFS(Dati!$E$2:$E$761,Dati!$A$2:$A$761,$H78,Dati!$H$2:$H$761,$AB78)+SUMIFS(Dati!$L$2:$L$761,Dati!$H$2:$H$761,$H78,Dati!$A$2:$A$761,$AB78),"-")</f>
        <v/>
      </c>
      <c r="CQ78" s="22">
        <f>IF(AND($H78&lt;&gt;"",$AC78&lt;&gt;"",$H78&lt;&gt;$AC78,IFERROR(VLOOKUP($H78,areaCercaPuntiClassificaSquadra,3,FALSE),-1)=IFERROR(VLOOKUP($AC78,areaCercaPuntiClassificaSquadra,3,FALSE),-2)),SUMIFS(Dati!$E$2:$E$761,Dati!$A$2:$A$761,$H78,Dati!$H$2:$H$761,$AC78)+SUMIFS(Dati!$L$2:$L$761,Dati!$H$2:$H$761,$H78,Dati!$A$2:$A$761,$AC78),"-")</f>
        <v/>
      </c>
      <c r="CR78" s="22">
        <f>IF(AND($H78&lt;&gt;"",$AD78&lt;&gt;"",$H78&lt;&gt;$AD78,IFERROR(VLOOKUP($H78,areaCercaPuntiClassificaSquadra,3,FALSE),-1)=IFERROR(VLOOKUP($AD78,areaCercaPuntiClassificaSquadra,3,FALSE),-2)),SUMIFS(Dati!$E$2:$E$761,Dati!$A$2:$A$761,$H78,Dati!$H$2:$H$761,$AD78)+SUMIFS(Dati!$L$2:$L$761,Dati!$H$2:$H$761,$H78,Dati!$A$2:$A$761,$AD78),"-")</f>
        <v/>
      </c>
      <c r="CS78" s="22">
        <f>IF(AND($H78&lt;&gt;"",$AE78&lt;&gt;"",$H78&lt;&gt;$AE78,IFERROR(VLOOKUP($H78,areaCercaPuntiClassificaSquadra,3,FALSE),-1)=IFERROR(VLOOKUP($AE78,areaCercaPuntiClassificaSquadra,3,FALSE),-2)),SUMIFS(Dati!$E$2:$E$761,Dati!$A$2:$A$761,$H78,Dati!$H$2:$H$761,$AE78)+SUMIFS(Dati!$L$2:$L$761,Dati!$H$2:$H$761,$H78,Dati!$A$2:$A$761,$AE78),"-")</f>
        <v/>
      </c>
      <c r="CT78" s="22">
        <f>IF(AND($H78&lt;&gt;"",$AF78&lt;&gt;"",$H78&lt;&gt;$AF78,IFERROR(VLOOKUP($H78,areaCercaPuntiClassificaSquadra,3,FALSE),-1)=IFERROR(VLOOKUP($AF78,areaCercaPuntiClassificaSquadra,3,FALSE),-2)),SUMIFS(Dati!$E$2:$E$761,Dati!$A$2:$A$761,$H78,Dati!$H$2:$H$761,$AF78)+SUMIFS(Dati!$L$2:$L$761,Dati!$H$2:$H$761,$H78,Dati!$A$2:$A$761,$AF78),"-")</f>
        <v/>
      </c>
      <c r="CU78" s="22">
        <f>IF(AND($H78&lt;&gt;"",$AG78&lt;&gt;"",$H78&lt;&gt;$AG78,IFERROR(VLOOKUP($H78,areaCercaPuntiClassificaSquadra,3,FALSE),-1)=IFERROR(VLOOKUP($AG78,areaCercaPuntiClassificaSquadra,3,FALSE),-2)),SUMIFS(Dati!$E$2:$E$761,Dati!$A$2:$A$761,$H78,Dati!$H$2:$H$761,$AG78)+SUMIFS(Dati!$L$2:$L$761,Dati!$H$2:$H$761,$H78,Dati!$A$2:$A$761,$AG78),"-")</f>
        <v/>
      </c>
      <c r="CV78" s="22">
        <f>IF(AND($H78&lt;&gt;"",$AH78&lt;&gt;"",$H78&lt;&gt;$AH78,IFERROR(VLOOKUP($H78,areaCercaPuntiClassificaSquadra,3,FALSE),-1)=IFERROR(VLOOKUP($AH78,areaCercaPuntiClassificaSquadra,3,FALSE),-2)),SUMIFS(Dati!$E$2:$E$761,Dati!$A$2:$A$761,$H78,Dati!$H$2:$H$761,$AH78)+SUMIFS(Dati!$L$2:$L$761,Dati!$H$2:$H$761,$H78,Dati!$A$2:$A$761,$AH78),"-")</f>
        <v/>
      </c>
      <c r="CW78" s="22">
        <f>IF(AND($H78&lt;&gt;"",$AI78&lt;&gt;"",$H78&lt;&gt;$AI78,IFERROR(VLOOKUP($H78,areaCercaPuntiClassificaSquadra,3,FALSE),-1)=IFERROR(VLOOKUP($AI78,areaCercaPuntiClassificaSquadra,3,FALSE),-2)),SUMIFS(Dati!$E$2:$E$761,Dati!$A$2:$A$761,$H78,Dati!$H$2:$H$761,$AI78)+SUMIFS(Dati!$L$2:$L$761,Dati!$H$2:$H$761,$H78,Dati!$A$2:$A$761,$AI78),"-")</f>
        <v/>
      </c>
      <c r="CX78" s="22">
        <f>IF(AND($H78&lt;&gt;"",$AJ78&lt;&gt;"",$H78&lt;&gt;$AJ78,IFERROR(VLOOKUP($H78,areaCercaPuntiClassificaSquadra,3,FALSE),-1)=IFERROR(VLOOKUP($AJ78,areaCercaPuntiClassificaSquadra,3,FALSE),-2)),SUMIFS(Dati!$E$2:$E$761,Dati!$A$2:$A$761,$H78,Dati!$H$2:$H$761,$AJ78)+SUMIFS(Dati!$L$2:$L$761,Dati!$H$2:$H$761,$H78,Dati!$A$2:$A$761,$AJ78),"-")</f>
        <v/>
      </c>
      <c r="CY78" s="22">
        <f>IF(AND($H78&lt;&gt;"",$AK78&lt;&gt;"",$H78&lt;&gt;$AK78,IFERROR(VLOOKUP($H78,areaCercaPuntiClassificaSquadra,3,FALSE),-1)=IFERROR(VLOOKUP($AK78,areaCercaPuntiClassificaSquadra,3,FALSE),-2)),SUMIFS(Dati!$E$2:$E$761,Dati!$A$2:$A$761,$H78,Dati!$H$2:$H$761,$AK78)+SUMIFS(Dati!$L$2:$L$761,Dati!$H$2:$H$761,$H78,Dati!$A$2:$A$761,$AK78),"-")</f>
        <v/>
      </c>
      <c r="CZ78" s="22">
        <f>IF(AND($H78&lt;&gt;"",$AL78&lt;&gt;"",$H78&lt;&gt;$AL78,IFERROR(VLOOKUP($H78,areaCercaPuntiClassificaSquadra,3,FALSE),-1)=IFERROR(VLOOKUP($AL78,areaCercaPuntiClassificaSquadra,3,FALSE),-2)),SUMIFS(Dati!$E$2:$E$761,Dati!$A$2:$A$761,$H78,Dati!$H$2:$H$761,$AL78)+SUMIFS(Dati!$L$2:$L$761,Dati!$H$2:$H$761,$H78,Dati!$A$2:$A$761,$AL78),"-")</f>
        <v/>
      </c>
      <c r="DA78" s="22">
        <f>IF(AND($H78&lt;&gt;"",$AM78&lt;&gt;"",$H78&lt;&gt;$AM78,IFERROR(VLOOKUP($H78,areaCercaPuntiClassificaSquadra,3,FALSE),-1)=IFERROR(VLOOKUP($AM78,areaCercaPuntiClassificaSquadra,3,FALSE),-2)),SUMIFS(Dati!$E$2:$E$761,Dati!$A$2:$A$761,$H78,Dati!$H$2:$H$761,$AM78)+SUMIFS(Dati!$L$2:$L$761,Dati!$H$2:$H$761,$H78,Dati!$A$2:$A$761,$AM78),"-")</f>
        <v/>
      </c>
      <c r="DB78" s="22">
        <f>IF(AND($H78&lt;&gt;"",$AN78&lt;&gt;"",$H78&lt;&gt;$AN78,IFERROR(VLOOKUP($H78,areaCercaPuntiClassificaSquadra,3,FALSE),-1)=IFERROR(VLOOKUP($AN78,areaCercaPuntiClassificaSquadra,3,FALSE),-2)),SUMIFS(Dati!$E$2:$E$761,Dati!$A$2:$A$761,$H78,Dati!$H$2:$H$761,$AN78)+SUMIFS(Dati!$L$2:$L$761,Dati!$H$2:$H$761,$H78,Dati!$A$2:$A$761,$AN78),"-")</f>
        <v/>
      </c>
      <c r="DC78" s="22">
        <f>IF(AND($H78&lt;&gt;"",$AO78&lt;&gt;"",$H78&lt;&gt;$AO78,IFERROR(VLOOKUP($H78,areaCercaPuntiClassificaSquadra,3,FALSE),-1)=IFERROR(VLOOKUP($AO78,areaCercaPuntiClassificaSquadra,3,FALSE),-2)),SUMIFS(Dati!$E$2:$E$761,Dati!$A$2:$A$761,$H78,Dati!$H$2:$H$761,$AO78)+SUMIFS(Dati!$L$2:$L$761,Dati!$H$2:$H$761,$H78,Dati!$A$2:$A$761,$AO78),"-")</f>
        <v/>
      </c>
      <c r="DD78" s="22">
        <f>IF(AND($H78&lt;&gt;"",$AP78&lt;&gt;"",$H78&lt;&gt;$AP78,IFERROR(VLOOKUP($H78,areaCercaPuntiClassificaSquadra,3,FALSE),-1)=IFERROR(VLOOKUP($AP78,areaCercaPuntiClassificaSquadra,3,FALSE),-2)),SUMIFS(Dati!$E$2:$E$761,Dati!$A$2:$A$761,$H78,Dati!$H$2:$H$761,$AP78)+SUMIFS(Dati!$L$2:$L$761,Dati!$H$2:$H$761,$H78,Dati!$A$2:$A$761,$AP78),"-")</f>
        <v/>
      </c>
      <c r="DE78" s="22">
        <f>IF(AND($H78&lt;&gt;"",$AQ78&lt;&gt;"",$H78&lt;&gt;$AQ78,IFERROR(VLOOKUP($H78,areaCercaPuntiClassificaSquadra,3,FALSE),-1)=IFERROR(VLOOKUP($AQ78,areaCercaPuntiClassificaSquadra,3,FALSE),-2)),SUMIFS(Dati!$E$2:$E$761,Dati!$A$2:$A$761,$H78,Dati!$H$2:$H$761,$AQ78)+SUMIFS(Dati!$L$2:$L$761,Dati!$H$2:$H$761,$H78,Dati!$A$2:$A$761,$AQ78),"-")</f>
        <v/>
      </c>
      <c r="DF78" s="22">
        <f>IF(AND($H78&lt;&gt;"",$AR78&lt;&gt;"",$H78&lt;&gt;$AR78,IFERROR(VLOOKUP($H78,areaCercaPuntiClassificaSquadra,3,FALSE),-1)=IFERROR(VLOOKUP($AR78,areaCercaPuntiClassificaSquadra,3,FALSE),-2)),SUMIFS(Dati!$E$2:$E$761,Dati!$A$2:$A$761,$H78,Dati!$H$2:$H$761,$AR78)+SUMIFS(Dati!$L$2:$L$761,Dati!$H$2:$H$761,$H78,Dati!$A$2:$A$761,$AR78),"-")</f>
        <v/>
      </c>
      <c r="DH78" s="21">
        <f>$C78</f>
        <v/>
      </c>
      <c r="DI78" s="22">
        <f>IF(AND($H78&lt;&gt;"",$Y78&lt;&gt;"",$H78&lt;&gt;$Y78,IFERROR(VLOOKUP($H78,areaCercaPuntiClassificaSquadra,3,FALSE),-1)=IFERROR(VLOOKUP($Y78,areaCercaPuntiClassificaSquadra,3,FALSE),-2)),SUMIFS(Dati!$F$2:$F$761,Dati!$A$2:$A$761,$H78,Dati!$H$2:$H$761,$Y78)+SUMIFS(Dati!$M$2:$M$761,Dati!$H$2:$H$761,$H78,Dati!$A$2:$A$761,$Y78),"-")</f>
        <v/>
      </c>
      <c r="DJ78" s="22">
        <f>IF(AND($H78&lt;&gt;"",$Z78&lt;&gt;"",$H78&lt;&gt;$Z78,IFERROR(VLOOKUP($H78,areaCercaPuntiClassificaSquadra,3,FALSE),-1)=IFERROR(VLOOKUP($Z78,areaCercaPuntiClassificaSquadra,3,FALSE),-2)),SUMIFS(Dati!$F$2:$F$761,Dati!$A$2:$A$761,$H78,Dati!$H$2:$H$761,$Z78)+SUMIFS(Dati!$M$2:$M$761,Dati!$H$2:$H$761,$H78,Dati!$A$2:$A$761,$Z78),"-")</f>
        <v/>
      </c>
      <c r="DK78" s="22">
        <f>IF(AND($H78&lt;&gt;"",$AA78&lt;&gt;"",$H78&lt;&gt;$AA78,IFERROR(VLOOKUP($H78,areaCercaPuntiClassificaSquadra,3,FALSE),-1)=IFERROR(VLOOKUP($AA78,areaCercaPuntiClassificaSquadra,3,FALSE),-2)),SUMIFS(Dati!$F$2:$F$761,Dati!$A$2:$A$761,$H78,Dati!$H$2:$H$761,$AA78)+SUMIFS(Dati!$M$2:$M$761,Dati!$H$2:$H$761,$H78,Dati!$A$2:$A$761,$AA78),"-")</f>
        <v/>
      </c>
      <c r="DL78" s="22">
        <f>IF(AND($H78&lt;&gt;"",$AB78&lt;&gt;"",$H78&lt;&gt;$AB78,IFERROR(VLOOKUP($H78,areaCercaPuntiClassificaSquadra,3,FALSE),-1)=IFERROR(VLOOKUP($AB78,areaCercaPuntiClassificaSquadra,3,FALSE),-2)),SUMIFS(Dati!$F$2:$F$761,Dati!$A$2:$A$761,$H78,Dati!$H$2:$H$761,$AB78)+SUMIFS(Dati!$M$2:$M$761,Dati!$H$2:$H$761,$H78,Dati!$A$2:$A$761,$AB78),"-")</f>
        <v/>
      </c>
      <c r="DM78" s="22">
        <f>IF(AND($H78&lt;&gt;"",$AC78&lt;&gt;"",$H78&lt;&gt;$AC78,IFERROR(VLOOKUP($H78,areaCercaPuntiClassificaSquadra,3,FALSE),-1)=IFERROR(VLOOKUP($AC78,areaCercaPuntiClassificaSquadra,3,FALSE),-2)),SUMIFS(Dati!$F$2:$F$761,Dati!$A$2:$A$761,$H78,Dati!$H$2:$H$761,$AC78)+SUMIFS(Dati!$M$2:$M$761,Dati!$H$2:$H$761,$H78,Dati!$A$2:$A$761,$AC78),"-")</f>
        <v/>
      </c>
      <c r="DN78" s="22">
        <f>IF(AND($H78&lt;&gt;"",$AD78&lt;&gt;"",$H78&lt;&gt;$AD78,IFERROR(VLOOKUP($H78,areaCercaPuntiClassificaSquadra,3,FALSE),-1)=IFERROR(VLOOKUP($AD78,areaCercaPuntiClassificaSquadra,3,FALSE),-2)),SUMIFS(Dati!$F$2:$F$761,Dati!$A$2:$A$761,$H78,Dati!$H$2:$H$761,$AD78)+SUMIFS(Dati!$M$2:$M$761,Dati!$H$2:$H$761,$H78,Dati!$A$2:$A$761,$AD78),"-")</f>
        <v/>
      </c>
      <c r="DO78" s="22">
        <f>IF(AND($H78&lt;&gt;"",$AE78&lt;&gt;"",$H78&lt;&gt;$AE78,IFERROR(VLOOKUP($H78,areaCercaPuntiClassificaSquadra,3,FALSE),-1)=IFERROR(VLOOKUP($AE78,areaCercaPuntiClassificaSquadra,3,FALSE),-2)),SUMIFS(Dati!$F$2:$F$761,Dati!$A$2:$A$761,$H78,Dati!$H$2:$H$761,$AE78)+SUMIFS(Dati!$M$2:$M$761,Dati!$H$2:$H$761,$H78,Dati!$A$2:$A$761,$AE78),"-")</f>
        <v/>
      </c>
      <c r="DP78" s="22">
        <f>IF(AND($H78&lt;&gt;"",$AF78&lt;&gt;"",$H78&lt;&gt;$AF78,IFERROR(VLOOKUP($H78,areaCercaPuntiClassificaSquadra,3,FALSE),-1)=IFERROR(VLOOKUP($AF78,areaCercaPuntiClassificaSquadra,3,FALSE),-2)),SUMIFS(Dati!$F$2:$F$761,Dati!$A$2:$A$761,$H78,Dati!$H$2:$H$761,$AF78)+SUMIFS(Dati!$M$2:$M$761,Dati!$H$2:$H$761,$H78,Dati!$A$2:$A$761,$AF78),"-")</f>
        <v/>
      </c>
      <c r="DQ78" s="22">
        <f>IF(AND($H78&lt;&gt;"",$AG78&lt;&gt;"",$H78&lt;&gt;$AG78,IFERROR(VLOOKUP($H78,areaCercaPuntiClassificaSquadra,3,FALSE),-1)=IFERROR(VLOOKUP($AG78,areaCercaPuntiClassificaSquadra,3,FALSE),-2)),SUMIFS(Dati!$F$2:$F$761,Dati!$A$2:$A$761,$H78,Dati!$H$2:$H$761,$AG78)+SUMIFS(Dati!$M$2:$M$761,Dati!$H$2:$H$761,$H78,Dati!$A$2:$A$761,$AG78),"-")</f>
        <v/>
      </c>
      <c r="DR78" s="22">
        <f>IF(AND($H78&lt;&gt;"",$AH78&lt;&gt;"",$H78&lt;&gt;$AH78,IFERROR(VLOOKUP($H78,areaCercaPuntiClassificaSquadra,3,FALSE),-1)=IFERROR(VLOOKUP($AH78,areaCercaPuntiClassificaSquadra,3,FALSE),-2)),SUMIFS(Dati!$F$2:$F$761,Dati!$A$2:$A$761,$H78,Dati!$H$2:$H$761,$AH78)+SUMIFS(Dati!$M$2:$M$761,Dati!$H$2:$H$761,$H78,Dati!$A$2:$A$761,$AH78),"-")</f>
        <v/>
      </c>
      <c r="DS78" s="22">
        <f>IF(AND($H78&lt;&gt;"",$AI78&lt;&gt;"",$H78&lt;&gt;$AI78,IFERROR(VLOOKUP($H78,areaCercaPuntiClassificaSquadra,3,FALSE),-1)=IFERROR(VLOOKUP($AI78,areaCercaPuntiClassificaSquadra,3,FALSE),-2)),SUMIFS(Dati!$F$2:$F$761,Dati!$A$2:$A$761,$H78,Dati!$H$2:$H$761,$AI78)+SUMIFS(Dati!$M$2:$M$761,Dati!$H$2:$H$761,$H78,Dati!$A$2:$A$761,$AI78),"-")</f>
        <v/>
      </c>
      <c r="DT78" s="22">
        <f>IF(AND($H78&lt;&gt;"",$AJ78&lt;&gt;"",$H78&lt;&gt;$AJ78,IFERROR(VLOOKUP($H78,areaCercaPuntiClassificaSquadra,3,FALSE),-1)=IFERROR(VLOOKUP($AJ78,areaCercaPuntiClassificaSquadra,3,FALSE),-2)),SUMIFS(Dati!$F$2:$F$761,Dati!$A$2:$A$761,$H78,Dati!$H$2:$H$761,$AJ78)+SUMIFS(Dati!$M$2:$M$761,Dati!$H$2:$H$761,$H78,Dati!$A$2:$A$761,$AJ78),"-")</f>
        <v/>
      </c>
      <c r="DU78" s="22">
        <f>IF(AND($H78&lt;&gt;"",$AK78&lt;&gt;"",$H78&lt;&gt;$AK78,IFERROR(VLOOKUP($H78,areaCercaPuntiClassificaSquadra,3,FALSE),-1)=IFERROR(VLOOKUP($AK78,areaCercaPuntiClassificaSquadra,3,FALSE),-2)),SUMIFS(Dati!$F$2:$F$761,Dati!$A$2:$A$761,$H78,Dati!$H$2:$H$761,$AK78)+SUMIFS(Dati!$M$2:$M$761,Dati!$H$2:$H$761,$H78,Dati!$A$2:$A$761,$AK78),"-")</f>
        <v/>
      </c>
      <c r="DV78" s="22">
        <f>IF(AND($H78&lt;&gt;"",$AL78&lt;&gt;"",$H78&lt;&gt;$AL78,IFERROR(VLOOKUP($H78,areaCercaPuntiClassificaSquadra,3,FALSE),-1)=IFERROR(VLOOKUP($AL78,areaCercaPuntiClassificaSquadra,3,FALSE),-2)),SUMIFS(Dati!$F$2:$F$761,Dati!$A$2:$A$761,$H78,Dati!$H$2:$H$761,$AL78)+SUMIFS(Dati!$M$2:$M$761,Dati!$H$2:$H$761,$H78,Dati!$A$2:$A$761,$AL78),"-")</f>
        <v/>
      </c>
      <c r="DW78" s="22">
        <f>IF(AND($H78&lt;&gt;"",$AM78&lt;&gt;"",$H78&lt;&gt;$AM78,IFERROR(VLOOKUP($H78,areaCercaPuntiClassificaSquadra,3,FALSE),-1)=IFERROR(VLOOKUP($AM78,areaCercaPuntiClassificaSquadra,3,FALSE),-2)),SUMIFS(Dati!$F$2:$F$761,Dati!$A$2:$A$761,$H78,Dati!$H$2:$H$761,$AM78)+SUMIFS(Dati!$M$2:$M$761,Dati!$H$2:$H$761,$H78,Dati!$A$2:$A$761,$AM78),"-")</f>
        <v/>
      </c>
      <c r="DX78" s="22">
        <f>IF(AND($H78&lt;&gt;"",$AN78&lt;&gt;"",$H78&lt;&gt;$AN78,IFERROR(VLOOKUP($H78,areaCercaPuntiClassificaSquadra,3,FALSE),-1)=IFERROR(VLOOKUP($AN78,areaCercaPuntiClassificaSquadra,3,FALSE),-2)),SUMIFS(Dati!$F$2:$F$761,Dati!$A$2:$A$761,$H78,Dati!$H$2:$H$761,$AN78)+SUMIFS(Dati!$M$2:$M$761,Dati!$H$2:$H$761,$H78,Dati!$A$2:$A$761,$AN78),"-")</f>
        <v/>
      </c>
      <c r="DY78" s="22">
        <f>IF(AND($H78&lt;&gt;"",$AO78&lt;&gt;"",$H78&lt;&gt;$AO78,IFERROR(VLOOKUP($H78,areaCercaPuntiClassificaSquadra,3,FALSE),-1)=IFERROR(VLOOKUP($AO78,areaCercaPuntiClassificaSquadra,3,FALSE),-2)),SUMIFS(Dati!$F$2:$F$761,Dati!$A$2:$A$761,$H78,Dati!$H$2:$H$761,$AO78)+SUMIFS(Dati!$M$2:$M$761,Dati!$H$2:$H$761,$H78,Dati!$A$2:$A$761,$AO78),"-")</f>
        <v/>
      </c>
      <c r="DZ78" s="22">
        <f>IF(AND($H78&lt;&gt;"",$AP78&lt;&gt;"",$H78&lt;&gt;$AP78,IFERROR(VLOOKUP($H78,areaCercaPuntiClassificaSquadra,3,FALSE),-1)=IFERROR(VLOOKUP($AP78,areaCercaPuntiClassificaSquadra,3,FALSE),-2)),SUMIFS(Dati!$F$2:$F$761,Dati!$A$2:$A$761,$H78,Dati!$H$2:$H$761,$AP78)+SUMIFS(Dati!$M$2:$M$761,Dati!$H$2:$H$761,$H78,Dati!$A$2:$A$761,$AP78),"-")</f>
        <v/>
      </c>
      <c r="EA78" s="22">
        <f>IF(AND($H78&lt;&gt;"",$AQ78&lt;&gt;"",$H78&lt;&gt;$AQ78,IFERROR(VLOOKUP($H78,areaCercaPuntiClassificaSquadra,3,FALSE),-1)=IFERROR(VLOOKUP($AQ78,areaCercaPuntiClassificaSquadra,3,FALSE),-2)),SUMIFS(Dati!$F$2:$F$761,Dati!$A$2:$A$761,$H78,Dati!$H$2:$H$761,$AQ78)+SUMIFS(Dati!$M$2:$M$761,Dati!$H$2:$H$761,$H78,Dati!$A$2:$A$761,$AQ78),"-")</f>
        <v/>
      </c>
      <c r="EB78" s="22">
        <f>IF(AND($H78&lt;&gt;"",$AR78&lt;&gt;"",$H78&lt;&gt;$AR78,IFERROR(VLOOKUP($H78,areaCercaPuntiClassificaSquadra,3,FALSE),-1)=IFERROR(VLOOKUP($AR78,areaCercaPuntiClassificaSquadra,3,FALSE),-2)),SUMIFS(Dati!$F$2:$F$761,Dati!$A$2:$A$761,$H78,Dati!$H$2:$H$761,$AR78)+SUMIFS(Dati!$M$2:$M$761,Dati!$H$2:$H$761,$H78,Dati!$A$2:$A$761,$AR78),"-")</f>
        <v/>
      </c>
      <c r="ED78" s="22">
        <f>IF($C78="","",SUM(AU78:BN78))</f>
        <v/>
      </c>
    </row>
    <row r="79">
      <c r="B79" s="12" t="inlineStr">
        <is>
          <t>D06</t>
        </is>
      </c>
      <c r="C79" s="13" t="inlineStr">
        <is>
          <t>Sciacalli Sagaci-Sciacalliopoli SA</t>
        </is>
      </c>
      <c r="D79" s="14" t="n"/>
      <c r="E79" s="27" t="inlineStr">
        <is>
          <t>D</t>
        </is>
      </c>
      <c r="G79" s="28">
        <f>IF($C79="","",$E79&amp;(COUNTIFS(I$14:I$93,"&gt;"&amp;I79,E$14:E$93,"="&amp;E79,C$14:C$93,"&lt;&gt;")+COUNTIFS(I$14:I$93,"="&amp;I79,H$14:H$93,"&lt;="&amp;H79,E$14:E$93,"="&amp;E79,C$14:C$93,"&lt;&gt;")))</f>
        <v/>
      </c>
      <c r="H79" s="17">
        <f>IF($C79="","",IFERROR(LEFT($C79,FIND("-",$C79)-1),$C79))</f>
        <v/>
      </c>
      <c r="I79" s="12">
        <f>TEXT(1000000000+J79,"|0000000000|")&amp;TEXT(SUM(AU79:BN79),"0000000000|")&amp;IF(SUM(DI79:EB79)=0,"0000000000|",TEXT(ROUND(SUM(CM79:DF79)/SUM(DI79:EB79),4)*100000,"0000000000|"))&amp;IF(P79=0,"0000000000|",TEXT(ROUND(O79/P79,4)*100000,"0000000000|"))</f>
        <v/>
      </c>
      <c r="J79" s="28">
        <f>L79*constPuntiVittoria+M79*constPuntiSconfitta+N79*constPuntiForfait+IF(D79="",0,D79)</f>
        <v/>
      </c>
      <c r="K79" s="12">
        <f>SUM(L79:N79)</f>
        <v/>
      </c>
      <c r="L79" s="12">
        <f>IF($H79="",0,SUMIF(Dati!$A$2:$A$761,$H79,Dati!$B$2:$B$761)+SUMIF(Dati!$H$2:$H$761,$H79,Dati!$I$2:$I$761))</f>
        <v/>
      </c>
      <c r="M79" s="12">
        <f>IF($H79="",0,SUMIF(Dati!$A$2:$A$761,$H79,Dati!$D$2:$D$761)+SUMIF(Dati!$H$2:$H$761,$H79,Dati!$K$2:$K$761))</f>
        <v/>
      </c>
      <c r="N79" s="12">
        <f>IF($H79="",0,SUMIF(Dati!$A$2:$A$761,$H79,Dati!$C$2:$C$761)+SUMIF(Dati!$H$2:$H$761,$H79,Dati!$J$2:$J$761))</f>
        <v/>
      </c>
      <c r="O79" s="12">
        <f>IF($H79="",0,SUMIF(Dati!$A$2:$A$761,$H79,Dati!$E$2:$E$761)+SUMIF(Dati!$H$2:$H$761,$H79,Dati!$L$2:$L$761))</f>
        <v/>
      </c>
      <c r="P79" s="12">
        <f>IF($H79="",0,SUMIF(Dati!$A$2:$A$761,$H79,Dati!$F$2:$F$761)+SUMIF(Dati!$H$2:$H$761,$H79,Dati!$M$2:$M$761))</f>
        <v/>
      </c>
      <c r="Q79" s="12">
        <f>IF($H79="",0,SUMIF(Dati!$A$2:$A$761,$H79,Dati!$G$2:$G$761)+SUMIF(Dati!$H$2:$H$761,$H79,Dati!$N$2:$N$761))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IF(COUNTIFS($E$14:$E$93,$E79,$J$14:$J$93,$J79,$C$14:$C$93,"&lt;&gt;")&lt;=1,"-",SUM(AU79:BN79)&amp;"-"&amp;SUM(BQ79:CJ79))</f>
        <v/>
      </c>
      <c r="V79" s="18">
        <f>IF(COUNTIFS($E$14:$E$93,$E79,$J$14:$J$93,$J79,$C$14:$C$93,"&lt;&gt;",$ED$14:$ED$93,$ED79)&lt;=1,"-",IF(SUM(DI79:EB79)=0,0,ROUND(SUM(CM79:DF79)/SUM(DI79:EB79),3)))</f>
        <v/>
      </c>
      <c r="W79" s="18">
        <f>IF(COUNTIFS($E$14:$E$93,$E79,$J$14:$J$93,$J79,$C$14:$C$93,"&lt;&gt;",$ED$14:$ED$93,$ED79,$V$14:$V$93,$V79)&lt;=1,"-",IF(P79=0,0,ROUND(O79/P79,3)))</f>
        <v/>
      </c>
      <c r="X79" s="19">
        <f>IF($C79="","",$E79&amp;"#"&amp;COUNTIFS($E$14:$E79,$E79,$C$14:$C79,"&lt;&gt;"))</f>
        <v/>
      </c>
      <c r="Y79" s="20">
        <f>IFERROR(INDEX($H$14:$H$93,MATCH($E79&amp;"#1",$X$14:$X$93,0)),"")</f>
        <v/>
      </c>
      <c r="Z79" s="20">
        <f>IFERROR(INDEX($H$14:$H$93,MATCH($E79&amp;"#2",$X$14:$X$93,0)),"")</f>
        <v/>
      </c>
      <c r="AA79" s="20">
        <f>IFERROR(INDEX($H$14:$H$93,MATCH($E79&amp;"#3",$X$14:$X$93,0)),"")</f>
        <v/>
      </c>
      <c r="AB79" s="20">
        <f>IFERROR(INDEX($H$14:$H$93,MATCH($E79&amp;"#4",$X$14:$X$93,0)),"")</f>
        <v/>
      </c>
      <c r="AC79" s="20">
        <f>IFERROR(INDEX($H$14:$H$93,MATCH($E79&amp;"#5",$X$14:$X$93,0)),"")</f>
        <v/>
      </c>
      <c r="AD79" s="20">
        <f>IFERROR(INDEX($H$14:$H$93,MATCH($E79&amp;"#6",$X$14:$X$93,0)),"")</f>
        <v/>
      </c>
      <c r="AE79" s="20">
        <f>IFERROR(INDEX($H$14:$H$93,MATCH($E79&amp;"#7",$X$14:$X$93,0)),"")</f>
        <v/>
      </c>
      <c r="AF79" s="20">
        <f>IFERROR(INDEX($H$14:$H$93,MATCH($E79&amp;"#8",$X$14:$X$93,0)),"")</f>
        <v/>
      </c>
      <c r="AG79" s="20">
        <f>IFERROR(INDEX($H$14:$H$93,MATCH($E79&amp;"#9",$X$14:$X$93,0)),"")</f>
        <v/>
      </c>
      <c r="AH79" s="20">
        <f>IFERROR(INDEX($H$14:$H$93,MATCH($E79&amp;"#10",$X$14:$X$93,0)),"")</f>
        <v/>
      </c>
      <c r="AI79" s="20">
        <f>IFERROR(INDEX($H$14:$H$93,MATCH($E79&amp;"#11",$X$14:$X$93,0)),"")</f>
        <v/>
      </c>
      <c r="AJ79" s="20">
        <f>IFERROR(INDEX($H$14:$H$93,MATCH($E79&amp;"#12",$X$14:$X$93,0)),"")</f>
        <v/>
      </c>
      <c r="AK79" s="20">
        <f>IFERROR(INDEX($H$14:$H$93,MATCH($E79&amp;"#13",$X$14:$X$93,0)),"")</f>
        <v/>
      </c>
      <c r="AL79" s="20">
        <f>IFERROR(INDEX($H$14:$H$93,MATCH($E79&amp;"#14",$X$14:$X$93,0)),"")</f>
        <v/>
      </c>
      <c r="AM79" s="20">
        <f>IFERROR(INDEX($H$14:$H$93,MATCH($E79&amp;"#15",$X$14:$X$93,0)),"")</f>
        <v/>
      </c>
      <c r="AN79" s="20">
        <f>IFERROR(INDEX($H$14:$H$93,MATCH($E79&amp;"#16",$X$14:$X$93,0)),"")</f>
        <v/>
      </c>
      <c r="AO79" s="20">
        <f>IFERROR(INDEX($H$14:$H$93,MATCH($E79&amp;"#17",$X$14:$X$93,0)),"")</f>
        <v/>
      </c>
      <c r="AP79" s="20">
        <f>IFERROR(INDEX($H$14:$H$93,MATCH($E79&amp;"#18",$X$14:$X$93,0)),"")</f>
        <v/>
      </c>
      <c r="AQ79" s="20">
        <f>IFERROR(INDEX($H$14:$H$93,MATCH($E79&amp;"#19",$X$14:$X$93,0)),"")</f>
        <v/>
      </c>
      <c r="AR79" s="20">
        <f>IFERROR(INDEX($H$14:$H$93,MATCH($E79&amp;"#20",$X$14:$X$93,0)),"")</f>
        <v/>
      </c>
      <c r="AT79" s="21">
        <f>$C79</f>
        <v/>
      </c>
      <c r="AU79" s="22">
        <f>IF(AND($H79&lt;&gt;"",$Y79&lt;&gt;"",$H79&lt;&gt;$Y79,IFERROR(VLOOKUP($H79,areaCercaPuntiClassificaSquadra,3,FALSE),-1)=IFERROR(VLOOKUP($Y79,areaCercaPuntiClassificaSquadra,3,FALSE),-2)),SUMIFS(Dati!$B$2:$B$761,Dati!$A$2:$A$761,$H79,Dati!$H$2:$H$761,$Y79)+SUMIFS(Dati!$I$2:$I$761,Dati!$H$2:$H$761,$H79,Dati!$A$2:$A$761,$Y79),"-")</f>
        <v/>
      </c>
      <c r="AV79" s="22">
        <f>IF(AND($H79&lt;&gt;"",$Z79&lt;&gt;"",$H79&lt;&gt;$Z79,IFERROR(VLOOKUP($H79,areaCercaPuntiClassificaSquadra,3,FALSE),-1)=IFERROR(VLOOKUP($Z79,areaCercaPuntiClassificaSquadra,3,FALSE),-2)),SUMIFS(Dati!$B$2:$B$761,Dati!$A$2:$A$761,$H79,Dati!$H$2:$H$761,$Z79)+SUMIFS(Dati!$I$2:$I$761,Dati!$H$2:$H$761,$H79,Dati!$A$2:$A$761,$Z79),"-")</f>
        <v/>
      </c>
      <c r="AW79" s="22">
        <f>IF(AND($H79&lt;&gt;"",$AA79&lt;&gt;"",$H79&lt;&gt;$AA79,IFERROR(VLOOKUP($H79,areaCercaPuntiClassificaSquadra,3,FALSE),-1)=IFERROR(VLOOKUP($AA79,areaCercaPuntiClassificaSquadra,3,FALSE),-2)),SUMIFS(Dati!$B$2:$B$761,Dati!$A$2:$A$761,$H79,Dati!$H$2:$H$761,$AA79)+SUMIFS(Dati!$I$2:$I$761,Dati!$H$2:$H$761,$H79,Dati!$A$2:$A$761,$AA79),"-")</f>
        <v/>
      </c>
      <c r="AX79" s="22">
        <f>IF(AND($H79&lt;&gt;"",$AB79&lt;&gt;"",$H79&lt;&gt;$AB79,IFERROR(VLOOKUP($H79,areaCercaPuntiClassificaSquadra,3,FALSE),-1)=IFERROR(VLOOKUP($AB79,areaCercaPuntiClassificaSquadra,3,FALSE),-2)),SUMIFS(Dati!$B$2:$B$761,Dati!$A$2:$A$761,$H79,Dati!$H$2:$H$761,$AB79)+SUMIFS(Dati!$I$2:$I$761,Dati!$H$2:$H$761,$H79,Dati!$A$2:$A$761,$AB79),"-")</f>
        <v/>
      </c>
      <c r="AY79" s="22">
        <f>IF(AND($H79&lt;&gt;"",$AC79&lt;&gt;"",$H79&lt;&gt;$AC79,IFERROR(VLOOKUP($H79,areaCercaPuntiClassificaSquadra,3,FALSE),-1)=IFERROR(VLOOKUP($AC79,areaCercaPuntiClassificaSquadra,3,FALSE),-2)),SUMIFS(Dati!$B$2:$B$761,Dati!$A$2:$A$761,$H79,Dati!$H$2:$H$761,$AC79)+SUMIFS(Dati!$I$2:$I$761,Dati!$H$2:$H$761,$H79,Dati!$A$2:$A$761,$AC79),"-")</f>
        <v/>
      </c>
      <c r="AZ79" s="22">
        <f>IF(AND($H79&lt;&gt;"",$AD79&lt;&gt;"",$H79&lt;&gt;$AD79,IFERROR(VLOOKUP($H79,areaCercaPuntiClassificaSquadra,3,FALSE),-1)=IFERROR(VLOOKUP($AD79,areaCercaPuntiClassificaSquadra,3,FALSE),-2)),SUMIFS(Dati!$B$2:$B$761,Dati!$A$2:$A$761,$H79,Dati!$H$2:$H$761,$AD79)+SUMIFS(Dati!$I$2:$I$761,Dati!$H$2:$H$761,$H79,Dati!$A$2:$A$761,$AD79),"-")</f>
        <v/>
      </c>
      <c r="BA79" s="22">
        <f>IF(AND($H79&lt;&gt;"",$AE79&lt;&gt;"",$H79&lt;&gt;$AE79,IFERROR(VLOOKUP($H79,areaCercaPuntiClassificaSquadra,3,FALSE),-1)=IFERROR(VLOOKUP($AE79,areaCercaPuntiClassificaSquadra,3,FALSE),-2)),SUMIFS(Dati!$B$2:$B$761,Dati!$A$2:$A$761,$H79,Dati!$H$2:$H$761,$AE79)+SUMIFS(Dati!$I$2:$I$761,Dati!$H$2:$H$761,$H79,Dati!$A$2:$A$761,$AE79),"-")</f>
        <v/>
      </c>
      <c r="BB79" s="22">
        <f>IF(AND($H79&lt;&gt;"",$AF79&lt;&gt;"",$H79&lt;&gt;$AF79,IFERROR(VLOOKUP($H79,areaCercaPuntiClassificaSquadra,3,FALSE),-1)=IFERROR(VLOOKUP($AF79,areaCercaPuntiClassificaSquadra,3,FALSE),-2)),SUMIFS(Dati!$B$2:$B$761,Dati!$A$2:$A$761,$H79,Dati!$H$2:$H$761,$AF79)+SUMIFS(Dati!$I$2:$I$761,Dati!$H$2:$H$761,$H79,Dati!$A$2:$A$761,$AF79),"-")</f>
        <v/>
      </c>
      <c r="BC79" s="22">
        <f>IF(AND($H79&lt;&gt;"",$AG79&lt;&gt;"",$H79&lt;&gt;$AG79,IFERROR(VLOOKUP($H79,areaCercaPuntiClassificaSquadra,3,FALSE),-1)=IFERROR(VLOOKUP($AG79,areaCercaPuntiClassificaSquadra,3,FALSE),-2)),SUMIFS(Dati!$B$2:$B$761,Dati!$A$2:$A$761,$H79,Dati!$H$2:$H$761,$AG79)+SUMIFS(Dati!$I$2:$I$761,Dati!$H$2:$H$761,$H79,Dati!$A$2:$A$761,$AG79),"-")</f>
        <v/>
      </c>
      <c r="BD79" s="22">
        <f>IF(AND($H79&lt;&gt;"",$AH79&lt;&gt;"",$H79&lt;&gt;$AH79,IFERROR(VLOOKUP($H79,areaCercaPuntiClassificaSquadra,3,FALSE),-1)=IFERROR(VLOOKUP($AH79,areaCercaPuntiClassificaSquadra,3,FALSE),-2)),SUMIFS(Dati!$B$2:$B$761,Dati!$A$2:$A$761,$H79,Dati!$H$2:$H$761,$AH79)+SUMIFS(Dati!$I$2:$I$761,Dati!$H$2:$H$761,$H79,Dati!$A$2:$A$761,$AH79),"-")</f>
        <v/>
      </c>
      <c r="BE79" s="22">
        <f>IF(AND($H79&lt;&gt;"",$AI79&lt;&gt;"",$H79&lt;&gt;$AI79,IFERROR(VLOOKUP($H79,areaCercaPuntiClassificaSquadra,3,FALSE),-1)=IFERROR(VLOOKUP($AI79,areaCercaPuntiClassificaSquadra,3,FALSE),-2)),SUMIFS(Dati!$B$2:$B$761,Dati!$A$2:$A$761,$H79,Dati!$H$2:$H$761,$AI79)+SUMIFS(Dati!$I$2:$I$761,Dati!$H$2:$H$761,$H79,Dati!$A$2:$A$761,$AI79),"-")</f>
        <v/>
      </c>
      <c r="BF79" s="22">
        <f>IF(AND($H79&lt;&gt;"",$AJ79&lt;&gt;"",$H79&lt;&gt;$AJ79,IFERROR(VLOOKUP($H79,areaCercaPuntiClassificaSquadra,3,FALSE),-1)=IFERROR(VLOOKUP($AJ79,areaCercaPuntiClassificaSquadra,3,FALSE),-2)),SUMIFS(Dati!$B$2:$B$761,Dati!$A$2:$A$761,$H79,Dati!$H$2:$H$761,$AJ79)+SUMIFS(Dati!$I$2:$I$761,Dati!$H$2:$H$761,$H79,Dati!$A$2:$A$761,$AJ79),"-")</f>
        <v/>
      </c>
      <c r="BG79" s="22">
        <f>IF(AND($H79&lt;&gt;"",$AK79&lt;&gt;"",$H79&lt;&gt;$AK79,IFERROR(VLOOKUP($H79,areaCercaPuntiClassificaSquadra,3,FALSE),-1)=IFERROR(VLOOKUP($AK79,areaCercaPuntiClassificaSquadra,3,FALSE),-2)),SUMIFS(Dati!$B$2:$B$761,Dati!$A$2:$A$761,$H79,Dati!$H$2:$H$761,$AK79)+SUMIFS(Dati!$I$2:$I$761,Dati!$H$2:$H$761,$H79,Dati!$A$2:$A$761,$AK79),"-")</f>
        <v/>
      </c>
      <c r="BH79" s="22">
        <f>IF(AND($H79&lt;&gt;"",$AL79&lt;&gt;"",$H79&lt;&gt;$AL79,IFERROR(VLOOKUP($H79,areaCercaPuntiClassificaSquadra,3,FALSE),-1)=IFERROR(VLOOKUP($AL79,areaCercaPuntiClassificaSquadra,3,FALSE),-2)),SUMIFS(Dati!$B$2:$B$761,Dati!$A$2:$A$761,$H79,Dati!$H$2:$H$761,$AL79)+SUMIFS(Dati!$I$2:$I$761,Dati!$H$2:$H$761,$H79,Dati!$A$2:$A$761,$AL79),"-")</f>
        <v/>
      </c>
      <c r="BI79" s="22">
        <f>IF(AND($H79&lt;&gt;"",$AM79&lt;&gt;"",$H79&lt;&gt;$AM79,IFERROR(VLOOKUP($H79,areaCercaPuntiClassificaSquadra,3,FALSE),-1)=IFERROR(VLOOKUP($AM79,areaCercaPuntiClassificaSquadra,3,FALSE),-2)),SUMIFS(Dati!$B$2:$B$761,Dati!$A$2:$A$761,$H79,Dati!$H$2:$H$761,$AM79)+SUMIFS(Dati!$I$2:$I$761,Dati!$H$2:$H$761,$H79,Dati!$A$2:$A$761,$AM79),"-")</f>
        <v/>
      </c>
      <c r="BJ79" s="22">
        <f>IF(AND($H79&lt;&gt;"",$AN79&lt;&gt;"",$H79&lt;&gt;$AN79,IFERROR(VLOOKUP($H79,areaCercaPuntiClassificaSquadra,3,FALSE),-1)=IFERROR(VLOOKUP($AN79,areaCercaPuntiClassificaSquadra,3,FALSE),-2)),SUMIFS(Dati!$B$2:$B$761,Dati!$A$2:$A$761,$H79,Dati!$H$2:$H$761,$AN79)+SUMIFS(Dati!$I$2:$I$761,Dati!$H$2:$H$761,$H79,Dati!$A$2:$A$761,$AN79),"-")</f>
        <v/>
      </c>
      <c r="BK79" s="22">
        <f>IF(AND($H79&lt;&gt;"",$AO79&lt;&gt;"",$H79&lt;&gt;$AO79,IFERROR(VLOOKUP($H79,areaCercaPuntiClassificaSquadra,3,FALSE),-1)=IFERROR(VLOOKUP($AO79,areaCercaPuntiClassificaSquadra,3,FALSE),-2)),SUMIFS(Dati!$B$2:$B$761,Dati!$A$2:$A$761,$H79,Dati!$H$2:$H$761,$AO79)+SUMIFS(Dati!$I$2:$I$761,Dati!$H$2:$H$761,$H79,Dati!$A$2:$A$761,$AO79),"-")</f>
        <v/>
      </c>
      <c r="BL79" s="22">
        <f>IF(AND($H79&lt;&gt;"",$AP79&lt;&gt;"",$H79&lt;&gt;$AP79,IFERROR(VLOOKUP($H79,areaCercaPuntiClassificaSquadra,3,FALSE),-1)=IFERROR(VLOOKUP($AP79,areaCercaPuntiClassificaSquadra,3,FALSE),-2)),SUMIFS(Dati!$B$2:$B$761,Dati!$A$2:$A$761,$H79,Dati!$H$2:$H$761,$AP79)+SUMIFS(Dati!$I$2:$I$761,Dati!$H$2:$H$761,$H79,Dati!$A$2:$A$761,$AP79),"-")</f>
        <v/>
      </c>
      <c r="BM79" s="22">
        <f>IF(AND($H79&lt;&gt;"",$AQ79&lt;&gt;"",$H79&lt;&gt;$AQ79,IFERROR(VLOOKUP($H79,areaCercaPuntiClassificaSquadra,3,FALSE),-1)=IFERROR(VLOOKUP($AQ79,areaCercaPuntiClassificaSquadra,3,FALSE),-2)),SUMIFS(Dati!$B$2:$B$761,Dati!$A$2:$A$761,$H79,Dati!$H$2:$H$761,$AQ79)+SUMIFS(Dati!$I$2:$I$761,Dati!$H$2:$H$761,$H79,Dati!$A$2:$A$761,$AQ79),"-")</f>
        <v/>
      </c>
      <c r="BN79" s="22">
        <f>IF(AND($H79&lt;&gt;"",$AR79&lt;&gt;"",$H79&lt;&gt;$AR79,IFERROR(VLOOKUP($H79,areaCercaPuntiClassificaSquadra,3,FALSE),-1)=IFERROR(VLOOKUP($AR79,areaCercaPuntiClassificaSquadra,3,FALSE),-2)),SUMIFS(Dati!$B$2:$B$761,Dati!$A$2:$A$761,$H79,Dati!$H$2:$H$761,$AR79)+SUMIFS(Dati!$I$2:$I$761,Dati!$H$2:$H$761,$H79,Dati!$A$2:$A$761,$AR79),"-")</f>
        <v/>
      </c>
      <c r="BP79" s="21">
        <f>$C79</f>
        <v/>
      </c>
      <c r="BQ79" s="22">
        <f>IF(AND($H79&lt;&gt;"",$Y79&lt;&gt;"",$H79&lt;&gt;$Y79,IFERROR(VLOOKUP($H79,areaCercaPuntiClassificaSquadra,3,FALSE),-1)=IFERROR(VLOOKUP($Y79,areaCercaPuntiClassificaSquadra,3,FALSE),-2)),SUMIFS(Dati!$D$2:$D$761,Dati!$A$2:$A$761,$H79,Dati!$H$2:$H$761,$Y79)+SUMIFS(Dati!$K$2:$K$761,Dati!$H$2:$H$761,$H79,Dati!$A$2:$A$761,$Y79)+SUMIFS(Dati!$C$2:$C$761,Dati!$A$2:$A$761,$H79,Dati!$H$2:$H$761,$Y79)+SUMIFS(Dati!$J$2:$J$761,Dati!$H$2:$H$761,$H79,Dati!$A$2:$A$761,$Y79),"-")</f>
        <v/>
      </c>
      <c r="BR79" s="22">
        <f>IF(AND($H79&lt;&gt;"",$Z79&lt;&gt;"",$H79&lt;&gt;$Z79,IFERROR(VLOOKUP($H79,areaCercaPuntiClassificaSquadra,3,FALSE),-1)=IFERROR(VLOOKUP($Z79,areaCercaPuntiClassificaSquadra,3,FALSE),-2)),SUMIFS(Dati!$D$2:$D$761,Dati!$A$2:$A$761,$H79,Dati!$H$2:$H$761,$Z79)+SUMIFS(Dati!$K$2:$K$761,Dati!$H$2:$H$761,$H79,Dati!$A$2:$A$761,$Z79)+SUMIFS(Dati!$C$2:$C$761,Dati!$A$2:$A$761,$H79,Dati!$H$2:$H$761,$Z79)+SUMIFS(Dati!$J$2:$J$761,Dati!$H$2:$H$761,$H79,Dati!$A$2:$A$761,$Z79),"-")</f>
        <v/>
      </c>
      <c r="BS79" s="22">
        <f>IF(AND($H79&lt;&gt;"",$AA79&lt;&gt;"",$H79&lt;&gt;$AA79,IFERROR(VLOOKUP($H79,areaCercaPuntiClassificaSquadra,3,FALSE),-1)=IFERROR(VLOOKUP($AA79,areaCercaPuntiClassificaSquadra,3,FALSE),-2)),SUMIFS(Dati!$D$2:$D$761,Dati!$A$2:$A$761,$H79,Dati!$H$2:$H$761,$AA79)+SUMIFS(Dati!$K$2:$K$761,Dati!$H$2:$H$761,$H79,Dati!$A$2:$A$761,$AA79)+SUMIFS(Dati!$C$2:$C$761,Dati!$A$2:$A$761,$H79,Dati!$H$2:$H$761,$AA79)+SUMIFS(Dati!$J$2:$J$761,Dati!$H$2:$H$761,$H79,Dati!$A$2:$A$761,$AA79),"-")</f>
        <v/>
      </c>
      <c r="BT79" s="22">
        <f>IF(AND($H79&lt;&gt;"",$AB79&lt;&gt;"",$H79&lt;&gt;$AB79,IFERROR(VLOOKUP($H79,areaCercaPuntiClassificaSquadra,3,FALSE),-1)=IFERROR(VLOOKUP($AB79,areaCercaPuntiClassificaSquadra,3,FALSE),-2)),SUMIFS(Dati!$D$2:$D$761,Dati!$A$2:$A$761,$H79,Dati!$H$2:$H$761,$AB79)+SUMIFS(Dati!$K$2:$K$761,Dati!$H$2:$H$761,$H79,Dati!$A$2:$A$761,$AB79)+SUMIFS(Dati!$C$2:$C$761,Dati!$A$2:$A$761,$H79,Dati!$H$2:$H$761,$AB79)+SUMIFS(Dati!$J$2:$J$761,Dati!$H$2:$H$761,$H79,Dati!$A$2:$A$761,$AB79),"-")</f>
        <v/>
      </c>
      <c r="BU79" s="22">
        <f>IF(AND($H79&lt;&gt;"",$AC79&lt;&gt;"",$H79&lt;&gt;$AC79,IFERROR(VLOOKUP($H79,areaCercaPuntiClassificaSquadra,3,FALSE),-1)=IFERROR(VLOOKUP($AC79,areaCercaPuntiClassificaSquadra,3,FALSE),-2)),SUMIFS(Dati!$D$2:$D$761,Dati!$A$2:$A$761,$H79,Dati!$H$2:$H$761,$AC79)+SUMIFS(Dati!$K$2:$K$761,Dati!$H$2:$H$761,$H79,Dati!$A$2:$A$761,$AC79)+SUMIFS(Dati!$C$2:$C$761,Dati!$A$2:$A$761,$H79,Dati!$H$2:$H$761,$AC79)+SUMIFS(Dati!$J$2:$J$761,Dati!$H$2:$H$761,$H79,Dati!$A$2:$A$761,$AC79),"-")</f>
        <v/>
      </c>
      <c r="BV79" s="22">
        <f>IF(AND($H79&lt;&gt;"",$AD79&lt;&gt;"",$H79&lt;&gt;$AD79,IFERROR(VLOOKUP($H79,areaCercaPuntiClassificaSquadra,3,FALSE),-1)=IFERROR(VLOOKUP($AD79,areaCercaPuntiClassificaSquadra,3,FALSE),-2)),SUMIFS(Dati!$D$2:$D$761,Dati!$A$2:$A$761,$H79,Dati!$H$2:$H$761,$AD79)+SUMIFS(Dati!$K$2:$K$761,Dati!$H$2:$H$761,$H79,Dati!$A$2:$A$761,$AD79)+SUMIFS(Dati!$C$2:$C$761,Dati!$A$2:$A$761,$H79,Dati!$H$2:$H$761,$AD79)+SUMIFS(Dati!$J$2:$J$761,Dati!$H$2:$H$761,$H79,Dati!$A$2:$A$761,$AD79),"-")</f>
        <v/>
      </c>
      <c r="BW79" s="22">
        <f>IF(AND($H79&lt;&gt;"",$AE79&lt;&gt;"",$H79&lt;&gt;$AE79,IFERROR(VLOOKUP($H79,areaCercaPuntiClassificaSquadra,3,FALSE),-1)=IFERROR(VLOOKUP($AE79,areaCercaPuntiClassificaSquadra,3,FALSE),-2)),SUMIFS(Dati!$D$2:$D$761,Dati!$A$2:$A$761,$H79,Dati!$H$2:$H$761,$AE79)+SUMIFS(Dati!$K$2:$K$761,Dati!$H$2:$H$761,$H79,Dati!$A$2:$A$761,$AE79)+SUMIFS(Dati!$C$2:$C$761,Dati!$A$2:$A$761,$H79,Dati!$H$2:$H$761,$AE79)+SUMIFS(Dati!$J$2:$J$761,Dati!$H$2:$H$761,$H79,Dati!$A$2:$A$761,$AE79),"-")</f>
        <v/>
      </c>
      <c r="BX79" s="22">
        <f>IF(AND($H79&lt;&gt;"",$AF79&lt;&gt;"",$H79&lt;&gt;$AF79,IFERROR(VLOOKUP($H79,areaCercaPuntiClassificaSquadra,3,FALSE),-1)=IFERROR(VLOOKUP($AF79,areaCercaPuntiClassificaSquadra,3,FALSE),-2)),SUMIFS(Dati!$D$2:$D$761,Dati!$A$2:$A$761,$H79,Dati!$H$2:$H$761,$AF79)+SUMIFS(Dati!$K$2:$K$761,Dati!$H$2:$H$761,$H79,Dati!$A$2:$A$761,$AF79)+SUMIFS(Dati!$C$2:$C$761,Dati!$A$2:$A$761,$H79,Dati!$H$2:$H$761,$AF79)+SUMIFS(Dati!$J$2:$J$761,Dati!$H$2:$H$761,$H79,Dati!$A$2:$A$761,$AF79),"-")</f>
        <v/>
      </c>
      <c r="BY79" s="22">
        <f>IF(AND($H79&lt;&gt;"",$AG79&lt;&gt;"",$H79&lt;&gt;$AG79,IFERROR(VLOOKUP($H79,areaCercaPuntiClassificaSquadra,3,FALSE),-1)=IFERROR(VLOOKUP($AG79,areaCercaPuntiClassificaSquadra,3,FALSE),-2)),SUMIFS(Dati!$D$2:$D$761,Dati!$A$2:$A$761,$H79,Dati!$H$2:$H$761,$AG79)+SUMIFS(Dati!$K$2:$K$761,Dati!$H$2:$H$761,$H79,Dati!$A$2:$A$761,$AG79)+SUMIFS(Dati!$C$2:$C$761,Dati!$A$2:$A$761,$H79,Dati!$H$2:$H$761,$AG79)+SUMIFS(Dati!$J$2:$J$761,Dati!$H$2:$H$761,$H79,Dati!$A$2:$A$761,$AG79),"-")</f>
        <v/>
      </c>
      <c r="BZ79" s="22">
        <f>IF(AND($H79&lt;&gt;"",$AH79&lt;&gt;"",$H79&lt;&gt;$AH79,IFERROR(VLOOKUP($H79,areaCercaPuntiClassificaSquadra,3,FALSE),-1)=IFERROR(VLOOKUP($AH79,areaCercaPuntiClassificaSquadra,3,FALSE),-2)),SUMIFS(Dati!$D$2:$D$761,Dati!$A$2:$A$761,$H79,Dati!$H$2:$H$761,$AH79)+SUMIFS(Dati!$K$2:$K$761,Dati!$H$2:$H$761,$H79,Dati!$A$2:$A$761,$AH79)+SUMIFS(Dati!$C$2:$C$761,Dati!$A$2:$A$761,$H79,Dati!$H$2:$H$761,$AH79)+SUMIFS(Dati!$J$2:$J$761,Dati!$H$2:$H$761,$H79,Dati!$A$2:$A$761,$AH79),"-")</f>
        <v/>
      </c>
      <c r="CA79" s="22">
        <f>IF(AND($H79&lt;&gt;"",$AI79&lt;&gt;"",$H79&lt;&gt;$AI79,IFERROR(VLOOKUP($H79,areaCercaPuntiClassificaSquadra,3,FALSE),-1)=IFERROR(VLOOKUP($AI79,areaCercaPuntiClassificaSquadra,3,FALSE),-2)),SUMIFS(Dati!$D$2:$D$761,Dati!$A$2:$A$761,$H79,Dati!$H$2:$H$761,$AI79)+SUMIFS(Dati!$K$2:$K$761,Dati!$H$2:$H$761,$H79,Dati!$A$2:$A$761,$AI79)+SUMIFS(Dati!$C$2:$C$761,Dati!$A$2:$A$761,$H79,Dati!$H$2:$H$761,$AI79)+SUMIFS(Dati!$J$2:$J$761,Dati!$H$2:$H$761,$H79,Dati!$A$2:$A$761,$AI79),"-")</f>
        <v/>
      </c>
      <c r="CB79" s="22">
        <f>IF(AND($H79&lt;&gt;"",$AJ79&lt;&gt;"",$H79&lt;&gt;$AJ79,IFERROR(VLOOKUP($H79,areaCercaPuntiClassificaSquadra,3,FALSE),-1)=IFERROR(VLOOKUP($AJ79,areaCercaPuntiClassificaSquadra,3,FALSE),-2)),SUMIFS(Dati!$D$2:$D$761,Dati!$A$2:$A$761,$H79,Dati!$H$2:$H$761,$AJ79)+SUMIFS(Dati!$K$2:$K$761,Dati!$H$2:$H$761,$H79,Dati!$A$2:$A$761,$AJ79)+SUMIFS(Dati!$C$2:$C$761,Dati!$A$2:$A$761,$H79,Dati!$H$2:$H$761,$AJ79)+SUMIFS(Dati!$J$2:$J$761,Dati!$H$2:$H$761,$H79,Dati!$A$2:$A$761,$AJ79),"-")</f>
        <v/>
      </c>
      <c r="CC79" s="22">
        <f>IF(AND($H79&lt;&gt;"",$AK79&lt;&gt;"",$H79&lt;&gt;$AK79,IFERROR(VLOOKUP($H79,areaCercaPuntiClassificaSquadra,3,FALSE),-1)=IFERROR(VLOOKUP($AK79,areaCercaPuntiClassificaSquadra,3,FALSE),-2)),SUMIFS(Dati!$D$2:$D$761,Dati!$A$2:$A$761,$H79,Dati!$H$2:$H$761,$AK79)+SUMIFS(Dati!$K$2:$K$761,Dati!$H$2:$H$761,$H79,Dati!$A$2:$A$761,$AK79)+SUMIFS(Dati!$C$2:$C$761,Dati!$A$2:$A$761,$H79,Dati!$H$2:$H$761,$AK79)+SUMIFS(Dati!$J$2:$J$761,Dati!$H$2:$H$761,$H79,Dati!$A$2:$A$761,$AK79),"-")</f>
        <v/>
      </c>
      <c r="CD79" s="22">
        <f>IF(AND($H79&lt;&gt;"",$AL79&lt;&gt;"",$H79&lt;&gt;$AL79,IFERROR(VLOOKUP($H79,areaCercaPuntiClassificaSquadra,3,FALSE),-1)=IFERROR(VLOOKUP($AL79,areaCercaPuntiClassificaSquadra,3,FALSE),-2)),SUMIFS(Dati!$D$2:$D$761,Dati!$A$2:$A$761,$H79,Dati!$H$2:$H$761,$AL79)+SUMIFS(Dati!$K$2:$K$761,Dati!$H$2:$H$761,$H79,Dati!$A$2:$A$761,$AL79)+SUMIFS(Dati!$C$2:$C$761,Dati!$A$2:$A$761,$H79,Dati!$H$2:$H$761,$AL79)+SUMIFS(Dati!$J$2:$J$761,Dati!$H$2:$H$761,$H79,Dati!$A$2:$A$761,$AL79),"-")</f>
        <v/>
      </c>
      <c r="CE79" s="22">
        <f>IF(AND($H79&lt;&gt;"",$AM79&lt;&gt;"",$H79&lt;&gt;$AM79,IFERROR(VLOOKUP($H79,areaCercaPuntiClassificaSquadra,3,FALSE),-1)=IFERROR(VLOOKUP($AM79,areaCercaPuntiClassificaSquadra,3,FALSE),-2)),SUMIFS(Dati!$D$2:$D$761,Dati!$A$2:$A$761,$H79,Dati!$H$2:$H$761,$AM79)+SUMIFS(Dati!$K$2:$K$761,Dati!$H$2:$H$761,$H79,Dati!$A$2:$A$761,$AM79)+SUMIFS(Dati!$C$2:$C$761,Dati!$A$2:$A$761,$H79,Dati!$H$2:$H$761,$AM79)+SUMIFS(Dati!$J$2:$J$761,Dati!$H$2:$H$761,$H79,Dati!$A$2:$A$761,$AM79),"-")</f>
        <v/>
      </c>
      <c r="CF79" s="22">
        <f>IF(AND($H79&lt;&gt;"",$AN79&lt;&gt;"",$H79&lt;&gt;$AN79,IFERROR(VLOOKUP($H79,areaCercaPuntiClassificaSquadra,3,FALSE),-1)=IFERROR(VLOOKUP($AN79,areaCercaPuntiClassificaSquadra,3,FALSE),-2)),SUMIFS(Dati!$D$2:$D$761,Dati!$A$2:$A$761,$H79,Dati!$H$2:$H$761,$AN79)+SUMIFS(Dati!$K$2:$K$761,Dati!$H$2:$H$761,$H79,Dati!$A$2:$A$761,$AN79)+SUMIFS(Dati!$C$2:$C$761,Dati!$A$2:$A$761,$H79,Dati!$H$2:$H$761,$AN79)+SUMIFS(Dati!$J$2:$J$761,Dati!$H$2:$H$761,$H79,Dati!$A$2:$A$761,$AN79),"-")</f>
        <v/>
      </c>
      <c r="CG79" s="22">
        <f>IF(AND($H79&lt;&gt;"",$AO79&lt;&gt;"",$H79&lt;&gt;$AO79,IFERROR(VLOOKUP($H79,areaCercaPuntiClassificaSquadra,3,FALSE),-1)=IFERROR(VLOOKUP($AO79,areaCercaPuntiClassificaSquadra,3,FALSE),-2)),SUMIFS(Dati!$D$2:$D$761,Dati!$A$2:$A$761,$H79,Dati!$H$2:$H$761,$AO79)+SUMIFS(Dati!$K$2:$K$761,Dati!$H$2:$H$761,$H79,Dati!$A$2:$A$761,$AO79)+SUMIFS(Dati!$C$2:$C$761,Dati!$A$2:$A$761,$H79,Dati!$H$2:$H$761,$AO79)+SUMIFS(Dati!$J$2:$J$761,Dati!$H$2:$H$761,$H79,Dati!$A$2:$A$761,$AO79),"-")</f>
        <v/>
      </c>
      <c r="CH79" s="22">
        <f>IF(AND($H79&lt;&gt;"",$AP79&lt;&gt;"",$H79&lt;&gt;$AP79,IFERROR(VLOOKUP($H79,areaCercaPuntiClassificaSquadra,3,FALSE),-1)=IFERROR(VLOOKUP($AP79,areaCercaPuntiClassificaSquadra,3,FALSE),-2)),SUMIFS(Dati!$D$2:$D$761,Dati!$A$2:$A$761,$H79,Dati!$H$2:$H$761,$AP79)+SUMIFS(Dati!$K$2:$K$761,Dati!$H$2:$H$761,$H79,Dati!$A$2:$A$761,$AP79)+SUMIFS(Dati!$C$2:$C$761,Dati!$A$2:$A$761,$H79,Dati!$H$2:$H$761,$AP79)+SUMIFS(Dati!$J$2:$J$761,Dati!$H$2:$H$761,$H79,Dati!$A$2:$A$761,$AP79),"-")</f>
        <v/>
      </c>
      <c r="CI79" s="22">
        <f>IF(AND($H79&lt;&gt;"",$AQ79&lt;&gt;"",$H79&lt;&gt;$AQ79,IFERROR(VLOOKUP($H79,areaCercaPuntiClassificaSquadra,3,FALSE),-1)=IFERROR(VLOOKUP($AQ79,areaCercaPuntiClassificaSquadra,3,FALSE),-2)),SUMIFS(Dati!$D$2:$D$761,Dati!$A$2:$A$761,$H79,Dati!$H$2:$H$761,$AQ79)+SUMIFS(Dati!$K$2:$K$761,Dati!$H$2:$H$761,$H79,Dati!$A$2:$A$761,$AQ79)+SUMIFS(Dati!$C$2:$C$761,Dati!$A$2:$A$761,$H79,Dati!$H$2:$H$761,$AQ79)+SUMIFS(Dati!$J$2:$J$761,Dati!$H$2:$H$761,$H79,Dati!$A$2:$A$761,$AQ79),"-")</f>
        <v/>
      </c>
      <c r="CJ79" s="22">
        <f>IF(AND($H79&lt;&gt;"",$AR79&lt;&gt;"",$H79&lt;&gt;$AR79,IFERROR(VLOOKUP($H79,areaCercaPuntiClassificaSquadra,3,FALSE),-1)=IFERROR(VLOOKUP($AR79,areaCercaPuntiClassificaSquadra,3,FALSE),-2)),SUMIFS(Dati!$D$2:$D$761,Dati!$A$2:$A$761,$H79,Dati!$H$2:$H$761,$AR79)+SUMIFS(Dati!$K$2:$K$761,Dati!$H$2:$H$761,$H79,Dati!$A$2:$A$761,$AR79)+SUMIFS(Dati!$C$2:$C$761,Dati!$A$2:$A$761,$H79,Dati!$H$2:$H$761,$AR79)+SUMIFS(Dati!$J$2:$J$761,Dati!$H$2:$H$761,$H79,Dati!$A$2:$A$761,$AR79),"-")</f>
        <v/>
      </c>
      <c r="CL79" s="21">
        <f>$C79</f>
        <v/>
      </c>
      <c r="CM79" s="22">
        <f>IF(AND($H79&lt;&gt;"",$Y79&lt;&gt;"",$H79&lt;&gt;$Y79,IFERROR(VLOOKUP($H79,areaCercaPuntiClassificaSquadra,3,FALSE),-1)=IFERROR(VLOOKUP($Y79,areaCercaPuntiClassificaSquadra,3,FALSE),-2)),SUMIFS(Dati!$E$2:$E$761,Dati!$A$2:$A$761,$H79,Dati!$H$2:$H$761,$Y79)+SUMIFS(Dati!$L$2:$L$761,Dati!$H$2:$H$761,$H79,Dati!$A$2:$A$761,$Y79),"-")</f>
        <v/>
      </c>
      <c r="CN79" s="22">
        <f>IF(AND($H79&lt;&gt;"",$Z79&lt;&gt;"",$H79&lt;&gt;$Z79,IFERROR(VLOOKUP($H79,areaCercaPuntiClassificaSquadra,3,FALSE),-1)=IFERROR(VLOOKUP($Z79,areaCercaPuntiClassificaSquadra,3,FALSE),-2)),SUMIFS(Dati!$E$2:$E$761,Dati!$A$2:$A$761,$H79,Dati!$H$2:$H$761,$Z79)+SUMIFS(Dati!$L$2:$L$761,Dati!$H$2:$H$761,$H79,Dati!$A$2:$A$761,$Z79),"-")</f>
        <v/>
      </c>
      <c r="CO79" s="22">
        <f>IF(AND($H79&lt;&gt;"",$AA79&lt;&gt;"",$H79&lt;&gt;$AA79,IFERROR(VLOOKUP($H79,areaCercaPuntiClassificaSquadra,3,FALSE),-1)=IFERROR(VLOOKUP($AA79,areaCercaPuntiClassificaSquadra,3,FALSE),-2)),SUMIFS(Dati!$E$2:$E$761,Dati!$A$2:$A$761,$H79,Dati!$H$2:$H$761,$AA79)+SUMIFS(Dati!$L$2:$L$761,Dati!$H$2:$H$761,$H79,Dati!$A$2:$A$761,$AA79),"-")</f>
        <v/>
      </c>
      <c r="CP79" s="22">
        <f>IF(AND($H79&lt;&gt;"",$AB79&lt;&gt;"",$H79&lt;&gt;$AB79,IFERROR(VLOOKUP($H79,areaCercaPuntiClassificaSquadra,3,FALSE),-1)=IFERROR(VLOOKUP($AB79,areaCercaPuntiClassificaSquadra,3,FALSE),-2)),SUMIFS(Dati!$E$2:$E$761,Dati!$A$2:$A$761,$H79,Dati!$H$2:$H$761,$AB79)+SUMIFS(Dati!$L$2:$L$761,Dati!$H$2:$H$761,$H79,Dati!$A$2:$A$761,$AB79),"-")</f>
        <v/>
      </c>
      <c r="CQ79" s="22">
        <f>IF(AND($H79&lt;&gt;"",$AC79&lt;&gt;"",$H79&lt;&gt;$AC79,IFERROR(VLOOKUP($H79,areaCercaPuntiClassificaSquadra,3,FALSE),-1)=IFERROR(VLOOKUP($AC79,areaCercaPuntiClassificaSquadra,3,FALSE),-2)),SUMIFS(Dati!$E$2:$E$761,Dati!$A$2:$A$761,$H79,Dati!$H$2:$H$761,$AC79)+SUMIFS(Dati!$L$2:$L$761,Dati!$H$2:$H$761,$H79,Dati!$A$2:$A$761,$AC79),"-")</f>
        <v/>
      </c>
      <c r="CR79" s="22">
        <f>IF(AND($H79&lt;&gt;"",$AD79&lt;&gt;"",$H79&lt;&gt;$AD79,IFERROR(VLOOKUP($H79,areaCercaPuntiClassificaSquadra,3,FALSE),-1)=IFERROR(VLOOKUP($AD79,areaCercaPuntiClassificaSquadra,3,FALSE),-2)),SUMIFS(Dati!$E$2:$E$761,Dati!$A$2:$A$761,$H79,Dati!$H$2:$H$761,$AD79)+SUMIFS(Dati!$L$2:$L$761,Dati!$H$2:$H$761,$H79,Dati!$A$2:$A$761,$AD79),"-")</f>
        <v/>
      </c>
      <c r="CS79" s="22">
        <f>IF(AND($H79&lt;&gt;"",$AE79&lt;&gt;"",$H79&lt;&gt;$AE79,IFERROR(VLOOKUP($H79,areaCercaPuntiClassificaSquadra,3,FALSE),-1)=IFERROR(VLOOKUP($AE79,areaCercaPuntiClassificaSquadra,3,FALSE),-2)),SUMIFS(Dati!$E$2:$E$761,Dati!$A$2:$A$761,$H79,Dati!$H$2:$H$761,$AE79)+SUMIFS(Dati!$L$2:$L$761,Dati!$H$2:$H$761,$H79,Dati!$A$2:$A$761,$AE79),"-")</f>
        <v/>
      </c>
      <c r="CT79" s="22">
        <f>IF(AND($H79&lt;&gt;"",$AF79&lt;&gt;"",$H79&lt;&gt;$AF79,IFERROR(VLOOKUP($H79,areaCercaPuntiClassificaSquadra,3,FALSE),-1)=IFERROR(VLOOKUP($AF79,areaCercaPuntiClassificaSquadra,3,FALSE),-2)),SUMIFS(Dati!$E$2:$E$761,Dati!$A$2:$A$761,$H79,Dati!$H$2:$H$761,$AF79)+SUMIFS(Dati!$L$2:$L$761,Dati!$H$2:$H$761,$H79,Dati!$A$2:$A$761,$AF79),"-")</f>
        <v/>
      </c>
      <c r="CU79" s="22">
        <f>IF(AND($H79&lt;&gt;"",$AG79&lt;&gt;"",$H79&lt;&gt;$AG79,IFERROR(VLOOKUP($H79,areaCercaPuntiClassificaSquadra,3,FALSE),-1)=IFERROR(VLOOKUP($AG79,areaCercaPuntiClassificaSquadra,3,FALSE),-2)),SUMIFS(Dati!$E$2:$E$761,Dati!$A$2:$A$761,$H79,Dati!$H$2:$H$761,$AG79)+SUMIFS(Dati!$L$2:$L$761,Dati!$H$2:$H$761,$H79,Dati!$A$2:$A$761,$AG79),"-")</f>
        <v/>
      </c>
      <c r="CV79" s="22">
        <f>IF(AND($H79&lt;&gt;"",$AH79&lt;&gt;"",$H79&lt;&gt;$AH79,IFERROR(VLOOKUP($H79,areaCercaPuntiClassificaSquadra,3,FALSE),-1)=IFERROR(VLOOKUP($AH79,areaCercaPuntiClassificaSquadra,3,FALSE),-2)),SUMIFS(Dati!$E$2:$E$761,Dati!$A$2:$A$761,$H79,Dati!$H$2:$H$761,$AH79)+SUMIFS(Dati!$L$2:$L$761,Dati!$H$2:$H$761,$H79,Dati!$A$2:$A$761,$AH79),"-")</f>
        <v/>
      </c>
      <c r="CW79" s="22">
        <f>IF(AND($H79&lt;&gt;"",$AI79&lt;&gt;"",$H79&lt;&gt;$AI79,IFERROR(VLOOKUP($H79,areaCercaPuntiClassificaSquadra,3,FALSE),-1)=IFERROR(VLOOKUP($AI79,areaCercaPuntiClassificaSquadra,3,FALSE),-2)),SUMIFS(Dati!$E$2:$E$761,Dati!$A$2:$A$761,$H79,Dati!$H$2:$H$761,$AI79)+SUMIFS(Dati!$L$2:$L$761,Dati!$H$2:$H$761,$H79,Dati!$A$2:$A$761,$AI79),"-")</f>
        <v/>
      </c>
      <c r="CX79" s="22">
        <f>IF(AND($H79&lt;&gt;"",$AJ79&lt;&gt;"",$H79&lt;&gt;$AJ79,IFERROR(VLOOKUP($H79,areaCercaPuntiClassificaSquadra,3,FALSE),-1)=IFERROR(VLOOKUP($AJ79,areaCercaPuntiClassificaSquadra,3,FALSE),-2)),SUMIFS(Dati!$E$2:$E$761,Dati!$A$2:$A$761,$H79,Dati!$H$2:$H$761,$AJ79)+SUMIFS(Dati!$L$2:$L$761,Dati!$H$2:$H$761,$H79,Dati!$A$2:$A$761,$AJ79),"-")</f>
        <v/>
      </c>
      <c r="CY79" s="22">
        <f>IF(AND($H79&lt;&gt;"",$AK79&lt;&gt;"",$H79&lt;&gt;$AK79,IFERROR(VLOOKUP($H79,areaCercaPuntiClassificaSquadra,3,FALSE),-1)=IFERROR(VLOOKUP($AK79,areaCercaPuntiClassificaSquadra,3,FALSE),-2)),SUMIFS(Dati!$E$2:$E$761,Dati!$A$2:$A$761,$H79,Dati!$H$2:$H$761,$AK79)+SUMIFS(Dati!$L$2:$L$761,Dati!$H$2:$H$761,$H79,Dati!$A$2:$A$761,$AK79),"-")</f>
        <v/>
      </c>
      <c r="CZ79" s="22">
        <f>IF(AND($H79&lt;&gt;"",$AL79&lt;&gt;"",$H79&lt;&gt;$AL79,IFERROR(VLOOKUP($H79,areaCercaPuntiClassificaSquadra,3,FALSE),-1)=IFERROR(VLOOKUP($AL79,areaCercaPuntiClassificaSquadra,3,FALSE),-2)),SUMIFS(Dati!$E$2:$E$761,Dati!$A$2:$A$761,$H79,Dati!$H$2:$H$761,$AL79)+SUMIFS(Dati!$L$2:$L$761,Dati!$H$2:$H$761,$H79,Dati!$A$2:$A$761,$AL79),"-")</f>
        <v/>
      </c>
      <c r="DA79" s="22">
        <f>IF(AND($H79&lt;&gt;"",$AM79&lt;&gt;"",$H79&lt;&gt;$AM79,IFERROR(VLOOKUP($H79,areaCercaPuntiClassificaSquadra,3,FALSE),-1)=IFERROR(VLOOKUP($AM79,areaCercaPuntiClassificaSquadra,3,FALSE),-2)),SUMIFS(Dati!$E$2:$E$761,Dati!$A$2:$A$761,$H79,Dati!$H$2:$H$761,$AM79)+SUMIFS(Dati!$L$2:$L$761,Dati!$H$2:$H$761,$H79,Dati!$A$2:$A$761,$AM79),"-")</f>
        <v/>
      </c>
      <c r="DB79" s="22">
        <f>IF(AND($H79&lt;&gt;"",$AN79&lt;&gt;"",$H79&lt;&gt;$AN79,IFERROR(VLOOKUP($H79,areaCercaPuntiClassificaSquadra,3,FALSE),-1)=IFERROR(VLOOKUP($AN79,areaCercaPuntiClassificaSquadra,3,FALSE),-2)),SUMIFS(Dati!$E$2:$E$761,Dati!$A$2:$A$761,$H79,Dati!$H$2:$H$761,$AN79)+SUMIFS(Dati!$L$2:$L$761,Dati!$H$2:$H$761,$H79,Dati!$A$2:$A$761,$AN79),"-")</f>
        <v/>
      </c>
      <c r="DC79" s="22">
        <f>IF(AND($H79&lt;&gt;"",$AO79&lt;&gt;"",$H79&lt;&gt;$AO79,IFERROR(VLOOKUP($H79,areaCercaPuntiClassificaSquadra,3,FALSE),-1)=IFERROR(VLOOKUP($AO79,areaCercaPuntiClassificaSquadra,3,FALSE),-2)),SUMIFS(Dati!$E$2:$E$761,Dati!$A$2:$A$761,$H79,Dati!$H$2:$H$761,$AO79)+SUMIFS(Dati!$L$2:$L$761,Dati!$H$2:$H$761,$H79,Dati!$A$2:$A$761,$AO79),"-")</f>
        <v/>
      </c>
      <c r="DD79" s="22">
        <f>IF(AND($H79&lt;&gt;"",$AP79&lt;&gt;"",$H79&lt;&gt;$AP79,IFERROR(VLOOKUP($H79,areaCercaPuntiClassificaSquadra,3,FALSE),-1)=IFERROR(VLOOKUP($AP79,areaCercaPuntiClassificaSquadra,3,FALSE),-2)),SUMIFS(Dati!$E$2:$E$761,Dati!$A$2:$A$761,$H79,Dati!$H$2:$H$761,$AP79)+SUMIFS(Dati!$L$2:$L$761,Dati!$H$2:$H$761,$H79,Dati!$A$2:$A$761,$AP79),"-")</f>
        <v/>
      </c>
      <c r="DE79" s="22">
        <f>IF(AND($H79&lt;&gt;"",$AQ79&lt;&gt;"",$H79&lt;&gt;$AQ79,IFERROR(VLOOKUP($H79,areaCercaPuntiClassificaSquadra,3,FALSE),-1)=IFERROR(VLOOKUP($AQ79,areaCercaPuntiClassificaSquadra,3,FALSE),-2)),SUMIFS(Dati!$E$2:$E$761,Dati!$A$2:$A$761,$H79,Dati!$H$2:$H$761,$AQ79)+SUMIFS(Dati!$L$2:$L$761,Dati!$H$2:$H$761,$H79,Dati!$A$2:$A$761,$AQ79),"-")</f>
        <v/>
      </c>
      <c r="DF79" s="22">
        <f>IF(AND($H79&lt;&gt;"",$AR79&lt;&gt;"",$H79&lt;&gt;$AR79,IFERROR(VLOOKUP($H79,areaCercaPuntiClassificaSquadra,3,FALSE),-1)=IFERROR(VLOOKUP($AR79,areaCercaPuntiClassificaSquadra,3,FALSE),-2)),SUMIFS(Dati!$E$2:$E$761,Dati!$A$2:$A$761,$H79,Dati!$H$2:$H$761,$AR79)+SUMIFS(Dati!$L$2:$L$761,Dati!$H$2:$H$761,$H79,Dati!$A$2:$A$761,$AR79),"-")</f>
        <v/>
      </c>
      <c r="DH79" s="21">
        <f>$C79</f>
        <v/>
      </c>
      <c r="DI79" s="22">
        <f>IF(AND($H79&lt;&gt;"",$Y79&lt;&gt;"",$H79&lt;&gt;$Y79,IFERROR(VLOOKUP($H79,areaCercaPuntiClassificaSquadra,3,FALSE),-1)=IFERROR(VLOOKUP($Y79,areaCercaPuntiClassificaSquadra,3,FALSE),-2)),SUMIFS(Dati!$F$2:$F$761,Dati!$A$2:$A$761,$H79,Dati!$H$2:$H$761,$Y79)+SUMIFS(Dati!$M$2:$M$761,Dati!$H$2:$H$761,$H79,Dati!$A$2:$A$761,$Y79),"-")</f>
        <v/>
      </c>
      <c r="DJ79" s="22">
        <f>IF(AND($H79&lt;&gt;"",$Z79&lt;&gt;"",$H79&lt;&gt;$Z79,IFERROR(VLOOKUP($H79,areaCercaPuntiClassificaSquadra,3,FALSE),-1)=IFERROR(VLOOKUP($Z79,areaCercaPuntiClassificaSquadra,3,FALSE),-2)),SUMIFS(Dati!$F$2:$F$761,Dati!$A$2:$A$761,$H79,Dati!$H$2:$H$761,$Z79)+SUMIFS(Dati!$M$2:$M$761,Dati!$H$2:$H$761,$H79,Dati!$A$2:$A$761,$Z79),"-")</f>
        <v/>
      </c>
      <c r="DK79" s="22">
        <f>IF(AND($H79&lt;&gt;"",$AA79&lt;&gt;"",$H79&lt;&gt;$AA79,IFERROR(VLOOKUP($H79,areaCercaPuntiClassificaSquadra,3,FALSE),-1)=IFERROR(VLOOKUP($AA79,areaCercaPuntiClassificaSquadra,3,FALSE),-2)),SUMIFS(Dati!$F$2:$F$761,Dati!$A$2:$A$761,$H79,Dati!$H$2:$H$761,$AA79)+SUMIFS(Dati!$M$2:$M$761,Dati!$H$2:$H$761,$H79,Dati!$A$2:$A$761,$AA79),"-")</f>
        <v/>
      </c>
      <c r="DL79" s="22">
        <f>IF(AND($H79&lt;&gt;"",$AB79&lt;&gt;"",$H79&lt;&gt;$AB79,IFERROR(VLOOKUP($H79,areaCercaPuntiClassificaSquadra,3,FALSE),-1)=IFERROR(VLOOKUP($AB79,areaCercaPuntiClassificaSquadra,3,FALSE),-2)),SUMIFS(Dati!$F$2:$F$761,Dati!$A$2:$A$761,$H79,Dati!$H$2:$H$761,$AB79)+SUMIFS(Dati!$M$2:$M$761,Dati!$H$2:$H$761,$H79,Dati!$A$2:$A$761,$AB79),"-")</f>
        <v/>
      </c>
      <c r="DM79" s="22">
        <f>IF(AND($H79&lt;&gt;"",$AC79&lt;&gt;"",$H79&lt;&gt;$AC79,IFERROR(VLOOKUP($H79,areaCercaPuntiClassificaSquadra,3,FALSE),-1)=IFERROR(VLOOKUP($AC79,areaCercaPuntiClassificaSquadra,3,FALSE),-2)),SUMIFS(Dati!$F$2:$F$761,Dati!$A$2:$A$761,$H79,Dati!$H$2:$H$761,$AC79)+SUMIFS(Dati!$M$2:$M$761,Dati!$H$2:$H$761,$H79,Dati!$A$2:$A$761,$AC79),"-")</f>
        <v/>
      </c>
      <c r="DN79" s="22">
        <f>IF(AND($H79&lt;&gt;"",$AD79&lt;&gt;"",$H79&lt;&gt;$AD79,IFERROR(VLOOKUP($H79,areaCercaPuntiClassificaSquadra,3,FALSE),-1)=IFERROR(VLOOKUP($AD79,areaCercaPuntiClassificaSquadra,3,FALSE),-2)),SUMIFS(Dati!$F$2:$F$761,Dati!$A$2:$A$761,$H79,Dati!$H$2:$H$761,$AD79)+SUMIFS(Dati!$M$2:$M$761,Dati!$H$2:$H$761,$H79,Dati!$A$2:$A$761,$AD79),"-")</f>
        <v/>
      </c>
      <c r="DO79" s="22">
        <f>IF(AND($H79&lt;&gt;"",$AE79&lt;&gt;"",$H79&lt;&gt;$AE79,IFERROR(VLOOKUP($H79,areaCercaPuntiClassificaSquadra,3,FALSE),-1)=IFERROR(VLOOKUP($AE79,areaCercaPuntiClassificaSquadra,3,FALSE),-2)),SUMIFS(Dati!$F$2:$F$761,Dati!$A$2:$A$761,$H79,Dati!$H$2:$H$761,$AE79)+SUMIFS(Dati!$M$2:$M$761,Dati!$H$2:$H$761,$H79,Dati!$A$2:$A$761,$AE79),"-")</f>
        <v/>
      </c>
      <c r="DP79" s="22">
        <f>IF(AND($H79&lt;&gt;"",$AF79&lt;&gt;"",$H79&lt;&gt;$AF79,IFERROR(VLOOKUP($H79,areaCercaPuntiClassificaSquadra,3,FALSE),-1)=IFERROR(VLOOKUP($AF79,areaCercaPuntiClassificaSquadra,3,FALSE),-2)),SUMIFS(Dati!$F$2:$F$761,Dati!$A$2:$A$761,$H79,Dati!$H$2:$H$761,$AF79)+SUMIFS(Dati!$M$2:$M$761,Dati!$H$2:$H$761,$H79,Dati!$A$2:$A$761,$AF79),"-")</f>
        <v/>
      </c>
      <c r="DQ79" s="22">
        <f>IF(AND($H79&lt;&gt;"",$AG79&lt;&gt;"",$H79&lt;&gt;$AG79,IFERROR(VLOOKUP($H79,areaCercaPuntiClassificaSquadra,3,FALSE),-1)=IFERROR(VLOOKUP($AG79,areaCercaPuntiClassificaSquadra,3,FALSE),-2)),SUMIFS(Dati!$F$2:$F$761,Dati!$A$2:$A$761,$H79,Dati!$H$2:$H$761,$AG79)+SUMIFS(Dati!$M$2:$M$761,Dati!$H$2:$H$761,$H79,Dati!$A$2:$A$761,$AG79),"-")</f>
        <v/>
      </c>
      <c r="DR79" s="22">
        <f>IF(AND($H79&lt;&gt;"",$AH79&lt;&gt;"",$H79&lt;&gt;$AH79,IFERROR(VLOOKUP($H79,areaCercaPuntiClassificaSquadra,3,FALSE),-1)=IFERROR(VLOOKUP($AH79,areaCercaPuntiClassificaSquadra,3,FALSE),-2)),SUMIFS(Dati!$F$2:$F$761,Dati!$A$2:$A$761,$H79,Dati!$H$2:$H$761,$AH79)+SUMIFS(Dati!$M$2:$M$761,Dati!$H$2:$H$761,$H79,Dati!$A$2:$A$761,$AH79),"-")</f>
        <v/>
      </c>
      <c r="DS79" s="22">
        <f>IF(AND($H79&lt;&gt;"",$AI79&lt;&gt;"",$H79&lt;&gt;$AI79,IFERROR(VLOOKUP($H79,areaCercaPuntiClassificaSquadra,3,FALSE),-1)=IFERROR(VLOOKUP($AI79,areaCercaPuntiClassificaSquadra,3,FALSE),-2)),SUMIFS(Dati!$F$2:$F$761,Dati!$A$2:$A$761,$H79,Dati!$H$2:$H$761,$AI79)+SUMIFS(Dati!$M$2:$M$761,Dati!$H$2:$H$761,$H79,Dati!$A$2:$A$761,$AI79),"-")</f>
        <v/>
      </c>
      <c r="DT79" s="22">
        <f>IF(AND($H79&lt;&gt;"",$AJ79&lt;&gt;"",$H79&lt;&gt;$AJ79,IFERROR(VLOOKUP($H79,areaCercaPuntiClassificaSquadra,3,FALSE),-1)=IFERROR(VLOOKUP($AJ79,areaCercaPuntiClassificaSquadra,3,FALSE),-2)),SUMIFS(Dati!$F$2:$F$761,Dati!$A$2:$A$761,$H79,Dati!$H$2:$H$761,$AJ79)+SUMIFS(Dati!$M$2:$M$761,Dati!$H$2:$H$761,$H79,Dati!$A$2:$A$761,$AJ79),"-")</f>
        <v/>
      </c>
      <c r="DU79" s="22">
        <f>IF(AND($H79&lt;&gt;"",$AK79&lt;&gt;"",$H79&lt;&gt;$AK79,IFERROR(VLOOKUP($H79,areaCercaPuntiClassificaSquadra,3,FALSE),-1)=IFERROR(VLOOKUP($AK79,areaCercaPuntiClassificaSquadra,3,FALSE),-2)),SUMIFS(Dati!$F$2:$F$761,Dati!$A$2:$A$761,$H79,Dati!$H$2:$H$761,$AK79)+SUMIFS(Dati!$M$2:$M$761,Dati!$H$2:$H$761,$H79,Dati!$A$2:$A$761,$AK79),"-")</f>
        <v/>
      </c>
      <c r="DV79" s="22">
        <f>IF(AND($H79&lt;&gt;"",$AL79&lt;&gt;"",$H79&lt;&gt;$AL79,IFERROR(VLOOKUP($H79,areaCercaPuntiClassificaSquadra,3,FALSE),-1)=IFERROR(VLOOKUP($AL79,areaCercaPuntiClassificaSquadra,3,FALSE),-2)),SUMIFS(Dati!$F$2:$F$761,Dati!$A$2:$A$761,$H79,Dati!$H$2:$H$761,$AL79)+SUMIFS(Dati!$M$2:$M$761,Dati!$H$2:$H$761,$H79,Dati!$A$2:$A$761,$AL79),"-")</f>
        <v/>
      </c>
      <c r="DW79" s="22">
        <f>IF(AND($H79&lt;&gt;"",$AM79&lt;&gt;"",$H79&lt;&gt;$AM79,IFERROR(VLOOKUP($H79,areaCercaPuntiClassificaSquadra,3,FALSE),-1)=IFERROR(VLOOKUP($AM79,areaCercaPuntiClassificaSquadra,3,FALSE),-2)),SUMIFS(Dati!$F$2:$F$761,Dati!$A$2:$A$761,$H79,Dati!$H$2:$H$761,$AM79)+SUMIFS(Dati!$M$2:$M$761,Dati!$H$2:$H$761,$H79,Dati!$A$2:$A$761,$AM79),"-")</f>
        <v/>
      </c>
      <c r="DX79" s="22">
        <f>IF(AND($H79&lt;&gt;"",$AN79&lt;&gt;"",$H79&lt;&gt;$AN79,IFERROR(VLOOKUP($H79,areaCercaPuntiClassificaSquadra,3,FALSE),-1)=IFERROR(VLOOKUP($AN79,areaCercaPuntiClassificaSquadra,3,FALSE),-2)),SUMIFS(Dati!$F$2:$F$761,Dati!$A$2:$A$761,$H79,Dati!$H$2:$H$761,$AN79)+SUMIFS(Dati!$M$2:$M$761,Dati!$H$2:$H$761,$H79,Dati!$A$2:$A$761,$AN79),"-")</f>
        <v/>
      </c>
      <c r="DY79" s="22">
        <f>IF(AND($H79&lt;&gt;"",$AO79&lt;&gt;"",$H79&lt;&gt;$AO79,IFERROR(VLOOKUP($H79,areaCercaPuntiClassificaSquadra,3,FALSE),-1)=IFERROR(VLOOKUP($AO79,areaCercaPuntiClassificaSquadra,3,FALSE),-2)),SUMIFS(Dati!$F$2:$F$761,Dati!$A$2:$A$761,$H79,Dati!$H$2:$H$761,$AO79)+SUMIFS(Dati!$M$2:$M$761,Dati!$H$2:$H$761,$H79,Dati!$A$2:$A$761,$AO79),"-")</f>
        <v/>
      </c>
      <c r="DZ79" s="22">
        <f>IF(AND($H79&lt;&gt;"",$AP79&lt;&gt;"",$H79&lt;&gt;$AP79,IFERROR(VLOOKUP($H79,areaCercaPuntiClassificaSquadra,3,FALSE),-1)=IFERROR(VLOOKUP($AP79,areaCercaPuntiClassificaSquadra,3,FALSE),-2)),SUMIFS(Dati!$F$2:$F$761,Dati!$A$2:$A$761,$H79,Dati!$H$2:$H$761,$AP79)+SUMIFS(Dati!$M$2:$M$761,Dati!$H$2:$H$761,$H79,Dati!$A$2:$A$761,$AP79),"-")</f>
        <v/>
      </c>
      <c r="EA79" s="22">
        <f>IF(AND($H79&lt;&gt;"",$AQ79&lt;&gt;"",$H79&lt;&gt;$AQ79,IFERROR(VLOOKUP($H79,areaCercaPuntiClassificaSquadra,3,FALSE),-1)=IFERROR(VLOOKUP($AQ79,areaCercaPuntiClassificaSquadra,3,FALSE),-2)),SUMIFS(Dati!$F$2:$F$761,Dati!$A$2:$A$761,$H79,Dati!$H$2:$H$761,$AQ79)+SUMIFS(Dati!$M$2:$M$761,Dati!$H$2:$H$761,$H79,Dati!$A$2:$A$761,$AQ79),"-")</f>
        <v/>
      </c>
      <c r="EB79" s="22">
        <f>IF(AND($H79&lt;&gt;"",$AR79&lt;&gt;"",$H79&lt;&gt;$AR79,IFERROR(VLOOKUP($H79,areaCercaPuntiClassificaSquadra,3,FALSE),-1)=IFERROR(VLOOKUP($AR79,areaCercaPuntiClassificaSquadra,3,FALSE),-2)),SUMIFS(Dati!$F$2:$F$761,Dati!$A$2:$A$761,$H79,Dati!$H$2:$H$761,$AR79)+SUMIFS(Dati!$M$2:$M$761,Dati!$H$2:$H$761,$H79,Dati!$A$2:$A$761,$AR79),"-")</f>
        <v/>
      </c>
      <c r="ED79" s="22">
        <f>IF($C79="","",SUM(AU79:BN79))</f>
        <v/>
      </c>
    </row>
    <row r="80">
      <c r="B80" s="12" t="inlineStr">
        <is>
          <t>D07</t>
        </is>
      </c>
      <c r="C80" s="13" t="inlineStr">
        <is>
          <t>Tartarughe Tenaci-Tartarugheopoli TE</t>
        </is>
      </c>
      <c r="D80" s="14" t="n"/>
      <c r="E80" s="27" t="inlineStr">
        <is>
          <t>D</t>
        </is>
      </c>
      <c r="G80" s="28">
        <f>IF($C80="","",$E80&amp;(COUNTIFS(I$14:I$93,"&gt;"&amp;I80,E$14:E$93,"="&amp;E80,C$14:C$93,"&lt;&gt;")+COUNTIFS(I$14:I$93,"="&amp;I80,H$14:H$93,"&lt;="&amp;H80,E$14:E$93,"="&amp;E80,C$14:C$93,"&lt;&gt;")))</f>
        <v/>
      </c>
      <c r="H80" s="17">
        <f>IF($C80="","",IFERROR(LEFT($C80,FIND("-",$C80)-1),$C80))</f>
        <v/>
      </c>
      <c r="I80" s="12">
        <f>TEXT(1000000000+J80,"|0000000000|")&amp;TEXT(SUM(AU80:BN80),"0000000000|")&amp;IF(SUM(DI80:EB80)=0,"0000000000|",TEXT(ROUND(SUM(CM80:DF80)/SUM(DI80:EB80),4)*100000,"0000000000|"))&amp;IF(P80=0,"0000000000|",TEXT(ROUND(O80/P80,4)*100000,"0000000000|"))</f>
        <v/>
      </c>
      <c r="J80" s="28">
        <f>L80*constPuntiVittoria+M80*constPuntiSconfitta+N80*constPuntiForfait+IF(D80="",0,D80)</f>
        <v/>
      </c>
      <c r="K80" s="12">
        <f>SUM(L80:N80)</f>
        <v/>
      </c>
      <c r="L80" s="12">
        <f>IF($H80="",0,SUMIF(Dati!$A$2:$A$761,$H80,Dati!$B$2:$B$761)+SUMIF(Dati!$H$2:$H$761,$H80,Dati!$I$2:$I$761))</f>
        <v/>
      </c>
      <c r="M80" s="12">
        <f>IF($H80="",0,SUMIF(Dati!$A$2:$A$761,$H80,Dati!$D$2:$D$761)+SUMIF(Dati!$H$2:$H$761,$H80,Dati!$K$2:$K$761))</f>
        <v/>
      </c>
      <c r="N80" s="12">
        <f>IF($H80="",0,SUMIF(Dati!$A$2:$A$761,$H80,Dati!$C$2:$C$761)+SUMIF(Dati!$H$2:$H$761,$H80,Dati!$J$2:$J$761))</f>
        <v/>
      </c>
      <c r="O80" s="12">
        <f>IF($H80="",0,SUMIF(Dati!$A$2:$A$761,$H80,Dati!$E$2:$E$761)+SUMIF(Dati!$H$2:$H$761,$H80,Dati!$L$2:$L$761))</f>
        <v/>
      </c>
      <c r="P80" s="12">
        <f>IF($H80="",0,SUMIF(Dati!$A$2:$A$761,$H80,Dati!$F$2:$F$761)+SUMIF(Dati!$H$2:$H$761,$H80,Dati!$M$2:$M$761))</f>
        <v/>
      </c>
      <c r="Q80" s="12">
        <f>IF($H80="",0,SUMIF(Dati!$A$2:$A$761,$H80,Dati!$G$2:$G$761)+SUMIF(Dati!$H$2:$H$761,$H80,Dati!$N$2:$N$761))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IF(COUNTIFS($E$14:$E$93,$E80,$J$14:$J$93,$J80,$C$14:$C$93,"&lt;&gt;")&lt;=1,"-",SUM(AU80:BN80)&amp;"-"&amp;SUM(BQ80:CJ80))</f>
        <v/>
      </c>
      <c r="V80" s="18">
        <f>IF(COUNTIFS($E$14:$E$93,$E80,$J$14:$J$93,$J80,$C$14:$C$93,"&lt;&gt;",$ED$14:$ED$93,$ED80)&lt;=1,"-",IF(SUM(DI80:EB80)=0,0,ROUND(SUM(CM80:DF80)/SUM(DI80:EB80),3)))</f>
        <v/>
      </c>
      <c r="W80" s="18">
        <f>IF(COUNTIFS($E$14:$E$93,$E80,$J$14:$J$93,$J80,$C$14:$C$93,"&lt;&gt;",$ED$14:$ED$93,$ED80,$V$14:$V$93,$V80)&lt;=1,"-",IF(P80=0,0,ROUND(O80/P80,3)))</f>
        <v/>
      </c>
      <c r="X80" s="19">
        <f>IF($C80="","",$E80&amp;"#"&amp;COUNTIFS($E$14:$E80,$E80,$C$14:$C80,"&lt;&gt;"))</f>
        <v/>
      </c>
      <c r="Y80" s="20">
        <f>IFERROR(INDEX($H$14:$H$93,MATCH($E80&amp;"#1",$X$14:$X$93,0)),"")</f>
        <v/>
      </c>
      <c r="Z80" s="20">
        <f>IFERROR(INDEX($H$14:$H$93,MATCH($E80&amp;"#2",$X$14:$X$93,0)),"")</f>
        <v/>
      </c>
      <c r="AA80" s="20">
        <f>IFERROR(INDEX($H$14:$H$93,MATCH($E80&amp;"#3",$X$14:$X$93,0)),"")</f>
        <v/>
      </c>
      <c r="AB80" s="20">
        <f>IFERROR(INDEX($H$14:$H$93,MATCH($E80&amp;"#4",$X$14:$X$93,0)),"")</f>
        <v/>
      </c>
      <c r="AC80" s="20">
        <f>IFERROR(INDEX($H$14:$H$93,MATCH($E80&amp;"#5",$X$14:$X$93,0)),"")</f>
        <v/>
      </c>
      <c r="AD80" s="20">
        <f>IFERROR(INDEX($H$14:$H$93,MATCH($E80&amp;"#6",$X$14:$X$93,0)),"")</f>
        <v/>
      </c>
      <c r="AE80" s="20">
        <f>IFERROR(INDEX($H$14:$H$93,MATCH($E80&amp;"#7",$X$14:$X$93,0)),"")</f>
        <v/>
      </c>
      <c r="AF80" s="20">
        <f>IFERROR(INDEX($H$14:$H$93,MATCH($E80&amp;"#8",$X$14:$X$93,0)),"")</f>
        <v/>
      </c>
      <c r="AG80" s="20">
        <f>IFERROR(INDEX($H$14:$H$93,MATCH($E80&amp;"#9",$X$14:$X$93,0)),"")</f>
        <v/>
      </c>
      <c r="AH80" s="20">
        <f>IFERROR(INDEX($H$14:$H$93,MATCH($E80&amp;"#10",$X$14:$X$93,0)),"")</f>
        <v/>
      </c>
      <c r="AI80" s="20">
        <f>IFERROR(INDEX($H$14:$H$93,MATCH($E80&amp;"#11",$X$14:$X$93,0)),"")</f>
        <v/>
      </c>
      <c r="AJ80" s="20">
        <f>IFERROR(INDEX($H$14:$H$93,MATCH($E80&amp;"#12",$X$14:$X$93,0)),"")</f>
        <v/>
      </c>
      <c r="AK80" s="20">
        <f>IFERROR(INDEX($H$14:$H$93,MATCH($E80&amp;"#13",$X$14:$X$93,0)),"")</f>
        <v/>
      </c>
      <c r="AL80" s="20">
        <f>IFERROR(INDEX($H$14:$H$93,MATCH($E80&amp;"#14",$X$14:$X$93,0)),"")</f>
        <v/>
      </c>
      <c r="AM80" s="20">
        <f>IFERROR(INDEX($H$14:$H$93,MATCH($E80&amp;"#15",$X$14:$X$93,0)),"")</f>
        <v/>
      </c>
      <c r="AN80" s="20">
        <f>IFERROR(INDEX($H$14:$H$93,MATCH($E80&amp;"#16",$X$14:$X$93,0)),"")</f>
        <v/>
      </c>
      <c r="AO80" s="20">
        <f>IFERROR(INDEX($H$14:$H$93,MATCH($E80&amp;"#17",$X$14:$X$93,0)),"")</f>
        <v/>
      </c>
      <c r="AP80" s="20">
        <f>IFERROR(INDEX($H$14:$H$93,MATCH($E80&amp;"#18",$X$14:$X$93,0)),"")</f>
        <v/>
      </c>
      <c r="AQ80" s="20">
        <f>IFERROR(INDEX($H$14:$H$93,MATCH($E80&amp;"#19",$X$14:$X$93,0)),"")</f>
        <v/>
      </c>
      <c r="AR80" s="20">
        <f>IFERROR(INDEX($H$14:$H$93,MATCH($E80&amp;"#20",$X$14:$X$93,0)),"")</f>
        <v/>
      </c>
      <c r="AT80" s="21">
        <f>$C80</f>
        <v/>
      </c>
      <c r="AU80" s="22">
        <f>IF(AND($H80&lt;&gt;"",$Y80&lt;&gt;"",$H80&lt;&gt;$Y80,IFERROR(VLOOKUP($H80,areaCercaPuntiClassificaSquadra,3,FALSE),-1)=IFERROR(VLOOKUP($Y80,areaCercaPuntiClassificaSquadra,3,FALSE),-2)),SUMIFS(Dati!$B$2:$B$761,Dati!$A$2:$A$761,$H80,Dati!$H$2:$H$761,$Y80)+SUMIFS(Dati!$I$2:$I$761,Dati!$H$2:$H$761,$H80,Dati!$A$2:$A$761,$Y80),"-")</f>
        <v/>
      </c>
      <c r="AV80" s="22">
        <f>IF(AND($H80&lt;&gt;"",$Z80&lt;&gt;"",$H80&lt;&gt;$Z80,IFERROR(VLOOKUP($H80,areaCercaPuntiClassificaSquadra,3,FALSE),-1)=IFERROR(VLOOKUP($Z80,areaCercaPuntiClassificaSquadra,3,FALSE),-2)),SUMIFS(Dati!$B$2:$B$761,Dati!$A$2:$A$761,$H80,Dati!$H$2:$H$761,$Z80)+SUMIFS(Dati!$I$2:$I$761,Dati!$H$2:$H$761,$H80,Dati!$A$2:$A$761,$Z80),"-")</f>
        <v/>
      </c>
      <c r="AW80" s="22">
        <f>IF(AND($H80&lt;&gt;"",$AA80&lt;&gt;"",$H80&lt;&gt;$AA80,IFERROR(VLOOKUP($H80,areaCercaPuntiClassificaSquadra,3,FALSE),-1)=IFERROR(VLOOKUP($AA80,areaCercaPuntiClassificaSquadra,3,FALSE),-2)),SUMIFS(Dati!$B$2:$B$761,Dati!$A$2:$A$761,$H80,Dati!$H$2:$H$761,$AA80)+SUMIFS(Dati!$I$2:$I$761,Dati!$H$2:$H$761,$H80,Dati!$A$2:$A$761,$AA80),"-")</f>
        <v/>
      </c>
      <c r="AX80" s="22">
        <f>IF(AND($H80&lt;&gt;"",$AB80&lt;&gt;"",$H80&lt;&gt;$AB80,IFERROR(VLOOKUP($H80,areaCercaPuntiClassificaSquadra,3,FALSE),-1)=IFERROR(VLOOKUP($AB80,areaCercaPuntiClassificaSquadra,3,FALSE),-2)),SUMIFS(Dati!$B$2:$B$761,Dati!$A$2:$A$761,$H80,Dati!$H$2:$H$761,$AB80)+SUMIFS(Dati!$I$2:$I$761,Dati!$H$2:$H$761,$H80,Dati!$A$2:$A$761,$AB80),"-")</f>
        <v/>
      </c>
      <c r="AY80" s="22">
        <f>IF(AND($H80&lt;&gt;"",$AC80&lt;&gt;"",$H80&lt;&gt;$AC80,IFERROR(VLOOKUP($H80,areaCercaPuntiClassificaSquadra,3,FALSE),-1)=IFERROR(VLOOKUP($AC80,areaCercaPuntiClassificaSquadra,3,FALSE),-2)),SUMIFS(Dati!$B$2:$B$761,Dati!$A$2:$A$761,$H80,Dati!$H$2:$H$761,$AC80)+SUMIFS(Dati!$I$2:$I$761,Dati!$H$2:$H$761,$H80,Dati!$A$2:$A$761,$AC80),"-")</f>
        <v/>
      </c>
      <c r="AZ80" s="22">
        <f>IF(AND($H80&lt;&gt;"",$AD80&lt;&gt;"",$H80&lt;&gt;$AD80,IFERROR(VLOOKUP($H80,areaCercaPuntiClassificaSquadra,3,FALSE),-1)=IFERROR(VLOOKUP($AD80,areaCercaPuntiClassificaSquadra,3,FALSE),-2)),SUMIFS(Dati!$B$2:$B$761,Dati!$A$2:$A$761,$H80,Dati!$H$2:$H$761,$AD80)+SUMIFS(Dati!$I$2:$I$761,Dati!$H$2:$H$761,$H80,Dati!$A$2:$A$761,$AD80),"-")</f>
        <v/>
      </c>
      <c r="BA80" s="22">
        <f>IF(AND($H80&lt;&gt;"",$AE80&lt;&gt;"",$H80&lt;&gt;$AE80,IFERROR(VLOOKUP($H80,areaCercaPuntiClassificaSquadra,3,FALSE),-1)=IFERROR(VLOOKUP($AE80,areaCercaPuntiClassificaSquadra,3,FALSE),-2)),SUMIFS(Dati!$B$2:$B$761,Dati!$A$2:$A$761,$H80,Dati!$H$2:$H$761,$AE80)+SUMIFS(Dati!$I$2:$I$761,Dati!$H$2:$H$761,$H80,Dati!$A$2:$A$761,$AE80),"-")</f>
        <v/>
      </c>
      <c r="BB80" s="22">
        <f>IF(AND($H80&lt;&gt;"",$AF80&lt;&gt;"",$H80&lt;&gt;$AF80,IFERROR(VLOOKUP($H80,areaCercaPuntiClassificaSquadra,3,FALSE),-1)=IFERROR(VLOOKUP($AF80,areaCercaPuntiClassificaSquadra,3,FALSE),-2)),SUMIFS(Dati!$B$2:$B$761,Dati!$A$2:$A$761,$H80,Dati!$H$2:$H$761,$AF80)+SUMIFS(Dati!$I$2:$I$761,Dati!$H$2:$H$761,$H80,Dati!$A$2:$A$761,$AF80),"-")</f>
        <v/>
      </c>
      <c r="BC80" s="22">
        <f>IF(AND($H80&lt;&gt;"",$AG80&lt;&gt;"",$H80&lt;&gt;$AG80,IFERROR(VLOOKUP($H80,areaCercaPuntiClassificaSquadra,3,FALSE),-1)=IFERROR(VLOOKUP($AG80,areaCercaPuntiClassificaSquadra,3,FALSE),-2)),SUMIFS(Dati!$B$2:$B$761,Dati!$A$2:$A$761,$H80,Dati!$H$2:$H$761,$AG80)+SUMIFS(Dati!$I$2:$I$761,Dati!$H$2:$H$761,$H80,Dati!$A$2:$A$761,$AG80),"-")</f>
        <v/>
      </c>
      <c r="BD80" s="22">
        <f>IF(AND($H80&lt;&gt;"",$AH80&lt;&gt;"",$H80&lt;&gt;$AH80,IFERROR(VLOOKUP($H80,areaCercaPuntiClassificaSquadra,3,FALSE),-1)=IFERROR(VLOOKUP($AH80,areaCercaPuntiClassificaSquadra,3,FALSE),-2)),SUMIFS(Dati!$B$2:$B$761,Dati!$A$2:$A$761,$H80,Dati!$H$2:$H$761,$AH80)+SUMIFS(Dati!$I$2:$I$761,Dati!$H$2:$H$761,$H80,Dati!$A$2:$A$761,$AH80),"-")</f>
        <v/>
      </c>
      <c r="BE80" s="22">
        <f>IF(AND($H80&lt;&gt;"",$AI80&lt;&gt;"",$H80&lt;&gt;$AI80,IFERROR(VLOOKUP($H80,areaCercaPuntiClassificaSquadra,3,FALSE),-1)=IFERROR(VLOOKUP($AI80,areaCercaPuntiClassificaSquadra,3,FALSE),-2)),SUMIFS(Dati!$B$2:$B$761,Dati!$A$2:$A$761,$H80,Dati!$H$2:$H$761,$AI80)+SUMIFS(Dati!$I$2:$I$761,Dati!$H$2:$H$761,$H80,Dati!$A$2:$A$761,$AI80),"-")</f>
        <v/>
      </c>
      <c r="BF80" s="22">
        <f>IF(AND($H80&lt;&gt;"",$AJ80&lt;&gt;"",$H80&lt;&gt;$AJ80,IFERROR(VLOOKUP($H80,areaCercaPuntiClassificaSquadra,3,FALSE),-1)=IFERROR(VLOOKUP($AJ80,areaCercaPuntiClassificaSquadra,3,FALSE),-2)),SUMIFS(Dati!$B$2:$B$761,Dati!$A$2:$A$761,$H80,Dati!$H$2:$H$761,$AJ80)+SUMIFS(Dati!$I$2:$I$761,Dati!$H$2:$H$761,$H80,Dati!$A$2:$A$761,$AJ80),"-")</f>
        <v/>
      </c>
      <c r="BG80" s="22">
        <f>IF(AND($H80&lt;&gt;"",$AK80&lt;&gt;"",$H80&lt;&gt;$AK80,IFERROR(VLOOKUP($H80,areaCercaPuntiClassificaSquadra,3,FALSE),-1)=IFERROR(VLOOKUP($AK80,areaCercaPuntiClassificaSquadra,3,FALSE),-2)),SUMIFS(Dati!$B$2:$B$761,Dati!$A$2:$A$761,$H80,Dati!$H$2:$H$761,$AK80)+SUMIFS(Dati!$I$2:$I$761,Dati!$H$2:$H$761,$H80,Dati!$A$2:$A$761,$AK80),"-")</f>
        <v/>
      </c>
      <c r="BH80" s="22">
        <f>IF(AND($H80&lt;&gt;"",$AL80&lt;&gt;"",$H80&lt;&gt;$AL80,IFERROR(VLOOKUP($H80,areaCercaPuntiClassificaSquadra,3,FALSE),-1)=IFERROR(VLOOKUP($AL80,areaCercaPuntiClassificaSquadra,3,FALSE),-2)),SUMIFS(Dati!$B$2:$B$761,Dati!$A$2:$A$761,$H80,Dati!$H$2:$H$761,$AL80)+SUMIFS(Dati!$I$2:$I$761,Dati!$H$2:$H$761,$H80,Dati!$A$2:$A$761,$AL80),"-")</f>
        <v/>
      </c>
      <c r="BI80" s="22">
        <f>IF(AND($H80&lt;&gt;"",$AM80&lt;&gt;"",$H80&lt;&gt;$AM80,IFERROR(VLOOKUP($H80,areaCercaPuntiClassificaSquadra,3,FALSE),-1)=IFERROR(VLOOKUP($AM80,areaCercaPuntiClassificaSquadra,3,FALSE),-2)),SUMIFS(Dati!$B$2:$B$761,Dati!$A$2:$A$761,$H80,Dati!$H$2:$H$761,$AM80)+SUMIFS(Dati!$I$2:$I$761,Dati!$H$2:$H$761,$H80,Dati!$A$2:$A$761,$AM80),"-")</f>
        <v/>
      </c>
      <c r="BJ80" s="22">
        <f>IF(AND($H80&lt;&gt;"",$AN80&lt;&gt;"",$H80&lt;&gt;$AN80,IFERROR(VLOOKUP($H80,areaCercaPuntiClassificaSquadra,3,FALSE),-1)=IFERROR(VLOOKUP($AN80,areaCercaPuntiClassificaSquadra,3,FALSE),-2)),SUMIFS(Dati!$B$2:$B$761,Dati!$A$2:$A$761,$H80,Dati!$H$2:$H$761,$AN80)+SUMIFS(Dati!$I$2:$I$761,Dati!$H$2:$H$761,$H80,Dati!$A$2:$A$761,$AN80),"-")</f>
        <v/>
      </c>
      <c r="BK80" s="22">
        <f>IF(AND($H80&lt;&gt;"",$AO80&lt;&gt;"",$H80&lt;&gt;$AO80,IFERROR(VLOOKUP($H80,areaCercaPuntiClassificaSquadra,3,FALSE),-1)=IFERROR(VLOOKUP($AO80,areaCercaPuntiClassificaSquadra,3,FALSE),-2)),SUMIFS(Dati!$B$2:$B$761,Dati!$A$2:$A$761,$H80,Dati!$H$2:$H$761,$AO80)+SUMIFS(Dati!$I$2:$I$761,Dati!$H$2:$H$761,$H80,Dati!$A$2:$A$761,$AO80),"-")</f>
        <v/>
      </c>
      <c r="BL80" s="22">
        <f>IF(AND($H80&lt;&gt;"",$AP80&lt;&gt;"",$H80&lt;&gt;$AP80,IFERROR(VLOOKUP($H80,areaCercaPuntiClassificaSquadra,3,FALSE),-1)=IFERROR(VLOOKUP($AP80,areaCercaPuntiClassificaSquadra,3,FALSE),-2)),SUMIFS(Dati!$B$2:$B$761,Dati!$A$2:$A$761,$H80,Dati!$H$2:$H$761,$AP80)+SUMIFS(Dati!$I$2:$I$761,Dati!$H$2:$H$761,$H80,Dati!$A$2:$A$761,$AP80),"-")</f>
        <v/>
      </c>
      <c r="BM80" s="22">
        <f>IF(AND($H80&lt;&gt;"",$AQ80&lt;&gt;"",$H80&lt;&gt;$AQ80,IFERROR(VLOOKUP($H80,areaCercaPuntiClassificaSquadra,3,FALSE),-1)=IFERROR(VLOOKUP($AQ80,areaCercaPuntiClassificaSquadra,3,FALSE),-2)),SUMIFS(Dati!$B$2:$B$761,Dati!$A$2:$A$761,$H80,Dati!$H$2:$H$761,$AQ80)+SUMIFS(Dati!$I$2:$I$761,Dati!$H$2:$H$761,$H80,Dati!$A$2:$A$761,$AQ80),"-")</f>
        <v/>
      </c>
      <c r="BN80" s="22">
        <f>IF(AND($H80&lt;&gt;"",$AR80&lt;&gt;"",$H80&lt;&gt;$AR80,IFERROR(VLOOKUP($H80,areaCercaPuntiClassificaSquadra,3,FALSE),-1)=IFERROR(VLOOKUP($AR80,areaCercaPuntiClassificaSquadra,3,FALSE),-2)),SUMIFS(Dati!$B$2:$B$761,Dati!$A$2:$A$761,$H80,Dati!$H$2:$H$761,$AR80)+SUMIFS(Dati!$I$2:$I$761,Dati!$H$2:$H$761,$H80,Dati!$A$2:$A$761,$AR80),"-")</f>
        <v/>
      </c>
      <c r="BP80" s="21">
        <f>$C80</f>
        <v/>
      </c>
      <c r="BQ80" s="22">
        <f>IF(AND($H80&lt;&gt;"",$Y80&lt;&gt;"",$H80&lt;&gt;$Y80,IFERROR(VLOOKUP($H80,areaCercaPuntiClassificaSquadra,3,FALSE),-1)=IFERROR(VLOOKUP($Y80,areaCercaPuntiClassificaSquadra,3,FALSE),-2)),SUMIFS(Dati!$D$2:$D$761,Dati!$A$2:$A$761,$H80,Dati!$H$2:$H$761,$Y80)+SUMIFS(Dati!$K$2:$K$761,Dati!$H$2:$H$761,$H80,Dati!$A$2:$A$761,$Y80)+SUMIFS(Dati!$C$2:$C$761,Dati!$A$2:$A$761,$H80,Dati!$H$2:$H$761,$Y80)+SUMIFS(Dati!$J$2:$J$761,Dati!$H$2:$H$761,$H80,Dati!$A$2:$A$761,$Y80),"-")</f>
        <v/>
      </c>
      <c r="BR80" s="22">
        <f>IF(AND($H80&lt;&gt;"",$Z80&lt;&gt;"",$H80&lt;&gt;$Z80,IFERROR(VLOOKUP($H80,areaCercaPuntiClassificaSquadra,3,FALSE),-1)=IFERROR(VLOOKUP($Z80,areaCercaPuntiClassificaSquadra,3,FALSE),-2)),SUMIFS(Dati!$D$2:$D$761,Dati!$A$2:$A$761,$H80,Dati!$H$2:$H$761,$Z80)+SUMIFS(Dati!$K$2:$K$761,Dati!$H$2:$H$761,$H80,Dati!$A$2:$A$761,$Z80)+SUMIFS(Dati!$C$2:$C$761,Dati!$A$2:$A$761,$H80,Dati!$H$2:$H$761,$Z80)+SUMIFS(Dati!$J$2:$J$761,Dati!$H$2:$H$761,$H80,Dati!$A$2:$A$761,$Z80),"-")</f>
        <v/>
      </c>
      <c r="BS80" s="22">
        <f>IF(AND($H80&lt;&gt;"",$AA80&lt;&gt;"",$H80&lt;&gt;$AA80,IFERROR(VLOOKUP($H80,areaCercaPuntiClassificaSquadra,3,FALSE),-1)=IFERROR(VLOOKUP($AA80,areaCercaPuntiClassificaSquadra,3,FALSE),-2)),SUMIFS(Dati!$D$2:$D$761,Dati!$A$2:$A$761,$H80,Dati!$H$2:$H$761,$AA80)+SUMIFS(Dati!$K$2:$K$761,Dati!$H$2:$H$761,$H80,Dati!$A$2:$A$761,$AA80)+SUMIFS(Dati!$C$2:$C$761,Dati!$A$2:$A$761,$H80,Dati!$H$2:$H$761,$AA80)+SUMIFS(Dati!$J$2:$J$761,Dati!$H$2:$H$761,$H80,Dati!$A$2:$A$761,$AA80),"-")</f>
        <v/>
      </c>
      <c r="BT80" s="22">
        <f>IF(AND($H80&lt;&gt;"",$AB80&lt;&gt;"",$H80&lt;&gt;$AB80,IFERROR(VLOOKUP($H80,areaCercaPuntiClassificaSquadra,3,FALSE),-1)=IFERROR(VLOOKUP($AB80,areaCercaPuntiClassificaSquadra,3,FALSE),-2)),SUMIFS(Dati!$D$2:$D$761,Dati!$A$2:$A$761,$H80,Dati!$H$2:$H$761,$AB80)+SUMIFS(Dati!$K$2:$K$761,Dati!$H$2:$H$761,$H80,Dati!$A$2:$A$761,$AB80)+SUMIFS(Dati!$C$2:$C$761,Dati!$A$2:$A$761,$H80,Dati!$H$2:$H$761,$AB80)+SUMIFS(Dati!$J$2:$J$761,Dati!$H$2:$H$761,$H80,Dati!$A$2:$A$761,$AB80),"-")</f>
        <v/>
      </c>
      <c r="BU80" s="22">
        <f>IF(AND($H80&lt;&gt;"",$AC80&lt;&gt;"",$H80&lt;&gt;$AC80,IFERROR(VLOOKUP($H80,areaCercaPuntiClassificaSquadra,3,FALSE),-1)=IFERROR(VLOOKUP($AC80,areaCercaPuntiClassificaSquadra,3,FALSE),-2)),SUMIFS(Dati!$D$2:$D$761,Dati!$A$2:$A$761,$H80,Dati!$H$2:$H$761,$AC80)+SUMIFS(Dati!$K$2:$K$761,Dati!$H$2:$H$761,$H80,Dati!$A$2:$A$761,$AC80)+SUMIFS(Dati!$C$2:$C$761,Dati!$A$2:$A$761,$H80,Dati!$H$2:$H$761,$AC80)+SUMIFS(Dati!$J$2:$J$761,Dati!$H$2:$H$761,$H80,Dati!$A$2:$A$761,$AC80),"-")</f>
        <v/>
      </c>
      <c r="BV80" s="22">
        <f>IF(AND($H80&lt;&gt;"",$AD80&lt;&gt;"",$H80&lt;&gt;$AD80,IFERROR(VLOOKUP($H80,areaCercaPuntiClassificaSquadra,3,FALSE),-1)=IFERROR(VLOOKUP($AD80,areaCercaPuntiClassificaSquadra,3,FALSE),-2)),SUMIFS(Dati!$D$2:$D$761,Dati!$A$2:$A$761,$H80,Dati!$H$2:$H$761,$AD80)+SUMIFS(Dati!$K$2:$K$761,Dati!$H$2:$H$761,$H80,Dati!$A$2:$A$761,$AD80)+SUMIFS(Dati!$C$2:$C$761,Dati!$A$2:$A$761,$H80,Dati!$H$2:$H$761,$AD80)+SUMIFS(Dati!$J$2:$J$761,Dati!$H$2:$H$761,$H80,Dati!$A$2:$A$761,$AD80),"-")</f>
        <v/>
      </c>
      <c r="BW80" s="22">
        <f>IF(AND($H80&lt;&gt;"",$AE80&lt;&gt;"",$H80&lt;&gt;$AE80,IFERROR(VLOOKUP($H80,areaCercaPuntiClassificaSquadra,3,FALSE),-1)=IFERROR(VLOOKUP($AE80,areaCercaPuntiClassificaSquadra,3,FALSE),-2)),SUMIFS(Dati!$D$2:$D$761,Dati!$A$2:$A$761,$H80,Dati!$H$2:$H$761,$AE80)+SUMIFS(Dati!$K$2:$K$761,Dati!$H$2:$H$761,$H80,Dati!$A$2:$A$761,$AE80)+SUMIFS(Dati!$C$2:$C$761,Dati!$A$2:$A$761,$H80,Dati!$H$2:$H$761,$AE80)+SUMIFS(Dati!$J$2:$J$761,Dati!$H$2:$H$761,$H80,Dati!$A$2:$A$761,$AE80),"-")</f>
        <v/>
      </c>
      <c r="BX80" s="22">
        <f>IF(AND($H80&lt;&gt;"",$AF80&lt;&gt;"",$H80&lt;&gt;$AF80,IFERROR(VLOOKUP($H80,areaCercaPuntiClassificaSquadra,3,FALSE),-1)=IFERROR(VLOOKUP($AF80,areaCercaPuntiClassificaSquadra,3,FALSE),-2)),SUMIFS(Dati!$D$2:$D$761,Dati!$A$2:$A$761,$H80,Dati!$H$2:$H$761,$AF80)+SUMIFS(Dati!$K$2:$K$761,Dati!$H$2:$H$761,$H80,Dati!$A$2:$A$761,$AF80)+SUMIFS(Dati!$C$2:$C$761,Dati!$A$2:$A$761,$H80,Dati!$H$2:$H$761,$AF80)+SUMIFS(Dati!$J$2:$J$761,Dati!$H$2:$H$761,$H80,Dati!$A$2:$A$761,$AF80),"-")</f>
        <v/>
      </c>
      <c r="BY80" s="22">
        <f>IF(AND($H80&lt;&gt;"",$AG80&lt;&gt;"",$H80&lt;&gt;$AG80,IFERROR(VLOOKUP($H80,areaCercaPuntiClassificaSquadra,3,FALSE),-1)=IFERROR(VLOOKUP($AG80,areaCercaPuntiClassificaSquadra,3,FALSE),-2)),SUMIFS(Dati!$D$2:$D$761,Dati!$A$2:$A$761,$H80,Dati!$H$2:$H$761,$AG80)+SUMIFS(Dati!$K$2:$K$761,Dati!$H$2:$H$761,$H80,Dati!$A$2:$A$761,$AG80)+SUMIFS(Dati!$C$2:$C$761,Dati!$A$2:$A$761,$H80,Dati!$H$2:$H$761,$AG80)+SUMIFS(Dati!$J$2:$J$761,Dati!$H$2:$H$761,$H80,Dati!$A$2:$A$761,$AG80),"-")</f>
        <v/>
      </c>
      <c r="BZ80" s="22">
        <f>IF(AND($H80&lt;&gt;"",$AH80&lt;&gt;"",$H80&lt;&gt;$AH80,IFERROR(VLOOKUP($H80,areaCercaPuntiClassificaSquadra,3,FALSE),-1)=IFERROR(VLOOKUP($AH80,areaCercaPuntiClassificaSquadra,3,FALSE),-2)),SUMIFS(Dati!$D$2:$D$761,Dati!$A$2:$A$761,$H80,Dati!$H$2:$H$761,$AH80)+SUMIFS(Dati!$K$2:$K$761,Dati!$H$2:$H$761,$H80,Dati!$A$2:$A$761,$AH80)+SUMIFS(Dati!$C$2:$C$761,Dati!$A$2:$A$761,$H80,Dati!$H$2:$H$761,$AH80)+SUMIFS(Dati!$J$2:$J$761,Dati!$H$2:$H$761,$H80,Dati!$A$2:$A$761,$AH80),"-")</f>
        <v/>
      </c>
      <c r="CA80" s="22">
        <f>IF(AND($H80&lt;&gt;"",$AI80&lt;&gt;"",$H80&lt;&gt;$AI80,IFERROR(VLOOKUP($H80,areaCercaPuntiClassificaSquadra,3,FALSE),-1)=IFERROR(VLOOKUP($AI80,areaCercaPuntiClassificaSquadra,3,FALSE),-2)),SUMIFS(Dati!$D$2:$D$761,Dati!$A$2:$A$761,$H80,Dati!$H$2:$H$761,$AI80)+SUMIFS(Dati!$K$2:$K$761,Dati!$H$2:$H$761,$H80,Dati!$A$2:$A$761,$AI80)+SUMIFS(Dati!$C$2:$C$761,Dati!$A$2:$A$761,$H80,Dati!$H$2:$H$761,$AI80)+SUMIFS(Dati!$J$2:$J$761,Dati!$H$2:$H$761,$H80,Dati!$A$2:$A$761,$AI80),"-")</f>
        <v/>
      </c>
      <c r="CB80" s="22">
        <f>IF(AND($H80&lt;&gt;"",$AJ80&lt;&gt;"",$H80&lt;&gt;$AJ80,IFERROR(VLOOKUP($H80,areaCercaPuntiClassificaSquadra,3,FALSE),-1)=IFERROR(VLOOKUP($AJ80,areaCercaPuntiClassificaSquadra,3,FALSE),-2)),SUMIFS(Dati!$D$2:$D$761,Dati!$A$2:$A$761,$H80,Dati!$H$2:$H$761,$AJ80)+SUMIFS(Dati!$K$2:$K$761,Dati!$H$2:$H$761,$H80,Dati!$A$2:$A$761,$AJ80)+SUMIFS(Dati!$C$2:$C$761,Dati!$A$2:$A$761,$H80,Dati!$H$2:$H$761,$AJ80)+SUMIFS(Dati!$J$2:$J$761,Dati!$H$2:$H$761,$H80,Dati!$A$2:$A$761,$AJ80),"-")</f>
        <v/>
      </c>
      <c r="CC80" s="22">
        <f>IF(AND($H80&lt;&gt;"",$AK80&lt;&gt;"",$H80&lt;&gt;$AK80,IFERROR(VLOOKUP($H80,areaCercaPuntiClassificaSquadra,3,FALSE),-1)=IFERROR(VLOOKUP($AK80,areaCercaPuntiClassificaSquadra,3,FALSE),-2)),SUMIFS(Dati!$D$2:$D$761,Dati!$A$2:$A$761,$H80,Dati!$H$2:$H$761,$AK80)+SUMIFS(Dati!$K$2:$K$761,Dati!$H$2:$H$761,$H80,Dati!$A$2:$A$761,$AK80)+SUMIFS(Dati!$C$2:$C$761,Dati!$A$2:$A$761,$H80,Dati!$H$2:$H$761,$AK80)+SUMIFS(Dati!$J$2:$J$761,Dati!$H$2:$H$761,$H80,Dati!$A$2:$A$761,$AK80),"-")</f>
        <v/>
      </c>
      <c r="CD80" s="22">
        <f>IF(AND($H80&lt;&gt;"",$AL80&lt;&gt;"",$H80&lt;&gt;$AL80,IFERROR(VLOOKUP($H80,areaCercaPuntiClassificaSquadra,3,FALSE),-1)=IFERROR(VLOOKUP($AL80,areaCercaPuntiClassificaSquadra,3,FALSE),-2)),SUMIFS(Dati!$D$2:$D$761,Dati!$A$2:$A$761,$H80,Dati!$H$2:$H$761,$AL80)+SUMIFS(Dati!$K$2:$K$761,Dati!$H$2:$H$761,$H80,Dati!$A$2:$A$761,$AL80)+SUMIFS(Dati!$C$2:$C$761,Dati!$A$2:$A$761,$H80,Dati!$H$2:$H$761,$AL80)+SUMIFS(Dati!$J$2:$J$761,Dati!$H$2:$H$761,$H80,Dati!$A$2:$A$761,$AL80),"-")</f>
        <v/>
      </c>
      <c r="CE80" s="22">
        <f>IF(AND($H80&lt;&gt;"",$AM80&lt;&gt;"",$H80&lt;&gt;$AM80,IFERROR(VLOOKUP($H80,areaCercaPuntiClassificaSquadra,3,FALSE),-1)=IFERROR(VLOOKUP($AM80,areaCercaPuntiClassificaSquadra,3,FALSE),-2)),SUMIFS(Dati!$D$2:$D$761,Dati!$A$2:$A$761,$H80,Dati!$H$2:$H$761,$AM80)+SUMIFS(Dati!$K$2:$K$761,Dati!$H$2:$H$761,$H80,Dati!$A$2:$A$761,$AM80)+SUMIFS(Dati!$C$2:$C$761,Dati!$A$2:$A$761,$H80,Dati!$H$2:$H$761,$AM80)+SUMIFS(Dati!$J$2:$J$761,Dati!$H$2:$H$761,$H80,Dati!$A$2:$A$761,$AM80),"-")</f>
        <v/>
      </c>
      <c r="CF80" s="22">
        <f>IF(AND($H80&lt;&gt;"",$AN80&lt;&gt;"",$H80&lt;&gt;$AN80,IFERROR(VLOOKUP($H80,areaCercaPuntiClassificaSquadra,3,FALSE),-1)=IFERROR(VLOOKUP($AN80,areaCercaPuntiClassificaSquadra,3,FALSE),-2)),SUMIFS(Dati!$D$2:$D$761,Dati!$A$2:$A$761,$H80,Dati!$H$2:$H$761,$AN80)+SUMIFS(Dati!$K$2:$K$761,Dati!$H$2:$H$761,$H80,Dati!$A$2:$A$761,$AN80)+SUMIFS(Dati!$C$2:$C$761,Dati!$A$2:$A$761,$H80,Dati!$H$2:$H$761,$AN80)+SUMIFS(Dati!$J$2:$J$761,Dati!$H$2:$H$761,$H80,Dati!$A$2:$A$761,$AN80),"-")</f>
        <v/>
      </c>
      <c r="CG80" s="22">
        <f>IF(AND($H80&lt;&gt;"",$AO80&lt;&gt;"",$H80&lt;&gt;$AO80,IFERROR(VLOOKUP($H80,areaCercaPuntiClassificaSquadra,3,FALSE),-1)=IFERROR(VLOOKUP($AO80,areaCercaPuntiClassificaSquadra,3,FALSE),-2)),SUMIFS(Dati!$D$2:$D$761,Dati!$A$2:$A$761,$H80,Dati!$H$2:$H$761,$AO80)+SUMIFS(Dati!$K$2:$K$761,Dati!$H$2:$H$761,$H80,Dati!$A$2:$A$761,$AO80)+SUMIFS(Dati!$C$2:$C$761,Dati!$A$2:$A$761,$H80,Dati!$H$2:$H$761,$AO80)+SUMIFS(Dati!$J$2:$J$761,Dati!$H$2:$H$761,$H80,Dati!$A$2:$A$761,$AO80),"-")</f>
        <v/>
      </c>
      <c r="CH80" s="22">
        <f>IF(AND($H80&lt;&gt;"",$AP80&lt;&gt;"",$H80&lt;&gt;$AP80,IFERROR(VLOOKUP($H80,areaCercaPuntiClassificaSquadra,3,FALSE),-1)=IFERROR(VLOOKUP($AP80,areaCercaPuntiClassificaSquadra,3,FALSE),-2)),SUMIFS(Dati!$D$2:$D$761,Dati!$A$2:$A$761,$H80,Dati!$H$2:$H$761,$AP80)+SUMIFS(Dati!$K$2:$K$761,Dati!$H$2:$H$761,$H80,Dati!$A$2:$A$761,$AP80)+SUMIFS(Dati!$C$2:$C$761,Dati!$A$2:$A$761,$H80,Dati!$H$2:$H$761,$AP80)+SUMIFS(Dati!$J$2:$J$761,Dati!$H$2:$H$761,$H80,Dati!$A$2:$A$761,$AP80),"-")</f>
        <v/>
      </c>
      <c r="CI80" s="22">
        <f>IF(AND($H80&lt;&gt;"",$AQ80&lt;&gt;"",$H80&lt;&gt;$AQ80,IFERROR(VLOOKUP($H80,areaCercaPuntiClassificaSquadra,3,FALSE),-1)=IFERROR(VLOOKUP($AQ80,areaCercaPuntiClassificaSquadra,3,FALSE),-2)),SUMIFS(Dati!$D$2:$D$761,Dati!$A$2:$A$761,$H80,Dati!$H$2:$H$761,$AQ80)+SUMIFS(Dati!$K$2:$K$761,Dati!$H$2:$H$761,$H80,Dati!$A$2:$A$761,$AQ80)+SUMIFS(Dati!$C$2:$C$761,Dati!$A$2:$A$761,$H80,Dati!$H$2:$H$761,$AQ80)+SUMIFS(Dati!$J$2:$J$761,Dati!$H$2:$H$761,$H80,Dati!$A$2:$A$761,$AQ80),"-")</f>
        <v/>
      </c>
      <c r="CJ80" s="22">
        <f>IF(AND($H80&lt;&gt;"",$AR80&lt;&gt;"",$H80&lt;&gt;$AR80,IFERROR(VLOOKUP($H80,areaCercaPuntiClassificaSquadra,3,FALSE),-1)=IFERROR(VLOOKUP($AR80,areaCercaPuntiClassificaSquadra,3,FALSE),-2)),SUMIFS(Dati!$D$2:$D$761,Dati!$A$2:$A$761,$H80,Dati!$H$2:$H$761,$AR80)+SUMIFS(Dati!$K$2:$K$761,Dati!$H$2:$H$761,$H80,Dati!$A$2:$A$761,$AR80)+SUMIFS(Dati!$C$2:$C$761,Dati!$A$2:$A$761,$H80,Dati!$H$2:$H$761,$AR80)+SUMIFS(Dati!$J$2:$J$761,Dati!$H$2:$H$761,$H80,Dati!$A$2:$A$761,$AR80),"-")</f>
        <v/>
      </c>
      <c r="CL80" s="21">
        <f>$C80</f>
        <v/>
      </c>
      <c r="CM80" s="22">
        <f>IF(AND($H80&lt;&gt;"",$Y80&lt;&gt;"",$H80&lt;&gt;$Y80,IFERROR(VLOOKUP($H80,areaCercaPuntiClassificaSquadra,3,FALSE),-1)=IFERROR(VLOOKUP($Y80,areaCercaPuntiClassificaSquadra,3,FALSE),-2)),SUMIFS(Dati!$E$2:$E$761,Dati!$A$2:$A$761,$H80,Dati!$H$2:$H$761,$Y80)+SUMIFS(Dati!$L$2:$L$761,Dati!$H$2:$H$761,$H80,Dati!$A$2:$A$761,$Y80),"-")</f>
        <v/>
      </c>
      <c r="CN80" s="22">
        <f>IF(AND($H80&lt;&gt;"",$Z80&lt;&gt;"",$H80&lt;&gt;$Z80,IFERROR(VLOOKUP($H80,areaCercaPuntiClassificaSquadra,3,FALSE),-1)=IFERROR(VLOOKUP($Z80,areaCercaPuntiClassificaSquadra,3,FALSE),-2)),SUMIFS(Dati!$E$2:$E$761,Dati!$A$2:$A$761,$H80,Dati!$H$2:$H$761,$Z80)+SUMIFS(Dati!$L$2:$L$761,Dati!$H$2:$H$761,$H80,Dati!$A$2:$A$761,$Z80),"-")</f>
        <v/>
      </c>
      <c r="CO80" s="22">
        <f>IF(AND($H80&lt;&gt;"",$AA80&lt;&gt;"",$H80&lt;&gt;$AA80,IFERROR(VLOOKUP($H80,areaCercaPuntiClassificaSquadra,3,FALSE),-1)=IFERROR(VLOOKUP($AA80,areaCercaPuntiClassificaSquadra,3,FALSE),-2)),SUMIFS(Dati!$E$2:$E$761,Dati!$A$2:$A$761,$H80,Dati!$H$2:$H$761,$AA80)+SUMIFS(Dati!$L$2:$L$761,Dati!$H$2:$H$761,$H80,Dati!$A$2:$A$761,$AA80),"-")</f>
        <v/>
      </c>
      <c r="CP80" s="22">
        <f>IF(AND($H80&lt;&gt;"",$AB80&lt;&gt;"",$H80&lt;&gt;$AB80,IFERROR(VLOOKUP($H80,areaCercaPuntiClassificaSquadra,3,FALSE),-1)=IFERROR(VLOOKUP($AB80,areaCercaPuntiClassificaSquadra,3,FALSE),-2)),SUMIFS(Dati!$E$2:$E$761,Dati!$A$2:$A$761,$H80,Dati!$H$2:$H$761,$AB80)+SUMIFS(Dati!$L$2:$L$761,Dati!$H$2:$H$761,$H80,Dati!$A$2:$A$761,$AB80),"-")</f>
        <v/>
      </c>
      <c r="CQ80" s="22">
        <f>IF(AND($H80&lt;&gt;"",$AC80&lt;&gt;"",$H80&lt;&gt;$AC80,IFERROR(VLOOKUP($H80,areaCercaPuntiClassificaSquadra,3,FALSE),-1)=IFERROR(VLOOKUP($AC80,areaCercaPuntiClassificaSquadra,3,FALSE),-2)),SUMIFS(Dati!$E$2:$E$761,Dati!$A$2:$A$761,$H80,Dati!$H$2:$H$761,$AC80)+SUMIFS(Dati!$L$2:$L$761,Dati!$H$2:$H$761,$H80,Dati!$A$2:$A$761,$AC80),"-")</f>
        <v/>
      </c>
      <c r="CR80" s="22">
        <f>IF(AND($H80&lt;&gt;"",$AD80&lt;&gt;"",$H80&lt;&gt;$AD80,IFERROR(VLOOKUP($H80,areaCercaPuntiClassificaSquadra,3,FALSE),-1)=IFERROR(VLOOKUP($AD80,areaCercaPuntiClassificaSquadra,3,FALSE),-2)),SUMIFS(Dati!$E$2:$E$761,Dati!$A$2:$A$761,$H80,Dati!$H$2:$H$761,$AD80)+SUMIFS(Dati!$L$2:$L$761,Dati!$H$2:$H$761,$H80,Dati!$A$2:$A$761,$AD80),"-")</f>
        <v/>
      </c>
      <c r="CS80" s="22">
        <f>IF(AND($H80&lt;&gt;"",$AE80&lt;&gt;"",$H80&lt;&gt;$AE80,IFERROR(VLOOKUP($H80,areaCercaPuntiClassificaSquadra,3,FALSE),-1)=IFERROR(VLOOKUP($AE80,areaCercaPuntiClassificaSquadra,3,FALSE),-2)),SUMIFS(Dati!$E$2:$E$761,Dati!$A$2:$A$761,$H80,Dati!$H$2:$H$761,$AE80)+SUMIFS(Dati!$L$2:$L$761,Dati!$H$2:$H$761,$H80,Dati!$A$2:$A$761,$AE80),"-")</f>
        <v/>
      </c>
      <c r="CT80" s="22">
        <f>IF(AND($H80&lt;&gt;"",$AF80&lt;&gt;"",$H80&lt;&gt;$AF80,IFERROR(VLOOKUP($H80,areaCercaPuntiClassificaSquadra,3,FALSE),-1)=IFERROR(VLOOKUP($AF80,areaCercaPuntiClassificaSquadra,3,FALSE),-2)),SUMIFS(Dati!$E$2:$E$761,Dati!$A$2:$A$761,$H80,Dati!$H$2:$H$761,$AF80)+SUMIFS(Dati!$L$2:$L$761,Dati!$H$2:$H$761,$H80,Dati!$A$2:$A$761,$AF80),"-")</f>
        <v/>
      </c>
      <c r="CU80" s="22">
        <f>IF(AND($H80&lt;&gt;"",$AG80&lt;&gt;"",$H80&lt;&gt;$AG80,IFERROR(VLOOKUP($H80,areaCercaPuntiClassificaSquadra,3,FALSE),-1)=IFERROR(VLOOKUP($AG80,areaCercaPuntiClassificaSquadra,3,FALSE),-2)),SUMIFS(Dati!$E$2:$E$761,Dati!$A$2:$A$761,$H80,Dati!$H$2:$H$761,$AG80)+SUMIFS(Dati!$L$2:$L$761,Dati!$H$2:$H$761,$H80,Dati!$A$2:$A$761,$AG80),"-")</f>
        <v/>
      </c>
      <c r="CV80" s="22">
        <f>IF(AND($H80&lt;&gt;"",$AH80&lt;&gt;"",$H80&lt;&gt;$AH80,IFERROR(VLOOKUP($H80,areaCercaPuntiClassificaSquadra,3,FALSE),-1)=IFERROR(VLOOKUP($AH80,areaCercaPuntiClassificaSquadra,3,FALSE),-2)),SUMIFS(Dati!$E$2:$E$761,Dati!$A$2:$A$761,$H80,Dati!$H$2:$H$761,$AH80)+SUMIFS(Dati!$L$2:$L$761,Dati!$H$2:$H$761,$H80,Dati!$A$2:$A$761,$AH80),"-")</f>
        <v/>
      </c>
      <c r="CW80" s="22">
        <f>IF(AND($H80&lt;&gt;"",$AI80&lt;&gt;"",$H80&lt;&gt;$AI80,IFERROR(VLOOKUP($H80,areaCercaPuntiClassificaSquadra,3,FALSE),-1)=IFERROR(VLOOKUP($AI80,areaCercaPuntiClassificaSquadra,3,FALSE),-2)),SUMIFS(Dati!$E$2:$E$761,Dati!$A$2:$A$761,$H80,Dati!$H$2:$H$761,$AI80)+SUMIFS(Dati!$L$2:$L$761,Dati!$H$2:$H$761,$H80,Dati!$A$2:$A$761,$AI80),"-")</f>
        <v/>
      </c>
      <c r="CX80" s="22">
        <f>IF(AND($H80&lt;&gt;"",$AJ80&lt;&gt;"",$H80&lt;&gt;$AJ80,IFERROR(VLOOKUP($H80,areaCercaPuntiClassificaSquadra,3,FALSE),-1)=IFERROR(VLOOKUP($AJ80,areaCercaPuntiClassificaSquadra,3,FALSE),-2)),SUMIFS(Dati!$E$2:$E$761,Dati!$A$2:$A$761,$H80,Dati!$H$2:$H$761,$AJ80)+SUMIFS(Dati!$L$2:$L$761,Dati!$H$2:$H$761,$H80,Dati!$A$2:$A$761,$AJ80),"-")</f>
        <v/>
      </c>
      <c r="CY80" s="22">
        <f>IF(AND($H80&lt;&gt;"",$AK80&lt;&gt;"",$H80&lt;&gt;$AK80,IFERROR(VLOOKUP($H80,areaCercaPuntiClassificaSquadra,3,FALSE),-1)=IFERROR(VLOOKUP($AK80,areaCercaPuntiClassificaSquadra,3,FALSE),-2)),SUMIFS(Dati!$E$2:$E$761,Dati!$A$2:$A$761,$H80,Dati!$H$2:$H$761,$AK80)+SUMIFS(Dati!$L$2:$L$761,Dati!$H$2:$H$761,$H80,Dati!$A$2:$A$761,$AK80),"-")</f>
        <v/>
      </c>
      <c r="CZ80" s="22">
        <f>IF(AND($H80&lt;&gt;"",$AL80&lt;&gt;"",$H80&lt;&gt;$AL80,IFERROR(VLOOKUP($H80,areaCercaPuntiClassificaSquadra,3,FALSE),-1)=IFERROR(VLOOKUP($AL80,areaCercaPuntiClassificaSquadra,3,FALSE),-2)),SUMIFS(Dati!$E$2:$E$761,Dati!$A$2:$A$761,$H80,Dati!$H$2:$H$761,$AL80)+SUMIFS(Dati!$L$2:$L$761,Dati!$H$2:$H$761,$H80,Dati!$A$2:$A$761,$AL80),"-")</f>
        <v/>
      </c>
      <c r="DA80" s="22">
        <f>IF(AND($H80&lt;&gt;"",$AM80&lt;&gt;"",$H80&lt;&gt;$AM80,IFERROR(VLOOKUP($H80,areaCercaPuntiClassificaSquadra,3,FALSE),-1)=IFERROR(VLOOKUP($AM80,areaCercaPuntiClassificaSquadra,3,FALSE),-2)),SUMIFS(Dati!$E$2:$E$761,Dati!$A$2:$A$761,$H80,Dati!$H$2:$H$761,$AM80)+SUMIFS(Dati!$L$2:$L$761,Dati!$H$2:$H$761,$H80,Dati!$A$2:$A$761,$AM80),"-")</f>
        <v/>
      </c>
      <c r="DB80" s="22">
        <f>IF(AND($H80&lt;&gt;"",$AN80&lt;&gt;"",$H80&lt;&gt;$AN80,IFERROR(VLOOKUP($H80,areaCercaPuntiClassificaSquadra,3,FALSE),-1)=IFERROR(VLOOKUP($AN80,areaCercaPuntiClassificaSquadra,3,FALSE),-2)),SUMIFS(Dati!$E$2:$E$761,Dati!$A$2:$A$761,$H80,Dati!$H$2:$H$761,$AN80)+SUMIFS(Dati!$L$2:$L$761,Dati!$H$2:$H$761,$H80,Dati!$A$2:$A$761,$AN80),"-")</f>
        <v/>
      </c>
      <c r="DC80" s="22">
        <f>IF(AND($H80&lt;&gt;"",$AO80&lt;&gt;"",$H80&lt;&gt;$AO80,IFERROR(VLOOKUP($H80,areaCercaPuntiClassificaSquadra,3,FALSE),-1)=IFERROR(VLOOKUP($AO80,areaCercaPuntiClassificaSquadra,3,FALSE),-2)),SUMIFS(Dati!$E$2:$E$761,Dati!$A$2:$A$761,$H80,Dati!$H$2:$H$761,$AO80)+SUMIFS(Dati!$L$2:$L$761,Dati!$H$2:$H$761,$H80,Dati!$A$2:$A$761,$AO80),"-")</f>
        <v/>
      </c>
      <c r="DD80" s="22">
        <f>IF(AND($H80&lt;&gt;"",$AP80&lt;&gt;"",$H80&lt;&gt;$AP80,IFERROR(VLOOKUP($H80,areaCercaPuntiClassificaSquadra,3,FALSE),-1)=IFERROR(VLOOKUP($AP80,areaCercaPuntiClassificaSquadra,3,FALSE),-2)),SUMIFS(Dati!$E$2:$E$761,Dati!$A$2:$A$761,$H80,Dati!$H$2:$H$761,$AP80)+SUMIFS(Dati!$L$2:$L$761,Dati!$H$2:$H$761,$H80,Dati!$A$2:$A$761,$AP80),"-")</f>
        <v/>
      </c>
      <c r="DE80" s="22">
        <f>IF(AND($H80&lt;&gt;"",$AQ80&lt;&gt;"",$H80&lt;&gt;$AQ80,IFERROR(VLOOKUP($H80,areaCercaPuntiClassificaSquadra,3,FALSE),-1)=IFERROR(VLOOKUP($AQ80,areaCercaPuntiClassificaSquadra,3,FALSE),-2)),SUMIFS(Dati!$E$2:$E$761,Dati!$A$2:$A$761,$H80,Dati!$H$2:$H$761,$AQ80)+SUMIFS(Dati!$L$2:$L$761,Dati!$H$2:$H$761,$H80,Dati!$A$2:$A$761,$AQ80),"-")</f>
        <v/>
      </c>
      <c r="DF80" s="22">
        <f>IF(AND($H80&lt;&gt;"",$AR80&lt;&gt;"",$H80&lt;&gt;$AR80,IFERROR(VLOOKUP($H80,areaCercaPuntiClassificaSquadra,3,FALSE),-1)=IFERROR(VLOOKUP($AR80,areaCercaPuntiClassificaSquadra,3,FALSE),-2)),SUMIFS(Dati!$E$2:$E$761,Dati!$A$2:$A$761,$H80,Dati!$H$2:$H$761,$AR80)+SUMIFS(Dati!$L$2:$L$761,Dati!$H$2:$H$761,$H80,Dati!$A$2:$A$761,$AR80),"-")</f>
        <v/>
      </c>
      <c r="DH80" s="21">
        <f>$C80</f>
        <v/>
      </c>
      <c r="DI80" s="22">
        <f>IF(AND($H80&lt;&gt;"",$Y80&lt;&gt;"",$H80&lt;&gt;$Y80,IFERROR(VLOOKUP($H80,areaCercaPuntiClassificaSquadra,3,FALSE),-1)=IFERROR(VLOOKUP($Y80,areaCercaPuntiClassificaSquadra,3,FALSE),-2)),SUMIFS(Dati!$F$2:$F$761,Dati!$A$2:$A$761,$H80,Dati!$H$2:$H$761,$Y80)+SUMIFS(Dati!$M$2:$M$761,Dati!$H$2:$H$761,$H80,Dati!$A$2:$A$761,$Y80),"-")</f>
        <v/>
      </c>
      <c r="DJ80" s="22">
        <f>IF(AND($H80&lt;&gt;"",$Z80&lt;&gt;"",$H80&lt;&gt;$Z80,IFERROR(VLOOKUP($H80,areaCercaPuntiClassificaSquadra,3,FALSE),-1)=IFERROR(VLOOKUP($Z80,areaCercaPuntiClassificaSquadra,3,FALSE),-2)),SUMIFS(Dati!$F$2:$F$761,Dati!$A$2:$A$761,$H80,Dati!$H$2:$H$761,$Z80)+SUMIFS(Dati!$M$2:$M$761,Dati!$H$2:$H$761,$H80,Dati!$A$2:$A$761,$Z80),"-")</f>
        <v/>
      </c>
      <c r="DK80" s="22">
        <f>IF(AND($H80&lt;&gt;"",$AA80&lt;&gt;"",$H80&lt;&gt;$AA80,IFERROR(VLOOKUP($H80,areaCercaPuntiClassificaSquadra,3,FALSE),-1)=IFERROR(VLOOKUP($AA80,areaCercaPuntiClassificaSquadra,3,FALSE),-2)),SUMIFS(Dati!$F$2:$F$761,Dati!$A$2:$A$761,$H80,Dati!$H$2:$H$761,$AA80)+SUMIFS(Dati!$M$2:$M$761,Dati!$H$2:$H$761,$H80,Dati!$A$2:$A$761,$AA80),"-")</f>
        <v/>
      </c>
      <c r="DL80" s="22">
        <f>IF(AND($H80&lt;&gt;"",$AB80&lt;&gt;"",$H80&lt;&gt;$AB80,IFERROR(VLOOKUP($H80,areaCercaPuntiClassificaSquadra,3,FALSE),-1)=IFERROR(VLOOKUP($AB80,areaCercaPuntiClassificaSquadra,3,FALSE),-2)),SUMIFS(Dati!$F$2:$F$761,Dati!$A$2:$A$761,$H80,Dati!$H$2:$H$761,$AB80)+SUMIFS(Dati!$M$2:$M$761,Dati!$H$2:$H$761,$H80,Dati!$A$2:$A$761,$AB80),"-")</f>
        <v/>
      </c>
      <c r="DM80" s="22">
        <f>IF(AND($H80&lt;&gt;"",$AC80&lt;&gt;"",$H80&lt;&gt;$AC80,IFERROR(VLOOKUP($H80,areaCercaPuntiClassificaSquadra,3,FALSE),-1)=IFERROR(VLOOKUP($AC80,areaCercaPuntiClassificaSquadra,3,FALSE),-2)),SUMIFS(Dati!$F$2:$F$761,Dati!$A$2:$A$761,$H80,Dati!$H$2:$H$761,$AC80)+SUMIFS(Dati!$M$2:$M$761,Dati!$H$2:$H$761,$H80,Dati!$A$2:$A$761,$AC80),"-")</f>
        <v/>
      </c>
      <c r="DN80" s="22">
        <f>IF(AND($H80&lt;&gt;"",$AD80&lt;&gt;"",$H80&lt;&gt;$AD80,IFERROR(VLOOKUP($H80,areaCercaPuntiClassificaSquadra,3,FALSE),-1)=IFERROR(VLOOKUP($AD80,areaCercaPuntiClassificaSquadra,3,FALSE),-2)),SUMIFS(Dati!$F$2:$F$761,Dati!$A$2:$A$761,$H80,Dati!$H$2:$H$761,$AD80)+SUMIFS(Dati!$M$2:$M$761,Dati!$H$2:$H$761,$H80,Dati!$A$2:$A$761,$AD80),"-")</f>
        <v/>
      </c>
      <c r="DO80" s="22">
        <f>IF(AND($H80&lt;&gt;"",$AE80&lt;&gt;"",$H80&lt;&gt;$AE80,IFERROR(VLOOKUP($H80,areaCercaPuntiClassificaSquadra,3,FALSE),-1)=IFERROR(VLOOKUP($AE80,areaCercaPuntiClassificaSquadra,3,FALSE),-2)),SUMIFS(Dati!$F$2:$F$761,Dati!$A$2:$A$761,$H80,Dati!$H$2:$H$761,$AE80)+SUMIFS(Dati!$M$2:$M$761,Dati!$H$2:$H$761,$H80,Dati!$A$2:$A$761,$AE80),"-")</f>
        <v/>
      </c>
      <c r="DP80" s="22">
        <f>IF(AND($H80&lt;&gt;"",$AF80&lt;&gt;"",$H80&lt;&gt;$AF80,IFERROR(VLOOKUP($H80,areaCercaPuntiClassificaSquadra,3,FALSE),-1)=IFERROR(VLOOKUP($AF80,areaCercaPuntiClassificaSquadra,3,FALSE),-2)),SUMIFS(Dati!$F$2:$F$761,Dati!$A$2:$A$761,$H80,Dati!$H$2:$H$761,$AF80)+SUMIFS(Dati!$M$2:$M$761,Dati!$H$2:$H$761,$H80,Dati!$A$2:$A$761,$AF80),"-")</f>
        <v/>
      </c>
      <c r="DQ80" s="22">
        <f>IF(AND($H80&lt;&gt;"",$AG80&lt;&gt;"",$H80&lt;&gt;$AG80,IFERROR(VLOOKUP($H80,areaCercaPuntiClassificaSquadra,3,FALSE),-1)=IFERROR(VLOOKUP($AG80,areaCercaPuntiClassificaSquadra,3,FALSE),-2)),SUMIFS(Dati!$F$2:$F$761,Dati!$A$2:$A$761,$H80,Dati!$H$2:$H$761,$AG80)+SUMIFS(Dati!$M$2:$M$761,Dati!$H$2:$H$761,$H80,Dati!$A$2:$A$761,$AG80),"-")</f>
        <v/>
      </c>
      <c r="DR80" s="22">
        <f>IF(AND($H80&lt;&gt;"",$AH80&lt;&gt;"",$H80&lt;&gt;$AH80,IFERROR(VLOOKUP($H80,areaCercaPuntiClassificaSquadra,3,FALSE),-1)=IFERROR(VLOOKUP($AH80,areaCercaPuntiClassificaSquadra,3,FALSE),-2)),SUMIFS(Dati!$F$2:$F$761,Dati!$A$2:$A$761,$H80,Dati!$H$2:$H$761,$AH80)+SUMIFS(Dati!$M$2:$M$761,Dati!$H$2:$H$761,$H80,Dati!$A$2:$A$761,$AH80),"-")</f>
        <v/>
      </c>
      <c r="DS80" s="22">
        <f>IF(AND($H80&lt;&gt;"",$AI80&lt;&gt;"",$H80&lt;&gt;$AI80,IFERROR(VLOOKUP($H80,areaCercaPuntiClassificaSquadra,3,FALSE),-1)=IFERROR(VLOOKUP($AI80,areaCercaPuntiClassificaSquadra,3,FALSE),-2)),SUMIFS(Dati!$F$2:$F$761,Dati!$A$2:$A$761,$H80,Dati!$H$2:$H$761,$AI80)+SUMIFS(Dati!$M$2:$M$761,Dati!$H$2:$H$761,$H80,Dati!$A$2:$A$761,$AI80),"-")</f>
        <v/>
      </c>
      <c r="DT80" s="22">
        <f>IF(AND($H80&lt;&gt;"",$AJ80&lt;&gt;"",$H80&lt;&gt;$AJ80,IFERROR(VLOOKUP($H80,areaCercaPuntiClassificaSquadra,3,FALSE),-1)=IFERROR(VLOOKUP($AJ80,areaCercaPuntiClassificaSquadra,3,FALSE),-2)),SUMIFS(Dati!$F$2:$F$761,Dati!$A$2:$A$761,$H80,Dati!$H$2:$H$761,$AJ80)+SUMIFS(Dati!$M$2:$M$761,Dati!$H$2:$H$761,$H80,Dati!$A$2:$A$761,$AJ80),"-")</f>
        <v/>
      </c>
      <c r="DU80" s="22">
        <f>IF(AND($H80&lt;&gt;"",$AK80&lt;&gt;"",$H80&lt;&gt;$AK80,IFERROR(VLOOKUP($H80,areaCercaPuntiClassificaSquadra,3,FALSE),-1)=IFERROR(VLOOKUP($AK80,areaCercaPuntiClassificaSquadra,3,FALSE),-2)),SUMIFS(Dati!$F$2:$F$761,Dati!$A$2:$A$761,$H80,Dati!$H$2:$H$761,$AK80)+SUMIFS(Dati!$M$2:$M$761,Dati!$H$2:$H$761,$H80,Dati!$A$2:$A$761,$AK80),"-")</f>
        <v/>
      </c>
      <c r="DV80" s="22">
        <f>IF(AND($H80&lt;&gt;"",$AL80&lt;&gt;"",$H80&lt;&gt;$AL80,IFERROR(VLOOKUP($H80,areaCercaPuntiClassificaSquadra,3,FALSE),-1)=IFERROR(VLOOKUP($AL80,areaCercaPuntiClassificaSquadra,3,FALSE),-2)),SUMIFS(Dati!$F$2:$F$761,Dati!$A$2:$A$761,$H80,Dati!$H$2:$H$761,$AL80)+SUMIFS(Dati!$M$2:$M$761,Dati!$H$2:$H$761,$H80,Dati!$A$2:$A$761,$AL80),"-")</f>
        <v/>
      </c>
      <c r="DW80" s="22">
        <f>IF(AND($H80&lt;&gt;"",$AM80&lt;&gt;"",$H80&lt;&gt;$AM80,IFERROR(VLOOKUP($H80,areaCercaPuntiClassificaSquadra,3,FALSE),-1)=IFERROR(VLOOKUP($AM80,areaCercaPuntiClassificaSquadra,3,FALSE),-2)),SUMIFS(Dati!$F$2:$F$761,Dati!$A$2:$A$761,$H80,Dati!$H$2:$H$761,$AM80)+SUMIFS(Dati!$M$2:$M$761,Dati!$H$2:$H$761,$H80,Dati!$A$2:$A$761,$AM80),"-")</f>
        <v/>
      </c>
      <c r="DX80" s="22">
        <f>IF(AND($H80&lt;&gt;"",$AN80&lt;&gt;"",$H80&lt;&gt;$AN80,IFERROR(VLOOKUP($H80,areaCercaPuntiClassificaSquadra,3,FALSE),-1)=IFERROR(VLOOKUP($AN80,areaCercaPuntiClassificaSquadra,3,FALSE),-2)),SUMIFS(Dati!$F$2:$F$761,Dati!$A$2:$A$761,$H80,Dati!$H$2:$H$761,$AN80)+SUMIFS(Dati!$M$2:$M$761,Dati!$H$2:$H$761,$H80,Dati!$A$2:$A$761,$AN80),"-")</f>
        <v/>
      </c>
      <c r="DY80" s="22">
        <f>IF(AND($H80&lt;&gt;"",$AO80&lt;&gt;"",$H80&lt;&gt;$AO80,IFERROR(VLOOKUP($H80,areaCercaPuntiClassificaSquadra,3,FALSE),-1)=IFERROR(VLOOKUP($AO80,areaCercaPuntiClassificaSquadra,3,FALSE),-2)),SUMIFS(Dati!$F$2:$F$761,Dati!$A$2:$A$761,$H80,Dati!$H$2:$H$761,$AO80)+SUMIFS(Dati!$M$2:$M$761,Dati!$H$2:$H$761,$H80,Dati!$A$2:$A$761,$AO80),"-")</f>
        <v/>
      </c>
      <c r="DZ80" s="22">
        <f>IF(AND($H80&lt;&gt;"",$AP80&lt;&gt;"",$H80&lt;&gt;$AP80,IFERROR(VLOOKUP($H80,areaCercaPuntiClassificaSquadra,3,FALSE),-1)=IFERROR(VLOOKUP($AP80,areaCercaPuntiClassificaSquadra,3,FALSE),-2)),SUMIFS(Dati!$F$2:$F$761,Dati!$A$2:$A$761,$H80,Dati!$H$2:$H$761,$AP80)+SUMIFS(Dati!$M$2:$M$761,Dati!$H$2:$H$761,$H80,Dati!$A$2:$A$761,$AP80),"-")</f>
        <v/>
      </c>
      <c r="EA80" s="22">
        <f>IF(AND($H80&lt;&gt;"",$AQ80&lt;&gt;"",$H80&lt;&gt;$AQ80,IFERROR(VLOOKUP($H80,areaCercaPuntiClassificaSquadra,3,FALSE),-1)=IFERROR(VLOOKUP($AQ80,areaCercaPuntiClassificaSquadra,3,FALSE),-2)),SUMIFS(Dati!$F$2:$F$761,Dati!$A$2:$A$761,$H80,Dati!$H$2:$H$761,$AQ80)+SUMIFS(Dati!$M$2:$M$761,Dati!$H$2:$H$761,$H80,Dati!$A$2:$A$761,$AQ80),"-")</f>
        <v/>
      </c>
      <c r="EB80" s="22">
        <f>IF(AND($H80&lt;&gt;"",$AR80&lt;&gt;"",$H80&lt;&gt;$AR80,IFERROR(VLOOKUP($H80,areaCercaPuntiClassificaSquadra,3,FALSE),-1)=IFERROR(VLOOKUP($AR80,areaCercaPuntiClassificaSquadra,3,FALSE),-2)),SUMIFS(Dati!$F$2:$F$761,Dati!$A$2:$A$761,$H80,Dati!$H$2:$H$761,$AR80)+SUMIFS(Dati!$M$2:$M$761,Dati!$H$2:$H$761,$H80,Dati!$A$2:$A$761,$AR80),"-")</f>
        <v/>
      </c>
      <c r="ED80" s="22">
        <f>IF($C80="","",SUM(AU80:BN80))</f>
        <v/>
      </c>
    </row>
    <row r="81">
      <c r="B81" s="12" t="inlineStr">
        <is>
          <t>D08</t>
        </is>
      </c>
      <c r="C81" s="13" t="inlineStr">
        <is>
          <t>Vombati Veloci-Vombatiopoli VI</t>
        </is>
      </c>
      <c r="D81" s="14" t="n"/>
      <c r="E81" s="27" t="inlineStr">
        <is>
          <t>D</t>
        </is>
      </c>
      <c r="G81" s="28">
        <f>IF($C81="","",$E81&amp;(COUNTIFS(I$14:I$93,"&gt;"&amp;I81,E$14:E$93,"="&amp;E81,C$14:C$93,"&lt;&gt;")+COUNTIFS(I$14:I$93,"="&amp;I81,H$14:H$93,"&lt;="&amp;H81,E$14:E$93,"="&amp;E81,C$14:C$93,"&lt;&gt;")))</f>
        <v/>
      </c>
      <c r="H81" s="17">
        <f>IF($C81="","",IFERROR(LEFT($C81,FIND("-",$C81)-1),$C81))</f>
        <v/>
      </c>
      <c r="I81" s="12">
        <f>TEXT(1000000000+J81,"|0000000000|")&amp;TEXT(SUM(AU81:BN81),"0000000000|")&amp;IF(SUM(DI81:EB81)=0,"0000000000|",TEXT(ROUND(SUM(CM81:DF81)/SUM(DI81:EB81),4)*100000,"0000000000|"))&amp;IF(P81=0,"0000000000|",TEXT(ROUND(O81/P81,4)*100000,"0000000000|"))</f>
        <v/>
      </c>
      <c r="J81" s="28">
        <f>L81*constPuntiVittoria+M81*constPuntiSconfitta+N81*constPuntiForfait+IF(D81="",0,D81)</f>
        <v/>
      </c>
      <c r="K81" s="12">
        <f>SUM(L81:N81)</f>
        <v/>
      </c>
      <c r="L81" s="12">
        <f>IF($H81="",0,SUMIF(Dati!$A$2:$A$761,$H81,Dati!$B$2:$B$761)+SUMIF(Dati!$H$2:$H$761,$H81,Dati!$I$2:$I$761))</f>
        <v/>
      </c>
      <c r="M81" s="12">
        <f>IF($H81="",0,SUMIF(Dati!$A$2:$A$761,$H81,Dati!$D$2:$D$761)+SUMIF(Dati!$H$2:$H$761,$H81,Dati!$K$2:$K$761))</f>
        <v/>
      </c>
      <c r="N81" s="12">
        <f>IF($H81="",0,SUMIF(Dati!$A$2:$A$761,$H81,Dati!$C$2:$C$761)+SUMIF(Dati!$H$2:$H$761,$H81,Dati!$J$2:$J$761))</f>
        <v/>
      </c>
      <c r="O81" s="12">
        <f>IF($H81="",0,SUMIF(Dati!$A$2:$A$761,$H81,Dati!$E$2:$E$761)+SUMIF(Dati!$H$2:$H$761,$H81,Dati!$L$2:$L$761))</f>
        <v/>
      </c>
      <c r="P81" s="12">
        <f>IF($H81="",0,SUMIF(Dati!$A$2:$A$761,$H81,Dati!$F$2:$F$761)+SUMIF(Dati!$H$2:$H$761,$H81,Dati!$M$2:$M$761))</f>
        <v/>
      </c>
      <c r="Q81" s="12">
        <f>IF($H81="",0,SUMIF(Dati!$A$2:$A$761,$H81,Dati!$G$2:$G$761)+SUMIF(Dati!$H$2:$H$761,$H81,Dati!$N$2:$N$761))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IF(COUNTIFS($E$14:$E$93,$E81,$J$14:$J$93,$J81,$C$14:$C$93,"&lt;&gt;")&lt;=1,"-",SUM(AU81:BN81)&amp;"-"&amp;SUM(BQ81:CJ81))</f>
        <v/>
      </c>
      <c r="V81" s="18">
        <f>IF(COUNTIFS($E$14:$E$93,$E81,$J$14:$J$93,$J81,$C$14:$C$93,"&lt;&gt;",$ED$14:$ED$93,$ED81)&lt;=1,"-",IF(SUM(DI81:EB81)=0,0,ROUND(SUM(CM81:DF81)/SUM(DI81:EB81),3)))</f>
        <v/>
      </c>
      <c r="W81" s="18">
        <f>IF(COUNTIFS($E$14:$E$93,$E81,$J$14:$J$93,$J81,$C$14:$C$93,"&lt;&gt;",$ED$14:$ED$93,$ED81,$V$14:$V$93,$V81)&lt;=1,"-",IF(P81=0,0,ROUND(O81/P81,3)))</f>
        <v/>
      </c>
      <c r="X81" s="19">
        <f>IF($C81="","",$E81&amp;"#"&amp;COUNTIFS($E$14:$E81,$E81,$C$14:$C81,"&lt;&gt;"))</f>
        <v/>
      </c>
      <c r="Y81" s="20">
        <f>IFERROR(INDEX($H$14:$H$93,MATCH($E81&amp;"#1",$X$14:$X$93,0)),"")</f>
        <v/>
      </c>
      <c r="Z81" s="20">
        <f>IFERROR(INDEX($H$14:$H$93,MATCH($E81&amp;"#2",$X$14:$X$93,0)),"")</f>
        <v/>
      </c>
      <c r="AA81" s="20">
        <f>IFERROR(INDEX($H$14:$H$93,MATCH($E81&amp;"#3",$X$14:$X$93,0)),"")</f>
        <v/>
      </c>
      <c r="AB81" s="20">
        <f>IFERROR(INDEX($H$14:$H$93,MATCH($E81&amp;"#4",$X$14:$X$93,0)),"")</f>
        <v/>
      </c>
      <c r="AC81" s="20">
        <f>IFERROR(INDEX($H$14:$H$93,MATCH($E81&amp;"#5",$X$14:$X$93,0)),"")</f>
        <v/>
      </c>
      <c r="AD81" s="20">
        <f>IFERROR(INDEX($H$14:$H$93,MATCH($E81&amp;"#6",$X$14:$X$93,0)),"")</f>
        <v/>
      </c>
      <c r="AE81" s="20">
        <f>IFERROR(INDEX($H$14:$H$93,MATCH($E81&amp;"#7",$X$14:$X$93,0)),"")</f>
        <v/>
      </c>
      <c r="AF81" s="20">
        <f>IFERROR(INDEX($H$14:$H$93,MATCH($E81&amp;"#8",$X$14:$X$93,0)),"")</f>
        <v/>
      </c>
      <c r="AG81" s="20">
        <f>IFERROR(INDEX($H$14:$H$93,MATCH($E81&amp;"#9",$X$14:$X$93,0)),"")</f>
        <v/>
      </c>
      <c r="AH81" s="20">
        <f>IFERROR(INDEX($H$14:$H$93,MATCH($E81&amp;"#10",$X$14:$X$93,0)),"")</f>
        <v/>
      </c>
      <c r="AI81" s="20">
        <f>IFERROR(INDEX($H$14:$H$93,MATCH($E81&amp;"#11",$X$14:$X$93,0)),"")</f>
        <v/>
      </c>
      <c r="AJ81" s="20">
        <f>IFERROR(INDEX($H$14:$H$93,MATCH($E81&amp;"#12",$X$14:$X$93,0)),"")</f>
        <v/>
      </c>
      <c r="AK81" s="20">
        <f>IFERROR(INDEX($H$14:$H$93,MATCH($E81&amp;"#13",$X$14:$X$93,0)),"")</f>
        <v/>
      </c>
      <c r="AL81" s="20">
        <f>IFERROR(INDEX($H$14:$H$93,MATCH($E81&amp;"#14",$X$14:$X$93,0)),"")</f>
        <v/>
      </c>
      <c r="AM81" s="20">
        <f>IFERROR(INDEX($H$14:$H$93,MATCH($E81&amp;"#15",$X$14:$X$93,0)),"")</f>
        <v/>
      </c>
      <c r="AN81" s="20">
        <f>IFERROR(INDEX($H$14:$H$93,MATCH($E81&amp;"#16",$X$14:$X$93,0)),"")</f>
        <v/>
      </c>
      <c r="AO81" s="20">
        <f>IFERROR(INDEX($H$14:$H$93,MATCH($E81&amp;"#17",$X$14:$X$93,0)),"")</f>
        <v/>
      </c>
      <c r="AP81" s="20">
        <f>IFERROR(INDEX($H$14:$H$93,MATCH($E81&amp;"#18",$X$14:$X$93,0)),"")</f>
        <v/>
      </c>
      <c r="AQ81" s="20">
        <f>IFERROR(INDEX($H$14:$H$93,MATCH($E81&amp;"#19",$X$14:$X$93,0)),"")</f>
        <v/>
      </c>
      <c r="AR81" s="20">
        <f>IFERROR(INDEX($H$14:$H$93,MATCH($E81&amp;"#20",$X$14:$X$93,0)),"")</f>
        <v/>
      </c>
      <c r="AT81" s="21">
        <f>$C81</f>
        <v/>
      </c>
      <c r="AU81" s="22">
        <f>IF(AND($H81&lt;&gt;"",$Y81&lt;&gt;"",$H81&lt;&gt;$Y81,IFERROR(VLOOKUP($H81,areaCercaPuntiClassificaSquadra,3,FALSE),-1)=IFERROR(VLOOKUP($Y81,areaCercaPuntiClassificaSquadra,3,FALSE),-2)),SUMIFS(Dati!$B$2:$B$761,Dati!$A$2:$A$761,$H81,Dati!$H$2:$H$761,$Y81)+SUMIFS(Dati!$I$2:$I$761,Dati!$H$2:$H$761,$H81,Dati!$A$2:$A$761,$Y81),"-")</f>
        <v/>
      </c>
      <c r="AV81" s="22">
        <f>IF(AND($H81&lt;&gt;"",$Z81&lt;&gt;"",$H81&lt;&gt;$Z81,IFERROR(VLOOKUP($H81,areaCercaPuntiClassificaSquadra,3,FALSE),-1)=IFERROR(VLOOKUP($Z81,areaCercaPuntiClassificaSquadra,3,FALSE),-2)),SUMIFS(Dati!$B$2:$B$761,Dati!$A$2:$A$761,$H81,Dati!$H$2:$H$761,$Z81)+SUMIFS(Dati!$I$2:$I$761,Dati!$H$2:$H$761,$H81,Dati!$A$2:$A$761,$Z81),"-")</f>
        <v/>
      </c>
      <c r="AW81" s="22">
        <f>IF(AND($H81&lt;&gt;"",$AA81&lt;&gt;"",$H81&lt;&gt;$AA81,IFERROR(VLOOKUP($H81,areaCercaPuntiClassificaSquadra,3,FALSE),-1)=IFERROR(VLOOKUP($AA81,areaCercaPuntiClassificaSquadra,3,FALSE),-2)),SUMIFS(Dati!$B$2:$B$761,Dati!$A$2:$A$761,$H81,Dati!$H$2:$H$761,$AA81)+SUMIFS(Dati!$I$2:$I$761,Dati!$H$2:$H$761,$H81,Dati!$A$2:$A$761,$AA81),"-")</f>
        <v/>
      </c>
      <c r="AX81" s="22">
        <f>IF(AND($H81&lt;&gt;"",$AB81&lt;&gt;"",$H81&lt;&gt;$AB81,IFERROR(VLOOKUP($H81,areaCercaPuntiClassificaSquadra,3,FALSE),-1)=IFERROR(VLOOKUP($AB81,areaCercaPuntiClassificaSquadra,3,FALSE),-2)),SUMIFS(Dati!$B$2:$B$761,Dati!$A$2:$A$761,$H81,Dati!$H$2:$H$761,$AB81)+SUMIFS(Dati!$I$2:$I$761,Dati!$H$2:$H$761,$H81,Dati!$A$2:$A$761,$AB81),"-")</f>
        <v/>
      </c>
      <c r="AY81" s="22">
        <f>IF(AND($H81&lt;&gt;"",$AC81&lt;&gt;"",$H81&lt;&gt;$AC81,IFERROR(VLOOKUP($H81,areaCercaPuntiClassificaSquadra,3,FALSE),-1)=IFERROR(VLOOKUP($AC81,areaCercaPuntiClassificaSquadra,3,FALSE),-2)),SUMIFS(Dati!$B$2:$B$761,Dati!$A$2:$A$761,$H81,Dati!$H$2:$H$761,$AC81)+SUMIFS(Dati!$I$2:$I$761,Dati!$H$2:$H$761,$H81,Dati!$A$2:$A$761,$AC81),"-")</f>
        <v/>
      </c>
      <c r="AZ81" s="22">
        <f>IF(AND($H81&lt;&gt;"",$AD81&lt;&gt;"",$H81&lt;&gt;$AD81,IFERROR(VLOOKUP($H81,areaCercaPuntiClassificaSquadra,3,FALSE),-1)=IFERROR(VLOOKUP($AD81,areaCercaPuntiClassificaSquadra,3,FALSE),-2)),SUMIFS(Dati!$B$2:$B$761,Dati!$A$2:$A$761,$H81,Dati!$H$2:$H$761,$AD81)+SUMIFS(Dati!$I$2:$I$761,Dati!$H$2:$H$761,$H81,Dati!$A$2:$A$761,$AD81),"-")</f>
        <v/>
      </c>
      <c r="BA81" s="22">
        <f>IF(AND($H81&lt;&gt;"",$AE81&lt;&gt;"",$H81&lt;&gt;$AE81,IFERROR(VLOOKUP($H81,areaCercaPuntiClassificaSquadra,3,FALSE),-1)=IFERROR(VLOOKUP($AE81,areaCercaPuntiClassificaSquadra,3,FALSE),-2)),SUMIFS(Dati!$B$2:$B$761,Dati!$A$2:$A$761,$H81,Dati!$H$2:$H$761,$AE81)+SUMIFS(Dati!$I$2:$I$761,Dati!$H$2:$H$761,$H81,Dati!$A$2:$A$761,$AE81),"-")</f>
        <v/>
      </c>
      <c r="BB81" s="22">
        <f>IF(AND($H81&lt;&gt;"",$AF81&lt;&gt;"",$H81&lt;&gt;$AF81,IFERROR(VLOOKUP($H81,areaCercaPuntiClassificaSquadra,3,FALSE),-1)=IFERROR(VLOOKUP($AF81,areaCercaPuntiClassificaSquadra,3,FALSE),-2)),SUMIFS(Dati!$B$2:$B$761,Dati!$A$2:$A$761,$H81,Dati!$H$2:$H$761,$AF81)+SUMIFS(Dati!$I$2:$I$761,Dati!$H$2:$H$761,$H81,Dati!$A$2:$A$761,$AF81),"-")</f>
        <v/>
      </c>
      <c r="BC81" s="22">
        <f>IF(AND($H81&lt;&gt;"",$AG81&lt;&gt;"",$H81&lt;&gt;$AG81,IFERROR(VLOOKUP($H81,areaCercaPuntiClassificaSquadra,3,FALSE),-1)=IFERROR(VLOOKUP($AG81,areaCercaPuntiClassificaSquadra,3,FALSE),-2)),SUMIFS(Dati!$B$2:$B$761,Dati!$A$2:$A$761,$H81,Dati!$H$2:$H$761,$AG81)+SUMIFS(Dati!$I$2:$I$761,Dati!$H$2:$H$761,$H81,Dati!$A$2:$A$761,$AG81),"-")</f>
        <v/>
      </c>
      <c r="BD81" s="22">
        <f>IF(AND($H81&lt;&gt;"",$AH81&lt;&gt;"",$H81&lt;&gt;$AH81,IFERROR(VLOOKUP($H81,areaCercaPuntiClassificaSquadra,3,FALSE),-1)=IFERROR(VLOOKUP($AH81,areaCercaPuntiClassificaSquadra,3,FALSE),-2)),SUMIFS(Dati!$B$2:$B$761,Dati!$A$2:$A$761,$H81,Dati!$H$2:$H$761,$AH81)+SUMIFS(Dati!$I$2:$I$761,Dati!$H$2:$H$761,$H81,Dati!$A$2:$A$761,$AH81),"-")</f>
        <v/>
      </c>
      <c r="BE81" s="22">
        <f>IF(AND($H81&lt;&gt;"",$AI81&lt;&gt;"",$H81&lt;&gt;$AI81,IFERROR(VLOOKUP($H81,areaCercaPuntiClassificaSquadra,3,FALSE),-1)=IFERROR(VLOOKUP($AI81,areaCercaPuntiClassificaSquadra,3,FALSE),-2)),SUMIFS(Dati!$B$2:$B$761,Dati!$A$2:$A$761,$H81,Dati!$H$2:$H$761,$AI81)+SUMIFS(Dati!$I$2:$I$761,Dati!$H$2:$H$761,$H81,Dati!$A$2:$A$761,$AI81),"-")</f>
        <v/>
      </c>
      <c r="BF81" s="22">
        <f>IF(AND($H81&lt;&gt;"",$AJ81&lt;&gt;"",$H81&lt;&gt;$AJ81,IFERROR(VLOOKUP($H81,areaCercaPuntiClassificaSquadra,3,FALSE),-1)=IFERROR(VLOOKUP($AJ81,areaCercaPuntiClassificaSquadra,3,FALSE),-2)),SUMIFS(Dati!$B$2:$B$761,Dati!$A$2:$A$761,$H81,Dati!$H$2:$H$761,$AJ81)+SUMIFS(Dati!$I$2:$I$761,Dati!$H$2:$H$761,$H81,Dati!$A$2:$A$761,$AJ81),"-")</f>
        <v/>
      </c>
      <c r="BG81" s="22">
        <f>IF(AND($H81&lt;&gt;"",$AK81&lt;&gt;"",$H81&lt;&gt;$AK81,IFERROR(VLOOKUP($H81,areaCercaPuntiClassificaSquadra,3,FALSE),-1)=IFERROR(VLOOKUP($AK81,areaCercaPuntiClassificaSquadra,3,FALSE),-2)),SUMIFS(Dati!$B$2:$B$761,Dati!$A$2:$A$761,$H81,Dati!$H$2:$H$761,$AK81)+SUMIFS(Dati!$I$2:$I$761,Dati!$H$2:$H$761,$H81,Dati!$A$2:$A$761,$AK81),"-")</f>
        <v/>
      </c>
      <c r="BH81" s="22">
        <f>IF(AND($H81&lt;&gt;"",$AL81&lt;&gt;"",$H81&lt;&gt;$AL81,IFERROR(VLOOKUP($H81,areaCercaPuntiClassificaSquadra,3,FALSE),-1)=IFERROR(VLOOKUP($AL81,areaCercaPuntiClassificaSquadra,3,FALSE),-2)),SUMIFS(Dati!$B$2:$B$761,Dati!$A$2:$A$761,$H81,Dati!$H$2:$H$761,$AL81)+SUMIFS(Dati!$I$2:$I$761,Dati!$H$2:$H$761,$H81,Dati!$A$2:$A$761,$AL81),"-")</f>
        <v/>
      </c>
      <c r="BI81" s="22">
        <f>IF(AND($H81&lt;&gt;"",$AM81&lt;&gt;"",$H81&lt;&gt;$AM81,IFERROR(VLOOKUP($H81,areaCercaPuntiClassificaSquadra,3,FALSE),-1)=IFERROR(VLOOKUP($AM81,areaCercaPuntiClassificaSquadra,3,FALSE),-2)),SUMIFS(Dati!$B$2:$B$761,Dati!$A$2:$A$761,$H81,Dati!$H$2:$H$761,$AM81)+SUMIFS(Dati!$I$2:$I$761,Dati!$H$2:$H$761,$H81,Dati!$A$2:$A$761,$AM81),"-")</f>
        <v/>
      </c>
      <c r="BJ81" s="22">
        <f>IF(AND($H81&lt;&gt;"",$AN81&lt;&gt;"",$H81&lt;&gt;$AN81,IFERROR(VLOOKUP($H81,areaCercaPuntiClassificaSquadra,3,FALSE),-1)=IFERROR(VLOOKUP($AN81,areaCercaPuntiClassificaSquadra,3,FALSE),-2)),SUMIFS(Dati!$B$2:$B$761,Dati!$A$2:$A$761,$H81,Dati!$H$2:$H$761,$AN81)+SUMIFS(Dati!$I$2:$I$761,Dati!$H$2:$H$761,$H81,Dati!$A$2:$A$761,$AN81),"-")</f>
        <v/>
      </c>
      <c r="BK81" s="22">
        <f>IF(AND($H81&lt;&gt;"",$AO81&lt;&gt;"",$H81&lt;&gt;$AO81,IFERROR(VLOOKUP($H81,areaCercaPuntiClassificaSquadra,3,FALSE),-1)=IFERROR(VLOOKUP($AO81,areaCercaPuntiClassificaSquadra,3,FALSE),-2)),SUMIFS(Dati!$B$2:$B$761,Dati!$A$2:$A$761,$H81,Dati!$H$2:$H$761,$AO81)+SUMIFS(Dati!$I$2:$I$761,Dati!$H$2:$H$761,$H81,Dati!$A$2:$A$761,$AO81),"-")</f>
        <v/>
      </c>
      <c r="BL81" s="22">
        <f>IF(AND($H81&lt;&gt;"",$AP81&lt;&gt;"",$H81&lt;&gt;$AP81,IFERROR(VLOOKUP($H81,areaCercaPuntiClassificaSquadra,3,FALSE),-1)=IFERROR(VLOOKUP($AP81,areaCercaPuntiClassificaSquadra,3,FALSE),-2)),SUMIFS(Dati!$B$2:$B$761,Dati!$A$2:$A$761,$H81,Dati!$H$2:$H$761,$AP81)+SUMIFS(Dati!$I$2:$I$761,Dati!$H$2:$H$761,$H81,Dati!$A$2:$A$761,$AP81),"-")</f>
        <v/>
      </c>
      <c r="BM81" s="22">
        <f>IF(AND($H81&lt;&gt;"",$AQ81&lt;&gt;"",$H81&lt;&gt;$AQ81,IFERROR(VLOOKUP($H81,areaCercaPuntiClassificaSquadra,3,FALSE),-1)=IFERROR(VLOOKUP($AQ81,areaCercaPuntiClassificaSquadra,3,FALSE),-2)),SUMIFS(Dati!$B$2:$B$761,Dati!$A$2:$A$761,$H81,Dati!$H$2:$H$761,$AQ81)+SUMIFS(Dati!$I$2:$I$761,Dati!$H$2:$H$761,$H81,Dati!$A$2:$A$761,$AQ81),"-")</f>
        <v/>
      </c>
      <c r="BN81" s="22">
        <f>IF(AND($H81&lt;&gt;"",$AR81&lt;&gt;"",$H81&lt;&gt;$AR81,IFERROR(VLOOKUP($H81,areaCercaPuntiClassificaSquadra,3,FALSE),-1)=IFERROR(VLOOKUP($AR81,areaCercaPuntiClassificaSquadra,3,FALSE),-2)),SUMIFS(Dati!$B$2:$B$761,Dati!$A$2:$A$761,$H81,Dati!$H$2:$H$761,$AR81)+SUMIFS(Dati!$I$2:$I$761,Dati!$H$2:$H$761,$H81,Dati!$A$2:$A$761,$AR81),"-")</f>
        <v/>
      </c>
      <c r="BP81" s="21">
        <f>$C81</f>
        <v/>
      </c>
      <c r="BQ81" s="22">
        <f>IF(AND($H81&lt;&gt;"",$Y81&lt;&gt;"",$H81&lt;&gt;$Y81,IFERROR(VLOOKUP($H81,areaCercaPuntiClassificaSquadra,3,FALSE),-1)=IFERROR(VLOOKUP($Y81,areaCercaPuntiClassificaSquadra,3,FALSE),-2)),SUMIFS(Dati!$D$2:$D$761,Dati!$A$2:$A$761,$H81,Dati!$H$2:$H$761,$Y81)+SUMIFS(Dati!$K$2:$K$761,Dati!$H$2:$H$761,$H81,Dati!$A$2:$A$761,$Y81)+SUMIFS(Dati!$C$2:$C$761,Dati!$A$2:$A$761,$H81,Dati!$H$2:$H$761,$Y81)+SUMIFS(Dati!$J$2:$J$761,Dati!$H$2:$H$761,$H81,Dati!$A$2:$A$761,$Y81),"-")</f>
        <v/>
      </c>
      <c r="BR81" s="22">
        <f>IF(AND($H81&lt;&gt;"",$Z81&lt;&gt;"",$H81&lt;&gt;$Z81,IFERROR(VLOOKUP($H81,areaCercaPuntiClassificaSquadra,3,FALSE),-1)=IFERROR(VLOOKUP($Z81,areaCercaPuntiClassificaSquadra,3,FALSE),-2)),SUMIFS(Dati!$D$2:$D$761,Dati!$A$2:$A$761,$H81,Dati!$H$2:$H$761,$Z81)+SUMIFS(Dati!$K$2:$K$761,Dati!$H$2:$H$761,$H81,Dati!$A$2:$A$761,$Z81)+SUMIFS(Dati!$C$2:$C$761,Dati!$A$2:$A$761,$H81,Dati!$H$2:$H$761,$Z81)+SUMIFS(Dati!$J$2:$J$761,Dati!$H$2:$H$761,$H81,Dati!$A$2:$A$761,$Z81),"-")</f>
        <v/>
      </c>
      <c r="BS81" s="22">
        <f>IF(AND($H81&lt;&gt;"",$AA81&lt;&gt;"",$H81&lt;&gt;$AA81,IFERROR(VLOOKUP($H81,areaCercaPuntiClassificaSquadra,3,FALSE),-1)=IFERROR(VLOOKUP($AA81,areaCercaPuntiClassificaSquadra,3,FALSE),-2)),SUMIFS(Dati!$D$2:$D$761,Dati!$A$2:$A$761,$H81,Dati!$H$2:$H$761,$AA81)+SUMIFS(Dati!$K$2:$K$761,Dati!$H$2:$H$761,$H81,Dati!$A$2:$A$761,$AA81)+SUMIFS(Dati!$C$2:$C$761,Dati!$A$2:$A$761,$H81,Dati!$H$2:$H$761,$AA81)+SUMIFS(Dati!$J$2:$J$761,Dati!$H$2:$H$761,$H81,Dati!$A$2:$A$761,$AA81),"-")</f>
        <v/>
      </c>
      <c r="BT81" s="22">
        <f>IF(AND($H81&lt;&gt;"",$AB81&lt;&gt;"",$H81&lt;&gt;$AB81,IFERROR(VLOOKUP($H81,areaCercaPuntiClassificaSquadra,3,FALSE),-1)=IFERROR(VLOOKUP($AB81,areaCercaPuntiClassificaSquadra,3,FALSE),-2)),SUMIFS(Dati!$D$2:$D$761,Dati!$A$2:$A$761,$H81,Dati!$H$2:$H$761,$AB81)+SUMIFS(Dati!$K$2:$K$761,Dati!$H$2:$H$761,$H81,Dati!$A$2:$A$761,$AB81)+SUMIFS(Dati!$C$2:$C$761,Dati!$A$2:$A$761,$H81,Dati!$H$2:$H$761,$AB81)+SUMIFS(Dati!$J$2:$J$761,Dati!$H$2:$H$761,$H81,Dati!$A$2:$A$761,$AB81),"-")</f>
        <v/>
      </c>
      <c r="BU81" s="22">
        <f>IF(AND($H81&lt;&gt;"",$AC81&lt;&gt;"",$H81&lt;&gt;$AC81,IFERROR(VLOOKUP($H81,areaCercaPuntiClassificaSquadra,3,FALSE),-1)=IFERROR(VLOOKUP($AC81,areaCercaPuntiClassificaSquadra,3,FALSE),-2)),SUMIFS(Dati!$D$2:$D$761,Dati!$A$2:$A$761,$H81,Dati!$H$2:$H$761,$AC81)+SUMIFS(Dati!$K$2:$K$761,Dati!$H$2:$H$761,$H81,Dati!$A$2:$A$761,$AC81)+SUMIFS(Dati!$C$2:$C$761,Dati!$A$2:$A$761,$H81,Dati!$H$2:$H$761,$AC81)+SUMIFS(Dati!$J$2:$J$761,Dati!$H$2:$H$761,$H81,Dati!$A$2:$A$761,$AC81),"-")</f>
        <v/>
      </c>
      <c r="BV81" s="22">
        <f>IF(AND($H81&lt;&gt;"",$AD81&lt;&gt;"",$H81&lt;&gt;$AD81,IFERROR(VLOOKUP($H81,areaCercaPuntiClassificaSquadra,3,FALSE),-1)=IFERROR(VLOOKUP($AD81,areaCercaPuntiClassificaSquadra,3,FALSE),-2)),SUMIFS(Dati!$D$2:$D$761,Dati!$A$2:$A$761,$H81,Dati!$H$2:$H$761,$AD81)+SUMIFS(Dati!$K$2:$K$761,Dati!$H$2:$H$761,$H81,Dati!$A$2:$A$761,$AD81)+SUMIFS(Dati!$C$2:$C$761,Dati!$A$2:$A$761,$H81,Dati!$H$2:$H$761,$AD81)+SUMIFS(Dati!$J$2:$J$761,Dati!$H$2:$H$761,$H81,Dati!$A$2:$A$761,$AD81),"-")</f>
        <v/>
      </c>
      <c r="BW81" s="22">
        <f>IF(AND($H81&lt;&gt;"",$AE81&lt;&gt;"",$H81&lt;&gt;$AE81,IFERROR(VLOOKUP($H81,areaCercaPuntiClassificaSquadra,3,FALSE),-1)=IFERROR(VLOOKUP($AE81,areaCercaPuntiClassificaSquadra,3,FALSE),-2)),SUMIFS(Dati!$D$2:$D$761,Dati!$A$2:$A$761,$H81,Dati!$H$2:$H$761,$AE81)+SUMIFS(Dati!$K$2:$K$761,Dati!$H$2:$H$761,$H81,Dati!$A$2:$A$761,$AE81)+SUMIFS(Dati!$C$2:$C$761,Dati!$A$2:$A$761,$H81,Dati!$H$2:$H$761,$AE81)+SUMIFS(Dati!$J$2:$J$761,Dati!$H$2:$H$761,$H81,Dati!$A$2:$A$761,$AE81),"-")</f>
        <v/>
      </c>
      <c r="BX81" s="22">
        <f>IF(AND($H81&lt;&gt;"",$AF81&lt;&gt;"",$H81&lt;&gt;$AF81,IFERROR(VLOOKUP($H81,areaCercaPuntiClassificaSquadra,3,FALSE),-1)=IFERROR(VLOOKUP($AF81,areaCercaPuntiClassificaSquadra,3,FALSE),-2)),SUMIFS(Dati!$D$2:$D$761,Dati!$A$2:$A$761,$H81,Dati!$H$2:$H$761,$AF81)+SUMIFS(Dati!$K$2:$K$761,Dati!$H$2:$H$761,$H81,Dati!$A$2:$A$761,$AF81)+SUMIFS(Dati!$C$2:$C$761,Dati!$A$2:$A$761,$H81,Dati!$H$2:$H$761,$AF81)+SUMIFS(Dati!$J$2:$J$761,Dati!$H$2:$H$761,$H81,Dati!$A$2:$A$761,$AF81),"-")</f>
        <v/>
      </c>
      <c r="BY81" s="22">
        <f>IF(AND($H81&lt;&gt;"",$AG81&lt;&gt;"",$H81&lt;&gt;$AG81,IFERROR(VLOOKUP($H81,areaCercaPuntiClassificaSquadra,3,FALSE),-1)=IFERROR(VLOOKUP($AG81,areaCercaPuntiClassificaSquadra,3,FALSE),-2)),SUMIFS(Dati!$D$2:$D$761,Dati!$A$2:$A$761,$H81,Dati!$H$2:$H$761,$AG81)+SUMIFS(Dati!$K$2:$K$761,Dati!$H$2:$H$761,$H81,Dati!$A$2:$A$761,$AG81)+SUMIFS(Dati!$C$2:$C$761,Dati!$A$2:$A$761,$H81,Dati!$H$2:$H$761,$AG81)+SUMIFS(Dati!$J$2:$J$761,Dati!$H$2:$H$761,$H81,Dati!$A$2:$A$761,$AG81),"-")</f>
        <v/>
      </c>
      <c r="BZ81" s="22">
        <f>IF(AND($H81&lt;&gt;"",$AH81&lt;&gt;"",$H81&lt;&gt;$AH81,IFERROR(VLOOKUP($H81,areaCercaPuntiClassificaSquadra,3,FALSE),-1)=IFERROR(VLOOKUP($AH81,areaCercaPuntiClassificaSquadra,3,FALSE),-2)),SUMIFS(Dati!$D$2:$D$761,Dati!$A$2:$A$761,$H81,Dati!$H$2:$H$761,$AH81)+SUMIFS(Dati!$K$2:$K$761,Dati!$H$2:$H$761,$H81,Dati!$A$2:$A$761,$AH81)+SUMIFS(Dati!$C$2:$C$761,Dati!$A$2:$A$761,$H81,Dati!$H$2:$H$761,$AH81)+SUMIFS(Dati!$J$2:$J$761,Dati!$H$2:$H$761,$H81,Dati!$A$2:$A$761,$AH81),"-")</f>
        <v/>
      </c>
      <c r="CA81" s="22">
        <f>IF(AND($H81&lt;&gt;"",$AI81&lt;&gt;"",$H81&lt;&gt;$AI81,IFERROR(VLOOKUP($H81,areaCercaPuntiClassificaSquadra,3,FALSE),-1)=IFERROR(VLOOKUP($AI81,areaCercaPuntiClassificaSquadra,3,FALSE),-2)),SUMIFS(Dati!$D$2:$D$761,Dati!$A$2:$A$761,$H81,Dati!$H$2:$H$761,$AI81)+SUMIFS(Dati!$K$2:$K$761,Dati!$H$2:$H$761,$H81,Dati!$A$2:$A$761,$AI81)+SUMIFS(Dati!$C$2:$C$761,Dati!$A$2:$A$761,$H81,Dati!$H$2:$H$761,$AI81)+SUMIFS(Dati!$J$2:$J$761,Dati!$H$2:$H$761,$H81,Dati!$A$2:$A$761,$AI81),"-")</f>
        <v/>
      </c>
      <c r="CB81" s="22">
        <f>IF(AND($H81&lt;&gt;"",$AJ81&lt;&gt;"",$H81&lt;&gt;$AJ81,IFERROR(VLOOKUP($H81,areaCercaPuntiClassificaSquadra,3,FALSE),-1)=IFERROR(VLOOKUP($AJ81,areaCercaPuntiClassificaSquadra,3,FALSE),-2)),SUMIFS(Dati!$D$2:$D$761,Dati!$A$2:$A$761,$H81,Dati!$H$2:$H$761,$AJ81)+SUMIFS(Dati!$K$2:$K$761,Dati!$H$2:$H$761,$H81,Dati!$A$2:$A$761,$AJ81)+SUMIFS(Dati!$C$2:$C$761,Dati!$A$2:$A$761,$H81,Dati!$H$2:$H$761,$AJ81)+SUMIFS(Dati!$J$2:$J$761,Dati!$H$2:$H$761,$H81,Dati!$A$2:$A$761,$AJ81),"-")</f>
        <v/>
      </c>
      <c r="CC81" s="22">
        <f>IF(AND($H81&lt;&gt;"",$AK81&lt;&gt;"",$H81&lt;&gt;$AK81,IFERROR(VLOOKUP($H81,areaCercaPuntiClassificaSquadra,3,FALSE),-1)=IFERROR(VLOOKUP($AK81,areaCercaPuntiClassificaSquadra,3,FALSE),-2)),SUMIFS(Dati!$D$2:$D$761,Dati!$A$2:$A$761,$H81,Dati!$H$2:$H$761,$AK81)+SUMIFS(Dati!$K$2:$K$761,Dati!$H$2:$H$761,$H81,Dati!$A$2:$A$761,$AK81)+SUMIFS(Dati!$C$2:$C$761,Dati!$A$2:$A$761,$H81,Dati!$H$2:$H$761,$AK81)+SUMIFS(Dati!$J$2:$J$761,Dati!$H$2:$H$761,$H81,Dati!$A$2:$A$761,$AK81),"-")</f>
        <v/>
      </c>
      <c r="CD81" s="22">
        <f>IF(AND($H81&lt;&gt;"",$AL81&lt;&gt;"",$H81&lt;&gt;$AL81,IFERROR(VLOOKUP($H81,areaCercaPuntiClassificaSquadra,3,FALSE),-1)=IFERROR(VLOOKUP($AL81,areaCercaPuntiClassificaSquadra,3,FALSE),-2)),SUMIFS(Dati!$D$2:$D$761,Dati!$A$2:$A$761,$H81,Dati!$H$2:$H$761,$AL81)+SUMIFS(Dati!$K$2:$K$761,Dati!$H$2:$H$761,$H81,Dati!$A$2:$A$761,$AL81)+SUMIFS(Dati!$C$2:$C$761,Dati!$A$2:$A$761,$H81,Dati!$H$2:$H$761,$AL81)+SUMIFS(Dati!$J$2:$J$761,Dati!$H$2:$H$761,$H81,Dati!$A$2:$A$761,$AL81),"-")</f>
        <v/>
      </c>
      <c r="CE81" s="22">
        <f>IF(AND($H81&lt;&gt;"",$AM81&lt;&gt;"",$H81&lt;&gt;$AM81,IFERROR(VLOOKUP($H81,areaCercaPuntiClassificaSquadra,3,FALSE),-1)=IFERROR(VLOOKUP($AM81,areaCercaPuntiClassificaSquadra,3,FALSE),-2)),SUMIFS(Dati!$D$2:$D$761,Dati!$A$2:$A$761,$H81,Dati!$H$2:$H$761,$AM81)+SUMIFS(Dati!$K$2:$K$761,Dati!$H$2:$H$761,$H81,Dati!$A$2:$A$761,$AM81)+SUMIFS(Dati!$C$2:$C$761,Dati!$A$2:$A$761,$H81,Dati!$H$2:$H$761,$AM81)+SUMIFS(Dati!$J$2:$J$761,Dati!$H$2:$H$761,$H81,Dati!$A$2:$A$761,$AM81),"-")</f>
        <v/>
      </c>
      <c r="CF81" s="22">
        <f>IF(AND($H81&lt;&gt;"",$AN81&lt;&gt;"",$H81&lt;&gt;$AN81,IFERROR(VLOOKUP($H81,areaCercaPuntiClassificaSquadra,3,FALSE),-1)=IFERROR(VLOOKUP($AN81,areaCercaPuntiClassificaSquadra,3,FALSE),-2)),SUMIFS(Dati!$D$2:$D$761,Dati!$A$2:$A$761,$H81,Dati!$H$2:$H$761,$AN81)+SUMIFS(Dati!$K$2:$K$761,Dati!$H$2:$H$761,$H81,Dati!$A$2:$A$761,$AN81)+SUMIFS(Dati!$C$2:$C$761,Dati!$A$2:$A$761,$H81,Dati!$H$2:$H$761,$AN81)+SUMIFS(Dati!$J$2:$J$761,Dati!$H$2:$H$761,$H81,Dati!$A$2:$A$761,$AN81),"-")</f>
        <v/>
      </c>
      <c r="CG81" s="22">
        <f>IF(AND($H81&lt;&gt;"",$AO81&lt;&gt;"",$H81&lt;&gt;$AO81,IFERROR(VLOOKUP($H81,areaCercaPuntiClassificaSquadra,3,FALSE),-1)=IFERROR(VLOOKUP($AO81,areaCercaPuntiClassificaSquadra,3,FALSE),-2)),SUMIFS(Dati!$D$2:$D$761,Dati!$A$2:$A$761,$H81,Dati!$H$2:$H$761,$AO81)+SUMIFS(Dati!$K$2:$K$761,Dati!$H$2:$H$761,$H81,Dati!$A$2:$A$761,$AO81)+SUMIFS(Dati!$C$2:$C$761,Dati!$A$2:$A$761,$H81,Dati!$H$2:$H$761,$AO81)+SUMIFS(Dati!$J$2:$J$761,Dati!$H$2:$H$761,$H81,Dati!$A$2:$A$761,$AO81),"-")</f>
        <v/>
      </c>
      <c r="CH81" s="22">
        <f>IF(AND($H81&lt;&gt;"",$AP81&lt;&gt;"",$H81&lt;&gt;$AP81,IFERROR(VLOOKUP($H81,areaCercaPuntiClassificaSquadra,3,FALSE),-1)=IFERROR(VLOOKUP($AP81,areaCercaPuntiClassificaSquadra,3,FALSE),-2)),SUMIFS(Dati!$D$2:$D$761,Dati!$A$2:$A$761,$H81,Dati!$H$2:$H$761,$AP81)+SUMIFS(Dati!$K$2:$K$761,Dati!$H$2:$H$761,$H81,Dati!$A$2:$A$761,$AP81)+SUMIFS(Dati!$C$2:$C$761,Dati!$A$2:$A$761,$H81,Dati!$H$2:$H$761,$AP81)+SUMIFS(Dati!$J$2:$J$761,Dati!$H$2:$H$761,$H81,Dati!$A$2:$A$761,$AP81),"-")</f>
        <v/>
      </c>
      <c r="CI81" s="22">
        <f>IF(AND($H81&lt;&gt;"",$AQ81&lt;&gt;"",$H81&lt;&gt;$AQ81,IFERROR(VLOOKUP($H81,areaCercaPuntiClassificaSquadra,3,FALSE),-1)=IFERROR(VLOOKUP($AQ81,areaCercaPuntiClassificaSquadra,3,FALSE),-2)),SUMIFS(Dati!$D$2:$D$761,Dati!$A$2:$A$761,$H81,Dati!$H$2:$H$761,$AQ81)+SUMIFS(Dati!$K$2:$K$761,Dati!$H$2:$H$761,$H81,Dati!$A$2:$A$761,$AQ81)+SUMIFS(Dati!$C$2:$C$761,Dati!$A$2:$A$761,$H81,Dati!$H$2:$H$761,$AQ81)+SUMIFS(Dati!$J$2:$J$761,Dati!$H$2:$H$761,$H81,Dati!$A$2:$A$761,$AQ81),"-")</f>
        <v/>
      </c>
      <c r="CJ81" s="22">
        <f>IF(AND($H81&lt;&gt;"",$AR81&lt;&gt;"",$H81&lt;&gt;$AR81,IFERROR(VLOOKUP($H81,areaCercaPuntiClassificaSquadra,3,FALSE),-1)=IFERROR(VLOOKUP($AR81,areaCercaPuntiClassificaSquadra,3,FALSE),-2)),SUMIFS(Dati!$D$2:$D$761,Dati!$A$2:$A$761,$H81,Dati!$H$2:$H$761,$AR81)+SUMIFS(Dati!$K$2:$K$761,Dati!$H$2:$H$761,$H81,Dati!$A$2:$A$761,$AR81)+SUMIFS(Dati!$C$2:$C$761,Dati!$A$2:$A$761,$H81,Dati!$H$2:$H$761,$AR81)+SUMIFS(Dati!$J$2:$J$761,Dati!$H$2:$H$761,$H81,Dati!$A$2:$A$761,$AR81),"-")</f>
        <v/>
      </c>
      <c r="CL81" s="21">
        <f>$C81</f>
        <v/>
      </c>
      <c r="CM81" s="22">
        <f>IF(AND($H81&lt;&gt;"",$Y81&lt;&gt;"",$H81&lt;&gt;$Y81,IFERROR(VLOOKUP($H81,areaCercaPuntiClassificaSquadra,3,FALSE),-1)=IFERROR(VLOOKUP($Y81,areaCercaPuntiClassificaSquadra,3,FALSE),-2)),SUMIFS(Dati!$E$2:$E$761,Dati!$A$2:$A$761,$H81,Dati!$H$2:$H$761,$Y81)+SUMIFS(Dati!$L$2:$L$761,Dati!$H$2:$H$761,$H81,Dati!$A$2:$A$761,$Y81),"-")</f>
        <v/>
      </c>
      <c r="CN81" s="22">
        <f>IF(AND($H81&lt;&gt;"",$Z81&lt;&gt;"",$H81&lt;&gt;$Z81,IFERROR(VLOOKUP($H81,areaCercaPuntiClassificaSquadra,3,FALSE),-1)=IFERROR(VLOOKUP($Z81,areaCercaPuntiClassificaSquadra,3,FALSE),-2)),SUMIFS(Dati!$E$2:$E$761,Dati!$A$2:$A$761,$H81,Dati!$H$2:$H$761,$Z81)+SUMIFS(Dati!$L$2:$L$761,Dati!$H$2:$H$761,$H81,Dati!$A$2:$A$761,$Z81),"-")</f>
        <v/>
      </c>
      <c r="CO81" s="22">
        <f>IF(AND($H81&lt;&gt;"",$AA81&lt;&gt;"",$H81&lt;&gt;$AA81,IFERROR(VLOOKUP($H81,areaCercaPuntiClassificaSquadra,3,FALSE),-1)=IFERROR(VLOOKUP($AA81,areaCercaPuntiClassificaSquadra,3,FALSE),-2)),SUMIFS(Dati!$E$2:$E$761,Dati!$A$2:$A$761,$H81,Dati!$H$2:$H$761,$AA81)+SUMIFS(Dati!$L$2:$L$761,Dati!$H$2:$H$761,$H81,Dati!$A$2:$A$761,$AA81),"-")</f>
        <v/>
      </c>
      <c r="CP81" s="22">
        <f>IF(AND($H81&lt;&gt;"",$AB81&lt;&gt;"",$H81&lt;&gt;$AB81,IFERROR(VLOOKUP($H81,areaCercaPuntiClassificaSquadra,3,FALSE),-1)=IFERROR(VLOOKUP($AB81,areaCercaPuntiClassificaSquadra,3,FALSE),-2)),SUMIFS(Dati!$E$2:$E$761,Dati!$A$2:$A$761,$H81,Dati!$H$2:$H$761,$AB81)+SUMIFS(Dati!$L$2:$L$761,Dati!$H$2:$H$761,$H81,Dati!$A$2:$A$761,$AB81),"-")</f>
        <v/>
      </c>
      <c r="CQ81" s="22">
        <f>IF(AND($H81&lt;&gt;"",$AC81&lt;&gt;"",$H81&lt;&gt;$AC81,IFERROR(VLOOKUP($H81,areaCercaPuntiClassificaSquadra,3,FALSE),-1)=IFERROR(VLOOKUP($AC81,areaCercaPuntiClassificaSquadra,3,FALSE),-2)),SUMIFS(Dati!$E$2:$E$761,Dati!$A$2:$A$761,$H81,Dati!$H$2:$H$761,$AC81)+SUMIFS(Dati!$L$2:$L$761,Dati!$H$2:$H$761,$H81,Dati!$A$2:$A$761,$AC81),"-")</f>
        <v/>
      </c>
      <c r="CR81" s="22">
        <f>IF(AND($H81&lt;&gt;"",$AD81&lt;&gt;"",$H81&lt;&gt;$AD81,IFERROR(VLOOKUP($H81,areaCercaPuntiClassificaSquadra,3,FALSE),-1)=IFERROR(VLOOKUP($AD81,areaCercaPuntiClassificaSquadra,3,FALSE),-2)),SUMIFS(Dati!$E$2:$E$761,Dati!$A$2:$A$761,$H81,Dati!$H$2:$H$761,$AD81)+SUMIFS(Dati!$L$2:$L$761,Dati!$H$2:$H$761,$H81,Dati!$A$2:$A$761,$AD81),"-")</f>
        <v/>
      </c>
      <c r="CS81" s="22">
        <f>IF(AND($H81&lt;&gt;"",$AE81&lt;&gt;"",$H81&lt;&gt;$AE81,IFERROR(VLOOKUP($H81,areaCercaPuntiClassificaSquadra,3,FALSE),-1)=IFERROR(VLOOKUP($AE81,areaCercaPuntiClassificaSquadra,3,FALSE),-2)),SUMIFS(Dati!$E$2:$E$761,Dati!$A$2:$A$761,$H81,Dati!$H$2:$H$761,$AE81)+SUMIFS(Dati!$L$2:$L$761,Dati!$H$2:$H$761,$H81,Dati!$A$2:$A$761,$AE81),"-")</f>
        <v/>
      </c>
      <c r="CT81" s="22">
        <f>IF(AND($H81&lt;&gt;"",$AF81&lt;&gt;"",$H81&lt;&gt;$AF81,IFERROR(VLOOKUP($H81,areaCercaPuntiClassificaSquadra,3,FALSE),-1)=IFERROR(VLOOKUP($AF81,areaCercaPuntiClassificaSquadra,3,FALSE),-2)),SUMIFS(Dati!$E$2:$E$761,Dati!$A$2:$A$761,$H81,Dati!$H$2:$H$761,$AF81)+SUMIFS(Dati!$L$2:$L$761,Dati!$H$2:$H$761,$H81,Dati!$A$2:$A$761,$AF81),"-")</f>
        <v/>
      </c>
      <c r="CU81" s="22">
        <f>IF(AND($H81&lt;&gt;"",$AG81&lt;&gt;"",$H81&lt;&gt;$AG81,IFERROR(VLOOKUP($H81,areaCercaPuntiClassificaSquadra,3,FALSE),-1)=IFERROR(VLOOKUP($AG81,areaCercaPuntiClassificaSquadra,3,FALSE),-2)),SUMIFS(Dati!$E$2:$E$761,Dati!$A$2:$A$761,$H81,Dati!$H$2:$H$761,$AG81)+SUMIFS(Dati!$L$2:$L$761,Dati!$H$2:$H$761,$H81,Dati!$A$2:$A$761,$AG81),"-")</f>
        <v/>
      </c>
      <c r="CV81" s="22">
        <f>IF(AND($H81&lt;&gt;"",$AH81&lt;&gt;"",$H81&lt;&gt;$AH81,IFERROR(VLOOKUP($H81,areaCercaPuntiClassificaSquadra,3,FALSE),-1)=IFERROR(VLOOKUP($AH81,areaCercaPuntiClassificaSquadra,3,FALSE),-2)),SUMIFS(Dati!$E$2:$E$761,Dati!$A$2:$A$761,$H81,Dati!$H$2:$H$761,$AH81)+SUMIFS(Dati!$L$2:$L$761,Dati!$H$2:$H$761,$H81,Dati!$A$2:$A$761,$AH81),"-")</f>
        <v/>
      </c>
      <c r="CW81" s="22">
        <f>IF(AND($H81&lt;&gt;"",$AI81&lt;&gt;"",$H81&lt;&gt;$AI81,IFERROR(VLOOKUP($H81,areaCercaPuntiClassificaSquadra,3,FALSE),-1)=IFERROR(VLOOKUP($AI81,areaCercaPuntiClassificaSquadra,3,FALSE),-2)),SUMIFS(Dati!$E$2:$E$761,Dati!$A$2:$A$761,$H81,Dati!$H$2:$H$761,$AI81)+SUMIFS(Dati!$L$2:$L$761,Dati!$H$2:$H$761,$H81,Dati!$A$2:$A$761,$AI81),"-")</f>
        <v/>
      </c>
      <c r="CX81" s="22">
        <f>IF(AND($H81&lt;&gt;"",$AJ81&lt;&gt;"",$H81&lt;&gt;$AJ81,IFERROR(VLOOKUP($H81,areaCercaPuntiClassificaSquadra,3,FALSE),-1)=IFERROR(VLOOKUP($AJ81,areaCercaPuntiClassificaSquadra,3,FALSE),-2)),SUMIFS(Dati!$E$2:$E$761,Dati!$A$2:$A$761,$H81,Dati!$H$2:$H$761,$AJ81)+SUMIFS(Dati!$L$2:$L$761,Dati!$H$2:$H$761,$H81,Dati!$A$2:$A$761,$AJ81),"-")</f>
        <v/>
      </c>
      <c r="CY81" s="22">
        <f>IF(AND($H81&lt;&gt;"",$AK81&lt;&gt;"",$H81&lt;&gt;$AK81,IFERROR(VLOOKUP($H81,areaCercaPuntiClassificaSquadra,3,FALSE),-1)=IFERROR(VLOOKUP($AK81,areaCercaPuntiClassificaSquadra,3,FALSE),-2)),SUMIFS(Dati!$E$2:$E$761,Dati!$A$2:$A$761,$H81,Dati!$H$2:$H$761,$AK81)+SUMIFS(Dati!$L$2:$L$761,Dati!$H$2:$H$761,$H81,Dati!$A$2:$A$761,$AK81),"-")</f>
        <v/>
      </c>
      <c r="CZ81" s="22">
        <f>IF(AND($H81&lt;&gt;"",$AL81&lt;&gt;"",$H81&lt;&gt;$AL81,IFERROR(VLOOKUP($H81,areaCercaPuntiClassificaSquadra,3,FALSE),-1)=IFERROR(VLOOKUP($AL81,areaCercaPuntiClassificaSquadra,3,FALSE),-2)),SUMIFS(Dati!$E$2:$E$761,Dati!$A$2:$A$761,$H81,Dati!$H$2:$H$761,$AL81)+SUMIFS(Dati!$L$2:$L$761,Dati!$H$2:$H$761,$H81,Dati!$A$2:$A$761,$AL81),"-")</f>
        <v/>
      </c>
      <c r="DA81" s="22">
        <f>IF(AND($H81&lt;&gt;"",$AM81&lt;&gt;"",$H81&lt;&gt;$AM81,IFERROR(VLOOKUP($H81,areaCercaPuntiClassificaSquadra,3,FALSE),-1)=IFERROR(VLOOKUP($AM81,areaCercaPuntiClassificaSquadra,3,FALSE),-2)),SUMIFS(Dati!$E$2:$E$761,Dati!$A$2:$A$761,$H81,Dati!$H$2:$H$761,$AM81)+SUMIFS(Dati!$L$2:$L$761,Dati!$H$2:$H$761,$H81,Dati!$A$2:$A$761,$AM81),"-")</f>
        <v/>
      </c>
      <c r="DB81" s="22">
        <f>IF(AND($H81&lt;&gt;"",$AN81&lt;&gt;"",$H81&lt;&gt;$AN81,IFERROR(VLOOKUP($H81,areaCercaPuntiClassificaSquadra,3,FALSE),-1)=IFERROR(VLOOKUP($AN81,areaCercaPuntiClassificaSquadra,3,FALSE),-2)),SUMIFS(Dati!$E$2:$E$761,Dati!$A$2:$A$761,$H81,Dati!$H$2:$H$761,$AN81)+SUMIFS(Dati!$L$2:$L$761,Dati!$H$2:$H$761,$H81,Dati!$A$2:$A$761,$AN81),"-")</f>
        <v/>
      </c>
      <c r="DC81" s="22">
        <f>IF(AND($H81&lt;&gt;"",$AO81&lt;&gt;"",$H81&lt;&gt;$AO81,IFERROR(VLOOKUP($H81,areaCercaPuntiClassificaSquadra,3,FALSE),-1)=IFERROR(VLOOKUP($AO81,areaCercaPuntiClassificaSquadra,3,FALSE),-2)),SUMIFS(Dati!$E$2:$E$761,Dati!$A$2:$A$761,$H81,Dati!$H$2:$H$761,$AO81)+SUMIFS(Dati!$L$2:$L$761,Dati!$H$2:$H$761,$H81,Dati!$A$2:$A$761,$AO81),"-")</f>
        <v/>
      </c>
      <c r="DD81" s="22">
        <f>IF(AND($H81&lt;&gt;"",$AP81&lt;&gt;"",$H81&lt;&gt;$AP81,IFERROR(VLOOKUP($H81,areaCercaPuntiClassificaSquadra,3,FALSE),-1)=IFERROR(VLOOKUP($AP81,areaCercaPuntiClassificaSquadra,3,FALSE),-2)),SUMIFS(Dati!$E$2:$E$761,Dati!$A$2:$A$761,$H81,Dati!$H$2:$H$761,$AP81)+SUMIFS(Dati!$L$2:$L$761,Dati!$H$2:$H$761,$H81,Dati!$A$2:$A$761,$AP81),"-")</f>
        <v/>
      </c>
      <c r="DE81" s="22">
        <f>IF(AND($H81&lt;&gt;"",$AQ81&lt;&gt;"",$H81&lt;&gt;$AQ81,IFERROR(VLOOKUP($H81,areaCercaPuntiClassificaSquadra,3,FALSE),-1)=IFERROR(VLOOKUP($AQ81,areaCercaPuntiClassificaSquadra,3,FALSE),-2)),SUMIFS(Dati!$E$2:$E$761,Dati!$A$2:$A$761,$H81,Dati!$H$2:$H$761,$AQ81)+SUMIFS(Dati!$L$2:$L$761,Dati!$H$2:$H$761,$H81,Dati!$A$2:$A$761,$AQ81),"-")</f>
        <v/>
      </c>
      <c r="DF81" s="22">
        <f>IF(AND($H81&lt;&gt;"",$AR81&lt;&gt;"",$H81&lt;&gt;$AR81,IFERROR(VLOOKUP($H81,areaCercaPuntiClassificaSquadra,3,FALSE),-1)=IFERROR(VLOOKUP($AR81,areaCercaPuntiClassificaSquadra,3,FALSE),-2)),SUMIFS(Dati!$E$2:$E$761,Dati!$A$2:$A$761,$H81,Dati!$H$2:$H$761,$AR81)+SUMIFS(Dati!$L$2:$L$761,Dati!$H$2:$H$761,$H81,Dati!$A$2:$A$761,$AR81),"-")</f>
        <v/>
      </c>
      <c r="DH81" s="21">
        <f>$C81</f>
        <v/>
      </c>
      <c r="DI81" s="22">
        <f>IF(AND($H81&lt;&gt;"",$Y81&lt;&gt;"",$H81&lt;&gt;$Y81,IFERROR(VLOOKUP($H81,areaCercaPuntiClassificaSquadra,3,FALSE),-1)=IFERROR(VLOOKUP($Y81,areaCercaPuntiClassificaSquadra,3,FALSE),-2)),SUMIFS(Dati!$F$2:$F$761,Dati!$A$2:$A$761,$H81,Dati!$H$2:$H$761,$Y81)+SUMIFS(Dati!$M$2:$M$761,Dati!$H$2:$H$761,$H81,Dati!$A$2:$A$761,$Y81),"-")</f>
        <v/>
      </c>
      <c r="DJ81" s="22">
        <f>IF(AND($H81&lt;&gt;"",$Z81&lt;&gt;"",$H81&lt;&gt;$Z81,IFERROR(VLOOKUP($H81,areaCercaPuntiClassificaSquadra,3,FALSE),-1)=IFERROR(VLOOKUP($Z81,areaCercaPuntiClassificaSquadra,3,FALSE),-2)),SUMIFS(Dati!$F$2:$F$761,Dati!$A$2:$A$761,$H81,Dati!$H$2:$H$761,$Z81)+SUMIFS(Dati!$M$2:$M$761,Dati!$H$2:$H$761,$H81,Dati!$A$2:$A$761,$Z81),"-")</f>
        <v/>
      </c>
      <c r="DK81" s="22">
        <f>IF(AND($H81&lt;&gt;"",$AA81&lt;&gt;"",$H81&lt;&gt;$AA81,IFERROR(VLOOKUP($H81,areaCercaPuntiClassificaSquadra,3,FALSE),-1)=IFERROR(VLOOKUP($AA81,areaCercaPuntiClassificaSquadra,3,FALSE),-2)),SUMIFS(Dati!$F$2:$F$761,Dati!$A$2:$A$761,$H81,Dati!$H$2:$H$761,$AA81)+SUMIFS(Dati!$M$2:$M$761,Dati!$H$2:$H$761,$H81,Dati!$A$2:$A$761,$AA81),"-")</f>
        <v/>
      </c>
      <c r="DL81" s="22">
        <f>IF(AND($H81&lt;&gt;"",$AB81&lt;&gt;"",$H81&lt;&gt;$AB81,IFERROR(VLOOKUP($H81,areaCercaPuntiClassificaSquadra,3,FALSE),-1)=IFERROR(VLOOKUP($AB81,areaCercaPuntiClassificaSquadra,3,FALSE),-2)),SUMIFS(Dati!$F$2:$F$761,Dati!$A$2:$A$761,$H81,Dati!$H$2:$H$761,$AB81)+SUMIFS(Dati!$M$2:$M$761,Dati!$H$2:$H$761,$H81,Dati!$A$2:$A$761,$AB81),"-")</f>
        <v/>
      </c>
      <c r="DM81" s="22">
        <f>IF(AND($H81&lt;&gt;"",$AC81&lt;&gt;"",$H81&lt;&gt;$AC81,IFERROR(VLOOKUP($H81,areaCercaPuntiClassificaSquadra,3,FALSE),-1)=IFERROR(VLOOKUP($AC81,areaCercaPuntiClassificaSquadra,3,FALSE),-2)),SUMIFS(Dati!$F$2:$F$761,Dati!$A$2:$A$761,$H81,Dati!$H$2:$H$761,$AC81)+SUMIFS(Dati!$M$2:$M$761,Dati!$H$2:$H$761,$H81,Dati!$A$2:$A$761,$AC81),"-")</f>
        <v/>
      </c>
      <c r="DN81" s="22">
        <f>IF(AND($H81&lt;&gt;"",$AD81&lt;&gt;"",$H81&lt;&gt;$AD81,IFERROR(VLOOKUP($H81,areaCercaPuntiClassificaSquadra,3,FALSE),-1)=IFERROR(VLOOKUP($AD81,areaCercaPuntiClassificaSquadra,3,FALSE),-2)),SUMIFS(Dati!$F$2:$F$761,Dati!$A$2:$A$761,$H81,Dati!$H$2:$H$761,$AD81)+SUMIFS(Dati!$M$2:$M$761,Dati!$H$2:$H$761,$H81,Dati!$A$2:$A$761,$AD81),"-")</f>
        <v/>
      </c>
      <c r="DO81" s="22">
        <f>IF(AND($H81&lt;&gt;"",$AE81&lt;&gt;"",$H81&lt;&gt;$AE81,IFERROR(VLOOKUP($H81,areaCercaPuntiClassificaSquadra,3,FALSE),-1)=IFERROR(VLOOKUP($AE81,areaCercaPuntiClassificaSquadra,3,FALSE),-2)),SUMIFS(Dati!$F$2:$F$761,Dati!$A$2:$A$761,$H81,Dati!$H$2:$H$761,$AE81)+SUMIFS(Dati!$M$2:$M$761,Dati!$H$2:$H$761,$H81,Dati!$A$2:$A$761,$AE81),"-")</f>
        <v/>
      </c>
      <c r="DP81" s="22">
        <f>IF(AND($H81&lt;&gt;"",$AF81&lt;&gt;"",$H81&lt;&gt;$AF81,IFERROR(VLOOKUP($H81,areaCercaPuntiClassificaSquadra,3,FALSE),-1)=IFERROR(VLOOKUP($AF81,areaCercaPuntiClassificaSquadra,3,FALSE),-2)),SUMIFS(Dati!$F$2:$F$761,Dati!$A$2:$A$761,$H81,Dati!$H$2:$H$761,$AF81)+SUMIFS(Dati!$M$2:$M$761,Dati!$H$2:$H$761,$H81,Dati!$A$2:$A$761,$AF81),"-")</f>
        <v/>
      </c>
      <c r="DQ81" s="22">
        <f>IF(AND($H81&lt;&gt;"",$AG81&lt;&gt;"",$H81&lt;&gt;$AG81,IFERROR(VLOOKUP($H81,areaCercaPuntiClassificaSquadra,3,FALSE),-1)=IFERROR(VLOOKUP($AG81,areaCercaPuntiClassificaSquadra,3,FALSE),-2)),SUMIFS(Dati!$F$2:$F$761,Dati!$A$2:$A$761,$H81,Dati!$H$2:$H$761,$AG81)+SUMIFS(Dati!$M$2:$M$761,Dati!$H$2:$H$761,$H81,Dati!$A$2:$A$761,$AG81),"-")</f>
        <v/>
      </c>
      <c r="DR81" s="22">
        <f>IF(AND($H81&lt;&gt;"",$AH81&lt;&gt;"",$H81&lt;&gt;$AH81,IFERROR(VLOOKUP($H81,areaCercaPuntiClassificaSquadra,3,FALSE),-1)=IFERROR(VLOOKUP($AH81,areaCercaPuntiClassificaSquadra,3,FALSE),-2)),SUMIFS(Dati!$F$2:$F$761,Dati!$A$2:$A$761,$H81,Dati!$H$2:$H$761,$AH81)+SUMIFS(Dati!$M$2:$M$761,Dati!$H$2:$H$761,$H81,Dati!$A$2:$A$761,$AH81),"-")</f>
        <v/>
      </c>
      <c r="DS81" s="22">
        <f>IF(AND($H81&lt;&gt;"",$AI81&lt;&gt;"",$H81&lt;&gt;$AI81,IFERROR(VLOOKUP($H81,areaCercaPuntiClassificaSquadra,3,FALSE),-1)=IFERROR(VLOOKUP($AI81,areaCercaPuntiClassificaSquadra,3,FALSE),-2)),SUMIFS(Dati!$F$2:$F$761,Dati!$A$2:$A$761,$H81,Dati!$H$2:$H$761,$AI81)+SUMIFS(Dati!$M$2:$M$761,Dati!$H$2:$H$761,$H81,Dati!$A$2:$A$761,$AI81),"-")</f>
        <v/>
      </c>
      <c r="DT81" s="22">
        <f>IF(AND($H81&lt;&gt;"",$AJ81&lt;&gt;"",$H81&lt;&gt;$AJ81,IFERROR(VLOOKUP($H81,areaCercaPuntiClassificaSquadra,3,FALSE),-1)=IFERROR(VLOOKUP($AJ81,areaCercaPuntiClassificaSquadra,3,FALSE),-2)),SUMIFS(Dati!$F$2:$F$761,Dati!$A$2:$A$761,$H81,Dati!$H$2:$H$761,$AJ81)+SUMIFS(Dati!$M$2:$M$761,Dati!$H$2:$H$761,$H81,Dati!$A$2:$A$761,$AJ81),"-")</f>
        <v/>
      </c>
      <c r="DU81" s="22">
        <f>IF(AND($H81&lt;&gt;"",$AK81&lt;&gt;"",$H81&lt;&gt;$AK81,IFERROR(VLOOKUP($H81,areaCercaPuntiClassificaSquadra,3,FALSE),-1)=IFERROR(VLOOKUP($AK81,areaCercaPuntiClassificaSquadra,3,FALSE),-2)),SUMIFS(Dati!$F$2:$F$761,Dati!$A$2:$A$761,$H81,Dati!$H$2:$H$761,$AK81)+SUMIFS(Dati!$M$2:$M$761,Dati!$H$2:$H$761,$H81,Dati!$A$2:$A$761,$AK81),"-")</f>
        <v/>
      </c>
      <c r="DV81" s="22">
        <f>IF(AND($H81&lt;&gt;"",$AL81&lt;&gt;"",$H81&lt;&gt;$AL81,IFERROR(VLOOKUP($H81,areaCercaPuntiClassificaSquadra,3,FALSE),-1)=IFERROR(VLOOKUP($AL81,areaCercaPuntiClassificaSquadra,3,FALSE),-2)),SUMIFS(Dati!$F$2:$F$761,Dati!$A$2:$A$761,$H81,Dati!$H$2:$H$761,$AL81)+SUMIFS(Dati!$M$2:$M$761,Dati!$H$2:$H$761,$H81,Dati!$A$2:$A$761,$AL81),"-")</f>
        <v/>
      </c>
      <c r="DW81" s="22">
        <f>IF(AND($H81&lt;&gt;"",$AM81&lt;&gt;"",$H81&lt;&gt;$AM81,IFERROR(VLOOKUP($H81,areaCercaPuntiClassificaSquadra,3,FALSE),-1)=IFERROR(VLOOKUP($AM81,areaCercaPuntiClassificaSquadra,3,FALSE),-2)),SUMIFS(Dati!$F$2:$F$761,Dati!$A$2:$A$761,$H81,Dati!$H$2:$H$761,$AM81)+SUMIFS(Dati!$M$2:$M$761,Dati!$H$2:$H$761,$H81,Dati!$A$2:$A$761,$AM81),"-")</f>
        <v/>
      </c>
      <c r="DX81" s="22">
        <f>IF(AND($H81&lt;&gt;"",$AN81&lt;&gt;"",$H81&lt;&gt;$AN81,IFERROR(VLOOKUP($H81,areaCercaPuntiClassificaSquadra,3,FALSE),-1)=IFERROR(VLOOKUP($AN81,areaCercaPuntiClassificaSquadra,3,FALSE),-2)),SUMIFS(Dati!$F$2:$F$761,Dati!$A$2:$A$761,$H81,Dati!$H$2:$H$761,$AN81)+SUMIFS(Dati!$M$2:$M$761,Dati!$H$2:$H$761,$H81,Dati!$A$2:$A$761,$AN81),"-")</f>
        <v/>
      </c>
      <c r="DY81" s="22">
        <f>IF(AND($H81&lt;&gt;"",$AO81&lt;&gt;"",$H81&lt;&gt;$AO81,IFERROR(VLOOKUP($H81,areaCercaPuntiClassificaSquadra,3,FALSE),-1)=IFERROR(VLOOKUP($AO81,areaCercaPuntiClassificaSquadra,3,FALSE),-2)),SUMIFS(Dati!$F$2:$F$761,Dati!$A$2:$A$761,$H81,Dati!$H$2:$H$761,$AO81)+SUMIFS(Dati!$M$2:$M$761,Dati!$H$2:$H$761,$H81,Dati!$A$2:$A$761,$AO81),"-")</f>
        <v/>
      </c>
      <c r="DZ81" s="22">
        <f>IF(AND($H81&lt;&gt;"",$AP81&lt;&gt;"",$H81&lt;&gt;$AP81,IFERROR(VLOOKUP($H81,areaCercaPuntiClassificaSquadra,3,FALSE),-1)=IFERROR(VLOOKUP($AP81,areaCercaPuntiClassificaSquadra,3,FALSE),-2)),SUMIFS(Dati!$F$2:$F$761,Dati!$A$2:$A$761,$H81,Dati!$H$2:$H$761,$AP81)+SUMIFS(Dati!$M$2:$M$761,Dati!$H$2:$H$761,$H81,Dati!$A$2:$A$761,$AP81),"-")</f>
        <v/>
      </c>
      <c r="EA81" s="22">
        <f>IF(AND($H81&lt;&gt;"",$AQ81&lt;&gt;"",$H81&lt;&gt;$AQ81,IFERROR(VLOOKUP($H81,areaCercaPuntiClassificaSquadra,3,FALSE),-1)=IFERROR(VLOOKUP($AQ81,areaCercaPuntiClassificaSquadra,3,FALSE),-2)),SUMIFS(Dati!$F$2:$F$761,Dati!$A$2:$A$761,$H81,Dati!$H$2:$H$761,$AQ81)+SUMIFS(Dati!$M$2:$M$761,Dati!$H$2:$H$761,$H81,Dati!$A$2:$A$761,$AQ81),"-")</f>
        <v/>
      </c>
      <c r="EB81" s="22">
        <f>IF(AND($H81&lt;&gt;"",$AR81&lt;&gt;"",$H81&lt;&gt;$AR81,IFERROR(VLOOKUP($H81,areaCercaPuntiClassificaSquadra,3,FALSE),-1)=IFERROR(VLOOKUP($AR81,areaCercaPuntiClassificaSquadra,3,FALSE),-2)),SUMIFS(Dati!$F$2:$F$761,Dati!$A$2:$A$761,$H81,Dati!$H$2:$H$761,$AR81)+SUMIFS(Dati!$M$2:$M$761,Dati!$H$2:$H$761,$H81,Dati!$A$2:$A$761,$AR81),"-")</f>
        <v/>
      </c>
      <c r="ED81" s="22">
        <f>IF($C81="","",SUM(AU81:BN81))</f>
        <v/>
      </c>
    </row>
    <row r="82">
      <c r="B82" s="12" t="inlineStr">
        <is>
          <t>D09</t>
        </is>
      </c>
      <c r="C82" s="13" t="inlineStr">
        <is>
          <t>Antilopi Audaci-Antilopiopoli AO</t>
        </is>
      </c>
      <c r="D82" s="14" t="n"/>
      <c r="E82" s="27" t="inlineStr">
        <is>
          <t>D</t>
        </is>
      </c>
      <c r="G82" s="28">
        <f>IF($C82="","",$E82&amp;(COUNTIFS(I$14:I$93,"&gt;"&amp;I82,E$14:E$93,"="&amp;E82,C$14:C$93,"&lt;&gt;")+COUNTIFS(I$14:I$93,"="&amp;I82,H$14:H$93,"&lt;="&amp;H82,E$14:E$93,"="&amp;E82,C$14:C$93,"&lt;&gt;")))</f>
        <v/>
      </c>
      <c r="H82" s="17">
        <f>IF($C82="","",IFERROR(LEFT($C82,FIND("-",$C82)-1),$C82))</f>
        <v/>
      </c>
      <c r="I82" s="12">
        <f>TEXT(1000000000+J82,"|0000000000|")&amp;TEXT(SUM(AU82:BN82),"0000000000|")&amp;IF(SUM(DI82:EB82)=0,"0000000000|",TEXT(ROUND(SUM(CM82:DF82)/SUM(DI82:EB82),4)*100000,"0000000000|"))&amp;IF(P82=0,"0000000000|",TEXT(ROUND(O82/P82,4)*100000,"0000000000|"))</f>
        <v/>
      </c>
      <c r="J82" s="28">
        <f>L82*constPuntiVittoria+M82*constPuntiSconfitta+N82*constPuntiForfait+IF(D82="",0,D82)</f>
        <v/>
      </c>
      <c r="K82" s="12">
        <f>SUM(L82:N82)</f>
        <v/>
      </c>
      <c r="L82" s="12">
        <f>IF($H82="",0,SUMIF(Dati!$A$2:$A$761,$H82,Dati!$B$2:$B$761)+SUMIF(Dati!$H$2:$H$761,$H82,Dati!$I$2:$I$761))</f>
        <v/>
      </c>
      <c r="M82" s="12">
        <f>IF($H82="",0,SUMIF(Dati!$A$2:$A$761,$H82,Dati!$D$2:$D$761)+SUMIF(Dati!$H$2:$H$761,$H82,Dati!$K$2:$K$761))</f>
        <v/>
      </c>
      <c r="N82" s="12">
        <f>IF($H82="",0,SUMIF(Dati!$A$2:$A$761,$H82,Dati!$C$2:$C$761)+SUMIF(Dati!$H$2:$H$761,$H82,Dati!$J$2:$J$761))</f>
        <v/>
      </c>
      <c r="O82" s="12">
        <f>IF($H82="",0,SUMIF(Dati!$A$2:$A$761,$H82,Dati!$E$2:$E$761)+SUMIF(Dati!$H$2:$H$761,$H82,Dati!$L$2:$L$761))</f>
        <v/>
      </c>
      <c r="P82" s="12">
        <f>IF($H82="",0,SUMIF(Dati!$A$2:$A$761,$H82,Dati!$F$2:$F$761)+SUMIF(Dati!$H$2:$H$761,$H82,Dati!$M$2:$M$761))</f>
        <v/>
      </c>
      <c r="Q82" s="12">
        <f>IF($H82="",0,SUMIF(Dati!$A$2:$A$761,$H82,Dati!$G$2:$G$761)+SUMIF(Dati!$H$2:$H$761,$H82,Dati!$N$2:$N$761))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IF(COUNTIFS($E$14:$E$93,$E82,$J$14:$J$93,$J82,$C$14:$C$93,"&lt;&gt;")&lt;=1,"-",SUM(AU82:BN82)&amp;"-"&amp;SUM(BQ82:CJ82))</f>
        <v/>
      </c>
      <c r="V82" s="18">
        <f>IF(COUNTIFS($E$14:$E$93,$E82,$J$14:$J$93,$J82,$C$14:$C$93,"&lt;&gt;",$ED$14:$ED$93,$ED82)&lt;=1,"-",IF(SUM(DI82:EB82)=0,0,ROUND(SUM(CM82:DF82)/SUM(DI82:EB82),3)))</f>
        <v/>
      </c>
      <c r="W82" s="18">
        <f>IF(COUNTIFS($E$14:$E$93,$E82,$J$14:$J$93,$J82,$C$14:$C$93,"&lt;&gt;",$ED$14:$ED$93,$ED82,$V$14:$V$93,$V82)&lt;=1,"-",IF(P82=0,0,ROUND(O82/P82,3)))</f>
        <v/>
      </c>
      <c r="X82" s="19">
        <f>IF($C82="","",$E82&amp;"#"&amp;COUNTIFS($E$14:$E82,$E82,$C$14:$C82,"&lt;&gt;"))</f>
        <v/>
      </c>
      <c r="Y82" s="20">
        <f>IFERROR(INDEX($H$14:$H$93,MATCH($E82&amp;"#1",$X$14:$X$93,0)),"")</f>
        <v/>
      </c>
      <c r="Z82" s="20">
        <f>IFERROR(INDEX($H$14:$H$93,MATCH($E82&amp;"#2",$X$14:$X$93,0)),"")</f>
        <v/>
      </c>
      <c r="AA82" s="20">
        <f>IFERROR(INDEX($H$14:$H$93,MATCH($E82&amp;"#3",$X$14:$X$93,0)),"")</f>
        <v/>
      </c>
      <c r="AB82" s="20">
        <f>IFERROR(INDEX($H$14:$H$93,MATCH($E82&amp;"#4",$X$14:$X$93,0)),"")</f>
        <v/>
      </c>
      <c r="AC82" s="20">
        <f>IFERROR(INDEX($H$14:$H$93,MATCH($E82&amp;"#5",$X$14:$X$93,0)),"")</f>
        <v/>
      </c>
      <c r="AD82" s="20">
        <f>IFERROR(INDEX($H$14:$H$93,MATCH($E82&amp;"#6",$X$14:$X$93,0)),"")</f>
        <v/>
      </c>
      <c r="AE82" s="20">
        <f>IFERROR(INDEX($H$14:$H$93,MATCH($E82&amp;"#7",$X$14:$X$93,0)),"")</f>
        <v/>
      </c>
      <c r="AF82" s="20">
        <f>IFERROR(INDEX($H$14:$H$93,MATCH($E82&amp;"#8",$X$14:$X$93,0)),"")</f>
        <v/>
      </c>
      <c r="AG82" s="20">
        <f>IFERROR(INDEX($H$14:$H$93,MATCH($E82&amp;"#9",$X$14:$X$93,0)),"")</f>
        <v/>
      </c>
      <c r="AH82" s="20">
        <f>IFERROR(INDEX($H$14:$H$93,MATCH($E82&amp;"#10",$X$14:$X$93,0)),"")</f>
        <v/>
      </c>
      <c r="AI82" s="20">
        <f>IFERROR(INDEX($H$14:$H$93,MATCH($E82&amp;"#11",$X$14:$X$93,0)),"")</f>
        <v/>
      </c>
      <c r="AJ82" s="20">
        <f>IFERROR(INDEX($H$14:$H$93,MATCH($E82&amp;"#12",$X$14:$X$93,0)),"")</f>
        <v/>
      </c>
      <c r="AK82" s="20">
        <f>IFERROR(INDEX($H$14:$H$93,MATCH($E82&amp;"#13",$X$14:$X$93,0)),"")</f>
        <v/>
      </c>
      <c r="AL82" s="20">
        <f>IFERROR(INDEX($H$14:$H$93,MATCH($E82&amp;"#14",$X$14:$X$93,0)),"")</f>
        <v/>
      </c>
      <c r="AM82" s="20">
        <f>IFERROR(INDEX($H$14:$H$93,MATCH($E82&amp;"#15",$X$14:$X$93,0)),"")</f>
        <v/>
      </c>
      <c r="AN82" s="20">
        <f>IFERROR(INDEX($H$14:$H$93,MATCH($E82&amp;"#16",$X$14:$X$93,0)),"")</f>
        <v/>
      </c>
      <c r="AO82" s="20">
        <f>IFERROR(INDEX($H$14:$H$93,MATCH($E82&amp;"#17",$X$14:$X$93,0)),"")</f>
        <v/>
      </c>
      <c r="AP82" s="20">
        <f>IFERROR(INDEX($H$14:$H$93,MATCH($E82&amp;"#18",$X$14:$X$93,0)),"")</f>
        <v/>
      </c>
      <c r="AQ82" s="20">
        <f>IFERROR(INDEX($H$14:$H$93,MATCH($E82&amp;"#19",$X$14:$X$93,0)),"")</f>
        <v/>
      </c>
      <c r="AR82" s="20">
        <f>IFERROR(INDEX($H$14:$H$93,MATCH($E82&amp;"#20",$X$14:$X$93,0)),"")</f>
        <v/>
      </c>
      <c r="AT82" s="21">
        <f>$C82</f>
        <v/>
      </c>
      <c r="AU82" s="22">
        <f>IF(AND($H82&lt;&gt;"",$Y82&lt;&gt;"",$H82&lt;&gt;$Y82,IFERROR(VLOOKUP($H82,areaCercaPuntiClassificaSquadra,3,FALSE),-1)=IFERROR(VLOOKUP($Y82,areaCercaPuntiClassificaSquadra,3,FALSE),-2)),SUMIFS(Dati!$B$2:$B$761,Dati!$A$2:$A$761,$H82,Dati!$H$2:$H$761,$Y82)+SUMIFS(Dati!$I$2:$I$761,Dati!$H$2:$H$761,$H82,Dati!$A$2:$A$761,$Y82),"-")</f>
        <v/>
      </c>
      <c r="AV82" s="22">
        <f>IF(AND($H82&lt;&gt;"",$Z82&lt;&gt;"",$H82&lt;&gt;$Z82,IFERROR(VLOOKUP($H82,areaCercaPuntiClassificaSquadra,3,FALSE),-1)=IFERROR(VLOOKUP($Z82,areaCercaPuntiClassificaSquadra,3,FALSE),-2)),SUMIFS(Dati!$B$2:$B$761,Dati!$A$2:$A$761,$H82,Dati!$H$2:$H$761,$Z82)+SUMIFS(Dati!$I$2:$I$761,Dati!$H$2:$H$761,$H82,Dati!$A$2:$A$761,$Z82),"-")</f>
        <v/>
      </c>
      <c r="AW82" s="22">
        <f>IF(AND($H82&lt;&gt;"",$AA82&lt;&gt;"",$H82&lt;&gt;$AA82,IFERROR(VLOOKUP($H82,areaCercaPuntiClassificaSquadra,3,FALSE),-1)=IFERROR(VLOOKUP($AA82,areaCercaPuntiClassificaSquadra,3,FALSE),-2)),SUMIFS(Dati!$B$2:$B$761,Dati!$A$2:$A$761,$H82,Dati!$H$2:$H$761,$AA82)+SUMIFS(Dati!$I$2:$I$761,Dati!$H$2:$H$761,$H82,Dati!$A$2:$A$761,$AA82),"-")</f>
        <v/>
      </c>
      <c r="AX82" s="22">
        <f>IF(AND($H82&lt;&gt;"",$AB82&lt;&gt;"",$H82&lt;&gt;$AB82,IFERROR(VLOOKUP($H82,areaCercaPuntiClassificaSquadra,3,FALSE),-1)=IFERROR(VLOOKUP($AB82,areaCercaPuntiClassificaSquadra,3,FALSE),-2)),SUMIFS(Dati!$B$2:$B$761,Dati!$A$2:$A$761,$H82,Dati!$H$2:$H$761,$AB82)+SUMIFS(Dati!$I$2:$I$761,Dati!$H$2:$H$761,$H82,Dati!$A$2:$A$761,$AB82),"-")</f>
        <v/>
      </c>
      <c r="AY82" s="22">
        <f>IF(AND($H82&lt;&gt;"",$AC82&lt;&gt;"",$H82&lt;&gt;$AC82,IFERROR(VLOOKUP($H82,areaCercaPuntiClassificaSquadra,3,FALSE),-1)=IFERROR(VLOOKUP($AC82,areaCercaPuntiClassificaSquadra,3,FALSE),-2)),SUMIFS(Dati!$B$2:$B$761,Dati!$A$2:$A$761,$H82,Dati!$H$2:$H$761,$AC82)+SUMIFS(Dati!$I$2:$I$761,Dati!$H$2:$H$761,$H82,Dati!$A$2:$A$761,$AC82),"-")</f>
        <v/>
      </c>
      <c r="AZ82" s="22">
        <f>IF(AND($H82&lt;&gt;"",$AD82&lt;&gt;"",$H82&lt;&gt;$AD82,IFERROR(VLOOKUP($H82,areaCercaPuntiClassificaSquadra,3,FALSE),-1)=IFERROR(VLOOKUP($AD82,areaCercaPuntiClassificaSquadra,3,FALSE),-2)),SUMIFS(Dati!$B$2:$B$761,Dati!$A$2:$A$761,$H82,Dati!$H$2:$H$761,$AD82)+SUMIFS(Dati!$I$2:$I$761,Dati!$H$2:$H$761,$H82,Dati!$A$2:$A$761,$AD82),"-")</f>
        <v/>
      </c>
      <c r="BA82" s="22">
        <f>IF(AND($H82&lt;&gt;"",$AE82&lt;&gt;"",$H82&lt;&gt;$AE82,IFERROR(VLOOKUP($H82,areaCercaPuntiClassificaSquadra,3,FALSE),-1)=IFERROR(VLOOKUP($AE82,areaCercaPuntiClassificaSquadra,3,FALSE),-2)),SUMIFS(Dati!$B$2:$B$761,Dati!$A$2:$A$761,$H82,Dati!$H$2:$H$761,$AE82)+SUMIFS(Dati!$I$2:$I$761,Dati!$H$2:$H$761,$H82,Dati!$A$2:$A$761,$AE82),"-")</f>
        <v/>
      </c>
      <c r="BB82" s="22">
        <f>IF(AND($H82&lt;&gt;"",$AF82&lt;&gt;"",$H82&lt;&gt;$AF82,IFERROR(VLOOKUP($H82,areaCercaPuntiClassificaSquadra,3,FALSE),-1)=IFERROR(VLOOKUP($AF82,areaCercaPuntiClassificaSquadra,3,FALSE),-2)),SUMIFS(Dati!$B$2:$B$761,Dati!$A$2:$A$761,$H82,Dati!$H$2:$H$761,$AF82)+SUMIFS(Dati!$I$2:$I$761,Dati!$H$2:$H$761,$H82,Dati!$A$2:$A$761,$AF82),"-")</f>
        <v/>
      </c>
      <c r="BC82" s="22">
        <f>IF(AND($H82&lt;&gt;"",$AG82&lt;&gt;"",$H82&lt;&gt;$AG82,IFERROR(VLOOKUP($H82,areaCercaPuntiClassificaSquadra,3,FALSE),-1)=IFERROR(VLOOKUP($AG82,areaCercaPuntiClassificaSquadra,3,FALSE),-2)),SUMIFS(Dati!$B$2:$B$761,Dati!$A$2:$A$761,$H82,Dati!$H$2:$H$761,$AG82)+SUMIFS(Dati!$I$2:$I$761,Dati!$H$2:$H$761,$H82,Dati!$A$2:$A$761,$AG82),"-")</f>
        <v/>
      </c>
      <c r="BD82" s="22">
        <f>IF(AND($H82&lt;&gt;"",$AH82&lt;&gt;"",$H82&lt;&gt;$AH82,IFERROR(VLOOKUP($H82,areaCercaPuntiClassificaSquadra,3,FALSE),-1)=IFERROR(VLOOKUP($AH82,areaCercaPuntiClassificaSquadra,3,FALSE),-2)),SUMIFS(Dati!$B$2:$B$761,Dati!$A$2:$A$761,$H82,Dati!$H$2:$H$761,$AH82)+SUMIFS(Dati!$I$2:$I$761,Dati!$H$2:$H$761,$H82,Dati!$A$2:$A$761,$AH82),"-")</f>
        <v/>
      </c>
      <c r="BE82" s="22">
        <f>IF(AND($H82&lt;&gt;"",$AI82&lt;&gt;"",$H82&lt;&gt;$AI82,IFERROR(VLOOKUP($H82,areaCercaPuntiClassificaSquadra,3,FALSE),-1)=IFERROR(VLOOKUP($AI82,areaCercaPuntiClassificaSquadra,3,FALSE),-2)),SUMIFS(Dati!$B$2:$B$761,Dati!$A$2:$A$761,$H82,Dati!$H$2:$H$761,$AI82)+SUMIFS(Dati!$I$2:$I$761,Dati!$H$2:$H$761,$H82,Dati!$A$2:$A$761,$AI82),"-")</f>
        <v/>
      </c>
      <c r="BF82" s="22">
        <f>IF(AND($H82&lt;&gt;"",$AJ82&lt;&gt;"",$H82&lt;&gt;$AJ82,IFERROR(VLOOKUP($H82,areaCercaPuntiClassificaSquadra,3,FALSE),-1)=IFERROR(VLOOKUP($AJ82,areaCercaPuntiClassificaSquadra,3,FALSE),-2)),SUMIFS(Dati!$B$2:$B$761,Dati!$A$2:$A$761,$H82,Dati!$H$2:$H$761,$AJ82)+SUMIFS(Dati!$I$2:$I$761,Dati!$H$2:$H$761,$H82,Dati!$A$2:$A$761,$AJ82),"-")</f>
        <v/>
      </c>
      <c r="BG82" s="22">
        <f>IF(AND($H82&lt;&gt;"",$AK82&lt;&gt;"",$H82&lt;&gt;$AK82,IFERROR(VLOOKUP($H82,areaCercaPuntiClassificaSquadra,3,FALSE),-1)=IFERROR(VLOOKUP($AK82,areaCercaPuntiClassificaSquadra,3,FALSE),-2)),SUMIFS(Dati!$B$2:$B$761,Dati!$A$2:$A$761,$H82,Dati!$H$2:$H$761,$AK82)+SUMIFS(Dati!$I$2:$I$761,Dati!$H$2:$H$761,$H82,Dati!$A$2:$A$761,$AK82),"-")</f>
        <v/>
      </c>
      <c r="BH82" s="22">
        <f>IF(AND($H82&lt;&gt;"",$AL82&lt;&gt;"",$H82&lt;&gt;$AL82,IFERROR(VLOOKUP($H82,areaCercaPuntiClassificaSquadra,3,FALSE),-1)=IFERROR(VLOOKUP($AL82,areaCercaPuntiClassificaSquadra,3,FALSE),-2)),SUMIFS(Dati!$B$2:$B$761,Dati!$A$2:$A$761,$H82,Dati!$H$2:$H$761,$AL82)+SUMIFS(Dati!$I$2:$I$761,Dati!$H$2:$H$761,$H82,Dati!$A$2:$A$761,$AL82),"-")</f>
        <v/>
      </c>
      <c r="BI82" s="22">
        <f>IF(AND($H82&lt;&gt;"",$AM82&lt;&gt;"",$H82&lt;&gt;$AM82,IFERROR(VLOOKUP($H82,areaCercaPuntiClassificaSquadra,3,FALSE),-1)=IFERROR(VLOOKUP($AM82,areaCercaPuntiClassificaSquadra,3,FALSE),-2)),SUMIFS(Dati!$B$2:$B$761,Dati!$A$2:$A$761,$H82,Dati!$H$2:$H$761,$AM82)+SUMIFS(Dati!$I$2:$I$761,Dati!$H$2:$H$761,$H82,Dati!$A$2:$A$761,$AM82),"-")</f>
        <v/>
      </c>
      <c r="BJ82" s="22">
        <f>IF(AND($H82&lt;&gt;"",$AN82&lt;&gt;"",$H82&lt;&gt;$AN82,IFERROR(VLOOKUP($H82,areaCercaPuntiClassificaSquadra,3,FALSE),-1)=IFERROR(VLOOKUP($AN82,areaCercaPuntiClassificaSquadra,3,FALSE),-2)),SUMIFS(Dati!$B$2:$B$761,Dati!$A$2:$A$761,$H82,Dati!$H$2:$H$761,$AN82)+SUMIFS(Dati!$I$2:$I$761,Dati!$H$2:$H$761,$H82,Dati!$A$2:$A$761,$AN82),"-")</f>
        <v/>
      </c>
      <c r="BK82" s="22">
        <f>IF(AND($H82&lt;&gt;"",$AO82&lt;&gt;"",$H82&lt;&gt;$AO82,IFERROR(VLOOKUP($H82,areaCercaPuntiClassificaSquadra,3,FALSE),-1)=IFERROR(VLOOKUP($AO82,areaCercaPuntiClassificaSquadra,3,FALSE),-2)),SUMIFS(Dati!$B$2:$B$761,Dati!$A$2:$A$761,$H82,Dati!$H$2:$H$761,$AO82)+SUMIFS(Dati!$I$2:$I$761,Dati!$H$2:$H$761,$H82,Dati!$A$2:$A$761,$AO82),"-")</f>
        <v/>
      </c>
      <c r="BL82" s="22">
        <f>IF(AND($H82&lt;&gt;"",$AP82&lt;&gt;"",$H82&lt;&gt;$AP82,IFERROR(VLOOKUP($H82,areaCercaPuntiClassificaSquadra,3,FALSE),-1)=IFERROR(VLOOKUP($AP82,areaCercaPuntiClassificaSquadra,3,FALSE),-2)),SUMIFS(Dati!$B$2:$B$761,Dati!$A$2:$A$761,$H82,Dati!$H$2:$H$761,$AP82)+SUMIFS(Dati!$I$2:$I$761,Dati!$H$2:$H$761,$H82,Dati!$A$2:$A$761,$AP82),"-")</f>
        <v/>
      </c>
      <c r="BM82" s="22">
        <f>IF(AND($H82&lt;&gt;"",$AQ82&lt;&gt;"",$H82&lt;&gt;$AQ82,IFERROR(VLOOKUP($H82,areaCercaPuntiClassificaSquadra,3,FALSE),-1)=IFERROR(VLOOKUP($AQ82,areaCercaPuntiClassificaSquadra,3,FALSE),-2)),SUMIFS(Dati!$B$2:$B$761,Dati!$A$2:$A$761,$H82,Dati!$H$2:$H$761,$AQ82)+SUMIFS(Dati!$I$2:$I$761,Dati!$H$2:$H$761,$H82,Dati!$A$2:$A$761,$AQ82),"-")</f>
        <v/>
      </c>
      <c r="BN82" s="22">
        <f>IF(AND($H82&lt;&gt;"",$AR82&lt;&gt;"",$H82&lt;&gt;$AR82,IFERROR(VLOOKUP($H82,areaCercaPuntiClassificaSquadra,3,FALSE),-1)=IFERROR(VLOOKUP($AR82,areaCercaPuntiClassificaSquadra,3,FALSE),-2)),SUMIFS(Dati!$B$2:$B$761,Dati!$A$2:$A$761,$H82,Dati!$H$2:$H$761,$AR82)+SUMIFS(Dati!$I$2:$I$761,Dati!$H$2:$H$761,$H82,Dati!$A$2:$A$761,$AR82),"-")</f>
        <v/>
      </c>
      <c r="BP82" s="21">
        <f>$C82</f>
        <v/>
      </c>
      <c r="BQ82" s="22">
        <f>IF(AND($H82&lt;&gt;"",$Y82&lt;&gt;"",$H82&lt;&gt;$Y82,IFERROR(VLOOKUP($H82,areaCercaPuntiClassificaSquadra,3,FALSE),-1)=IFERROR(VLOOKUP($Y82,areaCercaPuntiClassificaSquadra,3,FALSE),-2)),SUMIFS(Dati!$D$2:$D$761,Dati!$A$2:$A$761,$H82,Dati!$H$2:$H$761,$Y82)+SUMIFS(Dati!$K$2:$K$761,Dati!$H$2:$H$761,$H82,Dati!$A$2:$A$761,$Y82)+SUMIFS(Dati!$C$2:$C$761,Dati!$A$2:$A$761,$H82,Dati!$H$2:$H$761,$Y82)+SUMIFS(Dati!$J$2:$J$761,Dati!$H$2:$H$761,$H82,Dati!$A$2:$A$761,$Y82),"-")</f>
        <v/>
      </c>
      <c r="BR82" s="22">
        <f>IF(AND($H82&lt;&gt;"",$Z82&lt;&gt;"",$H82&lt;&gt;$Z82,IFERROR(VLOOKUP($H82,areaCercaPuntiClassificaSquadra,3,FALSE),-1)=IFERROR(VLOOKUP($Z82,areaCercaPuntiClassificaSquadra,3,FALSE),-2)),SUMIFS(Dati!$D$2:$D$761,Dati!$A$2:$A$761,$H82,Dati!$H$2:$H$761,$Z82)+SUMIFS(Dati!$K$2:$K$761,Dati!$H$2:$H$761,$H82,Dati!$A$2:$A$761,$Z82)+SUMIFS(Dati!$C$2:$C$761,Dati!$A$2:$A$761,$H82,Dati!$H$2:$H$761,$Z82)+SUMIFS(Dati!$J$2:$J$761,Dati!$H$2:$H$761,$H82,Dati!$A$2:$A$761,$Z82),"-")</f>
        <v/>
      </c>
      <c r="BS82" s="22">
        <f>IF(AND($H82&lt;&gt;"",$AA82&lt;&gt;"",$H82&lt;&gt;$AA82,IFERROR(VLOOKUP($H82,areaCercaPuntiClassificaSquadra,3,FALSE),-1)=IFERROR(VLOOKUP($AA82,areaCercaPuntiClassificaSquadra,3,FALSE),-2)),SUMIFS(Dati!$D$2:$D$761,Dati!$A$2:$A$761,$H82,Dati!$H$2:$H$761,$AA82)+SUMIFS(Dati!$K$2:$K$761,Dati!$H$2:$H$761,$H82,Dati!$A$2:$A$761,$AA82)+SUMIFS(Dati!$C$2:$C$761,Dati!$A$2:$A$761,$H82,Dati!$H$2:$H$761,$AA82)+SUMIFS(Dati!$J$2:$J$761,Dati!$H$2:$H$761,$H82,Dati!$A$2:$A$761,$AA82),"-")</f>
        <v/>
      </c>
      <c r="BT82" s="22">
        <f>IF(AND($H82&lt;&gt;"",$AB82&lt;&gt;"",$H82&lt;&gt;$AB82,IFERROR(VLOOKUP($H82,areaCercaPuntiClassificaSquadra,3,FALSE),-1)=IFERROR(VLOOKUP($AB82,areaCercaPuntiClassificaSquadra,3,FALSE),-2)),SUMIFS(Dati!$D$2:$D$761,Dati!$A$2:$A$761,$H82,Dati!$H$2:$H$761,$AB82)+SUMIFS(Dati!$K$2:$K$761,Dati!$H$2:$H$761,$H82,Dati!$A$2:$A$761,$AB82)+SUMIFS(Dati!$C$2:$C$761,Dati!$A$2:$A$761,$H82,Dati!$H$2:$H$761,$AB82)+SUMIFS(Dati!$J$2:$J$761,Dati!$H$2:$H$761,$H82,Dati!$A$2:$A$761,$AB82),"-")</f>
        <v/>
      </c>
      <c r="BU82" s="22">
        <f>IF(AND($H82&lt;&gt;"",$AC82&lt;&gt;"",$H82&lt;&gt;$AC82,IFERROR(VLOOKUP($H82,areaCercaPuntiClassificaSquadra,3,FALSE),-1)=IFERROR(VLOOKUP($AC82,areaCercaPuntiClassificaSquadra,3,FALSE),-2)),SUMIFS(Dati!$D$2:$D$761,Dati!$A$2:$A$761,$H82,Dati!$H$2:$H$761,$AC82)+SUMIFS(Dati!$K$2:$K$761,Dati!$H$2:$H$761,$H82,Dati!$A$2:$A$761,$AC82)+SUMIFS(Dati!$C$2:$C$761,Dati!$A$2:$A$761,$H82,Dati!$H$2:$H$761,$AC82)+SUMIFS(Dati!$J$2:$J$761,Dati!$H$2:$H$761,$H82,Dati!$A$2:$A$761,$AC82),"-")</f>
        <v/>
      </c>
      <c r="BV82" s="22">
        <f>IF(AND($H82&lt;&gt;"",$AD82&lt;&gt;"",$H82&lt;&gt;$AD82,IFERROR(VLOOKUP($H82,areaCercaPuntiClassificaSquadra,3,FALSE),-1)=IFERROR(VLOOKUP($AD82,areaCercaPuntiClassificaSquadra,3,FALSE),-2)),SUMIFS(Dati!$D$2:$D$761,Dati!$A$2:$A$761,$H82,Dati!$H$2:$H$761,$AD82)+SUMIFS(Dati!$K$2:$K$761,Dati!$H$2:$H$761,$H82,Dati!$A$2:$A$761,$AD82)+SUMIFS(Dati!$C$2:$C$761,Dati!$A$2:$A$761,$H82,Dati!$H$2:$H$761,$AD82)+SUMIFS(Dati!$J$2:$J$761,Dati!$H$2:$H$761,$H82,Dati!$A$2:$A$761,$AD82),"-")</f>
        <v/>
      </c>
      <c r="BW82" s="22">
        <f>IF(AND($H82&lt;&gt;"",$AE82&lt;&gt;"",$H82&lt;&gt;$AE82,IFERROR(VLOOKUP($H82,areaCercaPuntiClassificaSquadra,3,FALSE),-1)=IFERROR(VLOOKUP($AE82,areaCercaPuntiClassificaSquadra,3,FALSE),-2)),SUMIFS(Dati!$D$2:$D$761,Dati!$A$2:$A$761,$H82,Dati!$H$2:$H$761,$AE82)+SUMIFS(Dati!$K$2:$K$761,Dati!$H$2:$H$761,$H82,Dati!$A$2:$A$761,$AE82)+SUMIFS(Dati!$C$2:$C$761,Dati!$A$2:$A$761,$H82,Dati!$H$2:$H$761,$AE82)+SUMIFS(Dati!$J$2:$J$761,Dati!$H$2:$H$761,$H82,Dati!$A$2:$A$761,$AE82),"-")</f>
        <v/>
      </c>
      <c r="BX82" s="22">
        <f>IF(AND($H82&lt;&gt;"",$AF82&lt;&gt;"",$H82&lt;&gt;$AF82,IFERROR(VLOOKUP($H82,areaCercaPuntiClassificaSquadra,3,FALSE),-1)=IFERROR(VLOOKUP($AF82,areaCercaPuntiClassificaSquadra,3,FALSE),-2)),SUMIFS(Dati!$D$2:$D$761,Dati!$A$2:$A$761,$H82,Dati!$H$2:$H$761,$AF82)+SUMIFS(Dati!$K$2:$K$761,Dati!$H$2:$H$761,$H82,Dati!$A$2:$A$761,$AF82)+SUMIFS(Dati!$C$2:$C$761,Dati!$A$2:$A$761,$H82,Dati!$H$2:$H$761,$AF82)+SUMIFS(Dati!$J$2:$J$761,Dati!$H$2:$H$761,$H82,Dati!$A$2:$A$761,$AF82),"-")</f>
        <v/>
      </c>
      <c r="BY82" s="22">
        <f>IF(AND($H82&lt;&gt;"",$AG82&lt;&gt;"",$H82&lt;&gt;$AG82,IFERROR(VLOOKUP($H82,areaCercaPuntiClassificaSquadra,3,FALSE),-1)=IFERROR(VLOOKUP($AG82,areaCercaPuntiClassificaSquadra,3,FALSE),-2)),SUMIFS(Dati!$D$2:$D$761,Dati!$A$2:$A$761,$H82,Dati!$H$2:$H$761,$AG82)+SUMIFS(Dati!$K$2:$K$761,Dati!$H$2:$H$761,$H82,Dati!$A$2:$A$761,$AG82)+SUMIFS(Dati!$C$2:$C$761,Dati!$A$2:$A$761,$H82,Dati!$H$2:$H$761,$AG82)+SUMIFS(Dati!$J$2:$J$761,Dati!$H$2:$H$761,$H82,Dati!$A$2:$A$761,$AG82),"-")</f>
        <v/>
      </c>
      <c r="BZ82" s="22">
        <f>IF(AND($H82&lt;&gt;"",$AH82&lt;&gt;"",$H82&lt;&gt;$AH82,IFERROR(VLOOKUP($H82,areaCercaPuntiClassificaSquadra,3,FALSE),-1)=IFERROR(VLOOKUP($AH82,areaCercaPuntiClassificaSquadra,3,FALSE),-2)),SUMIFS(Dati!$D$2:$D$761,Dati!$A$2:$A$761,$H82,Dati!$H$2:$H$761,$AH82)+SUMIFS(Dati!$K$2:$K$761,Dati!$H$2:$H$761,$H82,Dati!$A$2:$A$761,$AH82)+SUMIFS(Dati!$C$2:$C$761,Dati!$A$2:$A$761,$H82,Dati!$H$2:$H$761,$AH82)+SUMIFS(Dati!$J$2:$J$761,Dati!$H$2:$H$761,$H82,Dati!$A$2:$A$761,$AH82),"-")</f>
        <v/>
      </c>
      <c r="CA82" s="22">
        <f>IF(AND($H82&lt;&gt;"",$AI82&lt;&gt;"",$H82&lt;&gt;$AI82,IFERROR(VLOOKUP($H82,areaCercaPuntiClassificaSquadra,3,FALSE),-1)=IFERROR(VLOOKUP($AI82,areaCercaPuntiClassificaSquadra,3,FALSE),-2)),SUMIFS(Dati!$D$2:$D$761,Dati!$A$2:$A$761,$H82,Dati!$H$2:$H$761,$AI82)+SUMIFS(Dati!$K$2:$K$761,Dati!$H$2:$H$761,$H82,Dati!$A$2:$A$761,$AI82)+SUMIFS(Dati!$C$2:$C$761,Dati!$A$2:$A$761,$H82,Dati!$H$2:$H$761,$AI82)+SUMIFS(Dati!$J$2:$J$761,Dati!$H$2:$H$761,$H82,Dati!$A$2:$A$761,$AI82),"-")</f>
        <v/>
      </c>
      <c r="CB82" s="22">
        <f>IF(AND($H82&lt;&gt;"",$AJ82&lt;&gt;"",$H82&lt;&gt;$AJ82,IFERROR(VLOOKUP($H82,areaCercaPuntiClassificaSquadra,3,FALSE),-1)=IFERROR(VLOOKUP($AJ82,areaCercaPuntiClassificaSquadra,3,FALSE),-2)),SUMIFS(Dati!$D$2:$D$761,Dati!$A$2:$A$761,$H82,Dati!$H$2:$H$761,$AJ82)+SUMIFS(Dati!$K$2:$K$761,Dati!$H$2:$H$761,$H82,Dati!$A$2:$A$761,$AJ82)+SUMIFS(Dati!$C$2:$C$761,Dati!$A$2:$A$761,$H82,Dati!$H$2:$H$761,$AJ82)+SUMIFS(Dati!$J$2:$J$761,Dati!$H$2:$H$761,$H82,Dati!$A$2:$A$761,$AJ82),"-")</f>
        <v/>
      </c>
      <c r="CC82" s="22">
        <f>IF(AND($H82&lt;&gt;"",$AK82&lt;&gt;"",$H82&lt;&gt;$AK82,IFERROR(VLOOKUP($H82,areaCercaPuntiClassificaSquadra,3,FALSE),-1)=IFERROR(VLOOKUP($AK82,areaCercaPuntiClassificaSquadra,3,FALSE),-2)),SUMIFS(Dati!$D$2:$D$761,Dati!$A$2:$A$761,$H82,Dati!$H$2:$H$761,$AK82)+SUMIFS(Dati!$K$2:$K$761,Dati!$H$2:$H$761,$H82,Dati!$A$2:$A$761,$AK82)+SUMIFS(Dati!$C$2:$C$761,Dati!$A$2:$A$761,$H82,Dati!$H$2:$H$761,$AK82)+SUMIFS(Dati!$J$2:$J$761,Dati!$H$2:$H$761,$H82,Dati!$A$2:$A$761,$AK82),"-")</f>
        <v/>
      </c>
      <c r="CD82" s="22">
        <f>IF(AND($H82&lt;&gt;"",$AL82&lt;&gt;"",$H82&lt;&gt;$AL82,IFERROR(VLOOKUP($H82,areaCercaPuntiClassificaSquadra,3,FALSE),-1)=IFERROR(VLOOKUP($AL82,areaCercaPuntiClassificaSquadra,3,FALSE),-2)),SUMIFS(Dati!$D$2:$D$761,Dati!$A$2:$A$761,$H82,Dati!$H$2:$H$761,$AL82)+SUMIFS(Dati!$K$2:$K$761,Dati!$H$2:$H$761,$H82,Dati!$A$2:$A$761,$AL82)+SUMIFS(Dati!$C$2:$C$761,Dati!$A$2:$A$761,$H82,Dati!$H$2:$H$761,$AL82)+SUMIFS(Dati!$J$2:$J$761,Dati!$H$2:$H$761,$H82,Dati!$A$2:$A$761,$AL82),"-")</f>
        <v/>
      </c>
      <c r="CE82" s="22">
        <f>IF(AND($H82&lt;&gt;"",$AM82&lt;&gt;"",$H82&lt;&gt;$AM82,IFERROR(VLOOKUP($H82,areaCercaPuntiClassificaSquadra,3,FALSE),-1)=IFERROR(VLOOKUP($AM82,areaCercaPuntiClassificaSquadra,3,FALSE),-2)),SUMIFS(Dati!$D$2:$D$761,Dati!$A$2:$A$761,$H82,Dati!$H$2:$H$761,$AM82)+SUMIFS(Dati!$K$2:$K$761,Dati!$H$2:$H$761,$H82,Dati!$A$2:$A$761,$AM82)+SUMIFS(Dati!$C$2:$C$761,Dati!$A$2:$A$761,$H82,Dati!$H$2:$H$761,$AM82)+SUMIFS(Dati!$J$2:$J$761,Dati!$H$2:$H$761,$H82,Dati!$A$2:$A$761,$AM82),"-")</f>
        <v/>
      </c>
      <c r="CF82" s="22">
        <f>IF(AND($H82&lt;&gt;"",$AN82&lt;&gt;"",$H82&lt;&gt;$AN82,IFERROR(VLOOKUP($H82,areaCercaPuntiClassificaSquadra,3,FALSE),-1)=IFERROR(VLOOKUP($AN82,areaCercaPuntiClassificaSquadra,3,FALSE),-2)),SUMIFS(Dati!$D$2:$D$761,Dati!$A$2:$A$761,$H82,Dati!$H$2:$H$761,$AN82)+SUMIFS(Dati!$K$2:$K$761,Dati!$H$2:$H$761,$H82,Dati!$A$2:$A$761,$AN82)+SUMIFS(Dati!$C$2:$C$761,Dati!$A$2:$A$761,$H82,Dati!$H$2:$H$761,$AN82)+SUMIFS(Dati!$J$2:$J$761,Dati!$H$2:$H$761,$H82,Dati!$A$2:$A$761,$AN82),"-")</f>
        <v/>
      </c>
      <c r="CG82" s="22">
        <f>IF(AND($H82&lt;&gt;"",$AO82&lt;&gt;"",$H82&lt;&gt;$AO82,IFERROR(VLOOKUP($H82,areaCercaPuntiClassificaSquadra,3,FALSE),-1)=IFERROR(VLOOKUP($AO82,areaCercaPuntiClassificaSquadra,3,FALSE),-2)),SUMIFS(Dati!$D$2:$D$761,Dati!$A$2:$A$761,$H82,Dati!$H$2:$H$761,$AO82)+SUMIFS(Dati!$K$2:$K$761,Dati!$H$2:$H$761,$H82,Dati!$A$2:$A$761,$AO82)+SUMIFS(Dati!$C$2:$C$761,Dati!$A$2:$A$761,$H82,Dati!$H$2:$H$761,$AO82)+SUMIFS(Dati!$J$2:$J$761,Dati!$H$2:$H$761,$H82,Dati!$A$2:$A$761,$AO82),"-")</f>
        <v/>
      </c>
      <c r="CH82" s="22">
        <f>IF(AND($H82&lt;&gt;"",$AP82&lt;&gt;"",$H82&lt;&gt;$AP82,IFERROR(VLOOKUP($H82,areaCercaPuntiClassificaSquadra,3,FALSE),-1)=IFERROR(VLOOKUP($AP82,areaCercaPuntiClassificaSquadra,3,FALSE),-2)),SUMIFS(Dati!$D$2:$D$761,Dati!$A$2:$A$761,$H82,Dati!$H$2:$H$761,$AP82)+SUMIFS(Dati!$K$2:$K$761,Dati!$H$2:$H$761,$H82,Dati!$A$2:$A$761,$AP82)+SUMIFS(Dati!$C$2:$C$761,Dati!$A$2:$A$761,$H82,Dati!$H$2:$H$761,$AP82)+SUMIFS(Dati!$J$2:$J$761,Dati!$H$2:$H$761,$H82,Dati!$A$2:$A$761,$AP82),"-")</f>
        <v/>
      </c>
      <c r="CI82" s="22">
        <f>IF(AND($H82&lt;&gt;"",$AQ82&lt;&gt;"",$H82&lt;&gt;$AQ82,IFERROR(VLOOKUP($H82,areaCercaPuntiClassificaSquadra,3,FALSE),-1)=IFERROR(VLOOKUP($AQ82,areaCercaPuntiClassificaSquadra,3,FALSE),-2)),SUMIFS(Dati!$D$2:$D$761,Dati!$A$2:$A$761,$H82,Dati!$H$2:$H$761,$AQ82)+SUMIFS(Dati!$K$2:$K$761,Dati!$H$2:$H$761,$H82,Dati!$A$2:$A$761,$AQ82)+SUMIFS(Dati!$C$2:$C$761,Dati!$A$2:$A$761,$H82,Dati!$H$2:$H$761,$AQ82)+SUMIFS(Dati!$J$2:$J$761,Dati!$H$2:$H$761,$H82,Dati!$A$2:$A$761,$AQ82),"-")</f>
        <v/>
      </c>
      <c r="CJ82" s="22">
        <f>IF(AND($H82&lt;&gt;"",$AR82&lt;&gt;"",$H82&lt;&gt;$AR82,IFERROR(VLOOKUP($H82,areaCercaPuntiClassificaSquadra,3,FALSE),-1)=IFERROR(VLOOKUP($AR82,areaCercaPuntiClassificaSquadra,3,FALSE),-2)),SUMIFS(Dati!$D$2:$D$761,Dati!$A$2:$A$761,$H82,Dati!$H$2:$H$761,$AR82)+SUMIFS(Dati!$K$2:$K$761,Dati!$H$2:$H$761,$H82,Dati!$A$2:$A$761,$AR82)+SUMIFS(Dati!$C$2:$C$761,Dati!$A$2:$A$761,$H82,Dati!$H$2:$H$761,$AR82)+SUMIFS(Dati!$J$2:$J$761,Dati!$H$2:$H$761,$H82,Dati!$A$2:$A$761,$AR82),"-")</f>
        <v/>
      </c>
      <c r="CL82" s="21">
        <f>$C82</f>
        <v/>
      </c>
      <c r="CM82" s="22">
        <f>IF(AND($H82&lt;&gt;"",$Y82&lt;&gt;"",$H82&lt;&gt;$Y82,IFERROR(VLOOKUP($H82,areaCercaPuntiClassificaSquadra,3,FALSE),-1)=IFERROR(VLOOKUP($Y82,areaCercaPuntiClassificaSquadra,3,FALSE),-2)),SUMIFS(Dati!$E$2:$E$761,Dati!$A$2:$A$761,$H82,Dati!$H$2:$H$761,$Y82)+SUMIFS(Dati!$L$2:$L$761,Dati!$H$2:$H$761,$H82,Dati!$A$2:$A$761,$Y82),"-")</f>
        <v/>
      </c>
      <c r="CN82" s="22">
        <f>IF(AND($H82&lt;&gt;"",$Z82&lt;&gt;"",$H82&lt;&gt;$Z82,IFERROR(VLOOKUP($H82,areaCercaPuntiClassificaSquadra,3,FALSE),-1)=IFERROR(VLOOKUP($Z82,areaCercaPuntiClassificaSquadra,3,FALSE),-2)),SUMIFS(Dati!$E$2:$E$761,Dati!$A$2:$A$761,$H82,Dati!$H$2:$H$761,$Z82)+SUMIFS(Dati!$L$2:$L$761,Dati!$H$2:$H$761,$H82,Dati!$A$2:$A$761,$Z82),"-")</f>
        <v/>
      </c>
      <c r="CO82" s="22">
        <f>IF(AND($H82&lt;&gt;"",$AA82&lt;&gt;"",$H82&lt;&gt;$AA82,IFERROR(VLOOKUP($H82,areaCercaPuntiClassificaSquadra,3,FALSE),-1)=IFERROR(VLOOKUP($AA82,areaCercaPuntiClassificaSquadra,3,FALSE),-2)),SUMIFS(Dati!$E$2:$E$761,Dati!$A$2:$A$761,$H82,Dati!$H$2:$H$761,$AA82)+SUMIFS(Dati!$L$2:$L$761,Dati!$H$2:$H$761,$H82,Dati!$A$2:$A$761,$AA82),"-")</f>
        <v/>
      </c>
      <c r="CP82" s="22">
        <f>IF(AND($H82&lt;&gt;"",$AB82&lt;&gt;"",$H82&lt;&gt;$AB82,IFERROR(VLOOKUP($H82,areaCercaPuntiClassificaSquadra,3,FALSE),-1)=IFERROR(VLOOKUP($AB82,areaCercaPuntiClassificaSquadra,3,FALSE),-2)),SUMIFS(Dati!$E$2:$E$761,Dati!$A$2:$A$761,$H82,Dati!$H$2:$H$761,$AB82)+SUMIFS(Dati!$L$2:$L$761,Dati!$H$2:$H$761,$H82,Dati!$A$2:$A$761,$AB82),"-")</f>
        <v/>
      </c>
      <c r="CQ82" s="22">
        <f>IF(AND($H82&lt;&gt;"",$AC82&lt;&gt;"",$H82&lt;&gt;$AC82,IFERROR(VLOOKUP($H82,areaCercaPuntiClassificaSquadra,3,FALSE),-1)=IFERROR(VLOOKUP($AC82,areaCercaPuntiClassificaSquadra,3,FALSE),-2)),SUMIFS(Dati!$E$2:$E$761,Dati!$A$2:$A$761,$H82,Dati!$H$2:$H$761,$AC82)+SUMIFS(Dati!$L$2:$L$761,Dati!$H$2:$H$761,$H82,Dati!$A$2:$A$761,$AC82),"-")</f>
        <v/>
      </c>
      <c r="CR82" s="22">
        <f>IF(AND($H82&lt;&gt;"",$AD82&lt;&gt;"",$H82&lt;&gt;$AD82,IFERROR(VLOOKUP($H82,areaCercaPuntiClassificaSquadra,3,FALSE),-1)=IFERROR(VLOOKUP($AD82,areaCercaPuntiClassificaSquadra,3,FALSE),-2)),SUMIFS(Dati!$E$2:$E$761,Dati!$A$2:$A$761,$H82,Dati!$H$2:$H$761,$AD82)+SUMIFS(Dati!$L$2:$L$761,Dati!$H$2:$H$761,$H82,Dati!$A$2:$A$761,$AD82),"-")</f>
        <v/>
      </c>
      <c r="CS82" s="22">
        <f>IF(AND($H82&lt;&gt;"",$AE82&lt;&gt;"",$H82&lt;&gt;$AE82,IFERROR(VLOOKUP($H82,areaCercaPuntiClassificaSquadra,3,FALSE),-1)=IFERROR(VLOOKUP($AE82,areaCercaPuntiClassificaSquadra,3,FALSE),-2)),SUMIFS(Dati!$E$2:$E$761,Dati!$A$2:$A$761,$H82,Dati!$H$2:$H$761,$AE82)+SUMIFS(Dati!$L$2:$L$761,Dati!$H$2:$H$761,$H82,Dati!$A$2:$A$761,$AE82),"-")</f>
        <v/>
      </c>
      <c r="CT82" s="22">
        <f>IF(AND($H82&lt;&gt;"",$AF82&lt;&gt;"",$H82&lt;&gt;$AF82,IFERROR(VLOOKUP($H82,areaCercaPuntiClassificaSquadra,3,FALSE),-1)=IFERROR(VLOOKUP($AF82,areaCercaPuntiClassificaSquadra,3,FALSE),-2)),SUMIFS(Dati!$E$2:$E$761,Dati!$A$2:$A$761,$H82,Dati!$H$2:$H$761,$AF82)+SUMIFS(Dati!$L$2:$L$761,Dati!$H$2:$H$761,$H82,Dati!$A$2:$A$761,$AF82),"-")</f>
        <v/>
      </c>
      <c r="CU82" s="22">
        <f>IF(AND($H82&lt;&gt;"",$AG82&lt;&gt;"",$H82&lt;&gt;$AG82,IFERROR(VLOOKUP($H82,areaCercaPuntiClassificaSquadra,3,FALSE),-1)=IFERROR(VLOOKUP($AG82,areaCercaPuntiClassificaSquadra,3,FALSE),-2)),SUMIFS(Dati!$E$2:$E$761,Dati!$A$2:$A$761,$H82,Dati!$H$2:$H$761,$AG82)+SUMIFS(Dati!$L$2:$L$761,Dati!$H$2:$H$761,$H82,Dati!$A$2:$A$761,$AG82),"-")</f>
        <v/>
      </c>
      <c r="CV82" s="22">
        <f>IF(AND($H82&lt;&gt;"",$AH82&lt;&gt;"",$H82&lt;&gt;$AH82,IFERROR(VLOOKUP($H82,areaCercaPuntiClassificaSquadra,3,FALSE),-1)=IFERROR(VLOOKUP($AH82,areaCercaPuntiClassificaSquadra,3,FALSE),-2)),SUMIFS(Dati!$E$2:$E$761,Dati!$A$2:$A$761,$H82,Dati!$H$2:$H$761,$AH82)+SUMIFS(Dati!$L$2:$L$761,Dati!$H$2:$H$761,$H82,Dati!$A$2:$A$761,$AH82),"-")</f>
        <v/>
      </c>
      <c r="CW82" s="22">
        <f>IF(AND($H82&lt;&gt;"",$AI82&lt;&gt;"",$H82&lt;&gt;$AI82,IFERROR(VLOOKUP($H82,areaCercaPuntiClassificaSquadra,3,FALSE),-1)=IFERROR(VLOOKUP($AI82,areaCercaPuntiClassificaSquadra,3,FALSE),-2)),SUMIFS(Dati!$E$2:$E$761,Dati!$A$2:$A$761,$H82,Dati!$H$2:$H$761,$AI82)+SUMIFS(Dati!$L$2:$L$761,Dati!$H$2:$H$761,$H82,Dati!$A$2:$A$761,$AI82),"-")</f>
        <v/>
      </c>
      <c r="CX82" s="22">
        <f>IF(AND($H82&lt;&gt;"",$AJ82&lt;&gt;"",$H82&lt;&gt;$AJ82,IFERROR(VLOOKUP($H82,areaCercaPuntiClassificaSquadra,3,FALSE),-1)=IFERROR(VLOOKUP($AJ82,areaCercaPuntiClassificaSquadra,3,FALSE),-2)),SUMIFS(Dati!$E$2:$E$761,Dati!$A$2:$A$761,$H82,Dati!$H$2:$H$761,$AJ82)+SUMIFS(Dati!$L$2:$L$761,Dati!$H$2:$H$761,$H82,Dati!$A$2:$A$761,$AJ82),"-")</f>
        <v/>
      </c>
      <c r="CY82" s="22">
        <f>IF(AND($H82&lt;&gt;"",$AK82&lt;&gt;"",$H82&lt;&gt;$AK82,IFERROR(VLOOKUP($H82,areaCercaPuntiClassificaSquadra,3,FALSE),-1)=IFERROR(VLOOKUP($AK82,areaCercaPuntiClassificaSquadra,3,FALSE),-2)),SUMIFS(Dati!$E$2:$E$761,Dati!$A$2:$A$761,$H82,Dati!$H$2:$H$761,$AK82)+SUMIFS(Dati!$L$2:$L$761,Dati!$H$2:$H$761,$H82,Dati!$A$2:$A$761,$AK82),"-")</f>
        <v/>
      </c>
      <c r="CZ82" s="22">
        <f>IF(AND($H82&lt;&gt;"",$AL82&lt;&gt;"",$H82&lt;&gt;$AL82,IFERROR(VLOOKUP($H82,areaCercaPuntiClassificaSquadra,3,FALSE),-1)=IFERROR(VLOOKUP($AL82,areaCercaPuntiClassificaSquadra,3,FALSE),-2)),SUMIFS(Dati!$E$2:$E$761,Dati!$A$2:$A$761,$H82,Dati!$H$2:$H$761,$AL82)+SUMIFS(Dati!$L$2:$L$761,Dati!$H$2:$H$761,$H82,Dati!$A$2:$A$761,$AL82),"-")</f>
        <v/>
      </c>
      <c r="DA82" s="22">
        <f>IF(AND($H82&lt;&gt;"",$AM82&lt;&gt;"",$H82&lt;&gt;$AM82,IFERROR(VLOOKUP($H82,areaCercaPuntiClassificaSquadra,3,FALSE),-1)=IFERROR(VLOOKUP($AM82,areaCercaPuntiClassificaSquadra,3,FALSE),-2)),SUMIFS(Dati!$E$2:$E$761,Dati!$A$2:$A$761,$H82,Dati!$H$2:$H$761,$AM82)+SUMIFS(Dati!$L$2:$L$761,Dati!$H$2:$H$761,$H82,Dati!$A$2:$A$761,$AM82),"-")</f>
        <v/>
      </c>
      <c r="DB82" s="22">
        <f>IF(AND($H82&lt;&gt;"",$AN82&lt;&gt;"",$H82&lt;&gt;$AN82,IFERROR(VLOOKUP($H82,areaCercaPuntiClassificaSquadra,3,FALSE),-1)=IFERROR(VLOOKUP($AN82,areaCercaPuntiClassificaSquadra,3,FALSE),-2)),SUMIFS(Dati!$E$2:$E$761,Dati!$A$2:$A$761,$H82,Dati!$H$2:$H$761,$AN82)+SUMIFS(Dati!$L$2:$L$761,Dati!$H$2:$H$761,$H82,Dati!$A$2:$A$761,$AN82),"-")</f>
        <v/>
      </c>
      <c r="DC82" s="22">
        <f>IF(AND($H82&lt;&gt;"",$AO82&lt;&gt;"",$H82&lt;&gt;$AO82,IFERROR(VLOOKUP($H82,areaCercaPuntiClassificaSquadra,3,FALSE),-1)=IFERROR(VLOOKUP($AO82,areaCercaPuntiClassificaSquadra,3,FALSE),-2)),SUMIFS(Dati!$E$2:$E$761,Dati!$A$2:$A$761,$H82,Dati!$H$2:$H$761,$AO82)+SUMIFS(Dati!$L$2:$L$761,Dati!$H$2:$H$761,$H82,Dati!$A$2:$A$761,$AO82),"-")</f>
        <v/>
      </c>
      <c r="DD82" s="22">
        <f>IF(AND($H82&lt;&gt;"",$AP82&lt;&gt;"",$H82&lt;&gt;$AP82,IFERROR(VLOOKUP($H82,areaCercaPuntiClassificaSquadra,3,FALSE),-1)=IFERROR(VLOOKUP($AP82,areaCercaPuntiClassificaSquadra,3,FALSE),-2)),SUMIFS(Dati!$E$2:$E$761,Dati!$A$2:$A$761,$H82,Dati!$H$2:$H$761,$AP82)+SUMIFS(Dati!$L$2:$L$761,Dati!$H$2:$H$761,$H82,Dati!$A$2:$A$761,$AP82),"-")</f>
        <v/>
      </c>
      <c r="DE82" s="22">
        <f>IF(AND($H82&lt;&gt;"",$AQ82&lt;&gt;"",$H82&lt;&gt;$AQ82,IFERROR(VLOOKUP($H82,areaCercaPuntiClassificaSquadra,3,FALSE),-1)=IFERROR(VLOOKUP($AQ82,areaCercaPuntiClassificaSquadra,3,FALSE),-2)),SUMIFS(Dati!$E$2:$E$761,Dati!$A$2:$A$761,$H82,Dati!$H$2:$H$761,$AQ82)+SUMIFS(Dati!$L$2:$L$761,Dati!$H$2:$H$761,$H82,Dati!$A$2:$A$761,$AQ82),"-")</f>
        <v/>
      </c>
      <c r="DF82" s="22">
        <f>IF(AND($H82&lt;&gt;"",$AR82&lt;&gt;"",$H82&lt;&gt;$AR82,IFERROR(VLOOKUP($H82,areaCercaPuntiClassificaSquadra,3,FALSE),-1)=IFERROR(VLOOKUP($AR82,areaCercaPuntiClassificaSquadra,3,FALSE),-2)),SUMIFS(Dati!$E$2:$E$761,Dati!$A$2:$A$761,$H82,Dati!$H$2:$H$761,$AR82)+SUMIFS(Dati!$L$2:$L$761,Dati!$H$2:$H$761,$H82,Dati!$A$2:$A$761,$AR82),"-")</f>
        <v/>
      </c>
      <c r="DH82" s="21">
        <f>$C82</f>
        <v/>
      </c>
      <c r="DI82" s="22">
        <f>IF(AND($H82&lt;&gt;"",$Y82&lt;&gt;"",$H82&lt;&gt;$Y82,IFERROR(VLOOKUP($H82,areaCercaPuntiClassificaSquadra,3,FALSE),-1)=IFERROR(VLOOKUP($Y82,areaCercaPuntiClassificaSquadra,3,FALSE),-2)),SUMIFS(Dati!$F$2:$F$761,Dati!$A$2:$A$761,$H82,Dati!$H$2:$H$761,$Y82)+SUMIFS(Dati!$M$2:$M$761,Dati!$H$2:$H$761,$H82,Dati!$A$2:$A$761,$Y82),"-")</f>
        <v/>
      </c>
      <c r="DJ82" s="22">
        <f>IF(AND($H82&lt;&gt;"",$Z82&lt;&gt;"",$H82&lt;&gt;$Z82,IFERROR(VLOOKUP($H82,areaCercaPuntiClassificaSquadra,3,FALSE),-1)=IFERROR(VLOOKUP($Z82,areaCercaPuntiClassificaSquadra,3,FALSE),-2)),SUMIFS(Dati!$F$2:$F$761,Dati!$A$2:$A$761,$H82,Dati!$H$2:$H$761,$Z82)+SUMIFS(Dati!$M$2:$M$761,Dati!$H$2:$H$761,$H82,Dati!$A$2:$A$761,$Z82),"-")</f>
        <v/>
      </c>
      <c r="DK82" s="22">
        <f>IF(AND($H82&lt;&gt;"",$AA82&lt;&gt;"",$H82&lt;&gt;$AA82,IFERROR(VLOOKUP($H82,areaCercaPuntiClassificaSquadra,3,FALSE),-1)=IFERROR(VLOOKUP($AA82,areaCercaPuntiClassificaSquadra,3,FALSE),-2)),SUMIFS(Dati!$F$2:$F$761,Dati!$A$2:$A$761,$H82,Dati!$H$2:$H$761,$AA82)+SUMIFS(Dati!$M$2:$M$761,Dati!$H$2:$H$761,$H82,Dati!$A$2:$A$761,$AA82),"-")</f>
        <v/>
      </c>
      <c r="DL82" s="22">
        <f>IF(AND($H82&lt;&gt;"",$AB82&lt;&gt;"",$H82&lt;&gt;$AB82,IFERROR(VLOOKUP($H82,areaCercaPuntiClassificaSquadra,3,FALSE),-1)=IFERROR(VLOOKUP($AB82,areaCercaPuntiClassificaSquadra,3,FALSE),-2)),SUMIFS(Dati!$F$2:$F$761,Dati!$A$2:$A$761,$H82,Dati!$H$2:$H$761,$AB82)+SUMIFS(Dati!$M$2:$M$761,Dati!$H$2:$H$761,$H82,Dati!$A$2:$A$761,$AB82),"-")</f>
        <v/>
      </c>
      <c r="DM82" s="22">
        <f>IF(AND($H82&lt;&gt;"",$AC82&lt;&gt;"",$H82&lt;&gt;$AC82,IFERROR(VLOOKUP($H82,areaCercaPuntiClassificaSquadra,3,FALSE),-1)=IFERROR(VLOOKUP($AC82,areaCercaPuntiClassificaSquadra,3,FALSE),-2)),SUMIFS(Dati!$F$2:$F$761,Dati!$A$2:$A$761,$H82,Dati!$H$2:$H$761,$AC82)+SUMIFS(Dati!$M$2:$M$761,Dati!$H$2:$H$761,$H82,Dati!$A$2:$A$761,$AC82),"-")</f>
        <v/>
      </c>
      <c r="DN82" s="22">
        <f>IF(AND($H82&lt;&gt;"",$AD82&lt;&gt;"",$H82&lt;&gt;$AD82,IFERROR(VLOOKUP($H82,areaCercaPuntiClassificaSquadra,3,FALSE),-1)=IFERROR(VLOOKUP($AD82,areaCercaPuntiClassificaSquadra,3,FALSE),-2)),SUMIFS(Dati!$F$2:$F$761,Dati!$A$2:$A$761,$H82,Dati!$H$2:$H$761,$AD82)+SUMIFS(Dati!$M$2:$M$761,Dati!$H$2:$H$761,$H82,Dati!$A$2:$A$761,$AD82),"-")</f>
        <v/>
      </c>
      <c r="DO82" s="22">
        <f>IF(AND($H82&lt;&gt;"",$AE82&lt;&gt;"",$H82&lt;&gt;$AE82,IFERROR(VLOOKUP($H82,areaCercaPuntiClassificaSquadra,3,FALSE),-1)=IFERROR(VLOOKUP($AE82,areaCercaPuntiClassificaSquadra,3,FALSE),-2)),SUMIFS(Dati!$F$2:$F$761,Dati!$A$2:$A$761,$H82,Dati!$H$2:$H$761,$AE82)+SUMIFS(Dati!$M$2:$M$761,Dati!$H$2:$H$761,$H82,Dati!$A$2:$A$761,$AE82),"-")</f>
        <v/>
      </c>
      <c r="DP82" s="22">
        <f>IF(AND($H82&lt;&gt;"",$AF82&lt;&gt;"",$H82&lt;&gt;$AF82,IFERROR(VLOOKUP($H82,areaCercaPuntiClassificaSquadra,3,FALSE),-1)=IFERROR(VLOOKUP($AF82,areaCercaPuntiClassificaSquadra,3,FALSE),-2)),SUMIFS(Dati!$F$2:$F$761,Dati!$A$2:$A$761,$H82,Dati!$H$2:$H$761,$AF82)+SUMIFS(Dati!$M$2:$M$761,Dati!$H$2:$H$761,$H82,Dati!$A$2:$A$761,$AF82),"-")</f>
        <v/>
      </c>
      <c r="DQ82" s="22">
        <f>IF(AND($H82&lt;&gt;"",$AG82&lt;&gt;"",$H82&lt;&gt;$AG82,IFERROR(VLOOKUP($H82,areaCercaPuntiClassificaSquadra,3,FALSE),-1)=IFERROR(VLOOKUP($AG82,areaCercaPuntiClassificaSquadra,3,FALSE),-2)),SUMIFS(Dati!$F$2:$F$761,Dati!$A$2:$A$761,$H82,Dati!$H$2:$H$761,$AG82)+SUMIFS(Dati!$M$2:$M$761,Dati!$H$2:$H$761,$H82,Dati!$A$2:$A$761,$AG82),"-")</f>
        <v/>
      </c>
      <c r="DR82" s="22">
        <f>IF(AND($H82&lt;&gt;"",$AH82&lt;&gt;"",$H82&lt;&gt;$AH82,IFERROR(VLOOKUP($H82,areaCercaPuntiClassificaSquadra,3,FALSE),-1)=IFERROR(VLOOKUP($AH82,areaCercaPuntiClassificaSquadra,3,FALSE),-2)),SUMIFS(Dati!$F$2:$F$761,Dati!$A$2:$A$761,$H82,Dati!$H$2:$H$761,$AH82)+SUMIFS(Dati!$M$2:$M$761,Dati!$H$2:$H$761,$H82,Dati!$A$2:$A$761,$AH82),"-")</f>
        <v/>
      </c>
      <c r="DS82" s="22">
        <f>IF(AND($H82&lt;&gt;"",$AI82&lt;&gt;"",$H82&lt;&gt;$AI82,IFERROR(VLOOKUP($H82,areaCercaPuntiClassificaSquadra,3,FALSE),-1)=IFERROR(VLOOKUP($AI82,areaCercaPuntiClassificaSquadra,3,FALSE),-2)),SUMIFS(Dati!$F$2:$F$761,Dati!$A$2:$A$761,$H82,Dati!$H$2:$H$761,$AI82)+SUMIFS(Dati!$M$2:$M$761,Dati!$H$2:$H$761,$H82,Dati!$A$2:$A$761,$AI82),"-")</f>
        <v/>
      </c>
      <c r="DT82" s="22">
        <f>IF(AND($H82&lt;&gt;"",$AJ82&lt;&gt;"",$H82&lt;&gt;$AJ82,IFERROR(VLOOKUP($H82,areaCercaPuntiClassificaSquadra,3,FALSE),-1)=IFERROR(VLOOKUP($AJ82,areaCercaPuntiClassificaSquadra,3,FALSE),-2)),SUMIFS(Dati!$F$2:$F$761,Dati!$A$2:$A$761,$H82,Dati!$H$2:$H$761,$AJ82)+SUMIFS(Dati!$M$2:$M$761,Dati!$H$2:$H$761,$H82,Dati!$A$2:$A$761,$AJ82),"-")</f>
        <v/>
      </c>
      <c r="DU82" s="22">
        <f>IF(AND($H82&lt;&gt;"",$AK82&lt;&gt;"",$H82&lt;&gt;$AK82,IFERROR(VLOOKUP($H82,areaCercaPuntiClassificaSquadra,3,FALSE),-1)=IFERROR(VLOOKUP($AK82,areaCercaPuntiClassificaSquadra,3,FALSE),-2)),SUMIFS(Dati!$F$2:$F$761,Dati!$A$2:$A$761,$H82,Dati!$H$2:$H$761,$AK82)+SUMIFS(Dati!$M$2:$M$761,Dati!$H$2:$H$761,$H82,Dati!$A$2:$A$761,$AK82),"-")</f>
        <v/>
      </c>
      <c r="DV82" s="22">
        <f>IF(AND($H82&lt;&gt;"",$AL82&lt;&gt;"",$H82&lt;&gt;$AL82,IFERROR(VLOOKUP($H82,areaCercaPuntiClassificaSquadra,3,FALSE),-1)=IFERROR(VLOOKUP($AL82,areaCercaPuntiClassificaSquadra,3,FALSE),-2)),SUMIFS(Dati!$F$2:$F$761,Dati!$A$2:$A$761,$H82,Dati!$H$2:$H$761,$AL82)+SUMIFS(Dati!$M$2:$M$761,Dati!$H$2:$H$761,$H82,Dati!$A$2:$A$761,$AL82),"-")</f>
        <v/>
      </c>
      <c r="DW82" s="22">
        <f>IF(AND($H82&lt;&gt;"",$AM82&lt;&gt;"",$H82&lt;&gt;$AM82,IFERROR(VLOOKUP($H82,areaCercaPuntiClassificaSquadra,3,FALSE),-1)=IFERROR(VLOOKUP($AM82,areaCercaPuntiClassificaSquadra,3,FALSE),-2)),SUMIFS(Dati!$F$2:$F$761,Dati!$A$2:$A$761,$H82,Dati!$H$2:$H$761,$AM82)+SUMIFS(Dati!$M$2:$M$761,Dati!$H$2:$H$761,$H82,Dati!$A$2:$A$761,$AM82),"-")</f>
        <v/>
      </c>
      <c r="DX82" s="22">
        <f>IF(AND($H82&lt;&gt;"",$AN82&lt;&gt;"",$H82&lt;&gt;$AN82,IFERROR(VLOOKUP($H82,areaCercaPuntiClassificaSquadra,3,FALSE),-1)=IFERROR(VLOOKUP($AN82,areaCercaPuntiClassificaSquadra,3,FALSE),-2)),SUMIFS(Dati!$F$2:$F$761,Dati!$A$2:$A$761,$H82,Dati!$H$2:$H$761,$AN82)+SUMIFS(Dati!$M$2:$M$761,Dati!$H$2:$H$761,$H82,Dati!$A$2:$A$761,$AN82),"-")</f>
        <v/>
      </c>
      <c r="DY82" s="22">
        <f>IF(AND($H82&lt;&gt;"",$AO82&lt;&gt;"",$H82&lt;&gt;$AO82,IFERROR(VLOOKUP($H82,areaCercaPuntiClassificaSquadra,3,FALSE),-1)=IFERROR(VLOOKUP($AO82,areaCercaPuntiClassificaSquadra,3,FALSE),-2)),SUMIFS(Dati!$F$2:$F$761,Dati!$A$2:$A$761,$H82,Dati!$H$2:$H$761,$AO82)+SUMIFS(Dati!$M$2:$M$761,Dati!$H$2:$H$761,$H82,Dati!$A$2:$A$761,$AO82),"-")</f>
        <v/>
      </c>
      <c r="DZ82" s="22">
        <f>IF(AND($H82&lt;&gt;"",$AP82&lt;&gt;"",$H82&lt;&gt;$AP82,IFERROR(VLOOKUP($H82,areaCercaPuntiClassificaSquadra,3,FALSE),-1)=IFERROR(VLOOKUP($AP82,areaCercaPuntiClassificaSquadra,3,FALSE),-2)),SUMIFS(Dati!$F$2:$F$761,Dati!$A$2:$A$761,$H82,Dati!$H$2:$H$761,$AP82)+SUMIFS(Dati!$M$2:$M$761,Dati!$H$2:$H$761,$H82,Dati!$A$2:$A$761,$AP82),"-")</f>
        <v/>
      </c>
      <c r="EA82" s="22">
        <f>IF(AND($H82&lt;&gt;"",$AQ82&lt;&gt;"",$H82&lt;&gt;$AQ82,IFERROR(VLOOKUP($H82,areaCercaPuntiClassificaSquadra,3,FALSE),-1)=IFERROR(VLOOKUP($AQ82,areaCercaPuntiClassificaSquadra,3,FALSE),-2)),SUMIFS(Dati!$F$2:$F$761,Dati!$A$2:$A$761,$H82,Dati!$H$2:$H$761,$AQ82)+SUMIFS(Dati!$M$2:$M$761,Dati!$H$2:$H$761,$H82,Dati!$A$2:$A$761,$AQ82),"-")</f>
        <v/>
      </c>
      <c r="EB82" s="22">
        <f>IF(AND($H82&lt;&gt;"",$AR82&lt;&gt;"",$H82&lt;&gt;$AR82,IFERROR(VLOOKUP($H82,areaCercaPuntiClassificaSquadra,3,FALSE),-1)=IFERROR(VLOOKUP($AR82,areaCercaPuntiClassificaSquadra,3,FALSE),-2)),SUMIFS(Dati!$F$2:$F$761,Dati!$A$2:$A$761,$H82,Dati!$H$2:$H$761,$AR82)+SUMIFS(Dati!$M$2:$M$761,Dati!$H$2:$H$761,$H82,Dati!$A$2:$A$761,$AR82),"-")</f>
        <v/>
      </c>
      <c r="ED82" s="22">
        <f>IF($C82="","",SUM(AU82:BN82))</f>
        <v/>
      </c>
    </row>
    <row r="83">
      <c r="B83" s="12" t="inlineStr">
        <is>
          <t>D10</t>
        </is>
      </c>
      <c r="C83" s="13" t="inlineStr">
        <is>
          <t>Barbagianni Belligeranti-Barbagianniopoli BU</t>
        </is>
      </c>
      <c r="D83" s="14" t="n"/>
      <c r="E83" s="27" t="inlineStr">
        <is>
          <t>D</t>
        </is>
      </c>
      <c r="G83" s="28">
        <f>IF($C83="","",$E83&amp;(COUNTIFS(I$14:I$93,"&gt;"&amp;I83,E$14:E$93,"="&amp;E83,C$14:C$93,"&lt;&gt;")+COUNTIFS(I$14:I$93,"="&amp;I83,H$14:H$93,"&lt;="&amp;H83,E$14:E$93,"="&amp;E83,C$14:C$93,"&lt;&gt;")))</f>
        <v/>
      </c>
      <c r="H83" s="17">
        <f>IF($C83="","",IFERROR(LEFT($C83,FIND("-",$C83)-1),$C83))</f>
        <v/>
      </c>
      <c r="I83" s="12">
        <f>TEXT(1000000000+J83,"|0000000000|")&amp;TEXT(SUM(AU83:BN83),"0000000000|")&amp;IF(SUM(DI83:EB83)=0,"0000000000|",TEXT(ROUND(SUM(CM83:DF83)/SUM(DI83:EB83),4)*100000,"0000000000|"))&amp;IF(P83=0,"0000000000|",TEXT(ROUND(O83/P83,4)*100000,"0000000000|"))</f>
        <v/>
      </c>
      <c r="J83" s="28">
        <f>L83*constPuntiVittoria+M83*constPuntiSconfitta+N83*constPuntiForfait+IF(D83="",0,D83)</f>
        <v/>
      </c>
      <c r="K83" s="12">
        <f>SUM(L83:N83)</f>
        <v/>
      </c>
      <c r="L83" s="12">
        <f>IF($H83="",0,SUMIF(Dati!$A$2:$A$761,$H83,Dati!$B$2:$B$761)+SUMIF(Dati!$H$2:$H$761,$H83,Dati!$I$2:$I$761))</f>
        <v/>
      </c>
      <c r="M83" s="12">
        <f>IF($H83="",0,SUMIF(Dati!$A$2:$A$761,$H83,Dati!$D$2:$D$761)+SUMIF(Dati!$H$2:$H$761,$H83,Dati!$K$2:$K$761))</f>
        <v/>
      </c>
      <c r="N83" s="12">
        <f>IF($H83="",0,SUMIF(Dati!$A$2:$A$761,$H83,Dati!$C$2:$C$761)+SUMIF(Dati!$H$2:$H$761,$H83,Dati!$J$2:$J$761))</f>
        <v/>
      </c>
      <c r="O83" s="12">
        <f>IF($H83="",0,SUMIF(Dati!$A$2:$A$761,$H83,Dati!$E$2:$E$761)+SUMIF(Dati!$H$2:$H$761,$H83,Dati!$L$2:$L$761))</f>
        <v/>
      </c>
      <c r="P83" s="12">
        <f>IF($H83="",0,SUMIF(Dati!$A$2:$A$761,$H83,Dati!$F$2:$F$761)+SUMIF(Dati!$H$2:$H$761,$H83,Dati!$M$2:$M$761))</f>
        <v/>
      </c>
      <c r="Q83" s="12">
        <f>IF($H83="",0,SUMIF(Dati!$A$2:$A$761,$H83,Dati!$G$2:$G$761)+SUMIF(Dati!$H$2:$H$761,$H83,Dati!$N$2:$N$761))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IF(COUNTIFS($E$14:$E$93,$E83,$J$14:$J$93,$J83,$C$14:$C$93,"&lt;&gt;")&lt;=1,"-",SUM(AU83:BN83)&amp;"-"&amp;SUM(BQ83:CJ83))</f>
        <v/>
      </c>
      <c r="V83" s="18">
        <f>IF(COUNTIFS($E$14:$E$93,$E83,$J$14:$J$93,$J83,$C$14:$C$93,"&lt;&gt;",$ED$14:$ED$93,$ED83)&lt;=1,"-",IF(SUM(DI83:EB83)=0,0,ROUND(SUM(CM83:DF83)/SUM(DI83:EB83),3)))</f>
        <v/>
      </c>
      <c r="W83" s="18">
        <f>IF(COUNTIFS($E$14:$E$93,$E83,$J$14:$J$93,$J83,$C$14:$C$93,"&lt;&gt;",$ED$14:$ED$93,$ED83,$V$14:$V$93,$V83)&lt;=1,"-",IF(P83=0,0,ROUND(O83/P83,3)))</f>
        <v/>
      </c>
      <c r="X83" s="19">
        <f>IF($C83="","",$E83&amp;"#"&amp;COUNTIFS($E$14:$E83,$E83,$C$14:$C83,"&lt;&gt;"))</f>
        <v/>
      </c>
      <c r="Y83" s="20">
        <f>IFERROR(INDEX($H$14:$H$93,MATCH($E83&amp;"#1",$X$14:$X$93,0)),"")</f>
        <v/>
      </c>
      <c r="Z83" s="20">
        <f>IFERROR(INDEX($H$14:$H$93,MATCH($E83&amp;"#2",$X$14:$X$93,0)),"")</f>
        <v/>
      </c>
      <c r="AA83" s="20">
        <f>IFERROR(INDEX($H$14:$H$93,MATCH($E83&amp;"#3",$X$14:$X$93,0)),"")</f>
        <v/>
      </c>
      <c r="AB83" s="20">
        <f>IFERROR(INDEX($H$14:$H$93,MATCH($E83&amp;"#4",$X$14:$X$93,0)),"")</f>
        <v/>
      </c>
      <c r="AC83" s="20">
        <f>IFERROR(INDEX($H$14:$H$93,MATCH($E83&amp;"#5",$X$14:$X$93,0)),"")</f>
        <v/>
      </c>
      <c r="AD83" s="20">
        <f>IFERROR(INDEX($H$14:$H$93,MATCH($E83&amp;"#6",$X$14:$X$93,0)),"")</f>
        <v/>
      </c>
      <c r="AE83" s="20">
        <f>IFERROR(INDEX($H$14:$H$93,MATCH($E83&amp;"#7",$X$14:$X$93,0)),"")</f>
        <v/>
      </c>
      <c r="AF83" s="20">
        <f>IFERROR(INDEX($H$14:$H$93,MATCH($E83&amp;"#8",$X$14:$X$93,0)),"")</f>
        <v/>
      </c>
      <c r="AG83" s="20">
        <f>IFERROR(INDEX($H$14:$H$93,MATCH($E83&amp;"#9",$X$14:$X$93,0)),"")</f>
        <v/>
      </c>
      <c r="AH83" s="20">
        <f>IFERROR(INDEX($H$14:$H$93,MATCH($E83&amp;"#10",$X$14:$X$93,0)),"")</f>
        <v/>
      </c>
      <c r="AI83" s="20">
        <f>IFERROR(INDEX($H$14:$H$93,MATCH($E83&amp;"#11",$X$14:$X$93,0)),"")</f>
        <v/>
      </c>
      <c r="AJ83" s="20">
        <f>IFERROR(INDEX($H$14:$H$93,MATCH($E83&amp;"#12",$X$14:$X$93,0)),"")</f>
        <v/>
      </c>
      <c r="AK83" s="20">
        <f>IFERROR(INDEX($H$14:$H$93,MATCH($E83&amp;"#13",$X$14:$X$93,0)),"")</f>
        <v/>
      </c>
      <c r="AL83" s="20">
        <f>IFERROR(INDEX($H$14:$H$93,MATCH($E83&amp;"#14",$X$14:$X$93,0)),"")</f>
        <v/>
      </c>
      <c r="AM83" s="20">
        <f>IFERROR(INDEX($H$14:$H$93,MATCH($E83&amp;"#15",$X$14:$X$93,0)),"")</f>
        <v/>
      </c>
      <c r="AN83" s="20">
        <f>IFERROR(INDEX($H$14:$H$93,MATCH($E83&amp;"#16",$X$14:$X$93,0)),"")</f>
        <v/>
      </c>
      <c r="AO83" s="20">
        <f>IFERROR(INDEX($H$14:$H$93,MATCH($E83&amp;"#17",$X$14:$X$93,0)),"")</f>
        <v/>
      </c>
      <c r="AP83" s="20">
        <f>IFERROR(INDEX($H$14:$H$93,MATCH($E83&amp;"#18",$X$14:$X$93,0)),"")</f>
        <v/>
      </c>
      <c r="AQ83" s="20">
        <f>IFERROR(INDEX($H$14:$H$93,MATCH($E83&amp;"#19",$X$14:$X$93,0)),"")</f>
        <v/>
      </c>
      <c r="AR83" s="20">
        <f>IFERROR(INDEX($H$14:$H$93,MATCH($E83&amp;"#20",$X$14:$X$93,0)),"")</f>
        <v/>
      </c>
      <c r="AT83" s="21">
        <f>$C83</f>
        <v/>
      </c>
      <c r="AU83" s="22">
        <f>IF(AND($H83&lt;&gt;"",$Y83&lt;&gt;"",$H83&lt;&gt;$Y83,IFERROR(VLOOKUP($H83,areaCercaPuntiClassificaSquadra,3,FALSE),-1)=IFERROR(VLOOKUP($Y83,areaCercaPuntiClassificaSquadra,3,FALSE),-2)),SUMIFS(Dati!$B$2:$B$761,Dati!$A$2:$A$761,$H83,Dati!$H$2:$H$761,$Y83)+SUMIFS(Dati!$I$2:$I$761,Dati!$H$2:$H$761,$H83,Dati!$A$2:$A$761,$Y83),"-")</f>
        <v/>
      </c>
      <c r="AV83" s="22">
        <f>IF(AND($H83&lt;&gt;"",$Z83&lt;&gt;"",$H83&lt;&gt;$Z83,IFERROR(VLOOKUP($H83,areaCercaPuntiClassificaSquadra,3,FALSE),-1)=IFERROR(VLOOKUP($Z83,areaCercaPuntiClassificaSquadra,3,FALSE),-2)),SUMIFS(Dati!$B$2:$B$761,Dati!$A$2:$A$761,$H83,Dati!$H$2:$H$761,$Z83)+SUMIFS(Dati!$I$2:$I$761,Dati!$H$2:$H$761,$H83,Dati!$A$2:$A$761,$Z83),"-")</f>
        <v/>
      </c>
      <c r="AW83" s="22">
        <f>IF(AND($H83&lt;&gt;"",$AA83&lt;&gt;"",$H83&lt;&gt;$AA83,IFERROR(VLOOKUP($H83,areaCercaPuntiClassificaSquadra,3,FALSE),-1)=IFERROR(VLOOKUP($AA83,areaCercaPuntiClassificaSquadra,3,FALSE),-2)),SUMIFS(Dati!$B$2:$B$761,Dati!$A$2:$A$761,$H83,Dati!$H$2:$H$761,$AA83)+SUMIFS(Dati!$I$2:$I$761,Dati!$H$2:$H$761,$H83,Dati!$A$2:$A$761,$AA83),"-")</f>
        <v/>
      </c>
      <c r="AX83" s="22">
        <f>IF(AND($H83&lt;&gt;"",$AB83&lt;&gt;"",$H83&lt;&gt;$AB83,IFERROR(VLOOKUP($H83,areaCercaPuntiClassificaSquadra,3,FALSE),-1)=IFERROR(VLOOKUP($AB83,areaCercaPuntiClassificaSquadra,3,FALSE),-2)),SUMIFS(Dati!$B$2:$B$761,Dati!$A$2:$A$761,$H83,Dati!$H$2:$H$761,$AB83)+SUMIFS(Dati!$I$2:$I$761,Dati!$H$2:$H$761,$H83,Dati!$A$2:$A$761,$AB83),"-")</f>
        <v/>
      </c>
      <c r="AY83" s="22">
        <f>IF(AND($H83&lt;&gt;"",$AC83&lt;&gt;"",$H83&lt;&gt;$AC83,IFERROR(VLOOKUP($H83,areaCercaPuntiClassificaSquadra,3,FALSE),-1)=IFERROR(VLOOKUP($AC83,areaCercaPuntiClassificaSquadra,3,FALSE),-2)),SUMIFS(Dati!$B$2:$B$761,Dati!$A$2:$A$761,$H83,Dati!$H$2:$H$761,$AC83)+SUMIFS(Dati!$I$2:$I$761,Dati!$H$2:$H$761,$H83,Dati!$A$2:$A$761,$AC83),"-")</f>
        <v/>
      </c>
      <c r="AZ83" s="22">
        <f>IF(AND($H83&lt;&gt;"",$AD83&lt;&gt;"",$H83&lt;&gt;$AD83,IFERROR(VLOOKUP($H83,areaCercaPuntiClassificaSquadra,3,FALSE),-1)=IFERROR(VLOOKUP($AD83,areaCercaPuntiClassificaSquadra,3,FALSE),-2)),SUMIFS(Dati!$B$2:$B$761,Dati!$A$2:$A$761,$H83,Dati!$H$2:$H$761,$AD83)+SUMIFS(Dati!$I$2:$I$761,Dati!$H$2:$H$761,$H83,Dati!$A$2:$A$761,$AD83),"-")</f>
        <v/>
      </c>
      <c r="BA83" s="22">
        <f>IF(AND($H83&lt;&gt;"",$AE83&lt;&gt;"",$H83&lt;&gt;$AE83,IFERROR(VLOOKUP($H83,areaCercaPuntiClassificaSquadra,3,FALSE),-1)=IFERROR(VLOOKUP($AE83,areaCercaPuntiClassificaSquadra,3,FALSE),-2)),SUMIFS(Dati!$B$2:$B$761,Dati!$A$2:$A$761,$H83,Dati!$H$2:$H$761,$AE83)+SUMIFS(Dati!$I$2:$I$761,Dati!$H$2:$H$761,$H83,Dati!$A$2:$A$761,$AE83),"-")</f>
        <v/>
      </c>
      <c r="BB83" s="22">
        <f>IF(AND($H83&lt;&gt;"",$AF83&lt;&gt;"",$H83&lt;&gt;$AF83,IFERROR(VLOOKUP($H83,areaCercaPuntiClassificaSquadra,3,FALSE),-1)=IFERROR(VLOOKUP($AF83,areaCercaPuntiClassificaSquadra,3,FALSE),-2)),SUMIFS(Dati!$B$2:$B$761,Dati!$A$2:$A$761,$H83,Dati!$H$2:$H$761,$AF83)+SUMIFS(Dati!$I$2:$I$761,Dati!$H$2:$H$761,$H83,Dati!$A$2:$A$761,$AF83),"-")</f>
        <v/>
      </c>
      <c r="BC83" s="22">
        <f>IF(AND($H83&lt;&gt;"",$AG83&lt;&gt;"",$H83&lt;&gt;$AG83,IFERROR(VLOOKUP($H83,areaCercaPuntiClassificaSquadra,3,FALSE),-1)=IFERROR(VLOOKUP($AG83,areaCercaPuntiClassificaSquadra,3,FALSE),-2)),SUMIFS(Dati!$B$2:$B$761,Dati!$A$2:$A$761,$H83,Dati!$H$2:$H$761,$AG83)+SUMIFS(Dati!$I$2:$I$761,Dati!$H$2:$H$761,$H83,Dati!$A$2:$A$761,$AG83),"-")</f>
        <v/>
      </c>
      <c r="BD83" s="22">
        <f>IF(AND($H83&lt;&gt;"",$AH83&lt;&gt;"",$H83&lt;&gt;$AH83,IFERROR(VLOOKUP($H83,areaCercaPuntiClassificaSquadra,3,FALSE),-1)=IFERROR(VLOOKUP($AH83,areaCercaPuntiClassificaSquadra,3,FALSE),-2)),SUMIFS(Dati!$B$2:$B$761,Dati!$A$2:$A$761,$H83,Dati!$H$2:$H$761,$AH83)+SUMIFS(Dati!$I$2:$I$761,Dati!$H$2:$H$761,$H83,Dati!$A$2:$A$761,$AH83),"-")</f>
        <v/>
      </c>
      <c r="BE83" s="22">
        <f>IF(AND($H83&lt;&gt;"",$AI83&lt;&gt;"",$H83&lt;&gt;$AI83,IFERROR(VLOOKUP($H83,areaCercaPuntiClassificaSquadra,3,FALSE),-1)=IFERROR(VLOOKUP($AI83,areaCercaPuntiClassificaSquadra,3,FALSE),-2)),SUMIFS(Dati!$B$2:$B$761,Dati!$A$2:$A$761,$H83,Dati!$H$2:$H$761,$AI83)+SUMIFS(Dati!$I$2:$I$761,Dati!$H$2:$H$761,$H83,Dati!$A$2:$A$761,$AI83),"-")</f>
        <v/>
      </c>
      <c r="BF83" s="22">
        <f>IF(AND($H83&lt;&gt;"",$AJ83&lt;&gt;"",$H83&lt;&gt;$AJ83,IFERROR(VLOOKUP($H83,areaCercaPuntiClassificaSquadra,3,FALSE),-1)=IFERROR(VLOOKUP($AJ83,areaCercaPuntiClassificaSquadra,3,FALSE),-2)),SUMIFS(Dati!$B$2:$B$761,Dati!$A$2:$A$761,$H83,Dati!$H$2:$H$761,$AJ83)+SUMIFS(Dati!$I$2:$I$761,Dati!$H$2:$H$761,$H83,Dati!$A$2:$A$761,$AJ83),"-")</f>
        <v/>
      </c>
      <c r="BG83" s="22">
        <f>IF(AND($H83&lt;&gt;"",$AK83&lt;&gt;"",$H83&lt;&gt;$AK83,IFERROR(VLOOKUP($H83,areaCercaPuntiClassificaSquadra,3,FALSE),-1)=IFERROR(VLOOKUP($AK83,areaCercaPuntiClassificaSquadra,3,FALSE),-2)),SUMIFS(Dati!$B$2:$B$761,Dati!$A$2:$A$761,$H83,Dati!$H$2:$H$761,$AK83)+SUMIFS(Dati!$I$2:$I$761,Dati!$H$2:$H$761,$H83,Dati!$A$2:$A$761,$AK83),"-")</f>
        <v/>
      </c>
      <c r="BH83" s="22">
        <f>IF(AND($H83&lt;&gt;"",$AL83&lt;&gt;"",$H83&lt;&gt;$AL83,IFERROR(VLOOKUP($H83,areaCercaPuntiClassificaSquadra,3,FALSE),-1)=IFERROR(VLOOKUP($AL83,areaCercaPuntiClassificaSquadra,3,FALSE),-2)),SUMIFS(Dati!$B$2:$B$761,Dati!$A$2:$A$761,$H83,Dati!$H$2:$H$761,$AL83)+SUMIFS(Dati!$I$2:$I$761,Dati!$H$2:$H$761,$H83,Dati!$A$2:$A$761,$AL83),"-")</f>
        <v/>
      </c>
      <c r="BI83" s="22">
        <f>IF(AND($H83&lt;&gt;"",$AM83&lt;&gt;"",$H83&lt;&gt;$AM83,IFERROR(VLOOKUP($H83,areaCercaPuntiClassificaSquadra,3,FALSE),-1)=IFERROR(VLOOKUP($AM83,areaCercaPuntiClassificaSquadra,3,FALSE),-2)),SUMIFS(Dati!$B$2:$B$761,Dati!$A$2:$A$761,$H83,Dati!$H$2:$H$761,$AM83)+SUMIFS(Dati!$I$2:$I$761,Dati!$H$2:$H$761,$H83,Dati!$A$2:$A$761,$AM83),"-")</f>
        <v/>
      </c>
      <c r="BJ83" s="22">
        <f>IF(AND($H83&lt;&gt;"",$AN83&lt;&gt;"",$H83&lt;&gt;$AN83,IFERROR(VLOOKUP($H83,areaCercaPuntiClassificaSquadra,3,FALSE),-1)=IFERROR(VLOOKUP($AN83,areaCercaPuntiClassificaSquadra,3,FALSE),-2)),SUMIFS(Dati!$B$2:$B$761,Dati!$A$2:$A$761,$H83,Dati!$H$2:$H$761,$AN83)+SUMIFS(Dati!$I$2:$I$761,Dati!$H$2:$H$761,$H83,Dati!$A$2:$A$761,$AN83),"-")</f>
        <v/>
      </c>
      <c r="BK83" s="22">
        <f>IF(AND($H83&lt;&gt;"",$AO83&lt;&gt;"",$H83&lt;&gt;$AO83,IFERROR(VLOOKUP($H83,areaCercaPuntiClassificaSquadra,3,FALSE),-1)=IFERROR(VLOOKUP($AO83,areaCercaPuntiClassificaSquadra,3,FALSE),-2)),SUMIFS(Dati!$B$2:$B$761,Dati!$A$2:$A$761,$H83,Dati!$H$2:$H$761,$AO83)+SUMIFS(Dati!$I$2:$I$761,Dati!$H$2:$H$761,$H83,Dati!$A$2:$A$761,$AO83),"-")</f>
        <v/>
      </c>
      <c r="BL83" s="22">
        <f>IF(AND($H83&lt;&gt;"",$AP83&lt;&gt;"",$H83&lt;&gt;$AP83,IFERROR(VLOOKUP($H83,areaCercaPuntiClassificaSquadra,3,FALSE),-1)=IFERROR(VLOOKUP($AP83,areaCercaPuntiClassificaSquadra,3,FALSE),-2)),SUMIFS(Dati!$B$2:$B$761,Dati!$A$2:$A$761,$H83,Dati!$H$2:$H$761,$AP83)+SUMIFS(Dati!$I$2:$I$761,Dati!$H$2:$H$761,$H83,Dati!$A$2:$A$761,$AP83),"-")</f>
        <v/>
      </c>
      <c r="BM83" s="22">
        <f>IF(AND($H83&lt;&gt;"",$AQ83&lt;&gt;"",$H83&lt;&gt;$AQ83,IFERROR(VLOOKUP($H83,areaCercaPuntiClassificaSquadra,3,FALSE),-1)=IFERROR(VLOOKUP($AQ83,areaCercaPuntiClassificaSquadra,3,FALSE),-2)),SUMIFS(Dati!$B$2:$B$761,Dati!$A$2:$A$761,$H83,Dati!$H$2:$H$761,$AQ83)+SUMIFS(Dati!$I$2:$I$761,Dati!$H$2:$H$761,$H83,Dati!$A$2:$A$761,$AQ83),"-")</f>
        <v/>
      </c>
      <c r="BN83" s="22">
        <f>IF(AND($H83&lt;&gt;"",$AR83&lt;&gt;"",$H83&lt;&gt;$AR83,IFERROR(VLOOKUP($H83,areaCercaPuntiClassificaSquadra,3,FALSE),-1)=IFERROR(VLOOKUP($AR83,areaCercaPuntiClassificaSquadra,3,FALSE),-2)),SUMIFS(Dati!$B$2:$B$761,Dati!$A$2:$A$761,$H83,Dati!$H$2:$H$761,$AR83)+SUMIFS(Dati!$I$2:$I$761,Dati!$H$2:$H$761,$H83,Dati!$A$2:$A$761,$AR83),"-")</f>
        <v/>
      </c>
      <c r="BP83" s="21">
        <f>$C83</f>
        <v/>
      </c>
      <c r="BQ83" s="22">
        <f>IF(AND($H83&lt;&gt;"",$Y83&lt;&gt;"",$H83&lt;&gt;$Y83,IFERROR(VLOOKUP($H83,areaCercaPuntiClassificaSquadra,3,FALSE),-1)=IFERROR(VLOOKUP($Y83,areaCercaPuntiClassificaSquadra,3,FALSE),-2)),SUMIFS(Dati!$D$2:$D$761,Dati!$A$2:$A$761,$H83,Dati!$H$2:$H$761,$Y83)+SUMIFS(Dati!$K$2:$K$761,Dati!$H$2:$H$761,$H83,Dati!$A$2:$A$761,$Y83)+SUMIFS(Dati!$C$2:$C$761,Dati!$A$2:$A$761,$H83,Dati!$H$2:$H$761,$Y83)+SUMIFS(Dati!$J$2:$J$761,Dati!$H$2:$H$761,$H83,Dati!$A$2:$A$761,$Y83),"-")</f>
        <v/>
      </c>
      <c r="BR83" s="22">
        <f>IF(AND($H83&lt;&gt;"",$Z83&lt;&gt;"",$H83&lt;&gt;$Z83,IFERROR(VLOOKUP($H83,areaCercaPuntiClassificaSquadra,3,FALSE),-1)=IFERROR(VLOOKUP($Z83,areaCercaPuntiClassificaSquadra,3,FALSE),-2)),SUMIFS(Dati!$D$2:$D$761,Dati!$A$2:$A$761,$H83,Dati!$H$2:$H$761,$Z83)+SUMIFS(Dati!$K$2:$K$761,Dati!$H$2:$H$761,$H83,Dati!$A$2:$A$761,$Z83)+SUMIFS(Dati!$C$2:$C$761,Dati!$A$2:$A$761,$H83,Dati!$H$2:$H$761,$Z83)+SUMIFS(Dati!$J$2:$J$761,Dati!$H$2:$H$761,$H83,Dati!$A$2:$A$761,$Z83),"-")</f>
        <v/>
      </c>
      <c r="BS83" s="22">
        <f>IF(AND($H83&lt;&gt;"",$AA83&lt;&gt;"",$H83&lt;&gt;$AA83,IFERROR(VLOOKUP($H83,areaCercaPuntiClassificaSquadra,3,FALSE),-1)=IFERROR(VLOOKUP($AA83,areaCercaPuntiClassificaSquadra,3,FALSE),-2)),SUMIFS(Dati!$D$2:$D$761,Dati!$A$2:$A$761,$H83,Dati!$H$2:$H$761,$AA83)+SUMIFS(Dati!$K$2:$K$761,Dati!$H$2:$H$761,$H83,Dati!$A$2:$A$761,$AA83)+SUMIFS(Dati!$C$2:$C$761,Dati!$A$2:$A$761,$H83,Dati!$H$2:$H$761,$AA83)+SUMIFS(Dati!$J$2:$J$761,Dati!$H$2:$H$761,$H83,Dati!$A$2:$A$761,$AA83),"-")</f>
        <v/>
      </c>
      <c r="BT83" s="22">
        <f>IF(AND($H83&lt;&gt;"",$AB83&lt;&gt;"",$H83&lt;&gt;$AB83,IFERROR(VLOOKUP($H83,areaCercaPuntiClassificaSquadra,3,FALSE),-1)=IFERROR(VLOOKUP($AB83,areaCercaPuntiClassificaSquadra,3,FALSE),-2)),SUMIFS(Dati!$D$2:$D$761,Dati!$A$2:$A$761,$H83,Dati!$H$2:$H$761,$AB83)+SUMIFS(Dati!$K$2:$K$761,Dati!$H$2:$H$761,$H83,Dati!$A$2:$A$761,$AB83)+SUMIFS(Dati!$C$2:$C$761,Dati!$A$2:$A$761,$H83,Dati!$H$2:$H$761,$AB83)+SUMIFS(Dati!$J$2:$J$761,Dati!$H$2:$H$761,$H83,Dati!$A$2:$A$761,$AB83),"-")</f>
        <v/>
      </c>
      <c r="BU83" s="22">
        <f>IF(AND($H83&lt;&gt;"",$AC83&lt;&gt;"",$H83&lt;&gt;$AC83,IFERROR(VLOOKUP($H83,areaCercaPuntiClassificaSquadra,3,FALSE),-1)=IFERROR(VLOOKUP($AC83,areaCercaPuntiClassificaSquadra,3,FALSE),-2)),SUMIFS(Dati!$D$2:$D$761,Dati!$A$2:$A$761,$H83,Dati!$H$2:$H$761,$AC83)+SUMIFS(Dati!$K$2:$K$761,Dati!$H$2:$H$761,$H83,Dati!$A$2:$A$761,$AC83)+SUMIFS(Dati!$C$2:$C$761,Dati!$A$2:$A$761,$H83,Dati!$H$2:$H$761,$AC83)+SUMIFS(Dati!$J$2:$J$761,Dati!$H$2:$H$761,$H83,Dati!$A$2:$A$761,$AC83),"-")</f>
        <v/>
      </c>
      <c r="BV83" s="22">
        <f>IF(AND($H83&lt;&gt;"",$AD83&lt;&gt;"",$H83&lt;&gt;$AD83,IFERROR(VLOOKUP($H83,areaCercaPuntiClassificaSquadra,3,FALSE),-1)=IFERROR(VLOOKUP($AD83,areaCercaPuntiClassificaSquadra,3,FALSE),-2)),SUMIFS(Dati!$D$2:$D$761,Dati!$A$2:$A$761,$H83,Dati!$H$2:$H$761,$AD83)+SUMIFS(Dati!$K$2:$K$761,Dati!$H$2:$H$761,$H83,Dati!$A$2:$A$761,$AD83)+SUMIFS(Dati!$C$2:$C$761,Dati!$A$2:$A$761,$H83,Dati!$H$2:$H$761,$AD83)+SUMIFS(Dati!$J$2:$J$761,Dati!$H$2:$H$761,$H83,Dati!$A$2:$A$761,$AD83),"-")</f>
        <v/>
      </c>
      <c r="BW83" s="22">
        <f>IF(AND($H83&lt;&gt;"",$AE83&lt;&gt;"",$H83&lt;&gt;$AE83,IFERROR(VLOOKUP($H83,areaCercaPuntiClassificaSquadra,3,FALSE),-1)=IFERROR(VLOOKUP($AE83,areaCercaPuntiClassificaSquadra,3,FALSE),-2)),SUMIFS(Dati!$D$2:$D$761,Dati!$A$2:$A$761,$H83,Dati!$H$2:$H$761,$AE83)+SUMIFS(Dati!$K$2:$K$761,Dati!$H$2:$H$761,$H83,Dati!$A$2:$A$761,$AE83)+SUMIFS(Dati!$C$2:$C$761,Dati!$A$2:$A$761,$H83,Dati!$H$2:$H$761,$AE83)+SUMIFS(Dati!$J$2:$J$761,Dati!$H$2:$H$761,$H83,Dati!$A$2:$A$761,$AE83),"-")</f>
        <v/>
      </c>
      <c r="BX83" s="22">
        <f>IF(AND($H83&lt;&gt;"",$AF83&lt;&gt;"",$H83&lt;&gt;$AF83,IFERROR(VLOOKUP($H83,areaCercaPuntiClassificaSquadra,3,FALSE),-1)=IFERROR(VLOOKUP($AF83,areaCercaPuntiClassificaSquadra,3,FALSE),-2)),SUMIFS(Dati!$D$2:$D$761,Dati!$A$2:$A$761,$H83,Dati!$H$2:$H$761,$AF83)+SUMIFS(Dati!$K$2:$K$761,Dati!$H$2:$H$761,$H83,Dati!$A$2:$A$761,$AF83)+SUMIFS(Dati!$C$2:$C$761,Dati!$A$2:$A$761,$H83,Dati!$H$2:$H$761,$AF83)+SUMIFS(Dati!$J$2:$J$761,Dati!$H$2:$H$761,$H83,Dati!$A$2:$A$761,$AF83),"-")</f>
        <v/>
      </c>
      <c r="BY83" s="22">
        <f>IF(AND($H83&lt;&gt;"",$AG83&lt;&gt;"",$H83&lt;&gt;$AG83,IFERROR(VLOOKUP($H83,areaCercaPuntiClassificaSquadra,3,FALSE),-1)=IFERROR(VLOOKUP($AG83,areaCercaPuntiClassificaSquadra,3,FALSE),-2)),SUMIFS(Dati!$D$2:$D$761,Dati!$A$2:$A$761,$H83,Dati!$H$2:$H$761,$AG83)+SUMIFS(Dati!$K$2:$K$761,Dati!$H$2:$H$761,$H83,Dati!$A$2:$A$761,$AG83)+SUMIFS(Dati!$C$2:$C$761,Dati!$A$2:$A$761,$H83,Dati!$H$2:$H$761,$AG83)+SUMIFS(Dati!$J$2:$J$761,Dati!$H$2:$H$761,$H83,Dati!$A$2:$A$761,$AG83),"-")</f>
        <v/>
      </c>
      <c r="BZ83" s="22">
        <f>IF(AND($H83&lt;&gt;"",$AH83&lt;&gt;"",$H83&lt;&gt;$AH83,IFERROR(VLOOKUP($H83,areaCercaPuntiClassificaSquadra,3,FALSE),-1)=IFERROR(VLOOKUP($AH83,areaCercaPuntiClassificaSquadra,3,FALSE),-2)),SUMIFS(Dati!$D$2:$D$761,Dati!$A$2:$A$761,$H83,Dati!$H$2:$H$761,$AH83)+SUMIFS(Dati!$K$2:$K$761,Dati!$H$2:$H$761,$H83,Dati!$A$2:$A$761,$AH83)+SUMIFS(Dati!$C$2:$C$761,Dati!$A$2:$A$761,$H83,Dati!$H$2:$H$761,$AH83)+SUMIFS(Dati!$J$2:$J$761,Dati!$H$2:$H$761,$H83,Dati!$A$2:$A$761,$AH83),"-")</f>
        <v/>
      </c>
      <c r="CA83" s="22">
        <f>IF(AND($H83&lt;&gt;"",$AI83&lt;&gt;"",$H83&lt;&gt;$AI83,IFERROR(VLOOKUP($H83,areaCercaPuntiClassificaSquadra,3,FALSE),-1)=IFERROR(VLOOKUP($AI83,areaCercaPuntiClassificaSquadra,3,FALSE),-2)),SUMIFS(Dati!$D$2:$D$761,Dati!$A$2:$A$761,$H83,Dati!$H$2:$H$761,$AI83)+SUMIFS(Dati!$K$2:$K$761,Dati!$H$2:$H$761,$H83,Dati!$A$2:$A$761,$AI83)+SUMIFS(Dati!$C$2:$C$761,Dati!$A$2:$A$761,$H83,Dati!$H$2:$H$761,$AI83)+SUMIFS(Dati!$J$2:$J$761,Dati!$H$2:$H$761,$H83,Dati!$A$2:$A$761,$AI83),"-")</f>
        <v/>
      </c>
      <c r="CB83" s="22">
        <f>IF(AND($H83&lt;&gt;"",$AJ83&lt;&gt;"",$H83&lt;&gt;$AJ83,IFERROR(VLOOKUP($H83,areaCercaPuntiClassificaSquadra,3,FALSE),-1)=IFERROR(VLOOKUP($AJ83,areaCercaPuntiClassificaSquadra,3,FALSE),-2)),SUMIFS(Dati!$D$2:$D$761,Dati!$A$2:$A$761,$H83,Dati!$H$2:$H$761,$AJ83)+SUMIFS(Dati!$K$2:$K$761,Dati!$H$2:$H$761,$H83,Dati!$A$2:$A$761,$AJ83)+SUMIFS(Dati!$C$2:$C$761,Dati!$A$2:$A$761,$H83,Dati!$H$2:$H$761,$AJ83)+SUMIFS(Dati!$J$2:$J$761,Dati!$H$2:$H$761,$H83,Dati!$A$2:$A$761,$AJ83),"-")</f>
        <v/>
      </c>
      <c r="CC83" s="22">
        <f>IF(AND($H83&lt;&gt;"",$AK83&lt;&gt;"",$H83&lt;&gt;$AK83,IFERROR(VLOOKUP($H83,areaCercaPuntiClassificaSquadra,3,FALSE),-1)=IFERROR(VLOOKUP($AK83,areaCercaPuntiClassificaSquadra,3,FALSE),-2)),SUMIFS(Dati!$D$2:$D$761,Dati!$A$2:$A$761,$H83,Dati!$H$2:$H$761,$AK83)+SUMIFS(Dati!$K$2:$K$761,Dati!$H$2:$H$761,$H83,Dati!$A$2:$A$761,$AK83)+SUMIFS(Dati!$C$2:$C$761,Dati!$A$2:$A$761,$H83,Dati!$H$2:$H$761,$AK83)+SUMIFS(Dati!$J$2:$J$761,Dati!$H$2:$H$761,$H83,Dati!$A$2:$A$761,$AK83),"-")</f>
        <v/>
      </c>
      <c r="CD83" s="22">
        <f>IF(AND($H83&lt;&gt;"",$AL83&lt;&gt;"",$H83&lt;&gt;$AL83,IFERROR(VLOOKUP($H83,areaCercaPuntiClassificaSquadra,3,FALSE),-1)=IFERROR(VLOOKUP($AL83,areaCercaPuntiClassificaSquadra,3,FALSE),-2)),SUMIFS(Dati!$D$2:$D$761,Dati!$A$2:$A$761,$H83,Dati!$H$2:$H$761,$AL83)+SUMIFS(Dati!$K$2:$K$761,Dati!$H$2:$H$761,$H83,Dati!$A$2:$A$761,$AL83)+SUMIFS(Dati!$C$2:$C$761,Dati!$A$2:$A$761,$H83,Dati!$H$2:$H$761,$AL83)+SUMIFS(Dati!$J$2:$J$761,Dati!$H$2:$H$761,$H83,Dati!$A$2:$A$761,$AL83),"-")</f>
        <v/>
      </c>
      <c r="CE83" s="22">
        <f>IF(AND($H83&lt;&gt;"",$AM83&lt;&gt;"",$H83&lt;&gt;$AM83,IFERROR(VLOOKUP($H83,areaCercaPuntiClassificaSquadra,3,FALSE),-1)=IFERROR(VLOOKUP($AM83,areaCercaPuntiClassificaSquadra,3,FALSE),-2)),SUMIFS(Dati!$D$2:$D$761,Dati!$A$2:$A$761,$H83,Dati!$H$2:$H$761,$AM83)+SUMIFS(Dati!$K$2:$K$761,Dati!$H$2:$H$761,$H83,Dati!$A$2:$A$761,$AM83)+SUMIFS(Dati!$C$2:$C$761,Dati!$A$2:$A$761,$H83,Dati!$H$2:$H$761,$AM83)+SUMIFS(Dati!$J$2:$J$761,Dati!$H$2:$H$761,$H83,Dati!$A$2:$A$761,$AM83),"-")</f>
        <v/>
      </c>
      <c r="CF83" s="22">
        <f>IF(AND($H83&lt;&gt;"",$AN83&lt;&gt;"",$H83&lt;&gt;$AN83,IFERROR(VLOOKUP($H83,areaCercaPuntiClassificaSquadra,3,FALSE),-1)=IFERROR(VLOOKUP($AN83,areaCercaPuntiClassificaSquadra,3,FALSE),-2)),SUMIFS(Dati!$D$2:$D$761,Dati!$A$2:$A$761,$H83,Dati!$H$2:$H$761,$AN83)+SUMIFS(Dati!$K$2:$K$761,Dati!$H$2:$H$761,$H83,Dati!$A$2:$A$761,$AN83)+SUMIFS(Dati!$C$2:$C$761,Dati!$A$2:$A$761,$H83,Dati!$H$2:$H$761,$AN83)+SUMIFS(Dati!$J$2:$J$761,Dati!$H$2:$H$761,$H83,Dati!$A$2:$A$761,$AN83),"-")</f>
        <v/>
      </c>
      <c r="CG83" s="22">
        <f>IF(AND($H83&lt;&gt;"",$AO83&lt;&gt;"",$H83&lt;&gt;$AO83,IFERROR(VLOOKUP($H83,areaCercaPuntiClassificaSquadra,3,FALSE),-1)=IFERROR(VLOOKUP($AO83,areaCercaPuntiClassificaSquadra,3,FALSE),-2)),SUMIFS(Dati!$D$2:$D$761,Dati!$A$2:$A$761,$H83,Dati!$H$2:$H$761,$AO83)+SUMIFS(Dati!$K$2:$K$761,Dati!$H$2:$H$761,$H83,Dati!$A$2:$A$761,$AO83)+SUMIFS(Dati!$C$2:$C$761,Dati!$A$2:$A$761,$H83,Dati!$H$2:$H$761,$AO83)+SUMIFS(Dati!$J$2:$J$761,Dati!$H$2:$H$761,$H83,Dati!$A$2:$A$761,$AO83),"-")</f>
        <v/>
      </c>
      <c r="CH83" s="22">
        <f>IF(AND($H83&lt;&gt;"",$AP83&lt;&gt;"",$H83&lt;&gt;$AP83,IFERROR(VLOOKUP($H83,areaCercaPuntiClassificaSquadra,3,FALSE),-1)=IFERROR(VLOOKUP($AP83,areaCercaPuntiClassificaSquadra,3,FALSE),-2)),SUMIFS(Dati!$D$2:$D$761,Dati!$A$2:$A$761,$H83,Dati!$H$2:$H$761,$AP83)+SUMIFS(Dati!$K$2:$K$761,Dati!$H$2:$H$761,$H83,Dati!$A$2:$A$761,$AP83)+SUMIFS(Dati!$C$2:$C$761,Dati!$A$2:$A$761,$H83,Dati!$H$2:$H$761,$AP83)+SUMIFS(Dati!$J$2:$J$761,Dati!$H$2:$H$761,$H83,Dati!$A$2:$A$761,$AP83),"-")</f>
        <v/>
      </c>
      <c r="CI83" s="22">
        <f>IF(AND($H83&lt;&gt;"",$AQ83&lt;&gt;"",$H83&lt;&gt;$AQ83,IFERROR(VLOOKUP($H83,areaCercaPuntiClassificaSquadra,3,FALSE),-1)=IFERROR(VLOOKUP($AQ83,areaCercaPuntiClassificaSquadra,3,FALSE),-2)),SUMIFS(Dati!$D$2:$D$761,Dati!$A$2:$A$761,$H83,Dati!$H$2:$H$761,$AQ83)+SUMIFS(Dati!$K$2:$K$761,Dati!$H$2:$H$761,$H83,Dati!$A$2:$A$761,$AQ83)+SUMIFS(Dati!$C$2:$C$761,Dati!$A$2:$A$761,$H83,Dati!$H$2:$H$761,$AQ83)+SUMIFS(Dati!$J$2:$J$761,Dati!$H$2:$H$761,$H83,Dati!$A$2:$A$761,$AQ83),"-")</f>
        <v/>
      </c>
      <c r="CJ83" s="22">
        <f>IF(AND($H83&lt;&gt;"",$AR83&lt;&gt;"",$H83&lt;&gt;$AR83,IFERROR(VLOOKUP($H83,areaCercaPuntiClassificaSquadra,3,FALSE),-1)=IFERROR(VLOOKUP($AR83,areaCercaPuntiClassificaSquadra,3,FALSE),-2)),SUMIFS(Dati!$D$2:$D$761,Dati!$A$2:$A$761,$H83,Dati!$H$2:$H$761,$AR83)+SUMIFS(Dati!$K$2:$K$761,Dati!$H$2:$H$761,$H83,Dati!$A$2:$A$761,$AR83)+SUMIFS(Dati!$C$2:$C$761,Dati!$A$2:$A$761,$H83,Dati!$H$2:$H$761,$AR83)+SUMIFS(Dati!$J$2:$J$761,Dati!$H$2:$H$761,$H83,Dati!$A$2:$A$761,$AR83),"-")</f>
        <v/>
      </c>
      <c r="CL83" s="21">
        <f>$C83</f>
        <v/>
      </c>
      <c r="CM83" s="22">
        <f>IF(AND($H83&lt;&gt;"",$Y83&lt;&gt;"",$H83&lt;&gt;$Y83,IFERROR(VLOOKUP($H83,areaCercaPuntiClassificaSquadra,3,FALSE),-1)=IFERROR(VLOOKUP($Y83,areaCercaPuntiClassificaSquadra,3,FALSE),-2)),SUMIFS(Dati!$E$2:$E$761,Dati!$A$2:$A$761,$H83,Dati!$H$2:$H$761,$Y83)+SUMIFS(Dati!$L$2:$L$761,Dati!$H$2:$H$761,$H83,Dati!$A$2:$A$761,$Y83),"-")</f>
        <v/>
      </c>
      <c r="CN83" s="22">
        <f>IF(AND($H83&lt;&gt;"",$Z83&lt;&gt;"",$H83&lt;&gt;$Z83,IFERROR(VLOOKUP($H83,areaCercaPuntiClassificaSquadra,3,FALSE),-1)=IFERROR(VLOOKUP($Z83,areaCercaPuntiClassificaSquadra,3,FALSE),-2)),SUMIFS(Dati!$E$2:$E$761,Dati!$A$2:$A$761,$H83,Dati!$H$2:$H$761,$Z83)+SUMIFS(Dati!$L$2:$L$761,Dati!$H$2:$H$761,$H83,Dati!$A$2:$A$761,$Z83),"-")</f>
        <v/>
      </c>
      <c r="CO83" s="22">
        <f>IF(AND($H83&lt;&gt;"",$AA83&lt;&gt;"",$H83&lt;&gt;$AA83,IFERROR(VLOOKUP($H83,areaCercaPuntiClassificaSquadra,3,FALSE),-1)=IFERROR(VLOOKUP($AA83,areaCercaPuntiClassificaSquadra,3,FALSE),-2)),SUMIFS(Dati!$E$2:$E$761,Dati!$A$2:$A$761,$H83,Dati!$H$2:$H$761,$AA83)+SUMIFS(Dati!$L$2:$L$761,Dati!$H$2:$H$761,$H83,Dati!$A$2:$A$761,$AA83),"-")</f>
        <v/>
      </c>
      <c r="CP83" s="22">
        <f>IF(AND($H83&lt;&gt;"",$AB83&lt;&gt;"",$H83&lt;&gt;$AB83,IFERROR(VLOOKUP($H83,areaCercaPuntiClassificaSquadra,3,FALSE),-1)=IFERROR(VLOOKUP($AB83,areaCercaPuntiClassificaSquadra,3,FALSE),-2)),SUMIFS(Dati!$E$2:$E$761,Dati!$A$2:$A$761,$H83,Dati!$H$2:$H$761,$AB83)+SUMIFS(Dati!$L$2:$L$761,Dati!$H$2:$H$761,$H83,Dati!$A$2:$A$761,$AB83),"-")</f>
        <v/>
      </c>
      <c r="CQ83" s="22">
        <f>IF(AND($H83&lt;&gt;"",$AC83&lt;&gt;"",$H83&lt;&gt;$AC83,IFERROR(VLOOKUP($H83,areaCercaPuntiClassificaSquadra,3,FALSE),-1)=IFERROR(VLOOKUP($AC83,areaCercaPuntiClassificaSquadra,3,FALSE),-2)),SUMIFS(Dati!$E$2:$E$761,Dati!$A$2:$A$761,$H83,Dati!$H$2:$H$761,$AC83)+SUMIFS(Dati!$L$2:$L$761,Dati!$H$2:$H$761,$H83,Dati!$A$2:$A$761,$AC83),"-")</f>
        <v/>
      </c>
      <c r="CR83" s="22">
        <f>IF(AND($H83&lt;&gt;"",$AD83&lt;&gt;"",$H83&lt;&gt;$AD83,IFERROR(VLOOKUP($H83,areaCercaPuntiClassificaSquadra,3,FALSE),-1)=IFERROR(VLOOKUP($AD83,areaCercaPuntiClassificaSquadra,3,FALSE),-2)),SUMIFS(Dati!$E$2:$E$761,Dati!$A$2:$A$761,$H83,Dati!$H$2:$H$761,$AD83)+SUMIFS(Dati!$L$2:$L$761,Dati!$H$2:$H$761,$H83,Dati!$A$2:$A$761,$AD83),"-")</f>
        <v/>
      </c>
      <c r="CS83" s="22">
        <f>IF(AND($H83&lt;&gt;"",$AE83&lt;&gt;"",$H83&lt;&gt;$AE83,IFERROR(VLOOKUP($H83,areaCercaPuntiClassificaSquadra,3,FALSE),-1)=IFERROR(VLOOKUP($AE83,areaCercaPuntiClassificaSquadra,3,FALSE),-2)),SUMIFS(Dati!$E$2:$E$761,Dati!$A$2:$A$761,$H83,Dati!$H$2:$H$761,$AE83)+SUMIFS(Dati!$L$2:$L$761,Dati!$H$2:$H$761,$H83,Dati!$A$2:$A$761,$AE83),"-")</f>
        <v/>
      </c>
      <c r="CT83" s="22">
        <f>IF(AND($H83&lt;&gt;"",$AF83&lt;&gt;"",$H83&lt;&gt;$AF83,IFERROR(VLOOKUP($H83,areaCercaPuntiClassificaSquadra,3,FALSE),-1)=IFERROR(VLOOKUP($AF83,areaCercaPuntiClassificaSquadra,3,FALSE),-2)),SUMIFS(Dati!$E$2:$E$761,Dati!$A$2:$A$761,$H83,Dati!$H$2:$H$761,$AF83)+SUMIFS(Dati!$L$2:$L$761,Dati!$H$2:$H$761,$H83,Dati!$A$2:$A$761,$AF83),"-")</f>
        <v/>
      </c>
      <c r="CU83" s="22">
        <f>IF(AND($H83&lt;&gt;"",$AG83&lt;&gt;"",$H83&lt;&gt;$AG83,IFERROR(VLOOKUP($H83,areaCercaPuntiClassificaSquadra,3,FALSE),-1)=IFERROR(VLOOKUP($AG83,areaCercaPuntiClassificaSquadra,3,FALSE),-2)),SUMIFS(Dati!$E$2:$E$761,Dati!$A$2:$A$761,$H83,Dati!$H$2:$H$761,$AG83)+SUMIFS(Dati!$L$2:$L$761,Dati!$H$2:$H$761,$H83,Dati!$A$2:$A$761,$AG83),"-")</f>
        <v/>
      </c>
      <c r="CV83" s="22">
        <f>IF(AND($H83&lt;&gt;"",$AH83&lt;&gt;"",$H83&lt;&gt;$AH83,IFERROR(VLOOKUP($H83,areaCercaPuntiClassificaSquadra,3,FALSE),-1)=IFERROR(VLOOKUP($AH83,areaCercaPuntiClassificaSquadra,3,FALSE),-2)),SUMIFS(Dati!$E$2:$E$761,Dati!$A$2:$A$761,$H83,Dati!$H$2:$H$761,$AH83)+SUMIFS(Dati!$L$2:$L$761,Dati!$H$2:$H$761,$H83,Dati!$A$2:$A$761,$AH83),"-")</f>
        <v/>
      </c>
      <c r="CW83" s="22">
        <f>IF(AND($H83&lt;&gt;"",$AI83&lt;&gt;"",$H83&lt;&gt;$AI83,IFERROR(VLOOKUP($H83,areaCercaPuntiClassificaSquadra,3,FALSE),-1)=IFERROR(VLOOKUP($AI83,areaCercaPuntiClassificaSquadra,3,FALSE),-2)),SUMIFS(Dati!$E$2:$E$761,Dati!$A$2:$A$761,$H83,Dati!$H$2:$H$761,$AI83)+SUMIFS(Dati!$L$2:$L$761,Dati!$H$2:$H$761,$H83,Dati!$A$2:$A$761,$AI83),"-")</f>
        <v/>
      </c>
      <c r="CX83" s="22">
        <f>IF(AND($H83&lt;&gt;"",$AJ83&lt;&gt;"",$H83&lt;&gt;$AJ83,IFERROR(VLOOKUP($H83,areaCercaPuntiClassificaSquadra,3,FALSE),-1)=IFERROR(VLOOKUP($AJ83,areaCercaPuntiClassificaSquadra,3,FALSE),-2)),SUMIFS(Dati!$E$2:$E$761,Dati!$A$2:$A$761,$H83,Dati!$H$2:$H$761,$AJ83)+SUMIFS(Dati!$L$2:$L$761,Dati!$H$2:$H$761,$H83,Dati!$A$2:$A$761,$AJ83),"-")</f>
        <v/>
      </c>
      <c r="CY83" s="22">
        <f>IF(AND($H83&lt;&gt;"",$AK83&lt;&gt;"",$H83&lt;&gt;$AK83,IFERROR(VLOOKUP($H83,areaCercaPuntiClassificaSquadra,3,FALSE),-1)=IFERROR(VLOOKUP($AK83,areaCercaPuntiClassificaSquadra,3,FALSE),-2)),SUMIFS(Dati!$E$2:$E$761,Dati!$A$2:$A$761,$H83,Dati!$H$2:$H$761,$AK83)+SUMIFS(Dati!$L$2:$L$761,Dati!$H$2:$H$761,$H83,Dati!$A$2:$A$761,$AK83),"-")</f>
        <v/>
      </c>
      <c r="CZ83" s="22">
        <f>IF(AND($H83&lt;&gt;"",$AL83&lt;&gt;"",$H83&lt;&gt;$AL83,IFERROR(VLOOKUP($H83,areaCercaPuntiClassificaSquadra,3,FALSE),-1)=IFERROR(VLOOKUP($AL83,areaCercaPuntiClassificaSquadra,3,FALSE),-2)),SUMIFS(Dati!$E$2:$E$761,Dati!$A$2:$A$761,$H83,Dati!$H$2:$H$761,$AL83)+SUMIFS(Dati!$L$2:$L$761,Dati!$H$2:$H$761,$H83,Dati!$A$2:$A$761,$AL83),"-")</f>
        <v/>
      </c>
      <c r="DA83" s="22">
        <f>IF(AND($H83&lt;&gt;"",$AM83&lt;&gt;"",$H83&lt;&gt;$AM83,IFERROR(VLOOKUP($H83,areaCercaPuntiClassificaSquadra,3,FALSE),-1)=IFERROR(VLOOKUP($AM83,areaCercaPuntiClassificaSquadra,3,FALSE),-2)),SUMIFS(Dati!$E$2:$E$761,Dati!$A$2:$A$761,$H83,Dati!$H$2:$H$761,$AM83)+SUMIFS(Dati!$L$2:$L$761,Dati!$H$2:$H$761,$H83,Dati!$A$2:$A$761,$AM83),"-")</f>
        <v/>
      </c>
      <c r="DB83" s="22">
        <f>IF(AND($H83&lt;&gt;"",$AN83&lt;&gt;"",$H83&lt;&gt;$AN83,IFERROR(VLOOKUP($H83,areaCercaPuntiClassificaSquadra,3,FALSE),-1)=IFERROR(VLOOKUP($AN83,areaCercaPuntiClassificaSquadra,3,FALSE),-2)),SUMIFS(Dati!$E$2:$E$761,Dati!$A$2:$A$761,$H83,Dati!$H$2:$H$761,$AN83)+SUMIFS(Dati!$L$2:$L$761,Dati!$H$2:$H$761,$H83,Dati!$A$2:$A$761,$AN83),"-")</f>
        <v/>
      </c>
      <c r="DC83" s="22">
        <f>IF(AND($H83&lt;&gt;"",$AO83&lt;&gt;"",$H83&lt;&gt;$AO83,IFERROR(VLOOKUP($H83,areaCercaPuntiClassificaSquadra,3,FALSE),-1)=IFERROR(VLOOKUP($AO83,areaCercaPuntiClassificaSquadra,3,FALSE),-2)),SUMIFS(Dati!$E$2:$E$761,Dati!$A$2:$A$761,$H83,Dati!$H$2:$H$761,$AO83)+SUMIFS(Dati!$L$2:$L$761,Dati!$H$2:$H$761,$H83,Dati!$A$2:$A$761,$AO83),"-")</f>
        <v/>
      </c>
      <c r="DD83" s="22">
        <f>IF(AND($H83&lt;&gt;"",$AP83&lt;&gt;"",$H83&lt;&gt;$AP83,IFERROR(VLOOKUP($H83,areaCercaPuntiClassificaSquadra,3,FALSE),-1)=IFERROR(VLOOKUP($AP83,areaCercaPuntiClassificaSquadra,3,FALSE),-2)),SUMIFS(Dati!$E$2:$E$761,Dati!$A$2:$A$761,$H83,Dati!$H$2:$H$761,$AP83)+SUMIFS(Dati!$L$2:$L$761,Dati!$H$2:$H$761,$H83,Dati!$A$2:$A$761,$AP83),"-")</f>
        <v/>
      </c>
      <c r="DE83" s="22">
        <f>IF(AND($H83&lt;&gt;"",$AQ83&lt;&gt;"",$H83&lt;&gt;$AQ83,IFERROR(VLOOKUP($H83,areaCercaPuntiClassificaSquadra,3,FALSE),-1)=IFERROR(VLOOKUP($AQ83,areaCercaPuntiClassificaSquadra,3,FALSE),-2)),SUMIFS(Dati!$E$2:$E$761,Dati!$A$2:$A$761,$H83,Dati!$H$2:$H$761,$AQ83)+SUMIFS(Dati!$L$2:$L$761,Dati!$H$2:$H$761,$H83,Dati!$A$2:$A$761,$AQ83),"-")</f>
        <v/>
      </c>
      <c r="DF83" s="22">
        <f>IF(AND($H83&lt;&gt;"",$AR83&lt;&gt;"",$H83&lt;&gt;$AR83,IFERROR(VLOOKUP($H83,areaCercaPuntiClassificaSquadra,3,FALSE),-1)=IFERROR(VLOOKUP($AR83,areaCercaPuntiClassificaSquadra,3,FALSE),-2)),SUMIFS(Dati!$E$2:$E$761,Dati!$A$2:$A$761,$H83,Dati!$H$2:$H$761,$AR83)+SUMIFS(Dati!$L$2:$L$761,Dati!$H$2:$H$761,$H83,Dati!$A$2:$A$761,$AR83),"-")</f>
        <v/>
      </c>
      <c r="DH83" s="21">
        <f>$C83</f>
        <v/>
      </c>
      <c r="DI83" s="22">
        <f>IF(AND($H83&lt;&gt;"",$Y83&lt;&gt;"",$H83&lt;&gt;$Y83,IFERROR(VLOOKUP($H83,areaCercaPuntiClassificaSquadra,3,FALSE),-1)=IFERROR(VLOOKUP($Y83,areaCercaPuntiClassificaSquadra,3,FALSE),-2)),SUMIFS(Dati!$F$2:$F$761,Dati!$A$2:$A$761,$H83,Dati!$H$2:$H$761,$Y83)+SUMIFS(Dati!$M$2:$M$761,Dati!$H$2:$H$761,$H83,Dati!$A$2:$A$761,$Y83),"-")</f>
        <v/>
      </c>
      <c r="DJ83" s="22">
        <f>IF(AND($H83&lt;&gt;"",$Z83&lt;&gt;"",$H83&lt;&gt;$Z83,IFERROR(VLOOKUP($H83,areaCercaPuntiClassificaSquadra,3,FALSE),-1)=IFERROR(VLOOKUP($Z83,areaCercaPuntiClassificaSquadra,3,FALSE),-2)),SUMIFS(Dati!$F$2:$F$761,Dati!$A$2:$A$761,$H83,Dati!$H$2:$H$761,$Z83)+SUMIFS(Dati!$M$2:$M$761,Dati!$H$2:$H$761,$H83,Dati!$A$2:$A$761,$Z83),"-")</f>
        <v/>
      </c>
      <c r="DK83" s="22">
        <f>IF(AND($H83&lt;&gt;"",$AA83&lt;&gt;"",$H83&lt;&gt;$AA83,IFERROR(VLOOKUP($H83,areaCercaPuntiClassificaSquadra,3,FALSE),-1)=IFERROR(VLOOKUP($AA83,areaCercaPuntiClassificaSquadra,3,FALSE),-2)),SUMIFS(Dati!$F$2:$F$761,Dati!$A$2:$A$761,$H83,Dati!$H$2:$H$761,$AA83)+SUMIFS(Dati!$M$2:$M$761,Dati!$H$2:$H$761,$H83,Dati!$A$2:$A$761,$AA83),"-")</f>
        <v/>
      </c>
      <c r="DL83" s="22">
        <f>IF(AND($H83&lt;&gt;"",$AB83&lt;&gt;"",$H83&lt;&gt;$AB83,IFERROR(VLOOKUP($H83,areaCercaPuntiClassificaSquadra,3,FALSE),-1)=IFERROR(VLOOKUP($AB83,areaCercaPuntiClassificaSquadra,3,FALSE),-2)),SUMIFS(Dati!$F$2:$F$761,Dati!$A$2:$A$761,$H83,Dati!$H$2:$H$761,$AB83)+SUMIFS(Dati!$M$2:$M$761,Dati!$H$2:$H$761,$H83,Dati!$A$2:$A$761,$AB83),"-")</f>
        <v/>
      </c>
      <c r="DM83" s="22">
        <f>IF(AND($H83&lt;&gt;"",$AC83&lt;&gt;"",$H83&lt;&gt;$AC83,IFERROR(VLOOKUP($H83,areaCercaPuntiClassificaSquadra,3,FALSE),-1)=IFERROR(VLOOKUP($AC83,areaCercaPuntiClassificaSquadra,3,FALSE),-2)),SUMIFS(Dati!$F$2:$F$761,Dati!$A$2:$A$761,$H83,Dati!$H$2:$H$761,$AC83)+SUMIFS(Dati!$M$2:$M$761,Dati!$H$2:$H$761,$H83,Dati!$A$2:$A$761,$AC83),"-")</f>
        <v/>
      </c>
      <c r="DN83" s="22">
        <f>IF(AND($H83&lt;&gt;"",$AD83&lt;&gt;"",$H83&lt;&gt;$AD83,IFERROR(VLOOKUP($H83,areaCercaPuntiClassificaSquadra,3,FALSE),-1)=IFERROR(VLOOKUP($AD83,areaCercaPuntiClassificaSquadra,3,FALSE),-2)),SUMIFS(Dati!$F$2:$F$761,Dati!$A$2:$A$761,$H83,Dati!$H$2:$H$761,$AD83)+SUMIFS(Dati!$M$2:$M$761,Dati!$H$2:$H$761,$H83,Dati!$A$2:$A$761,$AD83),"-")</f>
        <v/>
      </c>
      <c r="DO83" s="22">
        <f>IF(AND($H83&lt;&gt;"",$AE83&lt;&gt;"",$H83&lt;&gt;$AE83,IFERROR(VLOOKUP($H83,areaCercaPuntiClassificaSquadra,3,FALSE),-1)=IFERROR(VLOOKUP($AE83,areaCercaPuntiClassificaSquadra,3,FALSE),-2)),SUMIFS(Dati!$F$2:$F$761,Dati!$A$2:$A$761,$H83,Dati!$H$2:$H$761,$AE83)+SUMIFS(Dati!$M$2:$M$761,Dati!$H$2:$H$761,$H83,Dati!$A$2:$A$761,$AE83),"-")</f>
        <v/>
      </c>
      <c r="DP83" s="22">
        <f>IF(AND($H83&lt;&gt;"",$AF83&lt;&gt;"",$H83&lt;&gt;$AF83,IFERROR(VLOOKUP($H83,areaCercaPuntiClassificaSquadra,3,FALSE),-1)=IFERROR(VLOOKUP($AF83,areaCercaPuntiClassificaSquadra,3,FALSE),-2)),SUMIFS(Dati!$F$2:$F$761,Dati!$A$2:$A$761,$H83,Dati!$H$2:$H$761,$AF83)+SUMIFS(Dati!$M$2:$M$761,Dati!$H$2:$H$761,$H83,Dati!$A$2:$A$761,$AF83),"-")</f>
        <v/>
      </c>
      <c r="DQ83" s="22">
        <f>IF(AND($H83&lt;&gt;"",$AG83&lt;&gt;"",$H83&lt;&gt;$AG83,IFERROR(VLOOKUP($H83,areaCercaPuntiClassificaSquadra,3,FALSE),-1)=IFERROR(VLOOKUP($AG83,areaCercaPuntiClassificaSquadra,3,FALSE),-2)),SUMIFS(Dati!$F$2:$F$761,Dati!$A$2:$A$761,$H83,Dati!$H$2:$H$761,$AG83)+SUMIFS(Dati!$M$2:$M$761,Dati!$H$2:$H$761,$H83,Dati!$A$2:$A$761,$AG83),"-")</f>
        <v/>
      </c>
      <c r="DR83" s="22">
        <f>IF(AND($H83&lt;&gt;"",$AH83&lt;&gt;"",$H83&lt;&gt;$AH83,IFERROR(VLOOKUP($H83,areaCercaPuntiClassificaSquadra,3,FALSE),-1)=IFERROR(VLOOKUP($AH83,areaCercaPuntiClassificaSquadra,3,FALSE),-2)),SUMIFS(Dati!$F$2:$F$761,Dati!$A$2:$A$761,$H83,Dati!$H$2:$H$761,$AH83)+SUMIFS(Dati!$M$2:$M$761,Dati!$H$2:$H$761,$H83,Dati!$A$2:$A$761,$AH83),"-")</f>
        <v/>
      </c>
      <c r="DS83" s="22">
        <f>IF(AND($H83&lt;&gt;"",$AI83&lt;&gt;"",$H83&lt;&gt;$AI83,IFERROR(VLOOKUP($H83,areaCercaPuntiClassificaSquadra,3,FALSE),-1)=IFERROR(VLOOKUP($AI83,areaCercaPuntiClassificaSquadra,3,FALSE),-2)),SUMIFS(Dati!$F$2:$F$761,Dati!$A$2:$A$761,$H83,Dati!$H$2:$H$761,$AI83)+SUMIFS(Dati!$M$2:$M$761,Dati!$H$2:$H$761,$H83,Dati!$A$2:$A$761,$AI83),"-")</f>
        <v/>
      </c>
      <c r="DT83" s="22">
        <f>IF(AND($H83&lt;&gt;"",$AJ83&lt;&gt;"",$H83&lt;&gt;$AJ83,IFERROR(VLOOKUP($H83,areaCercaPuntiClassificaSquadra,3,FALSE),-1)=IFERROR(VLOOKUP($AJ83,areaCercaPuntiClassificaSquadra,3,FALSE),-2)),SUMIFS(Dati!$F$2:$F$761,Dati!$A$2:$A$761,$H83,Dati!$H$2:$H$761,$AJ83)+SUMIFS(Dati!$M$2:$M$761,Dati!$H$2:$H$761,$H83,Dati!$A$2:$A$761,$AJ83),"-")</f>
        <v/>
      </c>
      <c r="DU83" s="22">
        <f>IF(AND($H83&lt;&gt;"",$AK83&lt;&gt;"",$H83&lt;&gt;$AK83,IFERROR(VLOOKUP($H83,areaCercaPuntiClassificaSquadra,3,FALSE),-1)=IFERROR(VLOOKUP($AK83,areaCercaPuntiClassificaSquadra,3,FALSE),-2)),SUMIFS(Dati!$F$2:$F$761,Dati!$A$2:$A$761,$H83,Dati!$H$2:$H$761,$AK83)+SUMIFS(Dati!$M$2:$M$761,Dati!$H$2:$H$761,$H83,Dati!$A$2:$A$761,$AK83),"-")</f>
        <v/>
      </c>
      <c r="DV83" s="22">
        <f>IF(AND($H83&lt;&gt;"",$AL83&lt;&gt;"",$H83&lt;&gt;$AL83,IFERROR(VLOOKUP($H83,areaCercaPuntiClassificaSquadra,3,FALSE),-1)=IFERROR(VLOOKUP($AL83,areaCercaPuntiClassificaSquadra,3,FALSE),-2)),SUMIFS(Dati!$F$2:$F$761,Dati!$A$2:$A$761,$H83,Dati!$H$2:$H$761,$AL83)+SUMIFS(Dati!$M$2:$M$761,Dati!$H$2:$H$761,$H83,Dati!$A$2:$A$761,$AL83),"-")</f>
        <v/>
      </c>
      <c r="DW83" s="22">
        <f>IF(AND($H83&lt;&gt;"",$AM83&lt;&gt;"",$H83&lt;&gt;$AM83,IFERROR(VLOOKUP($H83,areaCercaPuntiClassificaSquadra,3,FALSE),-1)=IFERROR(VLOOKUP($AM83,areaCercaPuntiClassificaSquadra,3,FALSE),-2)),SUMIFS(Dati!$F$2:$F$761,Dati!$A$2:$A$761,$H83,Dati!$H$2:$H$761,$AM83)+SUMIFS(Dati!$M$2:$M$761,Dati!$H$2:$H$761,$H83,Dati!$A$2:$A$761,$AM83),"-")</f>
        <v/>
      </c>
      <c r="DX83" s="22">
        <f>IF(AND($H83&lt;&gt;"",$AN83&lt;&gt;"",$H83&lt;&gt;$AN83,IFERROR(VLOOKUP($H83,areaCercaPuntiClassificaSquadra,3,FALSE),-1)=IFERROR(VLOOKUP($AN83,areaCercaPuntiClassificaSquadra,3,FALSE),-2)),SUMIFS(Dati!$F$2:$F$761,Dati!$A$2:$A$761,$H83,Dati!$H$2:$H$761,$AN83)+SUMIFS(Dati!$M$2:$M$761,Dati!$H$2:$H$761,$H83,Dati!$A$2:$A$761,$AN83),"-")</f>
        <v/>
      </c>
      <c r="DY83" s="22">
        <f>IF(AND($H83&lt;&gt;"",$AO83&lt;&gt;"",$H83&lt;&gt;$AO83,IFERROR(VLOOKUP($H83,areaCercaPuntiClassificaSquadra,3,FALSE),-1)=IFERROR(VLOOKUP($AO83,areaCercaPuntiClassificaSquadra,3,FALSE),-2)),SUMIFS(Dati!$F$2:$F$761,Dati!$A$2:$A$761,$H83,Dati!$H$2:$H$761,$AO83)+SUMIFS(Dati!$M$2:$M$761,Dati!$H$2:$H$761,$H83,Dati!$A$2:$A$761,$AO83),"-")</f>
        <v/>
      </c>
      <c r="DZ83" s="22">
        <f>IF(AND($H83&lt;&gt;"",$AP83&lt;&gt;"",$H83&lt;&gt;$AP83,IFERROR(VLOOKUP($H83,areaCercaPuntiClassificaSquadra,3,FALSE),-1)=IFERROR(VLOOKUP($AP83,areaCercaPuntiClassificaSquadra,3,FALSE),-2)),SUMIFS(Dati!$F$2:$F$761,Dati!$A$2:$A$761,$H83,Dati!$H$2:$H$761,$AP83)+SUMIFS(Dati!$M$2:$M$761,Dati!$H$2:$H$761,$H83,Dati!$A$2:$A$761,$AP83),"-")</f>
        <v/>
      </c>
      <c r="EA83" s="22">
        <f>IF(AND($H83&lt;&gt;"",$AQ83&lt;&gt;"",$H83&lt;&gt;$AQ83,IFERROR(VLOOKUP($H83,areaCercaPuntiClassificaSquadra,3,FALSE),-1)=IFERROR(VLOOKUP($AQ83,areaCercaPuntiClassificaSquadra,3,FALSE),-2)),SUMIFS(Dati!$F$2:$F$761,Dati!$A$2:$A$761,$H83,Dati!$H$2:$H$761,$AQ83)+SUMIFS(Dati!$M$2:$M$761,Dati!$H$2:$H$761,$H83,Dati!$A$2:$A$761,$AQ83),"-")</f>
        <v/>
      </c>
      <c r="EB83" s="22">
        <f>IF(AND($H83&lt;&gt;"",$AR83&lt;&gt;"",$H83&lt;&gt;$AR83,IFERROR(VLOOKUP($H83,areaCercaPuntiClassificaSquadra,3,FALSE),-1)=IFERROR(VLOOKUP($AR83,areaCercaPuntiClassificaSquadra,3,FALSE),-2)),SUMIFS(Dati!$F$2:$F$761,Dati!$A$2:$A$761,$H83,Dati!$H$2:$H$761,$AR83)+SUMIFS(Dati!$M$2:$M$761,Dati!$H$2:$H$761,$H83,Dati!$A$2:$A$761,$AR83),"-")</f>
        <v/>
      </c>
      <c r="ED83" s="22">
        <f>IF($C83="","",SUM(AU83:BN83))</f>
        <v/>
      </c>
    </row>
    <row r="84">
      <c r="B84" s="12" t="inlineStr">
        <is>
          <t>D11</t>
        </is>
      </c>
      <c r="C84" s="13" t="inlineStr">
        <is>
          <t>Cinghiali Celeri-Cinghialiopoli CA</t>
        </is>
      </c>
      <c r="D84" s="14" t="n"/>
      <c r="E84" s="27" t="inlineStr">
        <is>
          <t>D</t>
        </is>
      </c>
      <c r="G84" s="28">
        <f>IF($C84="","",$E84&amp;(COUNTIFS(I$14:I$93,"&gt;"&amp;I84,E$14:E$93,"="&amp;E84,C$14:C$93,"&lt;&gt;")+COUNTIFS(I$14:I$93,"="&amp;I84,H$14:H$93,"&lt;="&amp;H84,E$14:E$93,"="&amp;E84,C$14:C$93,"&lt;&gt;")))</f>
        <v/>
      </c>
      <c r="H84" s="17">
        <f>IF($C84="","",IFERROR(LEFT($C84,FIND("-",$C84)-1),$C84))</f>
        <v/>
      </c>
      <c r="I84" s="12">
        <f>TEXT(1000000000+J84,"|0000000000|")&amp;TEXT(SUM(AU84:BN84),"0000000000|")&amp;IF(SUM(DI84:EB84)=0,"0000000000|",TEXT(ROUND(SUM(CM84:DF84)/SUM(DI84:EB84),4)*100000,"0000000000|"))&amp;IF(P84=0,"0000000000|",TEXT(ROUND(O84/P84,4)*100000,"0000000000|"))</f>
        <v/>
      </c>
      <c r="J84" s="28">
        <f>L84*constPuntiVittoria+M84*constPuntiSconfitta+N84*constPuntiForfait+IF(D84="",0,D84)</f>
        <v/>
      </c>
      <c r="K84" s="12">
        <f>SUM(L84:N84)</f>
        <v/>
      </c>
      <c r="L84" s="12">
        <f>IF($H84="",0,SUMIF(Dati!$A$2:$A$761,$H84,Dati!$B$2:$B$761)+SUMIF(Dati!$H$2:$H$761,$H84,Dati!$I$2:$I$761))</f>
        <v/>
      </c>
      <c r="M84" s="12">
        <f>IF($H84="",0,SUMIF(Dati!$A$2:$A$761,$H84,Dati!$D$2:$D$761)+SUMIF(Dati!$H$2:$H$761,$H84,Dati!$K$2:$K$761))</f>
        <v/>
      </c>
      <c r="N84" s="12">
        <f>IF($H84="",0,SUMIF(Dati!$A$2:$A$761,$H84,Dati!$C$2:$C$761)+SUMIF(Dati!$H$2:$H$761,$H84,Dati!$J$2:$J$761))</f>
        <v/>
      </c>
      <c r="O84" s="12">
        <f>IF($H84="",0,SUMIF(Dati!$A$2:$A$761,$H84,Dati!$E$2:$E$761)+SUMIF(Dati!$H$2:$H$761,$H84,Dati!$L$2:$L$761))</f>
        <v/>
      </c>
      <c r="P84" s="12">
        <f>IF($H84="",0,SUMIF(Dati!$A$2:$A$761,$H84,Dati!$F$2:$F$761)+SUMIF(Dati!$H$2:$H$761,$H84,Dati!$M$2:$M$761))</f>
        <v/>
      </c>
      <c r="Q84" s="12">
        <f>IF($H84="",0,SUMIF(Dati!$A$2:$A$761,$H84,Dati!$G$2:$G$761)+SUMIF(Dati!$H$2:$H$761,$H84,Dati!$N$2:$N$761))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IF(COUNTIFS($E$14:$E$93,$E84,$J$14:$J$93,$J84,$C$14:$C$93,"&lt;&gt;")&lt;=1,"-",SUM(AU84:BN84)&amp;"-"&amp;SUM(BQ84:CJ84))</f>
        <v/>
      </c>
      <c r="V84" s="18">
        <f>IF(COUNTIFS($E$14:$E$93,$E84,$J$14:$J$93,$J84,$C$14:$C$93,"&lt;&gt;",$ED$14:$ED$93,$ED84)&lt;=1,"-",IF(SUM(DI84:EB84)=0,0,ROUND(SUM(CM84:DF84)/SUM(DI84:EB84),3)))</f>
        <v/>
      </c>
      <c r="W84" s="18">
        <f>IF(COUNTIFS($E$14:$E$93,$E84,$J$14:$J$93,$J84,$C$14:$C$93,"&lt;&gt;",$ED$14:$ED$93,$ED84,$V$14:$V$93,$V84)&lt;=1,"-",IF(P84=0,0,ROUND(O84/P84,3)))</f>
        <v/>
      </c>
      <c r="X84" s="19">
        <f>IF($C84="","",$E84&amp;"#"&amp;COUNTIFS($E$14:$E84,$E84,$C$14:$C84,"&lt;&gt;"))</f>
        <v/>
      </c>
      <c r="Y84" s="20">
        <f>IFERROR(INDEX($H$14:$H$93,MATCH($E84&amp;"#1",$X$14:$X$93,0)),"")</f>
        <v/>
      </c>
      <c r="Z84" s="20">
        <f>IFERROR(INDEX($H$14:$H$93,MATCH($E84&amp;"#2",$X$14:$X$93,0)),"")</f>
        <v/>
      </c>
      <c r="AA84" s="20">
        <f>IFERROR(INDEX($H$14:$H$93,MATCH($E84&amp;"#3",$X$14:$X$93,0)),"")</f>
        <v/>
      </c>
      <c r="AB84" s="20">
        <f>IFERROR(INDEX($H$14:$H$93,MATCH($E84&amp;"#4",$X$14:$X$93,0)),"")</f>
        <v/>
      </c>
      <c r="AC84" s="20">
        <f>IFERROR(INDEX($H$14:$H$93,MATCH($E84&amp;"#5",$X$14:$X$93,0)),"")</f>
        <v/>
      </c>
      <c r="AD84" s="20">
        <f>IFERROR(INDEX($H$14:$H$93,MATCH($E84&amp;"#6",$X$14:$X$93,0)),"")</f>
        <v/>
      </c>
      <c r="AE84" s="20">
        <f>IFERROR(INDEX($H$14:$H$93,MATCH($E84&amp;"#7",$X$14:$X$93,0)),"")</f>
        <v/>
      </c>
      <c r="AF84" s="20">
        <f>IFERROR(INDEX($H$14:$H$93,MATCH($E84&amp;"#8",$X$14:$X$93,0)),"")</f>
        <v/>
      </c>
      <c r="AG84" s="20">
        <f>IFERROR(INDEX($H$14:$H$93,MATCH($E84&amp;"#9",$X$14:$X$93,0)),"")</f>
        <v/>
      </c>
      <c r="AH84" s="20">
        <f>IFERROR(INDEX($H$14:$H$93,MATCH($E84&amp;"#10",$X$14:$X$93,0)),"")</f>
        <v/>
      </c>
      <c r="AI84" s="20">
        <f>IFERROR(INDEX($H$14:$H$93,MATCH($E84&amp;"#11",$X$14:$X$93,0)),"")</f>
        <v/>
      </c>
      <c r="AJ84" s="20">
        <f>IFERROR(INDEX($H$14:$H$93,MATCH($E84&amp;"#12",$X$14:$X$93,0)),"")</f>
        <v/>
      </c>
      <c r="AK84" s="20">
        <f>IFERROR(INDEX($H$14:$H$93,MATCH($E84&amp;"#13",$X$14:$X$93,0)),"")</f>
        <v/>
      </c>
      <c r="AL84" s="20">
        <f>IFERROR(INDEX($H$14:$H$93,MATCH($E84&amp;"#14",$X$14:$X$93,0)),"")</f>
        <v/>
      </c>
      <c r="AM84" s="20">
        <f>IFERROR(INDEX($H$14:$H$93,MATCH($E84&amp;"#15",$X$14:$X$93,0)),"")</f>
        <v/>
      </c>
      <c r="AN84" s="20">
        <f>IFERROR(INDEX($H$14:$H$93,MATCH($E84&amp;"#16",$X$14:$X$93,0)),"")</f>
        <v/>
      </c>
      <c r="AO84" s="20">
        <f>IFERROR(INDEX($H$14:$H$93,MATCH($E84&amp;"#17",$X$14:$X$93,0)),"")</f>
        <v/>
      </c>
      <c r="AP84" s="20">
        <f>IFERROR(INDEX($H$14:$H$93,MATCH($E84&amp;"#18",$X$14:$X$93,0)),"")</f>
        <v/>
      </c>
      <c r="AQ84" s="20">
        <f>IFERROR(INDEX($H$14:$H$93,MATCH($E84&amp;"#19",$X$14:$X$93,0)),"")</f>
        <v/>
      </c>
      <c r="AR84" s="20">
        <f>IFERROR(INDEX($H$14:$H$93,MATCH($E84&amp;"#20",$X$14:$X$93,0)),"")</f>
        <v/>
      </c>
      <c r="AT84" s="21">
        <f>$C84</f>
        <v/>
      </c>
      <c r="AU84" s="22">
        <f>IF(AND($H84&lt;&gt;"",$Y84&lt;&gt;"",$H84&lt;&gt;$Y84,IFERROR(VLOOKUP($H84,areaCercaPuntiClassificaSquadra,3,FALSE),-1)=IFERROR(VLOOKUP($Y84,areaCercaPuntiClassificaSquadra,3,FALSE),-2)),SUMIFS(Dati!$B$2:$B$761,Dati!$A$2:$A$761,$H84,Dati!$H$2:$H$761,$Y84)+SUMIFS(Dati!$I$2:$I$761,Dati!$H$2:$H$761,$H84,Dati!$A$2:$A$761,$Y84),"-")</f>
        <v/>
      </c>
      <c r="AV84" s="22">
        <f>IF(AND($H84&lt;&gt;"",$Z84&lt;&gt;"",$H84&lt;&gt;$Z84,IFERROR(VLOOKUP($H84,areaCercaPuntiClassificaSquadra,3,FALSE),-1)=IFERROR(VLOOKUP($Z84,areaCercaPuntiClassificaSquadra,3,FALSE),-2)),SUMIFS(Dati!$B$2:$B$761,Dati!$A$2:$A$761,$H84,Dati!$H$2:$H$761,$Z84)+SUMIFS(Dati!$I$2:$I$761,Dati!$H$2:$H$761,$H84,Dati!$A$2:$A$761,$Z84),"-")</f>
        <v/>
      </c>
      <c r="AW84" s="22">
        <f>IF(AND($H84&lt;&gt;"",$AA84&lt;&gt;"",$H84&lt;&gt;$AA84,IFERROR(VLOOKUP($H84,areaCercaPuntiClassificaSquadra,3,FALSE),-1)=IFERROR(VLOOKUP($AA84,areaCercaPuntiClassificaSquadra,3,FALSE),-2)),SUMIFS(Dati!$B$2:$B$761,Dati!$A$2:$A$761,$H84,Dati!$H$2:$H$761,$AA84)+SUMIFS(Dati!$I$2:$I$761,Dati!$H$2:$H$761,$H84,Dati!$A$2:$A$761,$AA84),"-")</f>
        <v/>
      </c>
      <c r="AX84" s="22">
        <f>IF(AND($H84&lt;&gt;"",$AB84&lt;&gt;"",$H84&lt;&gt;$AB84,IFERROR(VLOOKUP($H84,areaCercaPuntiClassificaSquadra,3,FALSE),-1)=IFERROR(VLOOKUP($AB84,areaCercaPuntiClassificaSquadra,3,FALSE),-2)),SUMIFS(Dati!$B$2:$B$761,Dati!$A$2:$A$761,$H84,Dati!$H$2:$H$761,$AB84)+SUMIFS(Dati!$I$2:$I$761,Dati!$H$2:$H$761,$H84,Dati!$A$2:$A$761,$AB84),"-")</f>
        <v/>
      </c>
      <c r="AY84" s="22">
        <f>IF(AND($H84&lt;&gt;"",$AC84&lt;&gt;"",$H84&lt;&gt;$AC84,IFERROR(VLOOKUP($H84,areaCercaPuntiClassificaSquadra,3,FALSE),-1)=IFERROR(VLOOKUP($AC84,areaCercaPuntiClassificaSquadra,3,FALSE),-2)),SUMIFS(Dati!$B$2:$B$761,Dati!$A$2:$A$761,$H84,Dati!$H$2:$H$761,$AC84)+SUMIFS(Dati!$I$2:$I$761,Dati!$H$2:$H$761,$H84,Dati!$A$2:$A$761,$AC84),"-")</f>
        <v/>
      </c>
      <c r="AZ84" s="22">
        <f>IF(AND($H84&lt;&gt;"",$AD84&lt;&gt;"",$H84&lt;&gt;$AD84,IFERROR(VLOOKUP($H84,areaCercaPuntiClassificaSquadra,3,FALSE),-1)=IFERROR(VLOOKUP($AD84,areaCercaPuntiClassificaSquadra,3,FALSE),-2)),SUMIFS(Dati!$B$2:$B$761,Dati!$A$2:$A$761,$H84,Dati!$H$2:$H$761,$AD84)+SUMIFS(Dati!$I$2:$I$761,Dati!$H$2:$H$761,$H84,Dati!$A$2:$A$761,$AD84),"-")</f>
        <v/>
      </c>
      <c r="BA84" s="22">
        <f>IF(AND($H84&lt;&gt;"",$AE84&lt;&gt;"",$H84&lt;&gt;$AE84,IFERROR(VLOOKUP($H84,areaCercaPuntiClassificaSquadra,3,FALSE),-1)=IFERROR(VLOOKUP($AE84,areaCercaPuntiClassificaSquadra,3,FALSE),-2)),SUMIFS(Dati!$B$2:$B$761,Dati!$A$2:$A$761,$H84,Dati!$H$2:$H$761,$AE84)+SUMIFS(Dati!$I$2:$I$761,Dati!$H$2:$H$761,$H84,Dati!$A$2:$A$761,$AE84),"-")</f>
        <v/>
      </c>
      <c r="BB84" s="22">
        <f>IF(AND($H84&lt;&gt;"",$AF84&lt;&gt;"",$H84&lt;&gt;$AF84,IFERROR(VLOOKUP($H84,areaCercaPuntiClassificaSquadra,3,FALSE),-1)=IFERROR(VLOOKUP($AF84,areaCercaPuntiClassificaSquadra,3,FALSE),-2)),SUMIFS(Dati!$B$2:$B$761,Dati!$A$2:$A$761,$H84,Dati!$H$2:$H$761,$AF84)+SUMIFS(Dati!$I$2:$I$761,Dati!$H$2:$H$761,$H84,Dati!$A$2:$A$761,$AF84),"-")</f>
        <v/>
      </c>
      <c r="BC84" s="22">
        <f>IF(AND($H84&lt;&gt;"",$AG84&lt;&gt;"",$H84&lt;&gt;$AG84,IFERROR(VLOOKUP($H84,areaCercaPuntiClassificaSquadra,3,FALSE),-1)=IFERROR(VLOOKUP($AG84,areaCercaPuntiClassificaSquadra,3,FALSE),-2)),SUMIFS(Dati!$B$2:$B$761,Dati!$A$2:$A$761,$H84,Dati!$H$2:$H$761,$AG84)+SUMIFS(Dati!$I$2:$I$761,Dati!$H$2:$H$761,$H84,Dati!$A$2:$A$761,$AG84),"-")</f>
        <v/>
      </c>
      <c r="BD84" s="22">
        <f>IF(AND($H84&lt;&gt;"",$AH84&lt;&gt;"",$H84&lt;&gt;$AH84,IFERROR(VLOOKUP($H84,areaCercaPuntiClassificaSquadra,3,FALSE),-1)=IFERROR(VLOOKUP($AH84,areaCercaPuntiClassificaSquadra,3,FALSE),-2)),SUMIFS(Dati!$B$2:$B$761,Dati!$A$2:$A$761,$H84,Dati!$H$2:$H$761,$AH84)+SUMIFS(Dati!$I$2:$I$761,Dati!$H$2:$H$761,$H84,Dati!$A$2:$A$761,$AH84),"-")</f>
        <v/>
      </c>
      <c r="BE84" s="22">
        <f>IF(AND($H84&lt;&gt;"",$AI84&lt;&gt;"",$H84&lt;&gt;$AI84,IFERROR(VLOOKUP($H84,areaCercaPuntiClassificaSquadra,3,FALSE),-1)=IFERROR(VLOOKUP($AI84,areaCercaPuntiClassificaSquadra,3,FALSE),-2)),SUMIFS(Dati!$B$2:$B$761,Dati!$A$2:$A$761,$H84,Dati!$H$2:$H$761,$AI84)+SUMIFS(Dati!$I$2:$I$761,Dati!$H$2:$H$761,$H84,Dati!$A$2:$A$761,$AI84),"-")</f>
        <v/>
      </c>
      <c r="BF84" s="22">
        <f>IF(AND($H84&lt;&gt;"",$AJ84&lt;&gt;"",$H84&lt;&gt;$AJ84,IFERROR(VLOOKUP($H84,areaCercaPuntiClassificaSquadra,3,FALSE),-1)=IFERROR(VLOOKUP($AJ84,areaCercaPuntiClassificaSquadra,3,FALSE),-2)),SUMIFS(Dati!$B$2:$B$761,Dati!$A$2:$A$761,$H84,Dati!$H$2:$H$761,$AJ84)+SUMIFS(Dati!$I$2:$I$761,Dati!$H$2:$H$761,$H84,Dati!$A$2:$A$761,$AJ84),"-")</f>
        <v/>
      </c>
      <c r="BG84" s="22">
        <f>IF(AND($H84&lt;&gt;"",$AK84&lt;&gt;"",$H84&lt;&gt;$AK84,IFERROR(VLOOKUP($H84,areaCercaPuntiClassificaSquadra,3,FALSE),-1)=IFERROR(VLOOKUP($AK84,areaCercaPuntiClassificaSquadra,3,FALSE),-2)),SUMIFS(Dati!$B$2:$B$761,Dati!$A$2:$A$761,$H84,Dati!$H$2:$H$761,$AK84)+SUMIFS(Dati!$I$2:$I$761,Dati!$H$2:$H$761,$H84,Dati!$A$2:$A$761,$AK84),"-")</f>
        <v/>
      </c>
      <c r="BH84" s="22">
        <f>IF(AND($H84&lt;&gt;"",$AL84&lt;&gt;"",$H84&lt;&gt;$AL84,IFERROR(VLOOKUP($H84,areaCercaPuntiClassificaSquadra,3,FALSE),-1)=IFERROR(VLOOKUP($AL84,areaCercaPuntiClassificaSquadra,3,FALSE),-2)),SUMIFS(Dati!$B$2:$B$761,Dati!$A$2:$A$761,$H84,Dati!$H$2:$H$761,$AL84)+SUMIFS(Dati!$I$2:$I$761,Dati!$H$2:$H$761,$H84,Dati!$A$2:$A$761,$AL84),"-")</f>
        <v/>
      </c>
      <c r="BI84" s="22">
        <f>IF(AND($H84&lt;&gt;"",$AM84&lt;&gt;"",$H84&lt;&gt;$AM84,IFERROR(VLOOKUP($H84,areaCercaPuntiClassificaSquadra,3,FALSE),-1)=IFERROR(VLOOKUP($AM84,areaCercaPuntiClassificaSquadra,3,FALSE),-2)),SUMIFS(Dati!$B$2:$B$761,Dati!$A$2:$A$761,$H84,Dati!$H$2:$H$761,$AM84)+SUMIFS(Dati!$I$2:$I$761,Dati!$H$2:$H$761,$H84,Dati!$A$2:$A$761,$AM84),"-")</f>
        <v/>
      </c>
      <c r="BJ84" s="22">
        <f>IF(AND($H84&lt;&gt;"",$AN84&lt;&gt;"",$H84&lt;&gt;$AN84,IFERROR(VLOOKUP($H84,areaCercaPuntiClassificaSquadra,3,FALSE),-1)=IFERROR(VLOOKUP($AN84,areaCercaPuntiClassificaSquadra,3,FALSE),-2)),SUMIFS(Dati!$B$2:$B$761,Dati!$A$2:$A$761,$H84,Dati!$H$2:$H$761,$AN84)+SUMIFS(Dati!$I$2:$I$761,Dati!$H$2:$H$761,$H84,Dati!$A$2:$A$761,$AN84),"-")</f>
        <v/>
      </c>
      <c r="BK84" s="22">
        <f>IF(AND($H84&lt;&gt;"",$AO84&lt;&gt;"",$H84&lt;&gt;$AO84,IFERROR(VLOOKUP($H84,areaCercaPuntiClassificaSquadra,3,FALSE),-1)=IFERROR(VLOOKUP($AO84,areaCercaPuntiClassificaSquadra,3,FALSE),-2)),SUMIFS(Dati!$B$2:$B$761,Dati!$A$2:$A$761,$H84,Dati!$H$2:$H$761,$AO84)+SUMIFS(Dati!$I$2:$I$761,Dati!$H$2:$H$761,$H84,Dati!$A$2:$A$761,$AO84),"-")</f>
        <v/>
      </c>
      <c r="BL84" s="22">
        <f>IF(AND($H84&lt;&gt;"",$AP84&lt;&gt;"",$H84&lt;&gt;$AP84,IFERROR(VLOOKUP($H84,areaCercaPuntiClassificaSquadra,3,FALSE),-1)=IFERROR(VLOOKUP($AP84,areaCercaPuntiClassificaSquadra,3,FALSE),-2)),SUMIFS(Dati!$B$2:$B$761,Dati!$A$2:$A$761,$H84,Dati!$H$2:$H$761,$AP84)+SUMIFS(Dati!$I$2:$I$761,Dati!$H$2:$H$761,$H84,Dati!$A$2:$A$761,$AP84),"-")</f>
        <v/>
      </c>
      <c r="BM84" s="22">
        <f>IF(AND($H84&lt;&gt;"",$AQ84&lt;&gt;"",$H84&lt;&gt;$AQ84,IFERROR(VLOOKUP($H84,areaCercaPuntiClassificaSquadra,3,FALSE),-1)=IFERROR(VLOOKUP($AQ84,areaCercaPuntiClassificaSquadra,3,FALSE),-2)),SUMIFS(Dati!$B$2:$B$761,Dati!$A$2:$A$761,$H84,Dati!$H$2:$H$761,$AQ84)+SUMIFS(Dati!$I$2:$I$761,Dati!$H$2:$H$761,$H84,Dati!$A$2:$A$761,$AQ84),"-")</f>
        <v/>
      </c>
      <c r="BN84" s="22">
        <f>IF(AND($H84&lt;&gt;"",$AR84&lt;&gt;"",$H84&lt;&gt;$AR84,IFERROR(VLOOKUP($H84,areaCercaPuntiClassificaSquadra,3,FALSE),-1)=IFERROR(VLOOKUP($AR84,areaCercaPuntiClassificaSquadra,3,FALSE),-2)),SUMIFS(Dati!$B$2:$B$761,Dati!$A$2:$A$761,$H84,Dati!$H$2:$H$761,$AR84)+SUMIFS(Dati!$I$2:$I$761,Dati!$H$2:$H$761,$H84,Dati!$A$2:$A$761,$AR84),"-")</f>
        <v/>
      </c>
      <c r="BP84" s="21">
        <f>$C84</f>
        <v/>
      </c>
      <c r="BQ84" s="22">
        <f>IF(AND($H84&lt;&gt;"",$Y84&lt;&gt;"",$H84&lt;&gt;$Y84,IFERROR(VLOOKUP($H84,areaCercaPuntiClassificaSquadra,3,FALSE),-1)=IFERROR(VLOOKUP($Y84,areaCercaPuntiClassificaSquadra,3,FALSE),-2)),SUMIFS(Dati!$D$2:$D$761,Dati!$A$2:$A$761,$H84,Dati!$H$2:$H$761,$Y84)+SUMIFS(Dati!$K$2:$K$761,Dati!$H$2:$H$761,$H84,Dati!$A$2:$A$761,$Y84)+SUMIFS(Dati!$C$2:$C$761,Dati!$A$2:$A$761,$H84,Dati!$H$2:$H$761,$Y84)+SUMIFS(Dati!$J$2:$J$761,Dati!$H$2:$H$761,$H84,Dati!$A$2:$A$761,$Y84),"-")</f>
        <v/>
      </c>
      <c r="BR84" s="22">
        <f>IF(AND($H84&lt;&gt;"",$Z84&lt;&gt;"",$H84&lt;&gt;$Z84,IFERROR(VLOOKUP($H84,areaCercaPuntiClassificaSquadra,3,FALSE),-1)=IFERROR(VLOOKUP($Z84,areaCercaPuntiClassificaSquadra,3,FALSE),-2)),SUMIFS(Dati!$D$2:$D$761,Dati!$A$2:$A$761,$H84,Dati!$H$2:$H$761,$Z84)+SUMIFS(Dati!$K$2:$K$761,Dati!$H$2:$H$761,$H84,Dati!$A$2:$A$761,$Z84)+SUMIFS(Dati!$C$2:$C$761,Dati!$A$2:$A$761,$H84,Dati!$H$2:$H$761,$Z84)+SUMIFS(Dati!$J$2:$J$761,Dati!$H$2:$H$761,$H84,Dati!$A$2:$A$761,$Z84),"-")</f>
        <v/>
      </c>
      <c r="BS84" s="22">
        <f>IF(AND($H84&lt;&gt;"",$AA84&lt;&gt;"",$H84&lt;&gt;$AA84,IFERROR(VLOOKUP($H84,areaCercaPuntiClassificaSquadra,3,FALSE),-1)=IFERROR(VLOOKUP($AA84,areaCercaPuntiClassificaSquadra,3,FALSE),-2)),SUMIFS(Dati!$D$2:$D$761,Dati!$A$2:$A$761,$H84,Dati!$H$2:$H$761,$AA84)+SUMIFS(Dati!$K$2:$K$761,Dati!$H$2:$H$761,$H84,Dati!$A$2:$A$761,$AA84)+SUMIFS(Dati!$C$2:$C$761,Dati!$A$2:$A$761,$H84,Dati!$H$2:$H$761,$AA84)+SUMIFS(Dati!$J$2:$J$761,Dati!$H$2:$H$761,$H84,Dati!$A$2:$A$761,$AA84),"-")</f>
        <v/>
      </c>
      <c r="BT84" s="22">
        <f>IF(AND($H84&lt;&gt;"",$AB84&lt;&gt;"",$H84&lt;&gt;$AB84,IFERROR(VLOOKUP($H84,areaCercaPuntiClassificaSquadra,3,FALSE),-1)=IFERROR(VLOOKUP($AB84,areaCercaPuntiClassificaSquadra,3,FALSE),-2)),SUMIFS(Dati!$D$2:$D$761,Dati!$A$2:$A$761,$H84,Dati!$H$2:$H$761,$AB84)+SUMIFS(Dati!$K$2:$K$761,Dati!$H$2:$H$761,$H84,Dati!$A$2:$A$761,$AB84)+SUMIFS(Dati!$C$2:$C$761,Dati!$A$2:$A$761,$H84,Dati!$H$2:$H$761,$AB84)+SUMIFS(Dati!$J$2:$J$761,Dati!$H$2:$H$761,$H84,Dati!$A$2:$A$761,$AB84),"-")</f>
        <v/>
      </c>
      <c r="BU84" s="22">
        <f>IF(AND($H84&lt;&gt;"",$AC84&lt;&gt;"",$H84&lt;&gt;$AC84,IFERROR(VLOOKUP($H84,areaCercaPuntiClassificaSquadra,3,FALSE),-1)=IFERROR(VLOOKUP($AC84,areaCercaPuntiClassificaSquadra,3,FALSE),-2)),SUMIFS(Dati!$D$2:$D$761,Dati!$A$2:$A$761,$H84,Dati!$H$2:$H$761,$AC84)+SUMIFS(Dati!$K$2:$K$761,Dati!$H$2:$H$761,$H84,Dati!$A$2:$A$761,$AC84)+SUMIFS(Dati!$C$2:$C$761,Dati!$A$2:$A$761,$H84,Dati!$H$2:$H$761,$AC84)+SUMIFS(Dati!$J$2:$J$761,Dati!$H$2:$H$761,$H84,Dati!$A$2:$A$761,$AC84),"-")</f>
        <v/>
      </c>
      <c r="BV84" s="22">
        <f>IF(AND($H84&lt;&gt;"",$AD84&lt;&gt;"",$H84&lt;&gt;$AD84,IFERROR(VLOOKUP($H84,areaCercaPuntiClassificaSquadra,3,FALSE),-1)=IFERROR(VLOOKUP($AD84,areaCercaPuntiClassificaSquadra,3,FALSE),-2)),SUMIFS(Dati!$D$2:$D$761,Dati!$A$2:$A$761,$H84,Dati!$H$2:$H$761,$AD84)+SUMIFS(Dati!$K$2:$K$761,Dati!$H$2:$H$761,$H84,Dati!$A$2:$A$761,$AD84)+SUMIFS(Dati!$C$2:$C$761,Dati!$A$2:$A$761,$H84,Dati!$H$2:$H$761,$AD84)+SUMIFS(Dati!$J$2:$J$761,Dati!$H$2:$H$761,$H84,Dati!$A$2:$A$761,$AD84),"-")</f>
        <v/>
      </c>
      <c r="BW84" s="22">
        <f>IF(AND($H84&lt;&gt;"",$AE84&lt;&gt;"",$H84&lt;&gt;$AE84,IFERROR(VLOOKUP($H84,areaCercaPuntiClassificaSquadra,3,FALSE),-1)=IFERROR(VLOOKUP($AE84,areaCercaPuntiClassificaSquadra,3,FALSE),-2)),SUMIFS(Dati!$D$2:$D$761,Dati!$A$2:$A$761,$H84,Dati!$H$2:$H$761,$AE84)+SUMIFS(Dati!$K$2:$K$761,Dati!$H$2:$H$761,$H84,Dati!$A$2:$A$761,$AE84)+SUMIFS(Dati!$C$2:$C$761,Dati!$A$2:$A$761,$H84,Dati!$H$2:$H$761,$AE84)+SUMIFS(Dati!$J$2:$J$761,Dati!$H$2:$H$761,$H84,Dati!$A$2:$A$761,$AE84),"-")</f>
        <v/>
      </c>
      <c r="BX84" s="22">
        <f>IF(AND($H84&lt;&gt;"",$AF84&lt;&gt;"",$H84&lt;&gt;$AF84,IFERROR(VLOOKUP($H84,areaCercaPuntiClassificaSquadra,3,FALSE),-1)=IFERROR(VLOOKUP($AF84,areaCercaPuntiClassificaSquadra,3,FALSE),-2)),SUMIFS(Dati!$D$2:$D$761,Dati!$A$2:$A$761,$H84,Dati!$H$2:$H$761,$AF84)+SUMIFS(Dati!$K$2:$K$761,Dati!$H$2:$H$761,$H84,Dati!$A$2:$A$761,$AF84)+SUMIFS(Dati!$C$2:$C$761,Dati!$A$2:$A$761,$H84,Dati!$H$2:$H$761,$AF84)+SUMIFS(Dati!$J$2:$J$761,Dati!$H$2:$H$761,$H84,Dati!$A$2:$A$761,$AF84),"-")</f>
        <v/>
      </c>
      <c r="BY84" s="22">
        <f>IF(AND($H84&lt;&gt;"",$AG84&lt;&gt;"",$H84&lt;&gt;$AG84,IFERROR(VLOOKUP($H84,areaCercaPuntiClassificaSquadra,3,FALSE),-1)=IFERROR(VLOOKUP($AG84,areaCercaPuntiClassificaSquadra,3,FALSE),-2)),SUMIFS(Dati!$D$2:$D$761,Dati!$A$2:$A$761,$H84,Dati!$H$2:$H$761,$AG84)+SUMIFS(Dati!$K$2:$K$761,Dati!$H$2:$H$761,$H84,Dati!$A$2:$A$761,$AG84)+SUMIFS(Dati!$C$2:$C$761,Dati!$A$2:$A$761,$H84,Dati!$H$2:$H$761,$AG84)+SUMIFS(Dati!$J$2:$J$761,Dati!$H$2:$H$761,$H84,Dati!$A$2:$A$761,$AG84),"-")</f>
        <v/>
      </c>
      <c r="BZ84" s="22">
        <f>IF(AND($H84&lt;&gt;"",$AH84&lt;&gt;"",$H84&lt;&gt;$AH84,IFERROR(VLOOKUP($H84,areaCercaPuntiClassificaSquadra,3,FALSE),-1)=IFERROR(VLOOKUP($AH84,areaCercaPuntiClassificaSquadra,3,FALSE),-2)),SUMIFS(Dati!$D$2:$D$761,Dati!$A$2:$A$761,$H84,Dati!$H$2:$H$761,$AH84)+SUMIFS(Dati!$K$2:$K$761,Dati!$H$2:$H$761,$H84,Dati!$A$2:$A$761,$AH84)+SUMIFS(Dati!$C$2:$C$761,Dati!$A$2:$A$761,$H84,Dati!$H$2:$H$761,$AH84)+SUMIFS(Dati!$J$2:$J$761,Dati!$H$2:$H$761,$H84,Dati!$A$2:$A$761,$AH84),"-")</f>
        <v/>
      </c>
      <c r="CA84" s="22">
        <f>IF(AND($H84&lt;&gt;"",$AI84&lt;&gt;"",$H84&lt;&gt;$AI84,IFERROR(VLOOKUP($H84,areaCercaPuntiClassificaSquadra,3,FALSE),-1)=IFERROR(VLOOKUP($AI84,areaCercaPuntiClassificaSquadra,3,FALSE),-2)),SUMIFS(Dati!$D$2:$D$761,Dati!$A$2:$A$761,$H84,Dati!$H$2:$H$761,$AI84)+SUMIFS(Dati!$K$2:$K$761,Dati!$H$2:$H$761,$H84,Dati!$A$2:$A$761,$AI84)+SUMIFS(Dati!$C$2:$C$761,Dati!$A$2:$A$761,$H84,Dati!$H$2:$H$761,$AI84)+SUMIFS(Dati!$J$2:$J$761,Dati!$H$2:$H$761,$H84,Dati!$A$2:$A$761,$AI84),"-")</f>
        <v/>
      </c>
      <c r="CB84" s="22">
        <f>IF(AND($H84&lt;&gt;"",$AJ84&lt;&gt;"",$H84&lt;&gt;$AJ84,IFERROR(VLOOKUP($H84,areaCercaPuntiClassificaSquadra,3,FALSE),-1)=IFERROR(VLOOKUP($AJ84,areaCercaPuntiClassificaSquadra,3,FALSE),-2)),SUMIFS(Dati!$D$2:$D$761,Dati!$A$2:$A$761,$H84,Dati!$H$2:$H$761,$AJ84)+SUMIFS(Dati!$K$2:$K$761,Dati!$H$2:$H$761,$H84,Dati!$A$2:$A$761,$AJ84)+SUMIFS(Dati!$C$2:$C$761,Dati!$A$2:$A$761,$H84,Dati!$H$2:$H$761,$AJ84)+SUMIFS(Dati!$J$2:$J$761,Dati!$H$2:$H$761,$H84,Dati!$A$2:$A$761,$AJ84),"-")</f>
        <v/>
      </c>
      <c r="CC84" s="22">
        <f>IF(AND($H84&lt;&gt;"",$AK84&lt;&gt;"",$H84&lt;&gt;$AK84,IFERROR(VLOOKUP($H84,areaCercaPuntiClassificaSquadra,3,FALSE),-1)=IFERROR(VLOOKUP($AK84,areaCercaPuntiClassificaSquadra,3,FALSE),-2)),SUMIFS(Dati!$D$2:$D$761,Dati!$A$2:$A$761,$H84,Dati!$H$2:$H$761,$AK84)+SUMIFS(Dati!$K$2:$K$761,Dati!$H$2:$H$761,$H84,Dati!$A$2:$A$761,$AK84)+SUMIFS(Dati!$C$2:$C$761,Dati!$A$2:$A$761,$H84,Dati!$H$2:$H$761,$AK84)+SUMIFS(Dati!$J$2:$J$761,Dati!$H$2:$H$761,$H84,Dati!$A$2:$A$761,$AK84),"-")</f>
        <v/>
      </c>
      <c r="CD84" s="22">
        <f>IF(AND($H84&lt;&gt;"",$AL84&lt;&gt;"",$H84&lt;&gt;$AL84,IFERROR(VLOOKUP($H84,areaCercaPuntiClassificaSquadra,3,FALSE),-1)=IFERROR(VLOOKUP($AL84,areaCercaPuntiClassificaSquadra,3,FALSE),-2)),SUMIFS(Dati!$D$2:$D$761,Dati!$A$2:$A$761,$H84,Dati!$H$2:$H$761,$AL84)+SUMIFS(Dati!$K$2:$K$761,Dati!$H$2:$H$761,$H84,Dati!$A$2:$A$761,$AL84)+SUMIFS(Dati!$C$2:$C$761,Dati!$A$2:$A$761,$H84,Dati!$H$2:$H$761,$AL84)+SUMIFS(Dati!$J$2:$J$761,Dati!$H$2:$H$761,$H84,Dati!$A$2:$A$761,$AL84),"-")</f>
        <v/>
      </c>
      <c r="CE84" s="22">
        <f>IF(AND($H84&lt;&gt;"",$AM84&lt;&gt;"",$H84&lt;&gt;$AM84,IFERROR(VLOOKUP($H84,areaCercaPuntiClassificaSquadra,3,FALSE),-1)=IFERROR(VLOOKUP($AM84,areaCercaPuntiClassificaSquadra,3,FALSE),-2)),SUMIFS(Dati!$D$2:$D$761,Dati!$A$2:$A$761,$H84,Dati!$H$2:$H$761,$AM84)+SUMIFS(Dati!$K$2:$K$761,Dati!$H$2:$H$761,$H84,Dati!$A$2:$A$761,$AM84)+SUMIFS(Dati!$C$2:$C$761,Dati!$A$2:$A$761,$H84,Dati!$H$2:$H$761,$AM84)+SUMIFS(Dati!$J$2:$J$761,Dati!$H$2:$H$761,$H84,Dati!$A$2:$A$761,$AM84),"-")</f>
        <v/>
      </c>
      <c r="CF84" s="22">
        <f>IF(AND($H84&lt;&gt;"",$AN84&lt;&gt;"",$H84&lt;&gt;$AN84,IFERROR(VLOOKUP($H84,areaCercaPuntiClassificaSquadra,3,FALSE),-1)=IFERROR(VLOOKUP($AN84,areaCercaPuntiClassificaSquadra,3,FALSE),-2)),SUMIFS(Dati!$D$2:$D$761,Dati!$A$2:$A$761,$H84,Dati!$H$2:$H$761,$AN84)+SUMIFS(Dati!$K$2:$K$761,Dati!$H$2:$H$761,$H84,Dati!$A$2:$A$761,$AN84)+SUMIFS(Dati!$C$2:$C$761,Dati!$A$2:$A$761,$H84,Dati!$H$2:$H$761,$AN84)+SUMIFS(Dati!$J$2:$J$761,Dati!$H$2:$H$761,$H84,Dati!$A$2:$A$761,$AN84),"-")</f>
        <v/>
      </c>
      <c r="CG84" s="22">
        <f>IF(AND($H84&lt;&gt;"",$AO84&lt;&gt;"",$H84&lt;&gt;$AO84,IFERROR(VLOOKUP($H84,areaCercaPuntiClassificaSquadra,3,FALSE),-1)=IFERROR(VLOOKUP($AO84,areaCercaPuntiClassificaSquadra,3,FALSE),-2)),SUMIFS(Dati!$D$2:$D$761,Dati!$A$2:$A$761,$H84,Dati!$H$2:$H$761,$AO84)+SUMIFS(Dati!$K$2:$K$761,Dati!$H$2:$H$761,$H84,Dati!$A$2:$A$761,$AO84)+SUMIFS(Dati!$C$2:$C$761,Dati!$A$2:$A$761,$H84,Dati!$H$2:$H$761,$AO84)+SUMIFS(Dati!$J$2:$J$761,Dati!$H$2:$H$761,$H84,Dati!$A$2:$A$761,$AO84),"-")</f>
        <v/>
      </c>
      <c r="CH84" s="22">
        <f>IF(AND($H84&lt;&gt;"",$AP84&lt;&gt;"",$H84&lt;&gt;$AP84,IFERROR(VLOOKUP($H84,areaCercaPuntiClassificaSquadra,3,FALSE),-1)=IFERROR(VLOOKUP($AP84,areaCercaPuntiClassificaSquadra,3,FALSE),-2)),SUMIFS(Dati!$D$2:$D$761,Dati!$A$2:$A$761,$H84,Dati!$H$2:$H$761,$AP84)+SUMIFS(Dati!$K$2:$K$761,Dati!$H$2:$H$761,$H84,Dati!$A$2:$A$761,$AP84)+SUMIFS(Dati!$C$2:$C$761,Dati!$A$2:$A$761,$H84,Dati!$H$2:$H$761,$AP84)+SUMIFS(Dati!$J$2:$J$761,Dati!$H$2:$H$761,$H84,Dati!$A$2:$A$761,$AP84),"-")</f>
        <v/>
      </c>
      <c r="CI84" s="22">
        <f>IF(AND($H84&lt;&gt;"",$AQ84&lt;&gt;"",$H84&lt;&gt;$AQ84,IFERROR(VLOOKUP($H84,areaCercaPuntiClassificaSquadra,3,FALSE),-1)=IFERROR(VLOOKUP($AQ84,areaCercaPuntiClassificaSquadra,3,FALSE),-2)),SUMIFS(Dati!$D$2:$D$761,Dati!$A$2:$A$761,$H84,Dati!$H$2:$H$761,$AQ84)+SUMIFS(Dati!$K$2:$K$761,Dati!$H$2:$H$761,$H84,Dati!$A$2:$A$761,$AQ84)+SUMIFS(Dati!$C$2:$C$761,Dati!$A$2:$A$761,$H84,Dati!$H$2:$H$761,$AQ84)+SUMIFS(Dati!$J$2:$J$761,Dati!$H$2:$H$761,$H84,Dati!$A$2:$A$761,$AQ84),"-")</f>
        <v/>
      </c>
      <c r="CJ84" s="22">
        <f>IF(AND($H84&lt;&gt;"",$AR84&lt;&gt;"",$H84&lt;&gt;$AR84,IFERROR(VLOOKUP($H84,areaCercaPuntiClassificaSquadra,3,FALSE),-1)=IFERROR(VLOOKUP($AR84,areaCercaPuntiClassificaSquadra,3,FALSE),-2)),SUMIFS(Dati!$D$2:$D$761,Dati!$A$2:$A$761,$H84,Dati!$H$2:$H$761,$AR84)+SUMIFS(Dati!$K$2:$K$761,Dati!$H$2:$H$761,$H84,Dati!$A$2:$A$761,$AR84)+SUMIFS(Dati!$C$2:$C$761,Dati!$A$2:$A$761,$H84,Dati!$H$2:$H$761,$AR84)+SUMIFS(Dati!$J$2:$J$761,Dati!$H$2:$H$761,$H84,Dati!$A$2:$A$761,$AR84),"-")</f>
        <v/>
      </c>
      <c r="CL84" s="21">
        <f>$C84</f>
        <v/>
      </c>
      <c r="CM84" s="22">
        <f>IF(AND($H84&lt;&gt;"",$Y84&lt;&gt;"",$H84&lt;&gt;$Y84,IFERROR(VLOOKUP($H84,areaCercaPuntiClassificaSquadra,3,FALSE),-1)=IFERROR(VLOOKUP($Y84,areaCercaPuntiClassificaSquadra,3,FALSE),-2)),SUMIFS(Dati!$E$2:$E$761,Dati!$A$2:$A$761,$H84,Dati!$H$2:$H$761,$Y84)+SUMIFS(Dati!$L$2:$L$761,Dati!$H$2:$H$761,$H84,Dati!$A$2:$A$761,$Y84),"-")</f>
        <v/>
      </c>
      <c r="CN84" s="22">
        <f>IF(AND($H84&lt;&gt;"",$Z84&lt;&gt;"",$H84&lt;&gt;$Z84,IFERROR(VLOOKUP($H84,areaCercaPuntiClassificaSquadra,3,FALSE),-1)=IFERROR(VLOOKUP($Z84,areaCercaPuntiClassificaSquadra,3,FALSE),-2)),SUMIFS(Dati!$E$2:$E$761,Dati!$A$2:$A$761,$H84,Dati!$H$2:$H$761,$Z84)+SUMIFS(Dati!$L$2:$L$761,Dati!$H$2:$H$761,$H84,Dati!$A$2:$A$761,$Z84),"-")</f>
        <v/>
      </c>
      <c r="CO84" s="22">
        <f>IF(AND($H84&lt;&gt;"",$AA84&lt;&gt;"",$H84&lt;&gt;$AA84,IFERROR(VLOOKUP($H84,areaCercaPuntiClassificaSquadra,3,FALSE),-1)=IFERROR(VLOOKUP($AA84,areaCercaPuntiClassificaSquadra,3,FALSE),-2)),SUMIFS(Dati!$E$2:$E$761,Dati!$A$2:$A$761,$H84,Dati!$H$2:$H$761,$AA84)+SUMIFS(Dati!$L$2:$L$761,Dati!$H$2:$H$761,$H84,Dati!$A$2:$A$761,$AA84),"-")</f>
        <v/>
      </c>
      <c r="CP84" s="22">
        <f>IF(AND($H84&lt;&gt;"",$AB84&lt;&gt;"",$H84&lt;&gt;$AB84,IFERROR(VLOOKUP($H84,areaCercaPuntiClassificaSquadra,3,FALSE),-1)=IFERROR(VLOOKUP($AB84,areaCercaPuntiClassificaSquadra,3,FALSE),-2)),SUMIFS(Dati!$E$2:$E$761,Dati!$A$2:$A$761,$H84,Dati!$H$2:$H$761,$AB84)+SUMIFS(Dati!$L$2:$L$761,Dati!$H$2:$H$761,$H84,Dati!$A$2:$A$761,$AB84),"-")</f>
        <v/>
      </c>
      <c r="CQ84" s="22">
        <f>IF(AND($H84&lt;&gt;"",$AC84&lt;&gt;"",$H84&lt;&gt;$AC84,IFERROR(VLOOKUP($H84,areaCercaPuntiClassificaSquadra,3,FALSE),-1)=IFERROR(VLOOKUP($AC84,areaCercaPuntiClassificaSquadra,3,FALSE),-2)),SUMIFS(Dati!$E$2:$E$761,Dati!$A$2:$A$761,$H84,Dati!$H$2:$H$761,$AC84)+SUMIFS(Dati!$L$2:$L$761,Dati!$H$2:$H$761,$H84,Dati!$A$2:$A$761,$AC84),"-")</f>
        <v/>
      </c>
      <c r="CR84" s="22">
        <f>IF(AND($H84&lt;&gt;"",$AD84&lt;&gt;"",$H84&lt;&gt;$AD84,IFERROR(VLOOKUP($H84,areaCercaPuntiClassificaSquadra,3,FALSE),-1)=IFERROR(VLOOKUP($AD84,areaCercaPuntiClassificaSquadra,3,FALSE),-2)),SUMIFS(Dati!$E$2:$E$761,Dati!$A$2:$A$761,$H84,Dati!$H$2:$H$761,$AD84)+SUMIFS(Dati!$L$2:$L$761,Dati!$H$2:$H$761,$H84,Dati!$A$2:$A$761,$AD84),"-")</f>
        <v/>
      </c>
      <c r="CS84" s="22">
        <f>IF(AND($H84&lt;&gt;"",$AE84&lt;&gt;"",$H84&lt;&gt;$AE84,IFERROR(VLOOKUP($H84,areaCercaPuntiClassificaSquadra,3,FALSE),-1)=IFERROR(VLOOKUP($AE84,areaCercaPuntiClassificaSquadra,3,FALSE),-2)),SUMIFS(Dati!$E$2:$E$761,Dati!$A$2:$A$761,$H84,Dati!$H$2:$H$761,$AE84)+SUMIFS(Dati!$L$2:$L$761,Dati!$H$2:$H$761,$H84,Dati!$A$2:$A$761,$AE84),"-")</f>
        <v/>
      </c>
      <c r="CT84" s="22">
        <f>IF(AND($H84&lt;&gt;"",$AF84&lt;&gt;"",$H84&lt;&gt;$AF84,IFERROR(VLOOKUP($H84,areaCercaPuntiClassificaSquadra,3,FALSE),-1)=IFERROR(VLOOKUP($AF84,areaCercaPuntiClassificaSquadra,3,FALSE),-2)),SUMIFS(Dati!$E$2:$E$761,Dati!$A$2:$A$761,$H84,Dati!$H$2:$H$761,$AF84)+SUMIFS(Dati!$L$2:$L$761,Dati!$H$2:$H$761,$H84,Dati!$A$2:$A$761,$AF84),"-")</f>
        <v/>
      </c>
      <c r="CU84" s="22">
        <f>IF(AND($H84&lt;&gt;"",$AG84&lt;&gt;"",$H84&lt;&gt;$AG84,IFERROR(VLOOKUP($H84,areaCercaPuntiClassificaSquadra,3,FALSE),-1)=IFERROR(VLOOKUP($AG84,areaCercaPuntiClassificaSquadra,3,FALSE),-2)),SUMIFS(Dati!$E$2:$E$761,Dati!$A$2:$A$761,$H84,Dati!$H$2:$H$761,$AG84)+SUMIFS(Dati!$L$2:$L$761,Dati!$H$2:$H$761,$H84,Dati!$A$2:$A$761,$AG84),"-")</f>
        <v/>
      </c>
      <c r="CV84" s="22">
        <f>IF(AND($H84&lt;&gt;"",$AH84&lt;&gt;"",$H84&lt;&gt;$AH84,IFERROR(VLOOKUP($H84,areaCercaPuntiClassificaSquadra,3,FALSE),-1)=IFERROR(VLOOKUP($AH84,areaCercaPuntiClassificaSquadra,3,FALSE),-2)),SUMIFS(Dati!$E$2:$E$761,Dati!$A$2:$A$761,$H84,Dati!$H$2:$H$761,$AH84)+SUMIFS(Dati!$L$2:$L$761,Dati!$H$2:$H$761,$H84,Dati!$A$2:$A$761,$AH84),"-")</f>
        <v/>
      </c>
      <c r="CW84" s="22">
        <f>IF(AND($H84&lt;&gt;"",$AI84&lt;&gt;"",$H84&lt;&gt;$AI84,IFERROR(VLOOKUP($H84,areaCercaPuntiClassificaSquadra,3,FALSE),-1)=IFERROR(VLOOKUP($AI84,areaCercaPuntiClassificaSquadra,3,FALSE),-2)),SUMIFS(Dati!$E$2:$E$761,Dati!$A$2:$A$761,$H84,Dati!$H$2:$H$761,$AI84)+SUMIFS(Dati!$L$2:$L$761,Dati!$H$2:$H$761,$H84,Dati!$A$2:$A$761,$AI84),"-")</f>
        <v/>
      </c>
      <c r="CX84" s="22">
        <f>IF(AND($H84&lt;&gt;"",$AJ84&lt;&gt;"",$H84&lt;&gt;$AJ84,IFERROR(VLOOKUP($H84,areaCercaPuntiClassificaSquadra,3,FALSE),-1)=IFERROR(VLOOKUP($AJ84,areaCercaPuntiClassificaSquadra,3,FALSE),-2)),SUMIFS(Dati!$E$2:$E$761,Dati!$A$2:$A$761,$H84,Dati!$H$2:$H$761,$AJ84)+SUMIFS(Dati!$L$2:$L$761,Dati!$H$2:$H$761,$H84,Dati!$A$2:$A$761,$AJ84),"-")</f>
        <v/>
      </c>
      <c r="CY84" s="22">
        <f>IF(AND($H84&lt;&gt;"",$AK84&lt;&gt;"",$H84&lt;&gt;$AK84,IFERROR(VLOOKUP($H84,areaCercaPuntiClassificaSquadra,3,FALSE),-1)=IFERROR(VLOOKUP($AK84,areaCercaPuntiClassificaSquadra,3,FALSE),-2)),SUMIFS(Dati!$E$2:$E$761,Dati!$A$2:$A$761,$H84,Dati!$H$2:$H$761,$AK84)+SUMIFS(Dati!$L$2:$L$761,Dati!$H$2:$H$761,$H84,Dati!$A$2:$A$761,$AK84),"-")</f>
        <v/>
      </c>
      <c r="CZ84" s="22">
        <f>IF(AND($H84&lt;&gt;"",$AL84&lt;&gt;"",$H84&lt;&gt;$AL84,IFERROR(VLOOKUP($H84,areaCercaPuntiClassificaSquadra,3,FALSE),-1)=IFERROR(VLOOKUP($AL84,areaCercaPuntiClassificaSquadra,3,FALSE),-2)),SUMIFS(Dati!$E$2:$E$761,Dati!$A$2:$A$761,$H84,Dati!$H$2:$H$761,$AL84)+SUMIFS(Dati!$L$2:$L$761,Dati!$H$2:$H$761,$H84,Dati!$A$2:$A$761,$AL84),"-")</f>
        <v/>
      </c>
      <c r="DA84" s="22">
        <f>IF(AND($H84&lt;&gt;"",$AM84&lt;&gt;"",$H84&lt;&gt;$AM84,IFERROR(VLOOKUP($H84,areaCercaPuntiClassificaSquadra,3,FALSE),-1)=IFERROR(VLOOKUP($AM84,areaCercaPuntiClassificaSquadra,3,FALSE),-2)),SUMIFS(Dati!$E$2:$E$761,Dati!$A$2:$A$761,$H84,Dati!$H$2:$H$761,$AM84)+SUMIFS(Dati!$L$2:$L$761,Dati!$H$2:$H$761,$H84,Dati!$A$2:$A$761,$AM84),"-")</f>
        <v/>
      </c>
      <c r="DB84" s="22">
        <f>IF(AND($H84&lt;&gt;"",$AN84&lt;&gt;"",$H84&lt;&gt;$AN84,IFERROR(VLOOKUP($H84,areaCercaPuntiClassificaSquadra,3,FALSE),-1)=IFERROR(VLOOKUP($AN84,areaCercaPuntiClassificaSquadra,3,FALSE),-2)),SUMIFS(Dati!$E$2:$E$761,Dati!$A$2:$A$761,$H84,Dati!$H$2:$H$761,$AN84)+SUMIFS(Dati!$L$2:$L$761,Dati!$H$2:$H$761,$H84,Dati!$A$2:$A$761,$AN84),"-")</f>
        <v/>
      </c>
      <c r="DC84" s="22">
        <f>IF(AND($H84&lt;&gt;"",$AO84&lt;&gt;"",$H84&lt;&gt;$AO84,IFERROR(VLOOKUP($H84,areaCercaPuntiClassificaSquadra,3,FALSE),-1)=IFERROR(VLOOKUP($AO84,areaCercaPuntiClassificaSquadra,3,FALSE),-2)),SUMIFS(Dati!$E$2:$E$761,Dati!$A$2:$A$761,$H84,Dati!$H$2:$H$761,$AO84)+SUMIFS(Dati!$L$2:$L$761,Dati!$H$2:$H$761,$H84,Dati!$A$2:$A$761,$AO84),"-")</f>
        <v/>
      </c>
      <c r="DD84" s="22">
        <f>IF(AND($H84&lt;&gt;"",$AP84&lt;&gt;"",$H84&lt;&gt;$AP84,IFERROR(VLOOKUP($H84,areaCercaPuntiClassificaSquadra,3,FALSE),-1)=IFERROR(VLOOKUP($AP84,areaCercaPuntiClassificaSquadra,3,FALSE),-2)),SUMIFS(Dati!$E$2:$E$761,Dati!$A$2:$A$761,$H84,Dati!$H$2:$H$761,$AP84)+SUMIFS(Dati!$L$2:$L$761,Dati!$H$2:$H$761,$H84,Dati!$A$2:$A$761,$AP84),"-")</f>
        <v/>
      </c>
      <c r="DE84" s="22">
        <f>IF(AND($H84&lt;&gt;"",$AQ84&lt;&gt;"",$H84&lt;&gt;$AQ84,IFERROR(VLOOKUP($H84,areaCercaPuntiClassificaSquadra,3,FALSE),-1)=IFERROR(VLOOKUP($AQ84,areaCercaPuntiClassificaSquadra,3,FALSE),-2)),SUMIFS(Dati!$E$2:$E$761,Dati!$A$2:$A$761,$H84,Dati!$H$2:$H$761,$AQ84)+SUMIFS(Dati!$L$2:$L$761,Dati!$H$2:$H$761,$H84,Dati!$A$2:$A$761,$AQ84),"-")</f>
        <v/>
      </c>
      <c r="DF84" s="22">
        <f>IF(AND($H84&lt;&gt;"",$AR84&lt;&gt;"",$H84&lt;&gt;$AR84,IFERROR(VLOOKUP($H84,areaCercaPuntiClassificaSquadra,3,FALSE),-1)=IFERROR(VLOOKUP($AR84,areaCercaPuntiClassificaSquadra,3,FALSE),-2)),SUMIFS(Dati!$E$2:$E$761,Dati!$A$2:$A$761,$H84,Dati!$H$2:$H$761,$AR84)+SUMIFS(Dati!$L$2:$L$761,Dati!$H$2:$H$761,$H84,Dati!$A$2:$A$761,$AR84),"-")</f>
        <v/>
      </c>
      <c r="DH84" s="21">
        <f>$C84</f>
        <v/>
      </c>
      <c r="DI84" s="22">
        <f>IF(AND($H84&lt;&gt;"",$Y84&lt;&gt;"",$H84&lt;&gt;$Y84,IFERROR(VLOOKUP($H84,areaCercaPuntiClassificaSquadra,3,FALSE),-1)=IFERROR(VLOOKUP($Y84,areaCercaPuntiClassificaSquadra,3,FALSE),-2)),SUMIFS(Dati!$F$2:$F$761,Dati!$A$2:$A$761,$H84,Dati!$H$2:$H$761,$Y84)+SUMIFS(Dati!$M$2:$M$761,Dati!$H$2:$H$761,$H84,Dati!$A$2:$A$761,$Y84),"-")</f>
        <v/>
      </c>
      <c r="DJ84" s="22">
        <f>IF(AND($H84&lt;&gt;"",$Z84&lt;&gt;"",$H84&lt;&gt;$Z84,IFERROR(VLOOKUP($H84,areaCercaPuntiClassificaSquadra,3,FALSE),-1)=IFERROR(VLOOKUP($Z84,areaCercaPuntiClassificaSquadra,3,FALSE),-2)),SUMIFS(Dati!$F$2:$F$761,Dati!$A$2:$A$761,$H84,Dati!$H$2:$H$761,$Z84)+SUMIFS(Dati!$M$2:$M$761,Dati!$H$2:$H$761,$H84,Dati!$A$2:$A$761,$Z84),"-")</f>
        <v/>
      </c>
      <c r="DK84" s="22">
        <f>IF(AND($H84&lt;&gt;"",$AA84&lt;&gt;"",$H84&lt;&gt;$AA84,IFERROR(VLOOKUP($H84,areaCercaPuntiClassificaSquadra,3,FALSE),-1)=IFERROR(VLOOKUP($AA84,areaCercaPuntiClassificaSquadra,3,FALSE),-2)),SUMIFS(Dati!$F$2:$F$761,Dati!$A$2:$A$761,$H84,Dati!$H$2:$H$761,$AA84)+SUMIFS(Dati!$M$2:$M$761,Dati!$H$2:$H$761,$H84,Dati!$A$2:$A$761,$AA84),"-")</f>
        <v/>
      </c>
      <c r="DL84" s="22">
        <f>IF(AND($H84&lt;&gt;"",$AB84&lt;&gt;"",$H84&lt;&gt;$AB84,IFERROR(VLOOKUP($H84,areaCercaPuntiClassificaSquadra,3,FALSE),-1)=IFERROR(VLOOKUP($AB84,areaCercaPuntiClassificaSquadra,3,FALSE),-2)),SUMIFS(Dati!$F$2:$F$761,Dati!$A$2:$A$761,$H84,Dati!$H$2:$H$761,$AB84)+SUMIFS(Dati!$M$2:$M$761,Dati!$H$2:$H$761,$H84,Dati!$A$2:$A$761,$AB84),"-")</f>
        <v/>
      </c>
      <c r="DM84" s="22">
        <f>IF(AND($H84&lt;&gt;"",$AC84&lt;&gt;"",$H84&lt;&gt;$AC84,IFERROR(VLOOKUP($H84,areaCercaPuntiClassificaSquadra,3,FALSE),-1)=IFERROR(VLOOKUP($AC84,areaCercaPuntiClassificaSquadra,3,FALSE),-2)),SUMIFS(Dati!$F$2:$F$761,Dati!$A$2:$A$761,$H84,Dati!$H$2:$H$761,$AC84)+SUMIFS(Dati!$M$2:$M$761,Dati!$H$2:$H$761,$H84,Dati!$A$2:$A$761,$AC84),"-")</f>
        <v/>
      </c>
      <c r="DN84" s="22">
        <f>IF(AND($H84&lt;&gt;"",$AD84&lt;&gt;"",$H84&lt;&gt;$AD84,IFERROR(VLOOKUP($H84,areaCercaPuntiClassificaSquadra,3,FALSE),-1)=IFERROR(VLOOKUP($AD84,areaCercaPuntiClassificaSquadra,3,FALSE),-2)),SUMIFS(Dati!$F$2:$F$761,Dati!$A$2:$A$761,$H84,Dati!$H$2:$H$761,$AD84)+SUMIFS(Dati!$M$2:$M$761,Dati!$H$2:$H$761,$H84,Dati!$A$2:$A$761,$AD84),"-")</f>
        <v/>
      </c>
      <c r="DO84" s="22">
        <f>IF(AND($H84&lt;&gt;"",$AE84&lt;&gt;"",$H84&lt;&gt;$AE84,IFERROR(VLOOKUP($H84,areaCercaPuntiClassificaSquadra,3,FALSE),-1)=IFERROR(VLOOKUP($AE84,areaCercaPuntiClassificaSquadra,3,FALSE),-2)),SUMIFS(Dati!$F$2:$F$761,Dati!$A$2:$A$761,$H84,Dati!$H$2:$H$761,$AE84)+SUMIFS(Dati!$M$2:$M$761,Dati!$H$2:$H$761,$H84,Dati!$A$2:$A$761,$AE84),"-")</f>
        <v/>
      </c>
      <c r="DP84" s="22">
        <f>IF(AND($H84&lt;&gt;"",$AF84&lt;&gt;"",$H84&lt;&gt;$AF84,IFERROR(VLOOKUP($H84,areaCercaPuntiClassificaSquadra,3,FALSE),-1)=IFERROR(VLOOKUP($AF84,areaCercaPuntiClassificaSquadra,3,FALSE),-2)),SUMIFS(Dati!$F$2:$F$761,Dati!$A$2:$A$761,$H84,Dati!$H$2:$H$761,$AF84)+SUMIFS(Dati!$M$2:$M$761,Dati!$H$2:$H$761,$H84,Dati!$A$2:$A$761,$AF84),"-")</f>
        <v/>
      </c>
      <c r="DQ84" s="22">
        <f>IF(AND($H84&lt;&gt;"",$AG84&lt;&gt;"",$H84&lt;&gt;$AG84,IFERROR(VLOOKUP($H84,areaCercaPuntiClassificaSquadra,3,FALSE),-1)=IFERROR(VLOOKUP($AG84,areaCercaPuntiClassificaSquadra,3,FALSE),-2)),SUMIFS(Dati!$F$2:$F$761,Dati!$A$2:$A$761,$H84,Dati!$H$2:$H$761,$AG84)+SUMIFS(Dati!$M$2:$M$761,Dati!$H$2:$H$761,$H84,Dati!$A$2:$A$761,$AG84),"-")</f>
        <v/>
      </c>
      <c r="DR84" s="22">
        <f>IF(AND($H84&lt;&gt;"",$AH84&lt;&gt;"",$H84&lt;&gt;$AH84,IFERROR(VLOOKUP($H84,areaCercaPuntiClassificaSquadra,3,FALSE),-1)=IFERROR(VLOOKUP($AH84,areaCercaPuntiClassificaSquadra,3,FALSE),-2)),SUMIFS(Dati!$F$2:$F$761,Dati!$A$2:$A$761,$H84,Dati!$H$2:$H$761,$AH84)+SUMIFS(Dati!$M$2:$M$761,Dati!$H$2:$H$761,$H84,Dati!$A$2:$A$761,$AH84),"-")</f>
        <v/>
      </c>
      <c r="DS84" s="22">
        <f>IF(AND($H84&lt;&gt;"",$AI84&lt;&gt;"",$H84&lt;&gt;$AI84,IFERROR(VLOOKUP($H84,areaCercaPuntiClassificaSquadra,3,FALSE),-1)=IFERROR(VLOOKUP($AI84,areaCercaPuntiClassificaSquadra,3,FALSE),-2)),SUMIFS(Dati!$F$2:$F$761,Dati!$A$2:$A$761,$H84,Dati!$H$2:$H$761,$AI84)+SUMIFS(Dati!$M$2:$M$761,Dati!$H$2:$H$761,$H84,Dati!$A$2:$A$761,$AI84),"-")</f>
        <v/>
      </c>
      <c r="DT84" s="22">
        <f>IF(AND($H84&lt;&gt;"",$AJ84&lt;&gt;"",$H84&lt;&gt;$AJ84,IFERROR(VLOOKUP($H84,areaCercaPuntiClassificaSquadra,3,FALSE),-1)=IFERROR(VLOOKUP($AJ84,areaCercaPuntiClassificaSquadra,3,FALSE),-2)),SUMIFS(Dati!$F$2:$F$761,Dati!$A$2:$A$761,$H84,Dati!$H$2:$H$761,$AJ84)+SUMIFS(Dati!$M$2:$M$761,Dati!$H$2:$H$761,$H84,Dati!$A$2:$A$761,$AJ84),"-")</f>
        <v/>
      </c>
      <c r="DU84" s="22">
        <f>IF(AND($H84&lt;&gt;"",$AK84&lt;&gt;"",$H84&lt;&gt;$AK84,IFERROR(VLOOKUP($H84,areaCercaPuntiClassificaSquadra,3,FALSE),-1)=IFERROR(VLOOKUP($AK84,areaCercaPuntiClassificaSquadra,3,FALSE),-2)),SUMIFS(Dati!$F$2:$F$761,Dati!$A$2:$A$761,$H84,Dati!$H$2:$H$761,$AK84)+SUMIFS(Dati!$M$2:$M$761,Dati!$H$2:$H$761,$H84,Dati!$A$2:$A$761,$AK84),"-")</f>
        <v/>
      </c>
      <c r="DV84" s="22">
        <f>IF(AND($H84&lt;&gt;"",$AL84&lt;&gt;"",$H84&lt;&gt;$AL84,IFERROR(VLOOKUP($H84,areaCercaPuntiClassificaSquadra,3,FALSE),-1)=IFERROR(VLOOKUP($AL84,areaCercaPuntiClassificaSquadra,3,FALSE),-2)),SUMIFS(Dati!$F$2:$F$761,Dati!$A$2:$A$761,$H84,Dati!$H$2:$H$761,$AL84)+SUMIFS(Dati!$M$2:$M$761,Dati!$H$2:$H$761,$H84,Dati!$A$2:$A$761,$AL84),"-")</f>
        <v/>
      </c>
      <c r="DW84" s="22">
        <f>IF(AND($H84&lt;&gt;"",$AM84&lt;&gt;"",$H84&lt;&gt;$AM84,IFERROR(VLOOKUP($H84,areaCercaPuntiClassificaSquadra,3,FALSE),-1)=IFERROR(VLOOKUP($AM84,areaCercaPuntiClassificaSquadra,3,FALSE),-2)),SUMIFS(Dati!$F$2:$F$761,Dati!$A$2:$A$761,$H84,Dati!$H$2:$H$761,$AM84)+SUMIFS(Dati!$M$2:$M$761,Dati!$H$2:$H$761,$H84,Dati!$A$2:$A$761,$AM84),"-")</f>
        <v/>
      </c>
      <c r="DX84" s="22">
        <f>IF(AND($H84&lt;&gt;"",$AN84&lt;&gt;"",$H84&lt;&gt;$AN84,IFERROR(VLOOKUP($H84,areaCercaPuntiClassificaSquadra,3,FALSE),-1)=IFERROR(VLOOKUP($AN84,areaCercaPuntiClassificaSquadra,3,FALSE),-2)),SUMIFS(Dati!$F$2:$F$761,Dati!$A$2:$A$761,$H84,Dati!$H$2:$H$761,$AN84)+SUMIFS(Dati!$M$2:$M$761,Dati!$H$2:$H$761,$H84,Dati!$A$2:$A$761,$AN84),"-")</f>
        <v/>
      </c>
      <c r="DY84" s="22">
        <f>IF(AND($H84&lt;&gt;"",$AO84&lt;&gt;"",$H84&lt;&gt;$AO84,IFERROR(VLOOKUP($H84,areaCercaPuntiClassificaSquadra,3,FALSE),-1)=IFERROR(VLOOKUP($AO84,areaCercaPuntiClassificaSquadra,3,FALSE),-2)),SUMIFS(Dati!$F$2:$F$761,Dati!$A$2:$A$761,$H84,Dati!$H$2:$H$761,$AO84)+SUMIFS(Dati!$M$2:$M$761,Dati!$H$2:$H$761,$H84,Dati!$A$2:$A$761,$AO84),"-")</f>
        <v/>
      </c>
      <c r="DZ84" s="22">
        <f>IF(AND($H84&lt;&gt;"",$AP84&lt;&gt;"",$H84&lt;&gt;$AP84,IFERROR(VLOOKUP($H84,areaCercaPuntiClassificaSquadra,3,FALSE),-1)=IFERROR(VLOOKUP($AP84,areaCercaPuntiClassificaSquadra,3,FALSE),-2)),SUMIFS(Dati!$F$2:$F$761,Dati!$A$2:$A$761,$H84,Dati!$H$2:$H$761,$AP84)+SUMIFS(Dati!$M$2:$M$761,Dati!$H$2:$H$761,$H84,Dati!$A$2:$A$761,$AP84),"-")</f>
        <v/>
      </c>
      <c r="EA84" s="22">
        <f>IF(AND($H84&lt;&gt;"",$AQ84&lt;&gt;"",$H84&lt;&gt;$AQ84,IFERROR(VLOOKUP($H84,areaCercaPuntiClassificaSquadra,3,FALSE),-1)=IFERROR(VLOOKUP($AQ84,areaCercaPuntiClassificaSquadra,3,FALSE),-2)),SUMIFS(Dati!$F$2:$F$761,Dati!$A$2:$A$761,$H84,Dati!$H$2:$H$761,$AQ84)+SUMIFS(Dati!$M$2:$M$761,Dati!$H$2:$H$761,$H84,Dati!$A$2:$A$761,$AQ84),"-")</f>
        <v/>
      </c>
      <c r="EB84" s="22">
        <f>IF(AND($H84&lt;&gt;"",$AR84&lt;&gt;"",$H84&lt;&gt;$AR84,IFERROR(VLOOKUP($H84,areaCercaPuntiClassificaSquadra,3,FALSE),-1)=IFERROR(VLOOKUP($AR84,areaCercaPuntiClassificaSquadra,3,FALSE),-2)),SUMIFS(Dati!$F$2:$F$761,Dati!$A$2:$A$761,$H84,Dati!$H$2:$H$761,$AR84)+SUMIFS(Dati!$M$2:$M$761,Dati!$H$2:$H$761,$H84,Dati!$A$2:$A$761,$AR84),"-")</f>
        <v/>
      </c>
      <c r="ED84" s="22">
        <f>IF($C84="","",SUM(AU84:BN84))</f>
        <v/>
      </c>
    </row>
    <row r="85">
      <c r="B85" s="12" t="inlineStr">
        <is>
          <t>D12</t>
        </is>
      </c>
      <c r="C85" s="13" t="inlineStr">
        <is>
          <t>Dugonghi Docili-Dugonghiopoli DE</t>
        </is>
      </c>
      <c r="D85" s="14" t="n"/>
      <c r="E85" s="27" t="inlineStr">
        <is>
          <t>D</t>
        </is>
      </c>
      <c r="G85" s="28">
        <f>IF($C85="","",$E85&amp;(COUNTIFS(I$14:I$93,"&gt;"&amp;I85,E$14:E$93,"="&amp;E85,C$14:C$93,"&lt;&gt;")+COUNTIFS(I$14:I$93,"="&amp;I85,H$14:H$93,"&lt;="&amp;H85,E$14:E$93,"="&amp;E85,C$14:C$93,"&lt;&gt;")))</f>
        <v/>
      </c>
      <c r="H85" s="17">
        <f>IF($C85="","",IFERROR(LEFT($C85,FIND("-",$C85)-1),$C85))</f>
        <v/>
      </c>
      <c r="I85" s="12">
        <f>TEXT(1000000000+J85,"|0000000000|")&amp;TEXT(SUM(AU85:BN85),"0000000000|")&amp;IF(SUM(DI85:EB85)=0,"0000000000|",TEXT(ROUND(SUM(CM85:DF85)/SUM(DI85:EB85),4)*100000,"0000000000|"))&amp;IF(P85=0,"0000000000|",TEXT(ROUND(O85/P85,4)*100000,"0000000000|"))</f>
        <v/>
      </c>
      <c r="J85" s="28">
        <f>L85*constPuntiVittoria+M85*constPuntiSconfitta+N85*constPuntiForfait+IF(D85="",0,D85)</f>
        <v/>
      </c>
      <c r="K85" s="12">
        <f>SUM(L85:N85)</f>
        <v/>
      </c>
      <c r="L85" s="12">
        <f>IF($H85="",0,SUMIF(Dati!$A$2:$A$761,$H85,Dati!$B$2:$B$761)+SUMIF(Dati!$H$2:$H$761,$H85,Dati!$I$2:$I$761))</f>
        <v/>
      </c>
      <c r="M85" s="12">
        <f>IF($H85="",0,SUMIF(Dati!$A$2:$A$761,$H85,Dati!$D$2:$D$761)+SUMIF(Dati!$H$2:$H$761,$H85,Dati!$K$2:$K$761))</f>
        <v/>
      </c>
      <c r="N85" s="12">
        <f>IF($H85="",0,SUMIF(Dati!$A$2:$A$761,$H85,Dati!$C$2:$C$761)+SUMIF(Dati!$H$2:$H$761,$H85,Dati!$J$2:$J$761))</f>
        <v/>
      </c>
      <c r="O85" s="12">
        <f>IF($H85="",0,SUMIF(Dati!$A$2:$A$761,$H85,Dati!$E$2:$E$761)+SUMIF(Dati!$H$2:$H$761,$H85,Dati!$L$2:$L$761))</f>
        <v/>
      </c>
      <c r="P85" s="12">
        <f>IF($H85="",0,SUMIF(Dati!$A$2:$A$761,$H85,Dati!$F$2:$F$761)+SUMIF(Dati!$H$2:$H$761,$H85,Dati!$M$2:$M$761))</f>
        <v/>
      </c>
      <c r="Q85" s="12">
        <f>IF($H85="",0,SUMIF(Dati!$A$2:$A$761,$H85,Dati!$G$2:$G$761)+SUMIF(Dati!$H$2:$H$761,$H85,Dati!$N$2:$N$761))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IF(COUNTIFS($E$14:$E$93,$E85,$J$14:$J$93,$J85,$C$14:$C$93,"&lt;&gt;")&lt;=1,"-",SUM(AU85:BN85)&amp;"-"&amp;SUM(BQ85:CJ85))</f>
        <v/>
      </c>
      <c r="V85" s="18">
        <f>IF(COUNTIFS($E$14:$E$93,$E85,$J$14:$J$93,$J85,$C$14:$C$93,"&lt;&gt;",$ED$14:$ED$93,$ED85)&lt;=1,"-",IF(SUM(DI85:EB85)=0,0,ROUND(SUM(CM85:DF85)/SUM(DI85:EB85),3)))</f>
        <v/>
      </c>
      <c r="W85" s="18">
        <f>IF(COUNTIFS($E$14:$E$93,$E85,$J$14:$J$93,$J85,$C$14:$C$93,"&lt;&gt;",$ED$14:$ED$93,$ED85,$V$14:$V$93,$V85)&lt;=1,"-",IF(P85=0,0,ROUND(O85/P85,3)))</f>
        <v/>
      </c>
      <c r="X85" s="19">
        <f>IF($C85="","",$E85&amp;"#"&amp;COUNTIFS($E$14:$E85,$E85,$C$14:$C85,"&lt;&gt;"))</f>
        <v/>
      </c>
      <c r="Y85" s="20">
        <f>IFERROR(INDEX($H$14:$H$93,MATCH($E85&amp;"#1",$X$14:$X$93,0)),"")</f>
        <v/>
      </c>
      <c r="Z85" s="20">
        <f>IFERROR(INDEX($H$14:$H$93,MATCH($E85&amp;"#2",$X$14:$X$93,0)),"")</f>
        <v/>
      </c>
      <c r="AA85" s="20">
        <f>IFERROR(INDEX($H$14:$H$93,MATCH($E85&amp;"#3",$X$14:$X$93,0)),"")</f>
        <v/>
      </c>
      <c r="AB85" s="20">
        <f>IFERROR(INDEX($H$14:$H$93,MATCH($E85&amp;"#4",$X$14:$X$93,0)),"")</f>
        <v/>
      </c>
      <c r="AC85" s="20">
        <f>IFERROR(INDEX($H$14:$H$93,MATCH($E85&amp;"#5",$X$14:$X$93,0)),"")</f>
        <v/>
      </c>
      <c r="AD85" s="20">
        <f>IFERROR(INDEX($H$14:$H$93,MATCH($E85&amp;"#6",$X$14:$X$93,0)),"")</f>
        <v/>
      </c>
      <c r="AE85" s="20">
        <f>IFERROR(INDEX($H$14:$H$93,MATCH($E85&amp;"#7",$X$14:$X$93,0)),"")</f>
        <v/>
      </c>
      <c r="AF85" s="20">
        <f>IFERROR(INDEX($H$14:$H$93,MATCH($E85&amp;"#8",$X$14:$X$93,0)),"")</f>
        <v/>
      </c>
      <c r="AG85" s="20">
        <f>IFERROR(INDEX($H$14:$H$93,MATCH($E85&amp;"#9",$X$14:$X$93,0)),"")</f>
        <v/>
      </c>
      <c r="AH85" s="20">
        <f>IFERROR(INDEX($H$14:$H$93,MATCH($E85&amp;"#10",$X$14:$X$93,0)),"")</f>
        <v/>
      </c>
      <c r="AI85" s="20">
        <f>IFERROR(INDEX($H$14:$H$93,MATCH($E85&amp;"#11",$X$14:$X$93,0)),"")</f>
        <v/>
      </c>
      <c r="AJ85" s="20">
        <f>IFERROR(INDEX($H$14:$H$93,MATCH($E85&amp;"#12",$X$14:$X$93,0)),"")</f>
        <v/>
      </c>
      <c r="AK85" s="20">
        <f>IFERROR(INDEX($H$14:$H$93,MATCH($E85&amp;"#13",$X$14:$X$93,0)),"")</f>
        <v/>
      </c>
      <c r="AL85" s="20">
        <f>IFERROR(INDEX($H$14:$H$93,MATCH($E85&amp;"#14",$X$14:$X$93,0)),"")</f>
        <v/>
      </c>
      <c r="AM85" s="20">
        <f>IFERROR(INDEX($H$14:$H$93,MATCH($E85&amp;"#15",$X$14:$X$93,0)),"")</f>
        <v/>
      </c>
      <c r="AN85" s="20">
        <f>IFERROR(INDEX($H$14:$H$93,MATCH($E85&amp;"#16",$X$14:$X$93,0)),"")</f>
        <v/>
      </c>
      <c r="AO85" s="20">
        <f>IFERROR(INDEX($H$14:$H$93,MATCH($E85&amp;"#17",$X$14:$X$93,0)),"")</f>
        <v/>
      </c>
      <c r="AP85" s="20">
        <f>IFERROR(INDEX($H$14:$H$93,MATCH($E85&amp;"#18",$X$14:$X$93,0)),"")</f>
        <v/>
      </c>
      <c r="AQ85" s="20">
        <f>IFERROR(INDEX($H$14:$H$93,MATCH($E85&amp;"#19",$X$14:$X$93,0)),"")</f>
        <v/>
      </c>
      <c r="AR85" s="20">
        <f>IFERROR(INDEX($H$14:$H$93,MATCH($E85&amp;"#20",$X$14:$X$93,0)),"")</f>
        <v/>
      </c>
      <c r="AT85" s="21">
        <f>$C85</f>
        <v/>
      </c>
      <c r="AU85" s="22">
        <f>IF(AND($H85&lt;&gt;"",$Y85&lt;&gt;"",$H85&lt;&gt;$Y85,IFERROR(VLOOKUP($H85,areaCercaPuntiClassificaSquadra,3,FALSE),-1)=IFERROR(VLOOKUP($Y85,areaCercaPuntiClassificaSquadra,3,FALSE),-2)),SUMIFS(Dati!$B$2:$B$761,Dati!$A$2:$A$761,$H85,Dati!$H$2:$H$761,$Y85)+SUMIFS(Dati!$I$2:$I$761,Dati!$H$2:$H$761,$H85,Dati!$A$2:$A$761,$Y85),"-")</f>
        <v/>
      </c>
      <c r="AV85" s="22">
        <f>IF(AND($H85&lt;&gt;"",$Z85&lt;&gt;"",$H85&lt;&gt;$Z85,IFERROR(VLOOKUP($H85,areaCercaPuntiClassificaSquadra,3,FALSE),-1)=IFERROR(VLOOKUP($Z85,areaCercaPuntiClassificaSquadra,3,FALSE),-2)),SUMIFS(Dati!$B$2:$B$761,Dati!$A$2:$A$761,$H85,Dati!$H$2:$H$761,$Z85)+SUMIFS(Dati!$I$2:$I$761,Dati!$H$2:$H$761,$H85,Dati!$A$2:$A$761,$Z85),"-")</f>
        <v/>
      </c>
      <c r="AW85" s="22">
        <f>IF(AND($H85&lt;&gt;"",$AA85&lt;&gt;"",$H85&lt;&gt;$AA85,IFERROR(VLOOKUP($H85,areaCercaPuntiClassificaSquadra,3,FALSE),-1)=IFERROR(VLOOKUP($AA85,areaCercaPuntiClassificaSquadra,3,FALSE),-2)),SUMIFS(Dati!$B$2:$B$761,Dati!$A$2:$A$761,$H85,Dati!$H$2:$H$761,$AA85)+SUMIFS(Dati!$I$2:$I$761,Dati!$H$2:$H$761,$H85,Dati!$A$2:$A$761,$AA85),"-")</f>
        <v/>
      </c>
      <c r="AX85" s="22">
        <f>IF(AND($H85&lt;&gt;"",$AB85&lt;&gt;"",$H85&lt;&gt;$AB85,IFERROR(VLOOKUP($H85,areaCercaPuntiClassificaSquadra,3,FALSE),-1)=IFERROR(VLOOKUP($AB85,areaCercaPuntiClassificaSquadra,3,FALSE),-2)),SUMIFS(Dati!$B$2:$B$761,Dati!$A$2:$A$761,$H85,Dati!$H$2:$H$761,$AB85)+SUMIFS(Dati!$I$2:$I$761,Dati!$H$2:$H$761,$H85,Dati!$A$2:$A$761,$AB85),"-")</f>
        <v/>
      </c>
      <c r="AY85" s="22">
        <f>IF(AND($H85&lt;&gt;"",$AC85&lt;&gt;"",$H85&lt;&gt;$AC85,IFERROR(VLOOKUP($H85,areaCercaPuntiClassificaSquadra,3,FALSE),-1)=IFERROR(VLOOKUP($AC85,areaCercaPuntiClassificaSquadra,3,FALSE),-2)),SUMIFS(Dati!$B$2:$B$761,Dati!$A$2:$A$761,$H85,Dati!$H$2:$H$761,$AC85)+SUMIFS(Dati!$I$2:$I$761,Dati!$H$2:$H$761,$H85,Dati!$A$2:$A$761,$AC85),"-")</f>
        <v/>
      </c>
      <c r="AZ85" s="22">
        <f>IF(AND($H85&lt;&gt;"",$AD85&lt;&gt;"",$H85&lt;&gt;$AD85,IFERROR(VLOOKUP($H85,areaCercaPuntiClassificaSquadra,3,FALSE),-1)=IFERROR(VLOOKUP($AD85,areaCercaPuntiClassificaSquadra,3,FALSE),-2)),SUMIFS(Dati!$B$2:$B$761,Dati!$A$2:$A$761,$H85,Dati!$H$2:$H$761,$AD85)+SUMIFS(Dati!$I$2:$I$761,Dati!$H$2:$H$761,$H85,Dati!$A$2:$A$761,$AD85),"-")</f>
        <v/>
      </c>
      <c r="BA85" s="22">
        <f>IF(AND($H85&lt;&gt;"",$AE85&lt;&gt;"",$H85&lt;&gt;$AE85,IFERROR(VLOOKUP($H85,areaCercaPuntiClassificaSquadra,3,FALSE),-1)=IFERROR(VLOOKUP($AE85,areaCercaPuntiClassificaSquadra,3,FALSE),-2)),SUMIFS(Dati!$B$2:$B$761,Dati!$A$2:$A$761,$H85,Dati!$H$2:$H$761,$AE85)+SUMIFS(Dati!$I$2:$I$761,Dati!$H$2:$H$761,$H85,Dati!$A$2:$A$761,$AE85),"-")</f>
        <v/>
      </c>
      <c r="BB85" s="22">
        <f>IF(AND($H85&lt;&gt;"",$AF85&lt;&gt;"",$H85&lt;&gt;$AF85,IFERROR(VLOOKUP($H85,areaCercaPuntiClassificaSquadra,3,FALSE),-1)=IFERROR(VLOOKUP($AF85,areaCercaPuntiClassificaSquadra,3,FALSE),-2)),SUMIFS(Dati!$B$2:$B$761,Dati!$A$2:$A$761,$H85,Dati!$H$2:$H$761,$AF85)+SUMIFS(Dati!$I$2:$I$761,Dati!$H$2:$H$761,$H85,Dati!$A$2:$A$761,$AF85),"-")</f>
        <v/>
      </c>
      <c r="BC85" s="22">
        <f>IF(AND($H85&lt;&gt;"",$AG85&lt;&gt;"",$H85&lt;&gt;$AG85,IFERROR(VLOOKUP($H85,areaCercaPuntiClassificaSquadra,3,FALSE),-1)=IFERROR(VLOOKUP($AG85,areaCercaPuntiClassificaSquadra,3,FALSE),-2)),SUMIFS(Dati!$B$2:$B$761,Dati!$A$2:$A$761,$H85,Dati!$H$2:$H$761,$AG85)+SUMIFS(Dati!$I$2:$I$761,Dati!$H$2:$H$761,$H85,Dati!$A$2:$A$761,$AG85),"-")</f>
        <v/>
      </c>
      <c r="BD85" s="22">
        <f>IF(AND($H85&lt;&gt;"",$AH85&lt;&gt;"",$H85&lt;&gt;$AH85,IFERROR(VLOOKUP($H85,areaCercaPuntiClassificaSquadra,3,FALSE),-1)=IFERROR(VLOOKUP($AH85,areaCercaPuntiClassificaSquadra,3,FALSE),-2)),SUMIFS(Dati!$B$2:$B$761,Dati!$A$2:$A$761,$H85,Dati!$H$2:$H$761,$AH85)+SUMIFS(Dati!$I$2:$I$761,Dati!$H$2:$H$761,$H85,Dati!$A$2:$A$761,$AH85),"-")</f>
        <v/>
      </c>
      <c r="BE85" s="22">
        <f>IF(AND($H85&lt;&gt;"",$AI85&lt;&gt;"",$H85&lt;&gt;$AI85,IFERROR(VLOOKUP($H85,areaCercaPuntiClassificaSquadra,3,FALSE),-1)=IFERROR(VLOOKUP($AI85,areaCercaPuntiClassificaSquadra,3,FALSE),-2)),SUMIFS(Dati!$B$2:$B$761,Dati!$A$2:$A$761,$H85,Dati!$H$2:$H$761,$AI85)+SUMIFS(Dati!$I$2:$I$761,Dati!$H$2:$H$761,$H85,Dati!$A$2:$A$761,$AI85),"-")</f>
        <v/>
      </c>
      <c r="BF85" s="22">
        <f>IF(AND($H85&lt;&gt;"",$AJ85&lt;&gt;"",$H85&lt;&gt;$AJ85,IFERROR(VLOOKUP($H85,areaCercaPuntiClassificaSquadra,3,FALSE),-1)=IFERROR(VLOOKUP($AJ85,areaCercaPuntiClassificaSquadra,3,FALSE),-2)),SUMIFS(Dati!$B$2:$B$761,Dati!$A$2:$A$761,$H85,Dati!$H$2:$H$761,$AJ85)+SUMIFS(Dati!$I$2:$I$761,Dati!$H$2:$H$761,$H85,Dati!$A$2:$A$761,$AJ85),"-")</f>
        <v/>
      </c>
      <c r="BG85" s="22">
        <f>IF(AND($H85&lt;&gt;"",$AK85&lt;&gt;"",$H85&lt;&gt;$AK85,IFERROR(VLOOKUP($H85,areaCercaPuntiClassificaSquadra,3,FALSE),-1)=IFERROR(VLOOKUP($AK85,areaCercaPuntiClassificaSquadra,3,FALSE),-2)),SUMIFS(Dati!$B$2:$B$761,Dati!$A$2:$A$761,$H85,Dati!$H$2:$H$761,$AK85)+SUMIFS(Dati!$I$2:$I$761,Dati!$H$2:$H$761,$H85,Dati!$A$2:$A$761,$AK85),"-")</f>
        <v/>
      </c>
      <c r="BH85" s="22">
        <f>IF(AND($H85&lt;&gt;"",$AL85&lt;&gt;"",$H85&lt;&gt;$AL85,IFERROR(VLOOKUP($H85,areaCercaPuntiClassificaSquadra,3,FALSE),-1)=IFERROR(VLOOKUP($AL85,areaCercaPuntiClassificaSquadra,3,FALSE),-2)),SUMIFS(Dati!$B$2:$B$761,Dati!$A$2:$A$761,$H85,Dati!$H$2:$H$761,$AL85)+SUMIFS(Dati!$I$2:$I$761,Dati!$H$2:$H$761,$H85,Dati!$A$2:$A$761,$AL85),"-")</f>
        <v/>
      </c>
      <c r="BI85" s="22">
        <f>IF(AND($H85&lt;&gt;"",$AM85&lt;&gt;"",$H85&lt;&gt;$AM85,IFERROR(VLOOKUP($H85,areaCercaPuntiClassificaSquadra,3,FALSE),-1)=IFERROR(VLOOKUP($AM85,areaCercaPuntiClassificaSquadra,3,FALSE),-2)),SUMIFS(Dati!$B$2:$B$761,Dati!$A$2:$A$761,$H85,Dati!$H$2:$H$761,$AM85)+SUMIFS(Dati!$I$2:$I$761,Dati!$H$2:$H$761,$H85,Dati!$A$2:$A$761,$AM85),"-")</f>
        <v/>
      </c>
      <c r="BJ85" s="22">
        <f>IF(AND($H85&lt;&gt;"",$AN85&lt;&gt;"",$H85&lt;&gt;$AN85,IFERROR(VLOOKUP($H85,areaCercaPuntiClassificaSquadra,3,FALSE),-1)=IFERROR(VLOOKUP($AN85,areaCercaPuntiClassificaSquadra,3,FALSE),-2)),SUMIFS(Dati!$B$2:$B$761,Dati!$A$2:$A$761,$H85,Dati!$H$2:$H$761,$AN85)+SUMIFS(Dati!$I$2:$I$761,Dati!$H$2:$H$761,$H85,Dati!$A$2:$A$761,$AN85),"-")</f>
        <v/>
      </c>
      <c r="BK85" s="22">
        <f>IF(AND($H85&lt;&gt;"",$AO85&lt;&gt;"",$H85&lt;&gt;$AO85,IFERROR(VLOOKUP($H85,areaCercaPuntiClassificaSquadra,3,FALSE),-1)=IFERROR(VLOOKUP($AO85,areaCercaPuntiClassificaSquadra,3,FALSE),-2)),SUMIFS(Dati!$B$2:$B$761,Dati!$A$2:$A$761,$H85,Dati!$H$2:$H$761,$AO85)+SUMIFS(Dati!$I$2:$I$761,Dati!$H$2:$H$761,$H85,Dati!$A$2:$A$761,$AO85),"-")</f>
        <v/>
      </c>
      <c r="BL85" s="22">
        <f>IF(AND($H85&lt;&gt;"",$AP85&lt;&gt;"",$H85&lt;&gt;$AP85,IFERROR(VLOOKUP($H85,areaCercaPuntiClassificaSquadra,3,FALSE),-1)=IFERROR(VLOOKUP($AP85,areaCercaPuntiClassificaSquadra,3,FALSE),-2)),SUMIFS(Dati!$B$2:$B$761,Dati!$A$2:$A$761,$H85,Dati!$H$2:$H$761,$AP85)+SUMIFS(Dati!$I$2:$I$761,Dati!$H$2:$H$761,$H85,Dati!$A$2:$A$761,$AP85),"-")</f>
        <v/>
      </c>
      <c r="BM85" s="22">
        <f>IF(AND($H85&lt;&gt;"",$AQ85&lt;&gt;"",$H85&lt;&gt;$AQ85,IFERROR(VLOOKUP($H85,areaCercaPuntiClassificaSquadra,3,FALSE),-1)=IFERROR(VLOOKUP($AQ85,areaCercaPuntiClassificaSquadra,3,FALSE),-2)),SUMIFS(Dati!$B$2:$B$761,Dati!$A$2:$A$761,$H85,Dati!$H$2:$H$761,$AQ85)+SUMIFS(Dati!$I$2:$I$761,Dati!$H$2:$H$761,$H85,Dati!$A$2:$A$761,$AQ85),"-")</f>
        <v/>
      </c>
      <c r="BN85" s="22">
        <f>IF(AND($H85&lt;&gt;"",$AR85&lt;&gt;"",$H85&lt;&gt;$AR85,IFERROR(VLOOKUP($H85,areaCercaPuntiClassificaSquadra,3,FALSE),-1)=IFERROR(VLOOKUP($AR85,areaCercaPuntiClassificaSquadra,3,FALSE),-2)),SUMIFS(Dati!$B$2:$B$761,Dati!$A$2:$A$761,$H85,Dati!$H$2:$H$761,$AR85)+SUMIFS(Dati!$I$2:$I$761,Dati!$H$2:$H$761,$H85,Dati!$A$2:$A$761,$AR85),"-")</f>
        <v/>
      </c>
      <c r="BP85" s="21">
        <f>$C85</f>
        <v/>
      </c>
      <c r="BQ85" s="22">
        <f>IF(AND($H85&lt;&gt;"",$Y85&lt;&gt;"",$H85&lt;&gt;$Y85,IFERROR(VLOOKUP($H85,areaCercaPuntiClassificaSquadra,3,FALSE),-1)=IFERROR(VLOOKUP($Y85,areaCercaPuntiClassificaSquadra,3,FALSE),-2)),SUMIFS(Dati!$D$2:$D$761,Dati!$A$2:$A$761,$H85,Dati!$H$2:$H$761,$Y85)+SUMIFS(Dati!$K$2:$K$761,Dati!$H$2:$H$761,$H85,Dati!$A$2:$A$761,$Y85)+SUMIFS(Dati!$C$2:$C$761,Dati!$A$2:$A$761,$H85,Dati!$H$2:$H$761,$Y85)+SUMIFS(Dati!$J$2:$J$761,Dati!$H$2:$H$761,$H85,Dati!$A$2:$A$761,$Y85),"-")</f>
        <v/>
      </c>
      <c r="BR85" s="22">
        <f>IF(AND($H85&lt;&gt;"",$Z85&lt;&gt;"",$H85&lt;&gt;$Z85,IFERROR(VLOOKUP($H85,areaCercaPuntiClassificaSquadra,3,FALSE),-1)=IFERROR(VLOOKUP($Z85,areaCercaPuntiClassificaSquadra,3,FALSE),-2)),SUMIFS(Dati!$D$2:$D$761,Dati!$A$2:$A$761,$H85,Dati!$H$2:$H$761,$Z85)+SUMIFS(Dati!$K$2:$K$761,Dati!$H$2:$H$761,$H85,Dati!$A$2:$A$761,$Z85)+SUMIFS(Dati!$C$2:$C$761,Dati!$A$2:$A$761,$H85,Dati!$H$2:$H$761,$Z85)+SUMIFS(Dati!$J$2:$J$761,Dati!$H$2:$H$761,$H85,Dati!$A$2:$A$761,$Z85),"-")</f>
        <v/>
      </c>
      <c r="BS85" s="22">
        <f>IF(AND($H85&lt;&gt;"",$AA85&lt;&gt;"",$H85&lt;&gt;$AA85,IFERROR(VLOOKUP($H85,areaCercaPuntiClassificaSquadra,3,FALSE),-1)=IFERROR(VLOOKUP($AA85,areaCercaPuntiClassificaSquadra,3,FALSE),-2)),SUMIFS(Dati!$D$2:$D$761,Dati!$A$2:$A$761,$H85,Dati!$H$2:$H$761,$AA85)+SUMIFS(Dati!$K$2:$K$761,Dati!$H$2:$H$761,$H85,Dati!$A$2:$A$761,$AA85)+SUMIFS(Dati!$C$2:$C$761,Dati!$A$2:$A$761,$H85,Dati!$H$2:$H$761,$AA85)+SUMIFS(Dati!$J$2:$J$761,Dati!$H$2:$H$761,$H85,Dati!$A$2:$A$761,$AA85),"-")</f>
        <v/>
      </c>
      <c r="BT85" s="22">
        <f>IF(AND($H85&lt;&gt;"",$AB85&lt;&gt;"",$H85&lt;&gt;$AB85,IFERROR(VLOOKUP($H85,areaCercaPuntiClassificaSquadra,3,FALSE),-1)=IFERROR(VLOOKUP($AB85,areaCercaPuntiClassificaSquadra,3,FALSE),-2)),SUMIFS(Dati!$D$2:$D$761,Dati!$A$2:$A$761,$H85,Dati!$H$2:$H$761,$AB85)+SUMIFS(Dati!$K$2:$K$761,Dati!$H$2:$H$761,$H85,Dati!$A$2:$A$761,$AB85)+SUMIFS(Dati!$C$2:$C$761,Dati!$A$2:$A$761,$H85,Dati!$H$2:$H$761,$AB85)+SUMIFS(Dati!$J$2:$J$761,Dati!$H$2:$H$761,$H85,Dati!$A$2:$A$761,$AB85),"-")</f>
        <v/>
      </c>
      <c r="BU85" s="22">
        <f>IF(AND($H85&lt;&gt;"",$AC85&lt;&gt;"",$H85&lt;&gt;$AC85,IFERROR(VLOOKUP($H85,areaCercaPuntiClassificaSquadra,3,FALSE),-1)=IFERROR(VLOOKUP($AC85,areaCercaPuntiClassificaSquadra,3,FALSE),-2)),SUMIFS(Dati!$D$2:$D$761,Dati!$A$2:$A$761,$H85,Dati!$H$2:$H$761,$AC85)+SUMIFS(Dati!$K$2:$K$761,Dati!$H$2:$H$761,$H85,Dati!$A$2:$A$761,$AC85)+SUMIFS(Dati!$C$2:$C$761,Dati!$A$2:$A$761,$H85,Dati!$H$2:$H$761,$AC85)+SUMIFS(Dati!$J$2:$J$761,Dati!$H$2:$H$761,$H85,Dati!$A$2:$A$761,$AC85),"-")</f>
        <v/>
      </c>
      <c r="BV85" s="22">
        <f>IF(AND($H85&lt;&gt;"",$AD85&lt;&gt;"",$H85&lt;&gt;$AD85,IFERROR(VLOOKUP($H85,areaCercaPuntiClassificaSquadra,3,FALSE),-1)=IFERROR(VLOOKUP($AD85,areaCercaPuntiClassificaSquadra,3,FALSE),-2)),SUMIFS(Dati!$D$2:$D$761,Dati!$A$2:$A$761,$H85,Dati!$H$2:$H$761,$AD85)+SUMIFS(Dati!$K$2:$K$761,Dati!$H$2:$H$761,$H85,Dati!$A$2:$A$761,$AD85)+SUMIFS(Dati!$C$2:$C$761,Dati!$A$2:$A$761,$H85,Dati!$H$2:$H$761,$AD85)+SUMIFS(Dati!$J$2:$J$761,Dati!$H$2:$H$761,$H85,Dati!$A$2:$A$761,$AD85),"-")</f>
        <v/>
      </c>
      <c r="BW85" s="22">
        <f>IF(AND($H85&lt;&gt;"",$AE85&lt;&gt;"",$H85&lt;&gt;$AE85,IFERROR(VLOOKUP($H85,areaCercaPuntiClassificaSquadra,3,FALSE),-1)=IFERROR(VLOOKUP($AE85,areaCercaPuntiClassificaSquadra,3,FALSE),-2)),SUMIFS(Dati!$D$2:$D$761,Dati!$A$2:$A$761,$H85,Dati!$H$2:$H$761,$AE85)+SUMIFS(Dati!$K$2:$K$761,Dati!$H$2:$H$761,$H85,Dati!$A$2:$A$761,$AE85)+SUMIFS(Dati!$C$2:$C$761,Dati!$A$2:$A$761,$H85,Dati!$H$2:$H$761,$AE85)+SUMIFS(Dati!$J$2:$J$761,Dati!$H$2:$H$761,$H85,Dati!$A$2:$A$761,$AE85),"-")</f>
        <v/>
      </c>
      <c r="BX85" s="22">
        <f>IF(AND($H85&lt;&gt;"",$AF85&lt;&gt;"",$H85&lt;&gt;$AF85,IFERROR(VLOOKUP($H85,areaCercaPuntiClassificaSquadra,3,FALSE),-1)=IFERROR(VLOOKUP($AF85,areaCercaPuntiClassificaSquadra,3,FALSE),-2)),SUMIFS(Dati!$D$2:$D$761,Dati!$A$2:$A$761,$H85,Dati!$H$2:$H$761,$AF85)+SUMIFS(Dati!$K$2:$K$761,Dati!$H$2:$H$761,$H85,Dati!$A$2:$A$761,$AF85)+SUMIFS(Dati!$C$2:$C$761,Dati!$A$2:$A$761,$H85,Dati!$H$2:$H$761,$AF85)+SUMIFS(Dati!$J$2:$J$761,Dati!$H$2:$H$761,$H85,Dati!$A$2:$A$761,$AF85),"-")</f>
        <v/>
      </c>
      <c r="BY85" s="22">
        <f>IF(AND($H85&lt;&gt;"",$AG85&lt;&gt;"",$H85&lt;&gt;$AG85,IFERROR(VLOOKUP($H85,areaCercaPuntiClassificaSquadra,3,FALSE),-1)=IFERROR(VLOOKUP($AG85,areaCercaPuntiClassificaSquadra,3,FALSE),-2)),SUMIFS(Dati!$D$2:$D$761,Dati!$A$2:$A$761,$H85,Dati!$H$2:$H$761,$AG85)+SUMIFS(Dati!$K$2:$K$761,Dati!$H$2:$H$761,$H85,Dati!$A$2:$A$761,$AG85)+SUMIFS(Dati!$C$2:$C$761,Dati!$A$2:$A$761,$H85,Dati!$H$2:$H$761,$AG85)+SUMIFS(Dati!$J$2:$J$761,Dati!$H$2:$H$761,$H85,Dati!$A$2:$A$761,$AG85),"-")</f>
        <v/>
      </c>
      <c r="BZ85" s="22">
        <f>IF(AND($H85&lt;&gt;"",$AH85&lt;&gt;"",$H85&lt;&gt;$AH85,IFERROR(VLOOKUP($H85,areaCercaPuntiClassificaSquadra,3,FALSE),-1)=IFERROR(VLOOKUP($AH85,areaCercaPuntiClassificaSquadra,3,FALSE),-2)),SUMIFS(Dati!$D$2:$D$761,Dati!$A$2:$A$761,$H85,Dati!$H$2:$H$761,$AH85)+SUMIFS(Dati!$K$2:$K$761,Dati!$H$2:$H$761,$H85,Dati!$A$2:$A$761,$AH85)+SUMIFS(Dati!$C$2:$C$761,Dati!$A$2:$A$761,$H85,Dati!$H$2:$H$761,$AH85)+SUMIFS(Dati!$J$2:$J$761,Dati!$H$2:$H$761,$H85,Dati!$A$2:$A$761,$AH85),"-")</f>
        <v/>
      </c>
      <c r="CA85" s="22">
        <f>IF(AND($H85&lt;&gt;"",$AI85&lt;&gt;"",$H85&lt;&gt;$AI85,IFERROR(VLOOKUP($H85,areaCercaPuntiClassificaSquadra,3,FALSE),-1)=IFERROR(VLOOKUP($AI85,areaCercaPuntiClassificaSquadra,3,FALSE),-2)),SUMIFS(Dati!$D$2:$D$761,Dati!$A$2:$A$761,$H85,Dati!$H$2:$H$761,$AI85)+SUMIFS(Dati!$K$2:$K$761,Dati!$H$2:$H$761,$H85,Dati!$A$2:$A$761,$AI85)+SUMIFS(Dati!$C$2:$C$761,Dati!$A$2:$A$761,$H85,Dati!$H$2:$H$761,$AI85)+SUMIFS(Dati!$J$2:$J$761,Dati!$H$2:$H$761,$H85,Dati!$A$2:$A$761,$AI85),"-")</f>
        <v/>
      </c>
      <c r="CB85" s="22">
        <f>IF(AND($H85&lt;&gt;"",$AJ85&lt;&gt;"",$H85&lt;&gt;$AJ85,IFERROR(VLOOKUP($H85,areaCercaPuntiClassificaSquadra,3,FALSE),-1)=IFERROR(VLOOKUP($AJ85,areaCercaPuntiClassificaSquadra,3,FALSE),-2)),SUMIFS(Dati!$D$2:$D$761,Dati!$A$2:$A$761,$H85,Dati!$H$2:$H$761,$AJ85)+SUMIFS(Dati!$K$2:$K$761,Dati!$H$2:$H$761,$H85,Dati!$A$2:$A$761,$AJ85)+SUMIFS(Dati!$C$2:$C$761,Dati!$A$2:$A$761,$H85,Dati!$H$2:$H$761,$AJ85)+SUMIFS(Dati!$J$2:$J$761,Dati!$H$2:$H$761,$H85,Dati!$A$2:$A$761,$AJ85),"-")</f>
        <v/>
      </c>
      <c r="CC85" s="22">
        <f>IF(AND($H85&lt;&gt;"",$AK85&lt;&gt;"",$H85&lt;&gt;$AK85,IFERROR(VLOOKUP($H85,areaCercaPuntiClassificaSquadra,3,FALSE),-1)=IFERROR(VLOOKUP($AK85,areaCercaPuntiClassificaSquadra,3,FALSE),-2)),SUMIFS(Dati!$D$2:$D$761,Dati!$A$2:$A$761,$H85,Dati!$H$2:$H$761,$AK85)+SUMIFS(Dati!$K$2:$K$761,Dati!$H$2:$H$761,$H85,Dati!$A$2:$A$761,$AK85)+SUMIFS(Dati!$C$2:$C$761,Dati!$A$2:$A$761,$H85,Dati!$H$2:$H$761,$AK85)+SUMIFS(Dati!$J$2:$J$761,Dati!$H$2:$H$761,$H85,Dati!$A$2:$A$761,$AK85),"-")</f>
        <v/>
      </c>
      <c r="CD85" s="22">
        <f>IF(AND($H85&lt;&gt;"",$AL85&lt;&gt;"",$H85&lt;&gt;$AL85,IFERROR(VLOOKUP($H85,areaCercaPuntiClassificaSquadra,3,FALSE),-1)=IFERROR(VLOOKUP($AL85,areaCercaPuntiClassificaSquadra,3,FALSE),-2)),SUMIFS(Dati!$D$2:$D$761,Dati!$A$2:$A$761,$H85,Dati!$H$2:$H$761,$AL85)+SUMIFS(Dati!$K$2:$K$761,Dati!$H$2:$H$761,$H85,Dati!$A$2:$A$761,$AL85)+SUMIFS(Dati!$C$2:$C$761,Dati!$A$2:$A$761,$H85,Dati!$H$2:$H$761,$AL85)+SUMIFS(Dati!$J$2:$J$761,Dati!$H$2:$H$761,$H85,Dati!$A$2:$A$761,$AL85),"-")</f>
        <v/>
      </c>
      <c r="CE85" s="22">
        <f>IF(AND($H85&lt;&gt;"",$AM85&lt;&gt;"",$H85&lt;&gt;$AM85,IFERROR(VLOOKUP($H85,areaCercaPuntiClassificaSquadra,3,FALSE),-1)=IFERROR(VLOOKUP($AM85,areaCercaPuntiClassificaSquadra,3,FALSE),-2)),SUMIFS(Dati!$D$2:$D$761,Dati!$A$2:$A$761,$H85,Dati!$H$2:$H$761,$AM85)+SUMIFS(Dati!$K$2:$K$761,Dati!$H$2:$H$761,$H85,Dati!$A$2:$A$761,$AM85)+SUMIFS(Dati!$C$2:$C$761,Dati!$A$2:$A$761,$H85,Dati!$H$2:$H$761,$AM85)+SUMIFS(Dati!$J$2:$J$761,Dati!$H$2:$H$761,$H85,Dati!$A$2:$A$761,$AM85),"-")</f>
        <v/>
      </c>
      <c r="CF85" s="22">
        <f>IF(AND($H85&lt;&gt;"",$AN85&lt;&gt;"",$H85&lt;&gt;$AN85,IFERROR(VLOOKUP($H85,areaCercaPuntiClassificaSquadra,3,FALSE),-1)=IFERROR(VLOOKUP($AN85,areaCercaPuntiClassificaSquadra,3,FALSE),-2)),SUMIFS(Dati!$D$2:$D$761,Dati!$A$2:$A$761,$H85,Dati!$H$2:$H$761,$AN85)+SUMIFS(Dati!$K$2:$K$761,Dati!$H$2:$H$761,$H85,Dati!$A$2:$A$761,$AN85)+SUMIFS(Dati!$C$2:$C$761,Dati!$A$2:$A$761,$H85,Dati!$H$2:$H$761,$AN85)+SUMIFS(Dati!$J$2:$J$761,Dati!$H$2:$H$761,$H85,Dati!$A$2:$A$761,$AN85),"-")</f>
        <v/>
      </c>
      <c r="CG85" s="22">
        <f>IF(AND($H85&lt;&gt;"",$AO85&lt;&gt;"",$H85&lt;&gt;$AO85,IFERROR(VLOOKUP($H85,areaCercaPuntiClassificaSquadra,3,FALSE),-1)=IFERROR(VLOOKUP($AO85,areaCercaPuntiClassificaSquadra,3,FALSE),-2)),SUMIFS(Dati!$D$2:$D$761,Dati!$A$2:$A$761,$H85,Dati!$H$2:$H$761,$AO85)+SUMIFS(Dati!$K$2:$K$761,Dati!$H$2:$H$761,$H85,Dati!$A$2:$A$761,$AO85)+SUMIFS(Dati!$C$2:$C$761,Dati!$A$2:$A$761,$H85,Dati!$H$2:$H$761,$AO85)+SUMIFS(Dati!$J$2:$J$761,Dati!$H$2:$H$761,$H85,Dati!$A$2:$A$761,$AO85),"-")</f>
        <v/>
      </c>
      <c r="CH85" s="22">
        <f>IF(AND($H85&lt;&gt;"",$AP85&lt;&gt;"",$H85&lt;&gt;$AP85,IFERROR(VLOOKUP($H85,areaCercaPuntiClassificaSquadra,3,FALSE),-1)=IFERROR(VLOOKUP($AP85,areaCercaPuntiClassificaSquadra,3,FALSE),-2)),SUMIFS(Dati!$D$2:$D$761,Dati!$A$2:$A$761,$H85,Dati!$H$2:$H$761,$AP85)+SUMIFS(Dati!$K$2:$K$761,Dati!$H$2:$H$761,$H85,Dati!$A$2:$A$761,$AP85)+SUMIFS(Dati!$C$2:$C$761,Dati!$A$2:$A$761,$H85,Dati!$H$2:$H$761,$AP85)+SUMIFS(Dati!$J$2:$J$761,Dati!$H$2:$H$761,$H85,Dati!$A$2:$A$761,$AP85),"-")</f>
        <v/>
      </c>
      <c r="CI85" s="22">
        <f>IF(AND($H85&lt;&gt;"",$AQ85&lt;&gt;"",$H85&lt;&gt;$AQ85,IFERROR(VLOOKUP($H85,areaCercaPuntiClassificaSquadra,3,FALSE),-1)=IFERROR(VLOOKUP($AQ85,areaCercaPuntiClassificaSquadra,3,FALSE),-2)),SUMIFS(Dati!$D$2:$D$761,Dati!$A$2:$A$761,$H85,Dati!$H$2:$H$761,$AQ85)+SUMIFS(Dati!$K$2:$K$761,Dati!$H$2:$H$761,$H85,Dati!$A$2:$A$761,$AQ85)+SUMIFS(Dati!$C$2:$C$761,Dati!$A$2:$A$761,$H85,Dati!$H$2:$H$761,$AQ85)+SUMIFS(Dati!$J$2:$J$761,Dati!$H$2:$H$761,$H85,Dati!$A$2:$A$761,$AQ85),"-")</f>
        <v/>
      </c>
      <c r="CJ85" s="22">
        <f>IF(AND($H85&lt;&gt;"",$AR85&lt;&gt;"",$H85&lt;&gt;$AR85,IFERROR(VLOOKUP($H85,areaCercaPuntiClassificaSquadra,3,FALSE),-1)=IFERROR(VLOOKUP($AR85,areaCercaPuntiClassificaSquadra,3,FALSE),-2)),SUMIFS(Dati!$D$2:$D$761,Dati!$A$2:$A$761,$H85,Dati!$H$2:$H$761,$AR85)+SUMIFS(Dati!$K$2:$K$761,Dati!$H$2:$H$761,$H85,Dati!$A$2:$A$761,$AR85)+SUMIFS(Dati!$C$2:$C$761,Dati!$A$2:$A$761,$H85,Dati!$H$2:$H$761,$AR85)+SUMIFS(Dati!$J$2:$J$761,Dati!$H$2:$H$761,$H85,Dati!$A$2:$A$761,$AR85),"-")</f>
        <v/>
      </c>
      <c r="CL85" s="21">
        <f>$C85</f>
        <v/>
      </c>
      <c r="CM85" s="22">
        <f>IF(AND($H85&lt;&gt;"",$Y85&lt;&gt;"",$H85&lt;&gt;$Y85,IFERROR(VLOOKUP($H85,areaCercaPuntiClassificaSquadra,3,FALSE),-1)=IFERROR(VLOOKUP($Y85,areaCercaPuntiClassificaSquadra,3,FALSE),-2)),SUMIFS(Dati!$E$2:$E$761,Dati!$A$2:$A$761,$H85,Dati!$H$2:$H$761,$Y85)+SUMIFS(Dati!$L$2:$L$761,Dati!$H$2:$H$761,$H85,Dati!$A$2:$A$761,$Y85),"-")</f>
        <v/>
      </c>
      <c r="CN85" s="22">
        <f>IF(AND($H85&lt;&gt;"",$Z85&lt;&gt;"",$H85&lt;&gt;$Z85,IFERROR(VLOOKUP($H85,areaCercaPuntiClassificaSquadra,3,FALSE),-1)=IFERROR(VLOOKUP($Z85,areaCercaPuntiClassificaSquadra,3,FALSE),-2)),SUMIFS(Dati!$E$2:$E$761,Dati!$A$2:$A$761,$H85,Dati!$H$2:$H$761,$Z85)+SUMIFS(Dati!$L$2:$L$761,Dati!$H$2:$H$761,$H85,Dati!$A$2:$A$761,$Z85),"-")</f>
        <v/>
      </c>
      <c r="CO85" s="22">
        <f>IF(AND($H85&lt;&gt;"",$AA85&lt;&gt;"",$H85&lt;&gt;$AA85,IFERROR(VLOOKUP($H85,areaCercaPuntiClassificaSquadra,3,FALSE),-1)=IFERROR(VLOOKUP($AA85,areaCercaPuntiClassificaSquadra,3,FALSE),-2)),SUMIFS(Dati!$E$2:$E$761,Dati!$A$2:$A$761,$H85,Dati!$H$2:$H$761,$AA85)+SUMIFS(Dati!$L$2:$L$761,Dati!$H$2:$H$761,$H85,Dati!$A$2:$A$761,$AA85),"-")</f>
        <v/>
      </c>
      <c r="CP85" s="22">
        <f>IF(AND($H85&lt;&gt;"",$AB85&lt;&gt;"",$H85&lt;&gt;$AB85,IFERROR(VLOOKUP($H85,areaCercaPuntiClassificaSquadra,3,FALSE),-1)=IFERROR(VLOOKUP($AB85,areaCercaPuntiClassificaSquadra,3,FALSE),-2)),SUMIFS(Dati!$E$2:$E$761,Dati!$A$2:$A$761,$H85,Dati!$H$2:$H$761,$AB85)+SUMIFS(Dati!$L$2:$L$761,Dati!$H$2:$H$761,$H85,Dati!$A$2:$A$761,$AB85),"-")</f>
        <v/>
      </c>
      <c r="CQ85" s="22">
        <f>IF(AND($H85&lt;&gt;"",$AC85&lt;&gt;"",$H85&lt;&gt;$AC85,IFERROR(VLOOKUP($H85,areaCercaPuntiClassificaSquadra,3,FALSE),-1)=IFERROR(VLOOKUP($AC85,areaCercaPuntiClassificaSquadra,3,FALSE),-2)),SUMIFS(Dati!$E$2:$E$761,Dati!$A$2:$A$761,$H85,Dati!$H$2:$H$761,$AC85)+SUMIFS(Dati!$L$2:$L$761,Dati!$H$2:$H$761,$H85,Dati!$A$2:$A$761,$AC85),"-")</f>
        <v/>
      </c>
      <c r="CR85" s="22">
        <f>IF(AND($H85&lt;&gt;"",$AD85&lt;&gt;"",$H85&lt;&gt;$AD85,IFERROR(VLOOKUP($H85,areaCercaPuntiClassificaSquadra,3,FALSE),-1)=IFERROR(VLOOKUP($AD85,areaCercaPuntiClassificaSquadra,3,FALSE),-2)),SUMIFS(Dati!$E$2:$E$761,Dati!$A$2:$A$761,$H85,Dati!$H$2:$H$761,$AD85)+SUMIFS(Dati!$L$2:$L$761,Dati!$H$2:$H$761,$H85,Dati!$A$2:$A$761,$AD85),"-")</f>
        <v/>
      </c>
      <c r="CS85" s="22">
        <f>IF(AND($H85&lt;&gt;"",$AE85&lt;&gt;"",$H85&lt;&gt;$AE85,IFERROR(VLOOKUP($H85,areaCercaPuntiClassificaSquadra,3,FALSE),-1)=IFERROR(VLOOKUP($AE85,areaCercaPuntiClassificaSquadra,3,FALSE),-2)),SUMIFS(Dati!$E$2:$E$761,Dati!$A$2:$A$761,$H85,Dati!$H$2:$H$761,$AE85)+SUMIFS(Dati!$L$2:$L$761,Dati!$H$2:$H$761,$H85,Dati!$A$2:$A$761,$AE85),"-")</f>
        <v/>
      </c>
      <c r="CT85" s="22">
        <f>IF(AND($H85&lt;&gt;"",$AF85&lt;&gt;"",$H85&lt;&gt;$AF85,IFERROR(VLOOKUP($H85,areaCercaPuntiClassificaSquadra,3,FALSE),-1)=IFERROR(VLOOKUP($AF85,areaCercaPuntiClassificaSquadra,3,FALSE),-2)),SUMIFS(Dati!$E$2:$E$761,Dati!$A$2:$A$761,$H85,Dati!$H$2:$H$761,$AF85)+SUMIFS(Dati!$L$2:$L$761,Dati!$H$2:$H$761,$H85,Dati!$A$2:$A$761,$AF85),"-")</f>
        <v/>
      </c>
      <c r="CU85" s="22">
        <f>IF(AND($H85&lt;&gt;"",$AG85&lt;&gt;"",$H85&lt;&gt;$AG85,IFERROR(VLOOKUP($H85,areaCercaPuntiClassificaSquadra,3,FALSE),-1)=IFERROR(VLOOKUP($AG85,areaCercaPuntiClassificaSquadra,3,FALSE),-2)),SUMIFS(Dati!$E$2:$E$761,Dati!$A$2:$A$761,$H85,Dati!$H$2:$H$761,$AG85)+SUMIFS(Dati!$L$2:$L$761,Dati!$H$2:$H$761,$H85,Dati!$A$2:$A$761,$AG85),"-")</f>
        <v/>
      </c>
      <c r="CV85" s="22">
        <f>IF(AND($H85&lt;&gt;"",$AH85&lt;&gt;"",$H85&lt;&gt;$AH85,IFERROR(VLOOKUP($H85,areaCercaPuntiClassificaSquadra,3,FALSE),-1)=IFERROR(VLOOKUP($AH85,areaCercaPuntiClassificaSquadra,3,FALSE),-2)),SUMIFS(Dati!$E$2:$E$761,Dati!$A$2:$A$761,$H85,Dati!$H$2:$H$761,$AH85)+SUMIFS(Dati!$L$2:$L$761,Dati!$H$2:$H$761,$H85,Dati!$A$2:$A$761,$AH85),"-")</f>
        <v/>
      </c>
      <c r="CW85" s="22">
        <f>IF(AND($H85&lt;&gt;"",$AI85&lt;&gt;"",$H85&lt;&gt;$AI85,IFERROR(VLOOKUP($H85,areaCercaPuntiClassificaSquadra,3,FALSE),-1)=IFERROR(VLOOKUP($AI85,areaCercaPuntiClassificaSquadra,3,FALSE),-2)),SUMIFS(Dati!$E$2:$E$761,Dati!$A$2:$A$761,$H85,Dati!$H$2:$H$761,$AI85)+SUMIFS(Dati!$L$2:$L$761,Dati!$H$2:$H$761,$H85,Dati!$A$2:$A$761,$AI85),"-")</f>
        <v/>
      </c>
      <c r="CX85" s="22">
        <f>IF(AND($H85&lt;&gt;"",$AJ85&lt;&gt;"",$H85&lt;&gt;$AJ85,IFERROR(VLOOKUP($H85,areaCercaPuntiClassificaSquadra,3,FALSE),-1)=IFERROR(VLOOKUP($AJ85,areaCercaPuntiClassificaSquadra,3,FALSE),-2)),SUMIFS(Dati!$E$2:$E$761,Dati!$A$2:$A$761,$H85,Dati!$H$2:$H$761,$AJ85)+SUMIFS(Dati!$L$2:$L$761,Dati!$H$2:$H$761,$H85,Dati!$A$2:$A$761,$AJ85),"-")</f>
        <v/>
      </c>
      <c r="CY85" s="22">
        <f>IF(AND($H85&lt;&gt;"",$AK85&lt;&gt;"",$H85&lt;&gt;$AK85,IFERROR(VLOOKUP($H85,areaCercaPuntiClassificaSquadra,3,FALSE),-1)=IFERROR(VLOOKUP($AK85,areaCercaPuntiClassificaSquadra,3,FALSE),-2)),SUMIFS(Dati!$E$2:$E$761,Dati!$A$2:$A$761,$H85,Dati!$H$2:$H$761,$AK85)+SUMIFS(Dati!$L$2:$L$761,Dati!$H$2:$H$761,$H85,Dati!$A$2:$A$761,$AK85),"-")</f>
        <v/>
      </c>
      <c r="CZ85" s="22">
        <f>IF(AND($H85&lt;&gt;"",$AL85&lt;&gt;"",$H85&lt;&gt;$AL85,IFERROR(VLOOKUP($H85,areaCercaPuntiClassificaSquadra,3,FALSE),-1)=IFERROR(VLOOKUP($AL85,areaCercaPuntiClassificaSquadra,3,FALSE),-2)),SUMIFS(Dati!$E$2:$E$761,Dati!$A$2:$A$761,$H85,Dati!$H$2:$H$761,$AL85)+SUMIFS(Dati!$L$2:$L$761,Dati!$H$2:$H$761,$H85,Dati!$A$2:$A$761,$AL85),"-")</f>
        <v/>
      </c>
      <c r="DA85" s="22">
        <f>IF(AND($H85&lt;&gt;"",$AM85&lt;&gt;"",$H85&lt;&gt;$AM85,IFERROR(VLOOKUP($H85,areaCercaPuntiClassificaSquadra,3,FALSE),-1)=IFERROR(VLOOKUP($AM85,areaCercaPuntiClassificaSquadra,3,FALSE),-2)),SUMIFS(Dati!$E$2:$E$761,Dati!$A$2:$A$761,$H85,Dati!$H$2:$H$761,$AM85)+SUMIFS(Dati!$L$2:$L$761,Dati!$H$2:$H$761,$H85,Dati!$A$2:$A$761,$AM85),"-")</f>
        <v/>
      </c>
      <c r="DB85" s="22">
        <f>IF(AND($H85&lt;&gt;"",$AN85&lt;&gt;"",$H85&lt;&gt;$AN85,IFERROR(VLOOKUP($H85,areaCercaPuntiClassificaSquadra,3,FALSE),-1)=IFERROR(VLOOKUP($AN85,areaCercaPuntiClassificaSquadra,3,FALSE),-2)),SUMIFS(Dati!$E$2:$E$761,Dati!$A$2:$A$761,$H85,Dati!$H$2:$H$761,$AN85)+SUMIFS(Dati!$L$2:$L$761,Dati!$H$2:$H$761,$H85,Dati!$A$2:$A$761,$AN85),"-")</f>
        <v/>
      </c>
      <c r="DC85" s="22">
        <f>IF(AND($H85&lt;&gt;"",$AO85&lt;&gt;"",$H85&lt;&gt;$AO85,IFERROR(VLOOKUP($H85,areaCercaPuntiClassificaSquadra,3,FALSE),-1)=IFERROR(VLOOKUP($AO85,areaCercaPuntiClassificaSquadra,3,FALSE),-2)),SUMIFS(Dati!$E$2:$E$761,Dati!$A$2:$A$761,$H85,Dati!$H$2:$H$761,$AO85)+SUMIFS(Dati!$L$2:$L$761,Dati!$H$2:$H$761,$H85,Dati!$A$2:$A$761,$AO85),"-")</f>
        <v/>
      </c>
      <c r="DD85" s="22">
        <f>IF(AND($H85&lt;&gt;"",$AP85&lt;&gt;"",$H85&lt;&gt;$AP85,IFERROR(VLOOKUP($H85,areaCercaPuntiClassificaSquadra,3,FALSE),-1)=IFERROR(VLOOKUP($AP85,areaCercaPuntiClassificaSquadra,3,FALSE),-2)),SUMIFS(Dati!$E$2:$E$761,Dati!$A$2:$A$761,$H85,Dati!$H$2:$H$761,$AP85)+SUMIFS(Dati!$L$2:$L$761,Dati!$H$2:$H$761,$H85,Dati!$A$2:$A$761,$AP85),"-")</f>
        <v/>
      </c>
      <c r="DE85" s="22">
        <f>IF(AND($H85&lt;&gt;"",$AQ85&lt;&gt;"",$H85&lt;&gt;$AQ85,IFERROR(VLOOKUP($H85,areaCercaPuntiClassificaSquadra,3,FALSE),-1)=IFERROR(VLOOKUP($AQ85,areaCercaPuntiClassificaSquadra,3,FALSE),-2)),SUMIFS(Dati!$E$2:$E$761,Dati!$A$2:$A$761,$H85,Dati!$H$2:$H$761,$AQ85)+SUMIFS(Dati!$L$2:$L$761,Dati!$H$2:$H$761,$H85,Dati!$A$2:$A$761,$AQ85),"-")</f>
        <v/>
      </c>
      <c r="DF85" s="22">
        <f>IF(AND($H85&lt;&gt;"",$AR85&lt;&gt;"",$H85&lt;&gt;$AR85,IFERROR(VLOOKUP($H85,areaCercaPuntiClassificaSquadra,3,FALSE),-1)=IFERROR(VLOOKUP($AR85,areaCercaPuntiClassificaSquadra,3,FALSE),-2)),SUMIFS(Dati!$E$2:$E$761,Dati!$A$2:$A$761,$H85,Dati!$H$2:$H$761,$AR85)+SUMIFS(Dati!$L$2:$L$761,Dati!$H$2:$H$761,$H85,Dati!$A$2:$A$761,$AR85),"-")</f>
        <v/>
      </c>
      <c r="DH85" s="21">
        <f>$C85</f>
        <v/>
      </c>
      <c r="DI85" s="22">
        <f>IF(AND($H85&lt;&gt;"",$Y85&lt;&gt;"",$H85&lt;&gt;$Y85,IFERROR(VLOOKUP($H85,areaCercaPuntiClassificaSquadra,3,FALSE),-1)=IFERROR(VLOOKUP($Y85,areaCercaPuntiClassificaSquadra,3,FALSE),-2)),SUMIFS(Dati!$F$2:$F$761,Dati!$A$2:$A$761,$H85,Dati!$H$2:$H$761,$Y85)+SUMIFS(Dati!$M$2:$M$761,Dati!$H$2:$H$761,$H85,Dati!$A$2:$A$761,$Y85),"-")</f>
        <v/>
      </c>
      <c r="DJ85" s="22">
        <f>IF(AND($H85&lt;&gt;"",$Z85&lt;&gt;"",$H85&lt;&gt;$Z85,IFERROR(VLOOKUP($H85,areaCercaPuntiClassificaSquadra,3,FALSE),-1)=IFERROR(VLOOKUP($Z85,areaCercaPuntiClassificaSquadra,3,FALSE),-2)),SUMIFS(Dati!$F$2:$F$761,Dati!$A$2:$A$761,$H85,Dati!$H$2:$H$761,$Z85)+SUMIFS(Dati!$M$2:$M$761,Dati!$H$2:$H$761,$H85,Dati!$A$2:$A$761,$Z85),"-")</f>
        <v/>
      </c>
      <c r="DK85" s="22">
        <f>IF(AND($H85&lt;&gt;"",$AA85&lt;&gt;"",$H85&lt;&gt;$AA85,IFERROR(VLOOKUP($H85,areaCercaPuntiClassificaSquadra,3,FALSE),-1)=IFERROR(VLOOKUP($AA85,areaCercaPuntiClassificaSquadra,3,FALSE),-2)),SUMIFS(Dati!$F$2:$F$761,Dati!$A$2:$A$761,$H85,Dati!$H$2:$H$761,$AA85)+SUMIFS(Dati!$M$2:$M$761,Dati!$H$2:$H$761,$H85,Dati!$A$2:$A$761,$AA85),"-")</f>
        <v/>
      </c>
      <c r="DL85" s="22">
        <f>IF(AND($H85&lt;&gt;"",$AB85&lt;&gt;"",$H85&lt;&gt;$AB85,IFERROR(VLOOKUP($H85,areaCercaPuntiClassificaSquadra,3,FALSE),-1)=IFERROR(VLOOKUP($AB85,areaCercaPuntiClassificaSquadra,3,FALSE),-2)),SUMIFS(Dati!$F$2:$F$761,Dati!$A$2:$A$761,$H85,Dati!$H$2:$H$761,$AB85)+SUMIFS(Dati!$M$2:$M$761,Dati!$H$2:$H$761,$H85,Dati!$A$2:$A$761,$AB85),"-")</f>
        <v/>
      </c>
      <c r="DM85" s="22">
        <f>IF(AND($H85&lt;&gt;"",$AC85&lt;&gt;"",$H85&lt;&gt;$AC85,IFERROR(VLOOKUP($H85,areaCercaPuntiClassificaSquadra,3,FALSE),-1)=IFERROR(VLOOKUP($AC85,areaCercaPuntiClassificaSquadra,3,FALSE),-2)),SUMIFS(Dati!$F$2:$F$761,Dati!$A$2:$A$761,$H85,Dati!$H$2:$H$761,$AC85)+SUMIFS(Dati!$M$2:$M$761,Dati!$H$2:$H$761,$H85,Dati!$A$2:$A$761,$AC85),"-")</f>
        <v/>
      </c>
      <c r="DN85" s="22">
        <f>IF(AND($H85&lt;&gt;"",$AD85&lt;&gt;"",$H85&lt;&gt;$AD85,IFERROR(VLOOKUP($H85,areaCercaPuntiClassificaSquadra,3,FALSE),-1)=IFERROR(VLOOKUP($AD85,areaCercaPuntiClassificaSquadra,3,FALSE),-2)),SUMIFS(Dati!$F$2:$F$761,Dati!$A$2:$A$761,$H85,Dati!$H$2:$H$761,$AD85)+SUMIFS(Dati!$M$2:$M$761,Dati!$H$2:$H$761,$H85,Dati!$A$2:$A$761,$AD85),"-")</f>
        <v/>
      </c>
      <c r="DO85" s="22">
        <f>IF(AND($H85&lt;&gt;"",$AE85&lt;&gt;"",$H85&lt;&gt;$AE85,IFERROR(VLOOKUP($H85,areaCercaPuntiClassificaSquadra,3,FALSE),-1)=IFERROR(VLOOKUP($AE85,areaCercaPuntiClassificaSquadra,3,FALSE),-2)),SUMIFS(Dati!$F$2:$F$761,Dati!$A$2:$A$761,$H85,Dati!$H$2:$H$761,$AE85)+SUMIFS(Dati!$M$2:$M$761,Dati!$H$2:$H$761,$H85,Dati!$A$2:$A$761,$AE85),"-")</f>
        <v/>
      </c>
      <c r="DP85" s="22">
        <f>IF(AND($H85&lt;&gt;"",$AF85&lt;&gt;"",$H85&lt;&gt;$AF85,IFERROR(VLOOKUP($H85,areaCercaPuntiClassificaSquadra,3,FALSE),-1)=IFERROR(VLOOKUP($AF85,areaCercaPuntiClassificaSquadra,3,FALSE),-2)),SUMIFS(Dati!$F$2:$F$761,Dati!$A$2:$A$761,$H85,Dati!$H$2:$H$761,$AF85)+SUMIFS(Dati!$M$2:$M$761,Dati!$H$2:$H$761,$H85,Dati!$A$2:$A$761,$AF85),"-")</f>
        <v/>
      </c>
      <c r="DQ85" s="22">
        <f>IF(AND($H85&lt;&gt;"",$AG85&lt;&gt;"",$H85&lt;&gt;$AG85,IFERROR(VLOOKUP($H85,areaCercaPuntiClassificaSquadra,3,FALSE),-1)=IFERROR(VLOOKUP($AG85,areaCercaPuntiClassificaSquadra,3,FALSE),-2)),SUMIFS(Dati!$F$2:$F$761,Dati!$A$2:$A$761,$H85,Dati!$H$2:$H$761,$AG85)+SUMIFS(Dati!$M$2:$M$761,Dati!$H$2:$H$761,$H85,Dati!$A$2:$A$761,$AG85),"-")</f>
        <v/>
      </c>
      <c r="DR85" s="22">
        <f>IF(AND($H85&lt;&gt;"",$AH85&lt;&gt;"",$H85&lt;&gt;$AH85,IFERROR(VLOOKUP($H85,areaCercaPuntiClassificaSquadra,3,FALSE),-1)=IFERROR(VLOOKUP($AH85,areaCercaPuntiClassificaSquadra,3,FALSE),-2)),SUMIFS(Dati!$F$2:$F$761,Dati!$A$2:$A$761,$H85,Dati!$H$2:$H$761,$AH85)+SUMIFS(Dati!$M$2:$M$761,Dati!$H$2:$H$761,$H85,Dati!$A$2:$A$761,$AH85),"-")</f>
        <v/>
      </c>
      <c r="DS85" s="22">
        <f>IF(AND($H85&lt;&gt;"",$AI85&lt;&gt;"",$H85&lt;&gt;$AI85,IFERROR(VLOOKUP($H85,areaCercaPuntiClassificaSquadra,3,FALSE),-1)=IFERROR(VLOOKUP($AI85,areaCercaPuntiClassificaSquadra,3,FALSE),-2)),SUMIFS(Dati!$F$2:$F$761,Dati!$A$2:$A$761,$H85,Dati!$H$2:$H$761,$AI85)+SUMIFS(Dati!$M$2:$M$761,Dati!$H$2:$H$761,$H85,Dati!$A$2:$A$761,$AI85),"-")</f>
        <v/>
      </c>
      <c r="DT85" s="22">
        <f>IF(AND($H85&lt;&gt;"",$AJ85&lt;&gt;"",$H85&lt;&gt;$AJ85,IFERROR(VLOOKUP($H85,areaCercaPuntiClassificaSquadra,3,FALSE),-1)=IFERROR(VLOOKUP($AJ85,areaCercaPuntiClassificaSquadra,3,FALSE),-2)),SUMIFS(Dati!$F$2:$F$761,Dati!$A$2:$A$761,$H85,Dati!$H$2:$H$761,$AJ85)+SUMIFS(Dati!$M$2:$M$761,Dati!$H$2:$H$761,$H85,Dati!$A$2:$A$761,$AJ85),"-")</f>
        <v/>
      </c>
      <c r="DU85" s="22">
        <f>IF(AND($H85&lt;&gt;"",$AK85&lt;&gt;"",$H85&lt;&gt;$AK85,IFERROR(VLOOKUP($H85,areaCercaPuntiClassificaSquadra,3,FALSE),-1)=IFERROR(VLOOKUP($AK85,areaCercaPuntiClassificaSquadra,3,FALSE),-2)),SUMIFS(Dati!$F$2:$F$761,Dati!$A$2:$A$761,$H85,Dati!$H$2:$H$761,$AK85)+SUMIFS(Dati!$M$2:$M$761,Dati!$H$2:$H$761,$H85,Dati!$A$2:$A$761,$AK85),"-")</f>
        <v/>
      </c>
      <c r="DV85" s="22">
        <f>IF(AND($H85&lt;&gt;"",$AL85&lt;&gt;"",$H85&lt;&gt;$AL85,IFERROR(VLOOKUP($H85,areaCercaPuntiClassificaSquadra,3,FALSE),-1)=IFERROR(VLOOKUP($AL85,areaCercaPuntiClassificaSquadra,3,FALSE),-2)),SUMIFS(Dati!$F$2:$F$761,Dati!$A$2:$A$761,$H85,Dati!$H$2:$H$761,$AL85)+SUMIFS(Dati!$M$2:$M$761,Dati!$H$2:$H$761,$H85,Dati!$A$2:$A$761,$AL85),"-")</f>
        <v/>
      </c>
      <c r="DW85" s="22">
        <f>IF(AND($H85&lt;&gt;"",$AM85&lt;&gt;"",$H85&lt;&gt;$AM85,IFERROR(VLOOKUP($H85,areaCercaPuntiClassificaSquadra,3,FALSE),-1)=IFERROR(VLOOKUP($AM85,areaCercaPuntiClassificaSquadra,3,FALSE),-2)),SUMIFS(Dati!$F$2:$F$761,Dati!$A$2:$A$761,$H85,Dati!$H$2:$H$761,$AM85)+SUMIFS(Dati!$M$2:$M$761,Dati!$H$2:$H$761,$H85,Dati!$A$2:$A$761,$AM85),"-")</f>
        <v/>
      </c>
      <c r="DX85" s="22">
        <f>IF(AND($H85&lt;&gt;"",$AN85&lt;&gt;"",$H85&lt;&gt;$AN85,IFERROR(VLOOKUP($H85,areaCercaPuntiClassificaSquadra,3,FALSE),-1)=IFERROR(VLOOKUP($AN85,areaCercaPuntiClassificaSquadra,3,FALSE),-2)),SUMIFS(Dati!$F$2:$F$761,Dati!$A$2:$A$761,$H85,Dati!$H$2:$H$761,$AN85)+SUMIFS(Dati!$M$2:$M$761,Dati!$H$2:$H$761,$H85,Dati!$A$2:$A$761,$AN85),"-")</f>
        <v/>
      </c>
      <c r="DY85" s="22">
        <f>IF(AND($H85&lt;&gt;"",$AO85&lt;&gt;"",$H85&lt;&gt;$AO85,IFERROR(VLOOKUP($H85,areaCercaPuntiClassificaSquadra,3,FALSE),-1)=IFERROR(VLOOKUP($AO85,areaCercaPuntiClassificaSquadra,3,FALSE),-2)),SUMIFS(Dati!$F$2:$F$761,Dati!$A$2:$A$761,$H85,Dati!$H$2:$H$761,$AO85)+SUMIFS(Dati!$M$2:$M$761,Dati!$H$2:$H$761,$H85,Dati!$A$2:$A$761,$AO85),"-")</f>
        <v/>
      </c>
      <c r="DZ85" s="22">
        <f>IF(AND($H85&lt;&gt;"",$AP85&lt;&gt;"",$H85&lt;&gt;$AP85,IFERROR(VLOOKUP($H85,areaCercaPuntiClassificaSquadra,3,FALSE),-1)=IFERROR(VLOOKUP($AP85,areaCercaPuntiClassificaSquadra,3,FALSE),-2)),SUMIFS(Dati!$F$2:$F$761,Dati!$A$2:$A$761,$H85,Dati!$H$2:$H$761,$AP85)+SUMIFS(Dati!$M$2:$M$761,Dati!$H$2:$H$761,$H85,Dati!$A$2:$A$761,$AP85),"-")</f>
        <v/>
      </c>
      <c r="EA85" s="22">
        <f>IF(AND($H85&lt;&gt;"",$AQ85&lt;&gt;"",$H85&lt;&gt;$AQ85,IFERROR(VLOOKUP($H85,areaCercaPuntiClassificaSquadra,3,FALSE),-1)=IFERROR(VLOOKUP($AQ85,areaCercaPuntiClassificaSquadra,3,FALSE),-2)),SUMIFS(Dati!$F$2:$F$761,Dati!$A$2:$A$761,$H85,Dati!$H$2:$H$761,$AQ85)+SUMIFS(Dati!$M$2:$M$761,Dati!$H$2:$H$761,$H85,Dati!$A$2:$A$761,$AQ85),"-")</f>
        <v/>
      </c>
      <c r="EB85" s="22">
        <f>IF(AND($H85&lt;&gt;"",$AR85&lt;&gt;"",$H85&lt;&gt;$AR85,IFERROR(VLOOKUP($H85,areaCercaPuntiClassificaSquadra,3,FALSE),-1)=IFERROR(VLOOKUP($AR85,areaCercaPuntiClassificaSquadra,3,FALSE),-2)),SUMIFS(Dati!$F$2:$F$761,Dati!$A$2:$A$761,$H85,Dati!$H$2:$H$761,$AR85)+SUMIFS(Dati!$M$2:$M$761,Dati!$H$2:$H$761,$H85,Dati!$A$2:$A$761,$AR85),"-")</f>
        <v/>
      </c>
      <c r="ED85" s="22">
        <f>IF($C85="","",SUM(AU85:BN85))</f>
        <v/>
      </c>
    </row>
    <row r="86">
      <c r="B86" s="12" t="inlineStr">
        <is>
          <t>D13</t>
        </is>
      </c>
      <c r="C86" s="13" t="inlineStr">
        <is>
          <t>Edredoni Eleganti-Edredoniopoli EI</t>
        </is>
      </c>
      <c r="D86" s="14" t="n"/>
      <c r="E86" s="27" t="inlineStr">
        <is>
          <t>D</t>
        </is>
      </c>
      <c r="G86" s="28">
        <f>IF($C86="","",$E86&amp;(COUNTIFS(I$14:I$93,"&gt;"&amp;I86,E$14:E$93,"="&amp;E86,C$14:C$93,"&lt;&gt;")+COUNTIFS(I$14:I$93,"="&amp;I86,H$14:H$93,"&lt;="&amp;H86,E$14:E$93,"="&amp;E86,C$14:C$93,"&lt;&gt;")))</f>
        <v/>
      </c>
      <c r="H86" s="17">
        <f>IF($C86="","",IFERROR(LEFT($C86,FIND("-",$C86)-1),$C86))</f>
        <v/>
      </c>
      <c r="I86" s="12">
        <f>TEXT(1000000000+J86,"|0000000000|")&amp;TEXT(SUM(AU86:BN86),"0000000000|")&amp;IF(SUM(DI86:EB86)=0,"0000000000|",TEXT(ROUND(SUM(CM86:DF86)/SUM(DI86:EB86),4)*100000,"0000000000|"))&amp;IF(P86=0,"0000000000|",TEXT(ROUND(O86/P86,4)*100000,"0000000000|"))</f>
        <v/>
      </c>
      <c r="J86" s="28">
        <f>L86*constPuntiVittoria+M86*constPuntiSconfitta+N86*constPuntiForfait+IF(D86="",0,D86)</f>
        <v/>
      </c>
      <c r="K86" s="12">
        <f>SUM(L86:N86)</f>
        <v/>
      </c>
      <c r="L86" s="12">
        <f>IF($H86="",0,SUMIF(Dati!$A$2:$A$761,$H86,Dati!$B$2:$B$761)+SUMIF(Dati!$H$2:$H$761,$H86,Dati!$I$2:$I$761))</f>
        <v/>
      </c>
      <c r="M86" s="12">
        <f>IF($H86="",0,SUMIF(Dati!$A$2:$A$761,$H86,Dati!$D$2:$D$761)+SUMIF(Dati!$H$2:$H$761,$H86,Dati!$K$2:$K$761))</f>
        <v/>
      </c>
      <c r="N86" s="12">
        <f>IF($H86="",0,SUMIF(Dati!$A$2:$A$761,$H86,Dati!$C$2:$C$761)+SUMIF(Dati!$H$2:$H$761,$H86,Dati!$J$2:$J$761))</f>
        <v/>
      </c>
      <c r="O86" s="12">
        <f>IF($H86="",0,SUMIF(Dati!$A$2:$A$761,$H86,Dati!$E$2:$E$761)+SUMIF(Dati!$H$2:$H$761,$H86,Dati!$L$2:$L$761))</f>
        <v/>
      </c>
      <c r="P86" s="12">
        <f>IF($H86="",0,SUMIF(Dati!$A$2:$A$761,$H86,Dati!$F$2:$F$761)+SUMIF(Dati!$H$2:$H$761,$H86,Dati!$M$2:$M$761))</f>
        <v/>
      </c>
      <c r="Q86" s="12">
        <f>IF($H86="",0,SUMIF(Dati!$A$2:$A$761,$H86,Dati!$G$2:$G$761)+SUMIF(Dati!$H$2:$H$761,$H86,Dati!$N$2:$N$761))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IF(COUNTIFS($E$14:$E$93,$E86,$J$14:$J$93,$J86,$C$14:$C$93,"&lt;&gt;")&lt;=1,"-",SUM(AU86:BN86)&amp;"-"&amp;SUM(BQ86:CJ86))</f>
        <v/>
      </c>
      <c r="V86" s="18">
        <f>IF(COUNTIFS($E$14:$E$93,$E86,$J$14:$J$93,$J86,$C$14:$C$93,"&lt;&gt;",$ED$14:$ED$93,$ED86)&lt;=1,"-",IF(SUM(DI86:EB86)=0,0,ROUND(SUM(CM86:DF86)/SUM(DI86:EB86),3)))</f>
        <v/>
      </c>
      <c r="W86" s="18">
        <f>IF(COUNTIFS($E$14:$E$93,$E86,$J$14:$J$93,$J86,$C$14:$C$93,"&lt;&gt;",$ED$14:$ED$93,$ED86,$V$14:$V$93,$V86)&lt;=1,"-",IF(P86=0,0,ROUND(O86/P86,3)))</f>
        <v/>
      </c>
      <c r="X86" s="19">
        <f>IF($C86="","",$E86&amp;"#"&amp;COUNTIFS($E$14:$E86,$E86,$C$14:$C86,"&lt;&gt;"))</f>
        <v/>
      </c>
      <c r="Y86" s="20">
        <f>IFERROR(INDEX($H$14:$H$93,MATCH($E86&amp;"#1",$X$14:$X$93,0)),"")</f>
        <v/>
      </c>
      <c r="Z86" s="20">
        <f>IFERROR(INDEX($H$14:$H$93,MATCH($E86&amp;"#2",$X$14:$X$93,0)),"")</f>
        <v/>
      </c>
      <c r="AA86" s="20">
        <f>IFERROR(INDEX($H$14:$H$93,MATCH($E86&amp;"#3",$X$14:$X$93,0)),"")</f>
        <v/>
      </c>
      <c r="AB86" s="20">
        <f>IFERROR(INDEX($H$14:$H$93,MATCH($E86&amp;"#4",$X$14:$X$93,0)),"")</f>
        <v/>
      </c>
      <c r="AC86" s="20">
        <f>IFERROR(INDEX($H$14:$H$93,MATCH($E86&amp;"#5",$X$14:$X$93,0)),"")</f>
        <v/>
      </c>
      <c r="AD86" s="20">
        <f>IFERROR(INDEX($H$14:$H$93,MATCH($E86&amp;"#6",$X$14:$X$93,0)),"")</f>
        <v/>
      </c>
      <c r="AE86" s="20">
        <f>IFERROR(INDEX($H$14:$H$93,MATCH($E86&amp;"#7",$X$14:$X$93,0)),"")</f>
        <v/>
      </c>
      <c r="AF86" s="20">
        <f>IFERROR(INDEX($H$14:$H$93,MATCH($E86&amp;"#8",$X$14:$X$93,0)),"")</f>
        <v/>
      </c>
      <c r="AG86" s="20">
        <f>IFERROR(INDEX($H$14:$H$93,MATCH($E86&amp;"#9",$X$14:$X$93,0)),"")</f>
        <v/>
      </c>
      <c r="AH86" s="20">
        <f>IFERROR(INDEX($H$14:$H$93,MATCH($E86&amp;"#10",$X$14:$X$93,0)),"")</f>
        <v/>
      </c>
      <c r="AI86" s="20">
        <f>IFERROR(INDEX($H$14:$H$93,MATCH($E86&amp;"#11",$X$14:$X$93,0)),"")</f>
        <v/>
      </c>
      <c r="AJ86" s="20">
        <f>IFERROR(INDEX($H$14:$H$93,MATCH($E86&amp;"#12",$X$14:$X$93,0)),"")</f>
        <v/>
      </c>
      <c r="AK86" s="20">
        <f>IFERROR(INDEX($H$14:$H$93,MATCH($E86&amp;"#13",$X$14:$X$93,0)),"")</f>
        <v/>
      </c>
      <c r="AL86" s="20">
        <f>IFERROR(INDEX($H$14:$H$93,MATCH($E86&amp;"#14",$X$14:$X$93,0)),"")</f>
        <v/>
      </c>
      <c r="AM86" s="20">
        <f>IFERROR(INDEX($H$14:$H$93,MATCH($E86&amp;"#15",$X$14:$X$93,0)),"")</f>
        <v/>
      </c>
      <c r="AN86" s="20">
        <f>IFERROR(INDEX($H$14:$H$93,MATCH($E86&amp;"#16",$X$14:$X$93,0)),"")</f>
        <v/>
      </c>
      <c r="AO86" s="20">
        <f>IFERROR(INDEX($H$14:$H$93,MATCH($E86&amp;"#17",$X$14:$X$93,0)),"")</f>
        <v/>
      </c>
      <c r="AP86" s="20">
        <f>IFERROR(INDEX($H$14:$H$93,MATCH($E86&amp;"#18",$X$14:$X$93,0)),"")</f>
        <v/>
      </c>
      <c r="AQ86" s="20">
        <f>IFERROR(INDEX($H$14:$H$93,MATCH($E86&amp;"#19",$X$14:$X$93,0)),"")</f>
        <v/>
      </c>
      <c r="AR86" s="20">
        <f>IFERROR(INDEX($H$14:$H$93,MATCH($E86&amp;"#20",$X$14:$X$93,0)),"")</f>
        <v/>
      </c>
      <c r="AT86" s="21">
        <f>$C86</f>
        <v/>
      </c>
      <c r="AU86" s="22">
        <f>IF(AND($H86&lt;&gt;"",$Y86&lt;&gt;"",$H86&lt;&gt;$Y86,IFERROR(VLOOKUP($H86,areaCercaPuntiClassificaSquadra,3,FALSE),-1)=IFERROR(VLOOKUP($Y86,areaCercaPuntiClassificaSquadra,3,FALSE),-2)),SUMIFS(Dati!$B$2:$B$761,Dati!$A$2:$A$761,$H86,Dati!$H$2:$H$761,$Y86)+SUMIFS(Dati!$I$2:$I$761,Dati!$H$2:$H$761,$H86,Dati!$A$2:$A$761,$Y86),"-")</f>
        <v/>
      </c>
      <c r="AV86" s="22">
        <f>IF(AND($H86&lt;&gt;"",$Z86&lt;&gt;"",$H86&lt;&gt;$Z86,IFERROR(VLOOKUP($H86,areaCercaPuntiClassificaSquadra,3,FALSE),-1)=IFERROR(VLOOKUP($Z86,areaCercaPuntiClassificaSquadra,3,FALSE),-2)),SUMIFS(Dati!$B$2:$B$761,Dati!$A$2:$A$761,$H86,Dati!$H$2:$H$761,$Z86)+SUMIFS(Dati!$I$2:$I$761,Dati!$H$2:$H$761,$H86,Dati!$A$2:$A$761,$Z86),"-")</f>
        <v/>
      </c>
      <c r="AW86" s="22">
        <f>IF(AND($H86&lt;&gt;"",$AA86&lt;&gt;"",$H86&lt;&gt;$AA86,IFERROR(VLOOKUP($H86,areaCercaPuntiClassificaSquadra,3,FALSE),-1)=IFERROR(VLOOKUP($AA86,areaCercaPuntiClassificaSquadra,3,FALSE),-2)),SUMIFS(Dati!$B$2:$B$761,Dati!$A$2:$A$761,$H86,Dati!$H$2:$H$761,$AA86)+SUMIFS(Dati!$I$2:$I$761,Dati!$H$2:$H$761,$H86,Dati!$A$2:$A$761,$AA86),"-")</f>
        <v/>
      </c>
      <c r="AX86" s="22">
        <f>IF(AND($H86&lt;&gt;"",$AB86&lt;&gt;"",$H86&lt;&gt;$AB86,IFERROR(VLOOKUP($H86,areaCercaPuntiClassificaSquadra,3,FALSE),-1)=IFERROR(VLOOKUP($AB86,areaCercaPuntiClassificaSquadra,3,FALSE),-2)),SUMIFS(Dati!$B$2:$B$761,Dati!$A$2:$A$761,$H86,Dati!$H$2:$H$761,$AB86)+SUMIFS(Dati!$I$2:$I$761,Dati!$H$2:$H$761,$H86,Dati!$A$2:$A$761,$AB86),"-")</f>
        <v/>
      </c>
      <c r="AY86" s="22">
        <f>IF(AND($H86&lt;&gt;"",$AC86&lt;&gt;"",$H86&lt;&gt;$AC86,IFERROR(VLOOKUP($H86,areaCercaPuntiClassificaSquadra,3,FALSE),-1)=IFERROR(VLOOKUP($AC86,areaCercaPuntiClassificaSquadra,3,FALSE),-2)),SUMIFS(Dati!$B$2:$B$761,Dati!$A$2:$A$761,$H86,Dati!$H$2:$H$761,$AC86)+SUMIFS(Dati!$I$2:$I$761,Dati!$H$2:$H$761,$H86,Dati!$A$2:$A$761,$AC86),"-")</f>
        <v/>
      </c>
      <c r="AZ86" s="22">
        <f>IF(AND($H86&lt;&gt;"",$AD86&lt;&gt;"",$H86&lt;&gt;$AD86,IFERROR(VLOOKUP($H86,areaCercaPuntiClassificaSquadra,3,FALSE),-1)=IFERROR(VLOOKUP($AD86,areaCercaPuntiClassificaSquadra,3,FALSE),-2)),SUMIFS(Dati!$B$2:$B$761,Dati!$A$2:$A$761,$H86,Dati!$H$2:$H$761,$AD86)+SUMIFS(Dati!$I$2:$I$761,Dati!$H$2:$H$761,$H86,Dati!$A$2:$A$761,$AD86),"-")</f>
        <v/>
      </c>
      <c r="BA86" s="22">
        <f>IF(AND($H86&lt;&gt;"",$AE86&lt;&gt;"",$H86&lt;&gt;$AE86,IFERROR(VLOOKUP($H86,areaCercaPuntiClassificaSquadra,3,FALSE),-1)=IFERROR(VLOOKUP($AE86,areaCercaPuntiClassificaSquadra,3,FALSE),-2)),SUMIFS(Dati!$B$2:$B$761,Dati!$A$2:$A$761,$H86,Dati!$H$2:$H$761,$AE86)+SUMIFS(Dati!$I$2:$I$761,Dati!$H$2:$H$761,$H86,Dati!$A$2:$A$761,$AE86),"-")</f>
        <v/>
      </c>
      <c r="BB86" s="22">
        <f>IF(AND($H86&lt;&gt;"",$AF86&lt;&gt;"",$H86&lt;&gt;$AF86,IFERROR(VLOOKUP($H86,areaCercaPuntiClassificaSquadra,3,FALSE),-1)=IFERROR(VLOOKUP($AF86,areaCercaPuntiClassificaSquadra,3,FALSE),-2)),SUMIFS(Dati!$B$2:$B$761,Dati!$A$2:$A$761,$H86,Dati!$H$2:$H$761,$AF86)+SUMIFS(Dati!$I$2:$I$761,Dati!$H$2:$H$761,$H86,Dati!$A$2:$A$761,$AF86),"-")</f>
        <v/>
      </c>
      <c r="BC86" s="22">
        <f>IF(AND($H86&lt;&gt;"",$AG86&lt;&gt;"",$H86&lt;&gt;$AG86,IFERROR(VLOOKUP($H86,areaCercaPuntiClassificaSquadra,3,FALSE),-1)=IFERROR(VLOOKUP($AG86,areaCercaPuntiClassificaSquadra,3,FALSE),-2)),SUMIFS(Dati!$B$2:$B$761,Dati!$A$2:$A$761,$H86,Dati!$H$2:$H$761,$AG86)+SUMIFS(Dati!$I$2:$I$761,Dati!$H$2:$H$761,$H86,Dati!$A$2:$A$761,$AG86),"-")</f>
        <v/>
      </c>
      <c r="BD86" s="22">
        <f>IF(AND($H86&lt;&gt;"",$AH86&lt;&gt;"",$H86&lt;&gt;$AH86,IFERROR(VLOOKUP($H86,areaCercaPuntiClassificaSquadra,3,FALSE),-1)=IFERROR(VLOOKUP($AH86,areaCercaPuntiClassificaSquadra,3,FALSE),-2)),SUMIFS(Dati!$B$2:$B$761,Dati!$A$2:$A$761,$H86,Dati!$H$2:$H$761,$AH86)+SUMIFS(Dati!$I$2:$I$761,Dati!$H$2:$H$761,$H86,Dati!$A$2:$A$761,$AH86),"-")</f>
        <v/>
      </c>
      <c r="BE86" s="22">
        <f>IF(AND($H86&lt;&gt;"",$AI86&lt;&gt;"",$H86&lt;&gt;$AI86,IFERROR(VLOOKUP($H86,areaCercaPuntiClassificaSquadra,3,FALSE),-1)=IFERROR(VLOOKUP($AI86,areaCercaPuntiClassificaSquadra,3,FALSE),-2)),SUMIFS(Dati!$B$2:$B$761,Dati!$A$2:$A$761,$H86,Dati!$H$2:$H$761,$AI86)+SUMIFS(Dati!$I$2:$I$761,Dati!$H$2:$H$761,$H86,Dati!$A$2:$A$761,$AI86),"-")</f>
        <v/>
      </c>
      <c r="BF86" s="22">
        <f>IF(AND($H86&lt;&gt;"",$AJ86&lt;&gt;"",$H86&lt;&gt;$AJ86,IFERROR(VLOOKUP($H86,areaCercaPuntiClassificaSquadra,3,FALSE),-1)=IFERROR(VLOOKUP($AJ86,areaCercaPuntiClassificaSquadra,3,FALSE),-2)),SUMIFS(Dati!$B$2:$B$761,Dati!$A$2:$A$761,$H86,Dati!$H$2:$H$761,$AJ86)+SUMIFS(Dati!$I$2:$I$761,Dati!$H$2:$H$761,$H86,Dati!$A$2:$A$761,$AJ86),"-")</f>
        <v/>
      </c>
      <c r="BG86" s="22">
        <f>IF(AND($H86&lt;&gt;"",$AK86&lt;&gt;"",$H86&lt;&gt;$AK86,IFERROR(VLOOKUP($H86,areaCercaPuntiClassificaSquadra,3,FALSE),-1)=IFERROR(VLOOKUP($AK86,areaCercaPuntiClassificaSquadra,3,FALSE),-2)),SUMIFS(Dati!$B$2:$B$761,Dati!$A$2:$A$761,$H86,Dati!$H$2:$H$761,$AK86)+SUMIFS(Dati!$I$2:$I$761,Dati!$H$2:$H$761,$H86,Dati!$A$2:$A$761,$AK86),"-")</f>
        <v/>
      </c>
      <c r="BH86" s="22">
        <f>IF(AND($H86&lt;&gt;"",$AL86&lt;&gt;"",$H86&lt;&gt;$AL86,IFERROR(VLOOKUP($H86,areaCercaPuntiClassificaSquadra,3,FALSE),-1)=IFERROR(VLOOKUP($AL86,areaCercaPuntiClassificaSquadra,3,FALSE),-2)),SUMIFS(Dati!$B$2:$B$761,Dati!$A$2:$A$761,$H86,Dati!$H$2:$H$761,$AL86)+SUMIFS(Dati!$I$2:$I$761,Dati!$H$2:$H$761,$H86,Dati!$A$2:$A$761,$AL86),"-")</f>
        <v/>
      </c>
      <c r="BI86" s="22">
        <f>IF(AND($H86&lt;&gt;"",$AM86&lt;&gt;"",$H86&lt;&gt;$AM86,IFERROR(VLOOKUP($H86,areaCercaPuntiClassificaSquadra,3,FALSE),-1)=IFERROR(VLOOKUP($AM86,areaCercaPuntiClassificaSquadra,3,FALSE),-2)),SUMIFS(Dati!$B$2:$B$761,Dati!$A$2:$A$761,$H86,Dati!$H$2:$H$761,$AM86)+SUMIFS(Dati!$I$2:$I$761,Dati!$H$2:$H$761,$H86,Dati!$A$2:$A$761,$AM86),"-")</f>
        <v/>
      </c>
      <c r="BJ86" s="22">
        <f>IF(AND($H86&lt;&gt;"",$AN86&lt;&gt;"",$H86&lt;&gt;$AN86,IFERROR(VLOOKUP($H86,areaCercaPuntiClassificaSquadra,3,FALSE),-1)=IFERROR(VLOOKUP($AN86,areaCercaPuntiClassificaSquadra,3,FALSE),-2)),SUMIFS(Dati!$B$2:$B$761,Dati!$A$2:$A$761,$H86,Dati!$H$2:$H$761,$AN86)+SUMIFS(Dati!$I$2:$I$761,Dati!$H$2:$H$761,$H86,Dati!$A$2:$A$761,$AN86),"-")</f>
        <v/>
      </c>
      <c r="BK86" s="22">
        <f>IF(AND($H86&lt;&gt;"",$AO86&lt;&gt;"",$H86&lt;&gt;$AO86,IFERROR(VLOOKUP($H86,areaCercaPuntiClassificaSquadra,3,FALSE),-1)=IFERROR(VLOOKUP($AO86,areaCercaPuntiClassificaSquadra,3,FALSE),-2)),SUMIFS(Dati!$B$2:$B$761,Dati!$A$2:$A$761,$H86,Dati!$H$2:$H$761,$AO86)+SUMIFS(Dati!$I$2:$I$761,Dati!$H$2:$H$761,$H86,Dati!$A$2:$A$761,$AO86),"-")</f>
        <v/>
      </c>
      <c r="BL86" s="22">
        <f>IF(AND($H86&lt;&gt;"",$AP86&lt;&gt;"",$H86&lt;&gt;$AP86,IFERROR(VLOOKUP($H86,areaCercaPuntiClassificaSquadra,3,FALSE),-1)=IFERROR(VLOOKUP($AP86,areaCercaPuntiClassificaSquadra,3,FALSE),-2)),SUMIFS(Dati!$B$2:$B$761,Dati!$A$2:$A$761,$H86,Dati!$H$2:$H$761,$AP86)+SUMIFS(Dati!$I$2:$I$761,Dati!$H$2:$H$761,$H86,Dati!$A$2:$A$761,$AP86),"-")</f>
        <v/>
      </c>
      <c r="BM86" s="22">
        <f>IF(AND($H86&lt;&gt;"",$AQ86&lt;&gt;"",$H86&lt;&gt;$AQ86,IFERROR(VLOOKUP($H86,areaCercaPuntiClassificaSquadra,3,FALSE),-1)=IFERROR(VLOOKUP($AQ86,areaCercaPuntiClassificaSquadra,3,FALSE),-2)),SUMIFS(Dati!$B$2:$B$761,Dati!$A$2:$A$761,$H86,Dati!$H$2:$H$761,$AQ86)+SUMIFS(Dati!$I$2:$I$761,Dati!$H$2:$H$761,$H86,Dati!$A$2:$A$761,$AQ86),"-")</f>
        <v/>
      </c>
      <c r="BN86" s="22">
        <f>IF(AND($H86&lt;&gt;"",$AR86&lt;&gt;"",$H86&lt;&gt;$AR86,IFERROR(VLOOKUP($H86,areaCercaPuntiClassificaSquadra,3,FALSE),-1)=IFERROR(VLOOKUP($AR86,areaCercaPuntiClassificaSquadra,3,FALSE),-2)),SUMIFS(Dati!$B$2:$B$761,Dati!$A$2:$A$761,$H86,Dati!$H$2:$H$761,$AR86)+SUMIFS(Dati!$I$2:$I$761,Dati!$H$2:$H$761,$H86,Dati!$A$2:$A$761,$AR86),"-")</f>
        <v/>
      </c>
      <c r="BP86" s="21">
        <f>$C86</f>
        <v/>
      </c>
      <c r="BQ86" s="22">
        <f>IF(AND($H86&lt;&gt;"",$Y86&lt;&gt;"",$H86&lt;&gt;$Y86,IFERROR(VLOOKUP($H86,areaCercaPuntiClassificaSquadra,3,FALSE),-1)=IFERROR(VLOOKUP($Y86,areaCercaPuntiClassificaSquadra,3,FALSE),-2)),SUMIFS(Dati!$D$2:$D$761,Dati!$A$2:$A$761,$H86,Dati!$H$2:$H$761,$Y86)+SUMIFS(Dati!$K$2:$K$761,Dati!$H$2:$H$761,$H86,Dati!$A$2:$A$761,$Y86)+SUMIFS(Dati!$C$2:$C$761,Dati!$A$2:$A$761,$H86,Dati!$H$2:$H$761,$Y86)+SUMIFS(Dati!$J$2:$J$761,Dati!$H$2:$H$761,$H86,Dati!$A$2:$A$761,$Y86),"-")</f>
        <v/>
      </c>
      <c r="BR86" s="22">
        <f>IF(AND($H86&lt;&gt;"",$Z86&lt;&gt;"",$H86&lt;&gt;$Z86,IFERROR(VLOOKUP($H86,areaCercaPuntiClassificaSquadra,3,FALSE),-1)=IFERROR(VLOOKUP($Z86,areaCercaPuntiClassificaSquadra,3,FALSE),-2)),SUMIFS(Dati!$D$2:$D$761,Dati!$A$2:$A$761,$H86,Dati!$H$2:$H$761,$Z86)+SUMIFS(Dati!$K$2:$K$761,Dati!$H$2:$H$761,$H86,Dati!$A$2:$A$761,$Z86)+SUMIFS(Dati!$C$2:$C$761,Dati!$A$2:$A$761,$H86,Dati!$H$2:$H$761,$Z86)+SUMIFS(Dati!$J$2:$J$761,Dati!$H$2:$H$761,$H86,Dati!$A$2:$A$761,$Z86),"-")</f>
        <v/>
      </c>
      <c r="BS86" s="22">
        <f>IF(AND($H86&lt;&gt;"",$AA86&lt;&gt;"",$H86&lt;&gt;$AA86,IFERROR(VLOOKUP($H86,areaCercaPuntiClassificaSquadra,3,FALSE),-1)=IFERROR(VLOOKUP($AA86,areaCercaPuntiClassificaSquadra,3,FALSE),-2)),SUMIFS(Dati!$D$2:$D$761,Dati!$A$2:$A$761,$H86,Dati!$H$2:$H$761,$AA86)+SUMIFS(Dati!$K$2:$K$761,Dati!$H$2:$H$761,$H86,Dati!$A$2:$A$761,$AA86)+SUMIFS(Dati!$C$2:$C$761,Dati!$A$2:$A$761,$H86,Dati!$H$2:$H$761,$AA86)+SUMIFS(Dati!$J$2:$J$761,Dati!$H$2:$H$761,$H86,Dati!$A$2:$A$761,$AA86),"-")</f>
        <v/>
      </c>
      <c r="BT86" s="22">
        <f>IF(AND($H86&lt;&gt;"",$AB86&lt;&gt;"",$H86&lt;&gt;$AB86,IFERROR(VLOOKUP($H86,areaCercaPuntiClassificaSquadra,3,FALSE),-1)=IFERROR(VLOOKUP($AB86,areaCercaPuntiClassificaSquadra,3,FALSE),-2)),SUMIFS(Dati!$D$2:$D$761,Dati!$A$2:$A$761,$H86,Dati!$H$2:$H$761,$AB86)+SUMIFS(Dati!$K$2:$K$761,Dati!$H$2:$H$761,$H86,Dati!$A$2:$A$761,$AB86)+SUMIFS(Dati!$C$2:$C$761,Dati!$A$2:$A$761,$H86,Dati!$H$2:$H$761,$AB86)+SUMIFS(Dati!$J$2:$J$761,Dati!$H$2:$H$761,$H86,Dati!$A$2:$A$761,$AB86),"-")</f>
        <v/>
      </c>
      <c r="BU86" s="22">
        <f>IF(AND($H86&lt;&gt;"",$AC86&lt;&gt;"",$H86&lt;&gt;$AC86,IFERROR(VLOOKUP($H86,areaCercaPuntiClassificaSquadra,3,FALSE),-1)=IFERROR(VLOOKUP($AC86,areaCercaPuntiClassificaSquadra,3,FALSE),-2)),SUMIFS(Dati!$D$2:$D$761,Dati!$A$2:$A$761,$H86,Dati!$H$2:$H$761,$AC86)+SUMIFS(Dati!$K$2:$K$761,Dati!$H$2:$H$761,$H86,Dati!$A$2:$A$761,$AC86)+SUMIFS(Dati!$C$2:$C$761,Dati!$A$2:$A$761,$H86,Dati!$H$2:$H$761,$AC86)+SUMIFS(Dati!$J$2:$J$761,Dati!$H$2:$H$761,$H86,Dati!$A$2:$A$761,$AC86),"-")</f>
        <v/>
      </c>
      <c r="BV86" s="22">
        <f>IF(AND($H86&lt;&gt;"",$AD86&lt;&gt;"",$H86&lt;&gt;$AD86,IFERROR(VLOOKUP($H86,areaCercaPuntiClassificaSquadra,3,FALSE),-1)=IFERROR(VLOOKUP($AD86,areaCercaPuntiClassificaSquadra,3,FALSE),-2)),SUMIFS(Dati!$D$2:$D$761,Dati!$A$2:$A$761,$H86,Dati!$H$2:$H$761,$AD86)+SUMIFS(Dati!$K$2:$K$761,Dati!$H$2:$H$761,$H86,Dati!$A$2:$A$761,$AD86)+SUMIFS(Dati!$C$2:$C$761,Dati!$A$2:$A$761,$H86,Dati!$H$2:$H$761,$AD86)+SUMIFS(Dati!$J$2:$J$761,Dati!$H$2:$H$761,$H86,Dati!$A$2:$A$761,$AD86),"-")</f>
        <v/>
      </c>
      <c r="BW86" s="22">
        <f>IF(AND($H86&lt;&gt;"",$AE86&lt;&gt;"",$H86&lt;&gt;$AE86,IFERROR(VLOOKUP($H86,areaCercaPuntiClassificaSquadra,3,FALSE),-1)=IFERROR(VLOOKUP($AE86,areaCercaPuntiClassificaSquadra,3,FALSE),-2)),SUMIFS(Dati!$D$2:$D$761,Dati!$A$2:$A$761,$H86,Dati!$H$2:$H$761,$AE86)+SUMIFS(Dati!$K$2:$K$761,Dati!$H$2:$H$761,$H86,Dati!$A$2:$A$761,$AE86)+SUMIFS(Dati!$C$2:$C$761,Dati!$A$2:$A$761,$H86,Dati!$H$2:$H$761,$AE86)+SUMIFS(Dati!$J$2:$J$761,Dati!$H$2:$H$761,$H86,Dati!$A$2:$A$761,$AE86),"-")</f>
        <v/>
      </c>
      <c r="BX86" s="22">
        <f>IF(AND($H86&lt;&gt;"",$AF86&lt;&gt;"",$H86&lt;&gt;$AF86,IFERROR(VLOOKUP($H86,areaCercaPuntiClassificaSquadra,3,FALSE),-1)=IFERROR(VLOOKUP($AF86,areaCercaPuntiClassificaSquadra,3,FALSE),-2)),SUMIFS(Dati!$D$2:$D$761,Dati!$A$2:$A$761,$H86,Dati!$H$2:$H$761,$AF86)+SUMIFS(Dati!$K$2:$K$761,Dati!$H$2:$H$761,$H86,Dati!$A$2:$A$761,$AF86)+SUMIFS(Dati!$C$2:$C$761,Dati!$A$2:$A$761,$H86,Dati!$H$2:$H$761,$AF86)+SUMIFS(Dati!$J$2:$J$761,Dati!$H$2:$H$761,$H86,Dati!$A$2:$A$761,$AF86),"-")</f>
        <v/>
      </c>
      <c r="BY86" s="22">
        <f>IF(AND($H86&lt;&gt;"",$AG86&lt;&gt;"",$H86&lt;&gt;$AG86,IFERROR(VLOOKUP($H86,areaCercaPuntiClassificaSquadra,3,FALSE),-1)=IFERROR(VLOOKUP($AG86,areaCercaPuntiClassificaSquadra,3,FALSE),-2)),SUMIFS(Dati!$D$2:$D$761,Dati!$A$2:$A$761,$H86,Dati!$H$2:$H$761,$AG86)+SUMIFS(Dati!$K$2:$K$761,Dati!$H$2:$H$761,$H86,Dati!$A$2:$A$761,$AG86)+SUMIFS(Dati!$C$2:$C$761,Dati!$A$2:$A$761,$H86,Dati!$H$2:$H$761,$AG86)+SUMIFS(Dati!$J$2:$J$761,Dati!$H$2:$H$761,$H86,Dati!$A$2:$A$761,$AG86),"-")</f>
        <v/>
      </c>
      <c r="BZ86" s="22">
        <f>IF(AND($H86&lt;&gt;"",$AH86&lt;&gt;"",$H86&lt;&gt;$AH86,IFERROR(VLOOKUP($H86,areaCercaPuntiClassificaSquadra,3,FALSE),-1)=IFERROR(VLOOKUP($AH86,areaCercaPuntiClassificaSquadra,3,FALSE),-2)),SUMIFS(Dati!$D$2:$D$761,Dati!$A$2:$A$761,$H86,Dati!$H$2:$H$761,$AH86)+SUMIFS(Dati!$K$2:$K$761,Dati!$H$2:$H$761,$H86,Dati!$A$2:$A$761,$AH86)+SUMIFS(Dati!$C$2:$C$761,Dati!$A$2:$A$761,$H86,Dati!$H$2:$H$761,$AH86)+SUMIFS(Dati!$J$2:$J$761,Dati!$H$2:$H$761,$H86,Dati!$A$2:$A$761,$AH86),"-")</f>
        <v/>
      </c>
      <c r="CA86" s="22">
        <f>IF(AND($H86&lt;&gt;"",$AI86&lt;&gt;"",$H86&lt;&gt;$AI86,IFERROR(VLOOKUP($H86,areaCercaPuntiClassificaSquadra,3,FALSE),-1)=IFERROR(VLOOKUP($AI86,areaCercaPuntiClassificaSquadra,3,FALSE),-2)),SUMIFS(Dati!$D$2:$D$761,Dati!$A$2:$A$761,$H86,Dati!$H$2:$H$761,$AI86)+SUMIFS(Dati!$K$2:$K$761,Dati!$H$2:$H$761,$H86,Dati!$A$2:$A$761,$AI86)+SUMIFS(Dati!$C$2:$C$761,Dati!$A$2:$A$761,$H86,Dati!$H$2:$H$761,$AI86)+SUMIFS(Dati!$J$2:$J$761,Dati!$H$2:$H$761,$H86,Dati!$A$2:$A$761,$AI86),"-")</f>
        <v/>
      </c>
      <c r="CB86" s="22">
        <f>IF(AND($H86&lt;&gt;"",$AJ86&lt;&gt;"",$H86&lt;&gt;$AJ86,IFERROR(VLOOKUP($H86,areaCercaPuntiClassificaSquadra,3,FALSE),-1)=IFERROR(VLOOKUP($AJ86,areaCercaPuntiClassificaSquadra,3,FALSE),-2)),SUMIFS(Dati!$D$2:$D$761,Dati!$A$2:$A$761,$H86,Dati!$H$2:$H$761,$AJ86)+SUMIFS(Dati!$K$2:$K$761,Dati!$H$2:$H$761,$H86,Dati!$A$2:$A$761,$AJ86)+SUMIFS(Dati!$C$2:$C$761,Dati!$A$2:$A$761,$H86,Dati!$H$2:$H$761,$AJ86)+SUMIFS(Dati!$J$2:$J$761,Dati!$H$2:$H$761,$H86,Dati!$A$2:$A$761,$AJ86),"-")</f>
        <v/>
      </c>
      <c r="CC86" s="22">
        <f>IF(AND($H86&lt;&gt;"",$AK86&lt;&gt;"",$H86&lt;&gt;$AK86,IFERROR(VLOOKUP($H86,areaCercaPuntiClassificaSquadra,3,FALSE),-1)=IFERROR(VLOOKUP($AK86,areaCercaPuntiClassificaSquadra,3,FALSE),-2)),SUMIFS(Dati!$D$2:$D$761,Dati!$A$2:$A$761,$H86,Dati!$H$2:$H$761,$AK86)+SUMIFS(Dati!$K$2:$K$761,Dati!$H$2:$H$761,$H86,Dati!$A$2:$A$761,$AK86)+SUMIFS(Dati!$C$2:$C$761,Dati!$A$2:$A$761,$H86,Dati!$H$2:$H$761,$AK86)+SUMIFS(Dati!$J$2:$J$761,Dati!$H$2:$H$761,$H86,Dati!$A$2:$A$761,$AK86),"-")</f>
        <v/>
      </c>
      <c r="CD86" s="22">
        <f>IF(AND($H86&lt;&gt;"",$AL86&lt;&gt;"",$H86&lt;&gt;$AL86,IFERROR(VLOOKUP($H86,areaCercaPuntiClassificaSquadra,3,FALSE),-1)=IFERROR(VLOOKUP($AL86,areaCercaPuntiClassificaSquadra,3,FALSE),-2)),SUMIFS(Dati!$D$2:$D$761,Dati!$A$2:$A$761,$H86,Dati!$H$2:$H$761,$AL86)+SUMIFS(Dati!$K$2:$K$761,Dati!$H$2:$H$761,$H86,Dati!$A$2:$A$761,$AL86)+SUMIFS(Dati!$C$2:$C$761,Dati!$A$2:$A$761,$H86,Dati!$H$2:$H$761,$AL86)+SUMIFS(Dati!$J$2:$J$761,Dati!$H$2:$H$761,$H86,Dati!$A$2:$A$761,$AL86),"-")</f>
        <v/>
      </c>
      <c r="CE86" s="22">
        <f>IF(AND($H86&lt;&gt;"",$AM86&lt;&gt;"",$H86&lt;&gt;$AM86,IFERROR(VLOOKUP($H86,areaCercaPuntiClassificaSquadra,3,FALSE),-1)=IFERROR(VLOOKUP($AM86,areaCercaPuntiClassificaSquadra,3,FALSE),-2)),SUMIFS(Dati!$D$2:$D$761,Dati!$A$2:$A$761,$H86,Dati!$H$2:$H$761,$AM86)+SUMIFS(Dati!$K$2:$K$761,Dati!$H$2:$H$761,$H86,Dati!$A$2:$A$761,$AM86)+SUMIFS(Dati!$C$2:$C$761,Dati!$A$2:$A$761,$H86,Dati!$H$2:$H$761,$AM86)+SUMIFS(Dati!$J$2:$J$761,Dati!$H$2:$H$761,$H86,Dati!$A$2:$A$761,$AM86),"-")</f>
        <v/>
      </c>
      <c r="CF86" s="22">
        <f>IF(AND($H86&lt;&gt;"",$AN86&lt;&gt;"",$H86&lt;&gt;$AN86,IFERROR(VLOOKUP($H86,areaCercaPuntiClassificaSquadra,3,FALSE),-1)=IFERROR(VLOOKUP($AN86,areaCercaPuntiClassificaSquadra,3,FALSE),-2)),SUMIFS(Dati!$D$2:$D$761,Dati!$A$2:$A$761,$H86,Dati!$H$2:$H$761,$AN86)+SUMIFS(Dati!$K$2:$K$761,Dati!$H$2:$H$761,$H86,Dati!$A$2:$A$761,$AN86)+SUMIFS(Dati!$C$2:$C$761,Dati!$A$2:$A$761,$H86,Dati!$H$2:$H$761,$AN86)+SUMIFS(Dati!$J$2:$J$761,Dati!$H$2:$H$761,$H86,Dati!$A$2:$A$761,$AN86),"-")</f>
        <v/>
      </c>
      <c r="CG86" s="22">
        <f>IF(AND($H86&lt;&gt;"",$AO86&lt;&gt;"",$H86&lt;&gt;$AO86,IFERROR(VLOOKUP($H86,areaCercaPuntiClassificaSquadra,3,FALSE),-1)=IFERROR(VLOOKUP($AO86,areaCercaPuntiClassificaSquadra,3,FALSE),-2)),SUMIFS(Dati!$D$2:$D$761,Dati!$A$2:$A$761,$H86,Dati!$H$2:$H$761,$AO86)+SUMIFS(Dati!$K$2:$K$761,Dati!$H$2:$H$761,$H86,Dati!$A$2:$A$761,$AO86)+SUMIFS(Dati!$C$2:$C$761,Dati!$A$2:$A$761,$H86,Dati!$H$2:$H$761,$AO86)+SUMIFS(Dati!$J$2:$J$761,Dati!$H$2:$H$761,$H86,Dati!$A$2:$A$761,$AO86),"-")</f>
        <v/>
      </c>
      <c r="CH86" s="22">
        <f>IF(AND($H86&lt;&gt;"",$AP86&lt;&gt;"",$H86&lt;&gt;$AP86,IFERROR(VLOOKUP($H86,areaCercaPuntiClassificaSquadra,3,FALSE),-1)=IFERROR(VLOOKUP($AP86,areaCercaPuntiClassificaSquadra,3,FALSE),-2)),SUMIFS(Dati!$D$2:$D$761,Dati!$A$2:$A$761,$H86,Dati!$H$2:$H$761,$AP86)+SUMIFS(Dati!$K$2:$K$761,Dati!$H$2:$H$761,$H86,Dati!$A$2:$A$761,$AP86)+SUMIFS(Dati!$C$2:$C$761,Dati!$A$2:$A$761,$H86,Dati!$H$2:$H$761,$AP86)+SUMIFS(Dati!$J$2:$J$761,Dati!$H$2:$H$761,$H86,Dati!$A$2:$A$761,$AP86),"-")</f>
        <v/>
      </c>
      <c r="CI86" s="22">
        <f>IF(AND($H86&lt;&gt;"",$AQ86&lt;&gt;"",$H86&lt;&gt;$AQ86,IFERROR(VLOOKUP($H86,areaCercaPuntiClassificaSquadra,3,FALSE),-1)=IFERROR(VLOOKUP($AQ86,areaCercaPuntiClassificaSquadra,3,FALSE),-2)),SUMIFS(Dati!$D$2:$D$761,Dati!$A$2:$A$761,$H86,Dati!$H$2:$H$761,$AQ86)+SUMIFS(Dati!$K$2:$K$761,Dati!$H$2:$H$761,$H86,Dati!$A$2:$A$761,$AQ86)+SUMIFS(Dati!$C$2:$C$761,Dati!$A$2:$A$761,$H86,Dati!$H$2:$H$761,$AQ86)+SUMIFS(Dati!$J$2:$J$761,Dati!$H$2:$H$761,$H86,Dati!$A$2:$A$761,$AQ86),"-")</f>
        <v/>
      </c>
      <c r="CJ86" s="22">
        <f>IF(AND($H86&lt;&gt;"",$AR86&lt;&gt;"",$H86&lt;&gt;$AR86,IFERROR(VLOOKUP($H86,areaCercaPuntiClassificaSquadra,3,FALSE),-1)=IFERROR(VLOOKUP($AR86,areaCercaPuntiClassificaSquadra,3,FALSE),-2)),SUMIFS(Dati!$D$2:$D$761,Dati!$A$2:$A$761,$H86,Dati!$H$2:$H$761,$AR86)+SUMIFS(Dati!$K$2:$K$761,Dati!$H$2:$H$761,$H86,Dati!$A$2:$A$761,$AR86)+SUMIFS(Dati!$C$2:$C$761,Dati!$A$2:$A$761,$H86,Dati!$H$2:$H$761,$AR86)+SUMIFS(Dati!$J$2:$J$761,Dati!$H$2:$H$761,$H86,Dati!$A$2:$A$761,$AR86),"-")</f>
        <v/>
      </c>
      <c r="CL86" s="21">
        <f>$C86</f>
        <v/>
      </c>
      <c r="CM86" s="22">
        <f>IF(AND($H86&lt;&gt;"",$Y86&lt;&gt;"",$H86&lt;&gt;$Y86,IFERROR(VLOOKUP($H86,areaCercaPuntiClassificaSquadra,3,FALSE),-1)=IFERROR(VLOOKUP($Y86,areaCercaPuntiClassificaSquadra,3,FALSE),-2)),SUMIFS(Dati!$E$2:$E$761,Dati!$A$2:$A$761,$H86,Dati!$H$2:$H$761,$Y86)+SUMIFS(Dati!$L$2:$L$761,Dati!$H$2:$H$761,$H86,Dati!$A$2:$A$761,$Y86),"-")</f>
        <v/>
      </c>
      <c r="CN86" s="22">
        <f>IF(AND($H86&lt;&gt;"",$Z86&lt;&gt;"",$H86&lt;&gt;$Z86,IFERROR(VLOOKUP($H86,areaCercaPuntiClassificaSquadra,3,FALSE),-1)=IFERROR(VLOOKUP($Z86,areaCercaPuntiClassificaSquadra,3,FALSE),-2)),SUMIFS(Dati!$E$2:$E$761,Dati!$A$2:$A$761,$H86,Dati!$H$2:$H$761,$Z86)+SUMIFS(Dati!$L$2:$L$761,Dati!$H$2:$H$761,$H86,Dati!$A$2:$A$761,$Z86),"-")</f>
        <v/>
      </c>
      <c r="CO86" s="22">
        <f>IF(AND($H86&lt;&gt;"",$AA86&lt;&gt;"",$H86&lt;&gt;$AA86,IFERROR(VLOOKUP($H86,areaCercaPuntiClassificaSquadra,3,FALSE),-1)=IFERROR(VLOOKUP($AA86,areaCercaPuntiClassificaSquadra,3,FALSE),-2)),SUMIFS(Dati!$E$2:$E$761,Dati!$A$2:$A$761,$H86,Dati!$H$2:$H$761,$AA86)+SUMIFS(Dati!$L$2:$L$761,Dati!$H$2:$H$761,$H86,Dati!$A$2:$A$761,$AA86),"-")</f>
        <v/>
      </c>
      <c r="CP86" s="22">
        <f>IF(AND($H86&lt;&gt;"",$AB86&lt;&gt;"",$H86&lt;&gt;$AB86,IFERROR(VLOOKUP($H86,areaCercaPuntiClassificaSquadra,3,FALSE),-1)=IFERROR(VLOOKUP($AB86,areaCercaPuntiClassificaSquadra,3,FALSE),-2)),SUMIFS(Dati!$E$2:$E$761,Dati!$A$2:$A$761,$H86,Dati!$H$2:$H$761,$AB86)+SUMIFS(Dati!$L$2:$L$761,Dati!$H$2:$H$761,$H86,Dati!$A$2:$A$761,$AB86),"-")</f>
        <v/>
      </c>
      <c r="CQ86" s="22">
        <f>IF(AND($H86&lt;&gt;"",$AC86&lt;&gt;"",$H86&lt;&gt;$AC86,IFERROR(VLOOKUP($H86,areaCercaPuntiClassificaSquadra,3,FALSE),-1)=IFERROR(VLOOKUP($AC86,areaCercaPuntiClassificaSquadra,3,FALSE),-2)),SUMIFS(Dati!$E$2:$E$761,Dati!$A$2:$A$761,$H86,Dati!$H$2:$H$761,$AC86)+SUMIFS(Dati!$L$2:$L$761,Dati!$H$2:$H$761,$H86,Dati!$A$2:$A$761,$AC86),"-")</f>
        <v/>
      </c>
      <c r="CR86" s="22">
        <f>IF(AND($H86&lt;&gt;"",$AD86&lt;&gt;"",$H86&lt;&gt;$AD86,IFERROR(VLOOKUP($H86,areaCercaPuntiClassificaSquadra,3,FALSE),-1)=IFERROR(VLOOKUP($AD86,areaCercaPuntiClassificaSquadra,3,FALSE),-2)),SUMIFS(Dati!$E$2:$E$761,Dati!$A$2:$A$761,$H86,Dati!$H$2:$H$761,$AD86)+SUMIFS(Dati!$L$2:$L$761,Dati!$H$2:$H$761,$H86,Dati!$A$2:$A$761,$AD86),"-")</f>
        <v/>
      </c>
      <c r="CS86" s="22">
        <f>IF(AND($H86&lt;&gt;"",$AE86&lt;&gt;"",$H86&lt;&gt;$AE86,IFERROR(VLOOKUP($H86,areaCercaPuntiClassificaSquadra,3,FALSE),-1)=IFERROR(VLOOKUP($AE86,areaCercaPuntiClassificaSquadra,3,FALSE),-2)),SUMIFS(Dati!$E$2:$E$761,Dati!$A$2:$A$761,$H86,Dati!$H$2:$H$761,$AE86)+SUMIFS(Dati!$L$2:$L$761,Dati!$H$2:$H$761,$H86,Dati!$A$2:$A$761,$AE86),"-")</f>
        <v/>
      </c>
      <c r="CT86" s="22">
        <f>IF(AND($H86&lt;&gt;"",$AF86&lt;&gt;"",$H86&lt;&gt;$AF86,IFERROR(VLOOKUP($H86,areaCercaPuntiClassificaSquadra,3,FALSE),-1)=IFERROR(VLOOKUP($AF86,areaCercaPuntiClassificaSquadra,3,FALSE),-2)),SUMIFS(Dati!$E$2:$E$761,Dati!$A$2:$A$761,$H86,Dati!$H$2:$H$761,$AF86)+SUMIFS(Dati!$L$2:$L$761,Dati!$H$2:$H$761,$H86,Dati!$A$2:$A$761,$AF86),"-")</f>
        <v/>
      </c>
      <c r="CU86" s="22">
        <f>IF(AND($H86&lt;&gt;"",$AG86&lt;&gt;"",$H86&lt;&gt;$AG86,IFERROR(VLOOKUP($H86,areaCercaPuntiClassificaSquadra,3,FALSE),-1)=IFERROR(VLOOKUP($AG86,areaCercaPuntiClassificaSquadra,3,FALSE),-2)),SUMIFS(Dati!$E$2:$E$761,Dati!$A$2:$A$761,$H86,Dati!$H$2:$H$761,$AG86)+SUMIFS(Dati!$L$2:$L$761,Dati!$H$2:$H$761,$H86,Dati!$A$2:$A$761,$AG86),"-")</f>
        <v/>
      </c>
      <c r="CV86" s="22">
        <f>IF(AND($H86&lt;&gt;"",$AH86&lt;&gt;"",$H86&lt;&gt;$AH86,IFERROR(VLOOKUP($H86,areaCercaPuntiClassificaSquadra,3,FALSE),-1)=IFERROR(VLOOKUP($AH86,areaCercaPuntiClassificaSquadra,3,FALSE),-2)),SUMIFS(Dati!$E$2:$E$761,Dati!$A$2:$A$761,$H86,Dati!$H$2:$H$761,$AH86)+SUMIFS(Dati!$L$2:$L$761,Dati!$H$2:$H$761,$H86,Dati!$A$2:$A$761,$AH86),"-")</f>
        <v/>
      </c>
      <c r="CW86" s="22">
        <f>IF(AND($H86&lt;&gt;"",$AI86&lt;&gt;"",$H86&lt;&gt;$AI86,IFERROR(VLOOKUP($H86,areaCercaPuntiClassificaSquadra,3,FALSE),-1)=IFERROR(VLOOKUP($AI86,areaCercaPuntiClassificaSquadra,3,FALSE),-2)),SUMIFS(Dati!$E$2:$E$761,Dati!$A$2:$A$761,$H86,Dati!$H$2:$H$761,$AI86)+SUMIFS(Dati!$L$2:$L$761,Dati!$H$2:$H$761,$H86,Dati!$A$2:$A$761,$AI86),"-")</f>
        <v/>
      </c>
      <c r="CX86" s="22">
        <f>IF(AND($H86&lt;&gt;"",$AJ86&lt;&gt;"",$H86&lt;&gt;$AJ86,IFERROR(VLOOKUP($H86,areaCercaPuntiClassificaSquadra,3,FALSE),-1)=IFERROR(VLOOKUP($AJ86,areaCercaPuntiClassificaSquadra,3,FALSE),-2)),SUMIFS(Dati!$E$2:$E$761,Dati!$A$2:$A$761,$H86,Dati!$H$2:$H$761,$AJ86)+SUMIFS(Dati!$L$2:$L$761,Dati!$H$2:$H$761,$H86,Dati!$A$2:$A$761,$AJ86),"-")</f>
        <v/>
      </c>
      <c r="CY86" s="22">
        <f>IF(AND($H86&lt;&gt;"",$AK86&lt;&gt;"",$H86&lt;&gt;$AK86,IFERROR(VLOOKUP($H86,areaCercaPuntiClassificaSquadra,3,FALSE),-1)=IFERROR(VLOOKUP($AK86,areaCercaPuntiClassificaSquadra,3,FALSE),-2)),SUMIFS(Dati!$E$2:$E$761,Dati!$A$2:$A$761,$H86,Dati!$H$2:$H$761,$AK86)+SUMIFS(Dati!$L$2:$L$761,Dati!$H$2:$H$761,$H86,Dati!$A$2:$A$761,$AK86),"-")</f>
        <v/>
      </c>
      <c r="CZ86" s="22">
        <f>IF(AND($H86&lt;&gt;"",$AL86&lt;&gt;"",$H86&lt;&gt;$AL86,IFERROR(VLOOKUP($H86,areaCercaPuntiClassificaSquadra,3,FALSE),-1)=IFERROR(VLOOKUP($AL86,areaCercaPuntiClassificaSquadra,3,FALSE),-2)),SUMIFS(Dati!$E$2:$E$761,Dati!$A$2:$A$761,$H86,Dati!$H$2:$H$761,$AL86)+SUMIFS(Dati!$L$2:$L$761,Dati!$H$2:$H$761,$H86,Dati!$A$2:$A$761,$AL86),"-")</f>
        <v/>
      </c>
      <c r="DA86" s="22">
        <f>IF(AND($H86&lt;&gt;"",$AM86&lt;&gt;"",$H86&lt;&gt;$AM86,IFERROR(VLOOKUP($H86,areaCercaPuntiClassificaSquadra,3,FALSE),-1)=IFERROR(VLOOKUP($AM86,areaCercaPuntiClassificaSquadra,3,FALSE),-2)),SUMIFS(Dati!$E$2:$E$761,Dati!$A$2:$A$761,$H86,Dati!$H$2:$H$761,$AM86)+SUMIFS(Dati!$L$2:$L$761,Dati!$H$2:$H$761,$H86,Dati!$A$2:$A$761,$AM86),"-")</f>
        <v/>
      </c>
      <c r="DB86" s="22">
        <f>IF(AND($H86&lt;&gt;"",$AN86&lt;&gt;"",$H86&lt;&gt;$AN86,IFERROR(VLOOKUP($H86,areaCercaPuntiClassificaSquadra,3,FALSE),-1)=IFERROR(VLOOKUP($AN86,areaCercaPuntiClassificaSquadra,3,FALSE),-2)),SUMIFS(Dati!$E$2:$E$761,Dati!$A$2:$A$761,$H86,Dati!$H$2:$H$761,$AN86)+SUMIFS(Dati!$L$2:$L$761,Dati!$H$2:$H$761,$H86,Dati!$A$2:$A$761,$AN86),"-")</f>
        <v/>
      </c>
      <c r="DC86" s="22">
        <f>IF(AND($H86&lt;&gt;"",$AO86&lt;&gt;"",$H86&lt;&gt;$AO86,IFERROR(VLOOKUP($H86,areaCercaPuntiClassificaSquadra,3,FALSE),-1)=IFERROR(VLOOKUP($AO86,areaCercaPuntiClassificaSquadra,3,FALSE),-2)),SUMIFS(Dati!$E$2:$E$761,Dati!$A$2:$A$761,$H86,Dati!$H$2:$H$761,$AO86)+SUMIFS(Dati!$L$2:$L$761,Dati!$H$2:$H$761,$H86,Dati!$A$2:$A$761,$AO86),"-")</f>
        <v/>
      </c>
      <c r="DD86" s="22">
        <f>IF(AND($H86&lt;&gt;"",$AP86&lt;&gt;"",$H86&lt;&gt;$AP86,IFERROR(VLOOKUP($H86,areaCercaPuntiClassificaSquadra,3,FALSE),-1)=IFERROR(VLOOKUP($AP86,areaCercaPuntiClassificaSquadra,3,FALSE),-2)),SUMIFS(Dati!$E$2:$E$761,Dati!$A$2:$A$761,$H86,Dati!$H$2:$H$761,$AP86)+SUMIFS(Dati!$L$2:$L$761,Dati!$H$2:$H$761,$H86,Dati!$A$2:$A$761,$AP86),"-")</f>
        <v/>
      </c>
      <c r="DE86" s="22">
        <f>IF(AND($H86&lt;&gt;"",$AQ86&lt;&gt;"",$H86&lt;&gt;$AQ86,IFERROR(VLOOKUP($H86,areaCercaPuntiClassificaSquadra,3,FALSE),-1)=IFERROR(VLOOKUP($AQ86,areaCercaPuntiClassificaSquadra,3,FALSE),-2)),SUMIFS(Dati!$E$2:$E$761,Dati!$A$2:$A$761,$H86,Dati!$H$2:$H$761,$AQ86)+SUMIFS(Dati!$L$2:$L$761,Dati!$H$2:$H$761,$H86,Dati!$A$2:$A$761,$AQ86),"-")</f>
        <v/>
      </c>
      <c r="DF86" s="22">
        <f>IF(AND($H86&lt;&gt;"",$AR86&lt;&gt;"",$H86&lt;&gt;$AR86,IFERROR(VLOOKUP($H86,areaCercaPuntiClassificaSquadra,3,FALSE),-1)=IFERROR(VLOOKUP($AR86,areaCercaPuntiClassificaSquadra,3,FALSE),-2)),SUMIFS(Dati!$E$2:$E$761,Dati!$A$2:$A$761,$H86,Dati!$H$2:$H$761,$AR86)+SUMIFS(Dati!$L$2:$L$761,Dati!$H$2:$H$761,$H86,Dati!$A$2:$A$761,$AR86),"-")</f>
        <v/>
      </c>
      <c r="DH86" s="21">
        <f>$C86</f>
        <v/>
      </c>
      <c r="DI86" s="22">
        <f>IF(AND($H86&lt;&gt;"",$Y86&lt;&gt;"",$H86&lt;&gt;$Y86,IFERROR(VLOOKUP($H86,areaCercaPuntiClassificaSquadra,3,FALSE),-1)=IFERROR(VLOOKUP($Y86,areaCercaPuntiClassificaSquadra,3,FALSE),-2)),SUMIFS(Dati!$F$2:$F$761,Dati!$A$2:$A$761,$H86,Dati!$H$2:$H$761,$Y86)+SUMIFS(Dati!$M$2:$M$761,Dati!$H$2:$H$761,$H86,Dati!$A$2:$A$761,$Y86),"-")</f>
        <v/>
      </c>
      <c r="DJ86" s="22">
        <f>IF(AND($H86&lt;&gt;"",$Z86&lt;&gt;"",$H86&lt;&gt;$Z86,IFERROR(VLOOKUP($H86,areaCercaPuntiClassificaSquadra,3,FALSE),-1)=IFERROR(VLOOKUP($Z86,areaCercaPuntiClassificaSquadra,3,FALSE),-2)),SUMIFS(Dati!$F$2:$F$761,Dati!$A$2:$A$761,$H86,Dati!$H$2:$H$761,$Z86)+SUMIFS(Dati!$M$2:$M$761,Dati!$H$2:$H$761,$H86,Dati!$A$2:$A$761,$Z86),"-")</f>
        <v/>
      </c>
      <c r="DK86" s="22">
        <f>IF(AND($H86&lt;&gt;"",$AA86&lt;&gt;"",$H86&lt;&gt;$AA86,IFERROR(VLOOKUP($H86,areaCercaPuntiClassificaSquadra,3,FALSE),-1)=IFERROR(VLOOKUP($AA86,areaCercaPuntiClassificaSquadra,3,FALSE),-2)),SUMIFS(Dati!$F$2:$F$761,Dati!$A$2:$A$761,$H86,Dati!$H$2:$H$761,$AA86)+SUMIFS(Dati!$M$2:$M$761,Dati!$H$2:$H$761,$H86,Dati!$A$2:$A$761,$AA86),"-")</f>
        <v/>
      </c>
      <c r="DL86" s="22">
        <f>IF(AND($H86&lt;&gt;"",$AB86&lt;&gt;"",$H86&lt;&gt;$AB86,IFERROR(VLOOKUP($H86,areaCercaPuntiClassificaSquadra,3,FALSE),-1)=IFERROR(VLOOKUP($AB86,areaCercaPuntiClassificaSquadra,3,FALSE),-2)),SUMIFS(Dati!$F$2:$F$761,Dati!$A$2:$A$761,$H86,Dati!$H$2:$H$761,$AB86)+SUMIFS(Dati!$M$2:$M$761,Dati!$H$2:$H$761,$H86,Dati!$A$2:$A$761,$AB86),"-")</f>
        <v/>
      </c>
      <c r="DM86" s="22">
        <f>IF(AND($H86&lt;&gt;"",$AC86&lt;&gt;"",$H86&lt;&gt;$AC86,IFERROR(VLOOKUP($H86,areaCercaPuntiClassificaSquadra,3,FALSE),-1)=IFERROR(VLOOKUP($AC86,areaCercaPuntiClassificaSquadra,3,FALSE),-2)),SUMIFS(Dati!$F$2:$F$761,Dati!$A$2:$A$761,$H86,Dati!$H$2:$H$761,$AC86)+SUMIFS(Dati!$M$2:$M$761,Dati!$H$2:$H$761,$H86,Dati!$A$2:$A$761,$AC86),"-")</f>
        <v/>
      </c>
      <c r="DN86" s="22">
        <f>IF(AND($H86&lt;&gt;"",$AD86&lt;&gt;"",$H86&lt;&gt;$AD86,IFERROR(VLOOKUP($H86,areaCercaPuntiClassificaSquadra,3,FALSE),-1)=IFERROR(VLOOKUP($AD86,areaCercaPuntiClassificaSquadra,3,FALSE),-2)),SUMIFS(Dati!$F$2:$F$761,Dati!$A$2:$A$761,$H86,Dati!$H$2:$H$761,$AD86)+SUMIFS(Dati!$M$2:$M$761,Dati!$H$2:$H$761,$H86,Dati!$A$2:$A$761,$AD86),"-")</f>
        <v/>
      </c>
      <c r="DO86" s="22">
        <f>IF(AND($H86&lt;&gt;"",$AE86&lt;&gt;"",$H86&lt;&gt;$AE86,IFERROR(VLOOKUP($H86,areaCercaPuntiClassificaSquadra,3,FALSE),-1)=IFERROR(VLOOKUP($AE86,areaCercaPuntiClassificaSquadra,3,FALSE),-2)),SUMIFS(Dati!$F$2:$F$761,Dati!$A$2:$A$761,$H86,Dati!$H$2:$H$761,$AE86)+SUMIFS(Dati!$M$2:$M$761,Dati!$H$2:$H$761,$H86,Dati!$A$2:$A$761,$AE86),"-")</f>
        <v/>
      </c>
      <c r="DP86" s="22">
        <f>IF(AND($H86&lt;&gt;"",$AF86&lt;&gt;"",$H86&lt;&gt;$AF86,IFERROR(VLOOKUP($H86,areaCercaPuntiClassificaSquadra,3,FALSE),-1)=IFERROR(VLOOKUP($AF86,areaCercaPuntiClassificaSquadra,3,FALSE),-2)),SUMIFS(Dati!$F$2:$F$761,Dati!$A$2:$A$761,$H86,Dati!$H$2:$H$761,$AF86)+SUMIFS(Dati!$M$2:$M$761,Dati!$H$2:$H$761,$H86,Dati!$A$2:$A$761,$AF86),"-")</f>
        <v/>
      </c>
      <c r="DQ86" s="22">
        <f>IF(AND($H86&lt;&gt;"",$AG86&lt;&gt;"",$H86&lt;&gt;$AG86,IFERROR(VLOOKUP($H86,areaCercaPuntiClassificaSquadra,3,FALSE),-1)=IFERROR(VLOOKUP($AG86,areaCercaPuntiClassificaSquadra,3,FALSE),-2)),SUMIFS(Dati!$F$2:$F$761,Dati!$A$2:$A$761,$H86,Dati!$H$2:$H$761,$AG86)+SUMIFS(Dati!$M$2:$M$761,Dati!$H$2:$H$761,$H86,Dati!$A$2:$A$761,$AG86),"-")</f>
        <v/>
      </c>
      <c r="DR86" s="22">
        <f>IF(AND($H86&lt;&gt;"",$AH86&lt;&gt;"",$H86&lt;&gt;$AH86,IFERROR(VLOOKUP($H86,areaCercaPuntiClassificaSquadra,3,FALSE),-1)=IFERROR(VLOOKUP($AH86,areaCercaPuntiClassificaSquadra,3,FALSE),-2)),SUMIFS(Dati!$F$2:$F$761,Dati!$A$2:$A$761,$H86,Dati!$H$2:$H$761,$AH86)+SUMIFS(Dati!$M$2:$M$761,Dati!$H$2:$H$761,$H86,Dati!$A$2:$A$761,$AH86),"-")</f>
        <v/>
      </c>
      <c r="DS86" s="22">
        <f>IF(AND($H86&lt;&gt;"",$AI86&lt;&gt;"",$H86&lt;&gt;$AI86,IFERROR(VLOOKUP($H86,areaCercaPuntiClassificaSquadra,3,FALSE),-1)=IFERROR(VLOOKUP($AI86,areaCercaPuntiClassificaSquadra,3,FALSE),-2)),SUMIFS(Dati!$F$2:$F$761,Dati!$A$2:$A$761,$H86,Dati!$H$2:$H$761,$AI86)+SUMIFS(Dati!$M$2:$M$761,Dati!$H$2:$H$761,$H86,Dati!$A$2:$A$761,$AI86),"-")</f>
        <v/>
      </c>
      <c r="DT86" s="22">
        <f>IF(AND($H86&lt;&gt;"",$AJ86&lt;&gt;"",$H86&lt;&gt;$AJ86,IFERROR(VLOOKUP($H86,areaCercaPuntiClassificaSquadra,3,FALSE),-1)=IFERROR(VLOOKUP($AJ86,areaCercaPuntiClassificaSquadra,3,FALSE),-2)),SUMIFS(Dati!$F$2:$F$761,Dati!$A$2:$A$761,$H86,Dati!$H$2:$H$761,$AJ86)+SUMIFS(Dati!$M$2:$M$761,Dati!$H$2:$H$761,$H86,Dati!$A$2:$A$761,$AJ86),"-")</f>
        <v/>
      </c>
      <c r="DU86" s="22">
        <f>IF(AND($H86&lt;&gt;"",$AK86&lt;&gt;"",$H86&lt;&gt;$AK86,IFERROR(VLOOKUP($H86,areaCercaPuntiClassificaSquadra,3,FALSE),-1)=IFERROR(VLOOKUP($AK86,areaCercaPuntiClassificaSquadra,3,FALSE),-2)),SUMIFS(Dati!$F$2:$F$761,Dati!$A$2:$A$761,$H86,Dati!$H$2:$H$761,$AK86)+SUMIFS(Dati!$M$2:$M$761,Dati!$H$2:$H$761,$H86,Dati!$A$2:$A$761,$AK86),"-")</f>
        <v/>
      </c>
      <c r="DV86" s="22">
        <f>IF(AND($H86&lt;&gt;"",$AL86&lt;&gt;"",$H86&lt;&gt;$AL86,IFERROR(VLOOKUP($H86,areaCercaPuntiClassificaSquadra,3,FALSE),-1)=IFERROR(VLOOKUP($AL86,areaCercaPuntiClassificaSquadra,3,FALSE),-2)),SUMIFS(Dati!$F$2:$F$761,Dati!$A$2:$A$761,$H86,Dati!$H$2:$H$761,$AL86)+SUMIFS(Dati!$M$2:$M$761,Dati!$H$2:$H$761,$H86,Dati!$A$2:$A$761,$AL86),"-")</f>
        <v/>
      </c>
      <c r="DW86" s="22">
        <f>IF(AND($H86&lt;&gt;"",$AM86&lt;&gt;"",$H86&lt;&gt;$AM86,IFERROR(VLOOKUP($H86,areaCercaPuntiClassificaSquadra,3,FALSE),-1)=IFERROR(VLOOKUP($AM86,areaCercaPuntiClassificaSquadra,3,FALSE),-2)),SUMIFS(Dati!$F$2:$F$761,Dati!$A$2:$A$761,$H86,Dati!$H$2:$H$761,$AM86)+SUMIFS(Dati!$M$2:$M$761,Dati!$H$2:$H$761,$H86,Dati!$A$2:$A$761,$AM86),"-")</f>
        <v/>
      </c>
      <c r="DX86" s="22">
        <f>IF(AND($H86&lt;&gt;"",$AN86&lt;&gt;"",$H86&lt;&gt;$AN86,IFERROR(VLOOKUP($H86,areaCercaPuntiClassificaSquadra,3,FALSE),-1)=IFERROR(VLOOKUP($AN86,areaCercaPuntiClassificaSquadra,3,FALSE),-2)),SUMIFS(Dati!$F$2:$F$761,Dati!$A$2:$A$761,$H86,Dati!$H$2:$H$761,$AN86)+SUMIFS(Dati!$M$2:$M$761,Dati!$H$2:$H$761,$H86,Dati!$A$2:$A$761,$AN86),"-")</f>
        <v/>
      </c>
      <c r="DY86" s="22">
        <f>IF(AND($H86&lt;&gt;"",$AO86&lt;&gt;"",$H86&lt;&gt;$AO86,IFERROR(VLOOKUP($H86,areaCercaPuntiClassificaSquadra,3,FALSE),-1)=IFERROR(VLOOKUP($AO86,areaCercaPuntiClassificaSquadra,3,FALSE),-2)),SUMIFS(Dati!$F$2:$F$761,Dati!$A$2:$A$761,$H86,Dati!$H$2:$H$761,$AO86)+SUMIFS(Dati!$M$2:$M$761,Dati!$H$2:$H$761,$H86,Dati!$A$2:$A$761,$AO86),"-")</f>
        <v/>
      </c>
      <c r="DZ86" s="22">
        <f>IF(AND($H86&lt;&gt;"",$AP86&lt;&gt;"",$H86&lt;&gt;$AP86,IFERROR(VLOOKUP($H86,areaCercaPuntiClassificaSquadra,3,FALSE),-1)=IFERROR(VLOOKUP($AP86,areaCercaPuntiClassificaSquadra,3,FALSE),-2)),SUMIFS(Dati!$F$2:$F$761,Dati!$A$2:$A$761,$H86,Dati!$H$2:$H$761,$AP86)+SUMIFS(Dati!$M$2:$M$761,Dati!$H$2:$H$761,$H86,Dati!$A$2:$A$761,$AP86),"-")</f>
        <v/>
      </c>
      <c r="EA86" s="22">
        <f>IF(AND($H86&lt;&gt;"",$AQ86&lt;&gt;"",$H86&lt;&gt;$AQ86,IFERROR(VLOOKUP($H86,areaCercaPuntiClassificaSquadra,3,FALSE),-1)=IFERROR(VLOOKUP($AQ86,areaCercaPuntiClassificaSquadra,3,FALSE),-2)),SUMIFS(Dati!$F$2:$F$761,Dati!$A$2:$A$761,$H86,Dati!$H$2:$H$761,$AQ86)+SUMIFS(Dati!$M$2:$M$761,Dati!$H$2:$H$761,$H86,Dati!$A$2:$A$761,$AQ86),"-")</f>
        <v/>
      </c>
      <c r="EB86" s="22">
        <f>IF(AND($H86&lt;&gt;"",$AR86&lt;&gt;"",$H86&lt;&gt;$AR86,IFERROR(VLOOKUP($H86,areaCercaPuntiClassificaSquadra,3,FALSE),-1)=IFERROR(VLOOKUP($AR86,areaCercaPuntiClassificaSquadra,3,FALSE),-2)),SUMIFS(Dati!$F$2:$F$761,Dati!$A$2:$A$761,$H86,Dati!$H$2:$H$761,$AR86)+SUMIFS(Dati!$M$2:$M$761,Dati!$H$2:$H$761,$H86,Dati!$A$2:$A$761,$AR86),"-")</f>
        <v/>
      </c>
      <c r="ED86" s="22">
        <f>IF($C86="","",SUM(AU86:BN86))</f>
        <v/>
      </c>
    </row>
    <row r="87">
      <c r="B87" s="12" t="inlineStr">
        <is>
          <t>D14</t>
        </is>
      </c>
      <c r="C87" s="13" t="inlineStr">
        <is>
          <t>Fagiani Feroci-Fagianiopoli FO</t>
        </is>
      </c>
      <c r="D87" s="14" t="n"/>
      <c r="E87" s="27" t="inlineStr">
        <is>
          <t>D</t>
        </is>
      </c>
      <c r="G87" s="28">
        <f>IF($C87="","",$E87&amp;(COUNTIFS(I$14:I$93,"&gt;"&amp;I87,E$14:E$93,"="&amp;E87,C$14:C$93,"&lt;&gt;")+COUNTIFS(I$14:I$93,"="&amp;I87,H$14:H$93,"&lt;="&amp;H87,E$14:E$93,"="&amp;E87,C$14:C$93,"&lt;&gt;")))</f>
        <v/>
      </c>
      <c r="H87" s="17">
        <f>IF($C87="","",IFERROR(LEFT($C87,FIND("-",$C87)-1),$C87))</f>
        <v/>
      </c>
      <c r="I87" s="12">
        <f>TEXT(1000000000+J87,"|0000000000|")&amp;TEXT(SUM(AU87:BN87),"0000000000|")&amp;IF(SUM(DI87:EB87)=0,"0000000000|",TEXT(ROUND(SUM(CM87:DF87)/SUM(DI87:EB87),4)*100000,"0000000000|"))&amp;IF(P87=0,"0000000000|",TEXT(ROUND(O87/P87,4)*100000,"0000000000|"))</f>
        <v/>
      </c>
      <c r="J87" s="28">
        <f>L87*constPuntiVittoria+M87*constPuntiSconfitta+N87*constPuntiForfait+IF(D87="",0,D87)</f>
        <v/>
      </c>
      <c r="K87" s="12">
        <f>SUM(L87:N87)</f>
        <v/>
      </c>
      <c r="L87" s="12">
        <f>IF($H87="",0,SUMIF(Dati!$A$2:$A$761,$H87,Dati!$B$2:$B$761)+SUMIF(Dati!$H$2:$H$761,$H87,Dati!$I$2:$I$761))</f>
        <v/>
      </c>
      <c r="M87" s="12">
        <f>IF($H87="",0,SUMIF(Dati!$A$2:$A$761,$H87,Dati!$D$2:$D$761)+SUMIF(Dati!$H$2:$H$761,$H87,Dati!$K$2:$K$761))</f>
        <v/>
      </c>
      <c r="N87" s="12">
        <f>IF($H87="",0,SUMIF(Dati!$A$2:$A$761,$H87,Dati!$C$2:$C$761)+SUMIF(Dati!$H$2:$H$761,$H87,Dati!$J$2:$J$761))</f>
        <v/>
      </c>
      <c r="O87" s="12">
        <f>IF($H87="",0,SUMIF(Dati!$A$2:$A$761,$H87,Dati!$E$2:$E$761)+SUMIF(Dati!$H$2:$H$761,$H87,Dati!$L$2:$L$761))</f>
        <v/>
      </c>
      <c r="P87" s="12">
        <f>IF($H87="",0,SUMIF(Dati!$A$2:$A$761,$H87,Dati!$F$2:$F$761)+SUMIF(Dati!$H$2:$H$761,$H87,Dati!$M$2:$M$761))</f>
        <v/>
      </c>
      <c r="Q87" s="12">
        <f>IF($H87="",0,SUMIF(Dati!$A$2:$A$761,$H87,Dati!$G$2:$G$761)+SUMIF(Dati!$H$2:$H$761,$H87,Dati!$N$2:$N$761))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IF(COUNTIFS($E$14:$E$93,$E87,$J$14:$J$93,$J87,$C$14:$C$93,"&lt;&gt;")&lt;=1,"-",SUM(AU87:BN87)&amp;"-"&amp;SUM(BQ87:CJ87))</f>
        <v/>
      </c>
      <c r="V87" s="18">
        <f>IF(COUNTIFS($E$14:$E$93,$E87,$J$14:$J$93,$J87,$C$14:$C$93,"&lt;&gt;",$ED$14:$ED$93,$ED87)&lt;=1,"-",IF(SUM(DI87:EB87)=0,0,ROUND(SUM(CM87:DF87)/SUM(DI87:EB87),3)))</f>
        <v/>
      </c>
      <c r="W87" s="18">
        <f>IF(COUNTIFS($E$14:$E$93,$E87,$J$14:$J$93,$J87,$C$14:$C$93,"&lt;&gt;",$ED$14:$ED$93,$ED87,$V$14:$V$93,$V87)&lt;=1,"-",IF(P87=0,0,ROUND(O87/P87,3)))</f>
        <v/>
      </c>
      <c r="X87" s="19">
        <f>IF($C87="","",$E87&amp;"#"&amp;COUNTIFS($E$14:$E87,$E87,$C$14:$C87,"&lt;&gt;"))</f>
        <v/>
      </c>
      <c r="Y87" s="20">
        <f>IFERROR(INDEX($H$14:$H$93,MATCH($E87&amp;"#1",$X$14:$X$93,0)),"")</f>
        <v/>
      </c>
      <c r="Z87" s="20">
        <f>IFERROR(INDEX($H$14:$H$93,MATCH($E87&amp;"#2",$X$14:$X$93,0)),"")</f>
        <v/>
      </c>
      <c r="AA87" s="20">
        <f>IFERROR(INDEX($H$14:$H$93,MATCH($E87&amp;"#3",$X$14:$X$93,0)),"")</f>
        <v/>
      </c>
      <c r="AB87" s="20">
        <f>IFERROR(INDEX($H$14:$H$93,MATCH($E87&amp;"#4",$X$14:$X$93,0)),"")</f>
        <v/>
      </c>
      <c r="AC87" s="20">
        <f>IFERROR(INDEX($H$14:$H$93,MATCH($E87&amp;"#5",$X$14:$X$93,0)),"")</f>
        <v/>
      </c>
      <c r="AD87" s="20">
        <f>IFERROR(INDEX($H$14:$H$93,MATCH($E87&amp;"#6",$X$14:$X$93,0)),"")</f>
        <v/>
      </c>
      <c r="AE87" s="20">
        <f>IFERROR(INDEX($H$14:$H$93,MATCH($E87&amp;"#7",$X$14:$X$93,0)),"")</f>
        <v/>
      </c>
      <c r="AF87" s="20">
        <f>IFERROR(INDEX($H$14:$H$93,MATCH($E87&amp;"#8",$X$14:$X$93,0)),"")</f>
        <v/>
      </c>
      <c r="AG87" s="20">
        <f>IFERROR(INDEX($H$14:$H$93,MATCH($E87&amp;"#9",$X$14:$X$93,0)),"")</f>
        <v/>
      </c>
      <c r="AH87" s="20">
        <f>IFERROR(INDEX($H$14:$H$93,MATCH($E87&amp;"#10",$X$14:$X$93,0)),"")</f>
        <v/>
      </c>
      <c r="AI87" s="20">
        <f>IFERROR(INDEX($H$14:$H$93,MATCH($E87&amp;"#11",$X$14:$X$93,0)),"")</f>
        <v/>
      </c>
      <c r="AJ87" s="20">
        <f>IFERROR(INDEX($H$14:$H$93,MATCH($E87&amp;"#12",$X$14:$X$93,0)),"")</f>
        <v/>
      </c>
      <c r="AK87" s="20">
        <f>IFERROR(INDEX($H$14:$H$93,MATCH($E87&amp;"#13",$X$14:$X$93,0)),"")</f>
        <v/>
      </c>
      <c r="AL87" s="20">
        <f>IFERROR(INDEX($H$14:$H$93,MATCH($E87&amp;"#14",$X$14:$X$93,0)),"")</f>
        <v/>
      </c>
      <c r="AM87" s="20">
        <f>IFERROR(INDEX($H$14:$H$93,MATCH($E87&amp;"#15",$X$14:$X$93,0)),"")</f>
        <v/>
      </c>
      <c r="AN87" s="20">
        <f>IFERROR(INDEX($H$14:$H$93,MATCH($E87&amp;"#16",$X$14:$X$93,0)),"")</f>
        <v/>
      </c>
      <c r="AO87" s="20">
        <f>IFERROR(INDEX($H$14:$H$93,MATCH($E87&amp;"#17",$X$14:$X$93,0)),"")</f>
        <v/>
      </c>
      <c r="AP87" s="20">
        <f>IFERROR(INDEX($H$14:$H$93,MATCH($E87&amp;"#18",$X$14:$X$93,0)),"")</f>
        <v/>
      </c>
      <c r="AQ87" s="20">
        <f>IFERROR(INDEX($H$14:$H$93,MATCH($E87&amp;"#19",$X$14:$X$93,0)),"")</f>
        <v/>
      </c>
      <c r="AR87" s="20">
        <f>IFERROR(INDEX($H$14:$H$93,MATCH($E87&amp;"#20",$X$14:$X$93,0)),"")</f>
        <v/>
      </c>
      <c r="AT87" s="21">
        <f>$C87</f>
        <v/>
      </c>
      <c r="AU87" s="22">
        <f>IF(AND($H87&lt;&gt;"",$Y87&lt;&gt;"",$H87&lt;&gt;$Y87,IFERROR(VLOOKUP($H87,areaCercaPuntiClassificaSquadra,3,FALSE),-1)=IFERROR(VLOOKUP($Y87,areaCercaPuntiClassificaSquadra,3,FALSE),-2)),SUMIFS(Dati!$B$2:$B$761,Dati!$A$2:$A$761,$H87,Dati!$H$2:$H$761,$Y87)+SUMIFS(Dati!$I$2:$I$761,Dati!$H$2:$H$761,$H87,Dati!$A$2:$A$761,$Y87),"-")</f>
        <v/>
      </c>
      <c r="AV87" s="22">
        <f>IF(AND($H87&lt;&gt;"",$Z87&lt;&gt;"",$H87&lt;&gt;$Z87,IFERROR(VLOOKUP($H87,areaCercaPuntiClassificaSquadra,3,FALSE),-1)=IFERROR(VLOOKUP($Z87,areaCercaPuntiClassificaSquadra,3,FALSE),-2)),SUMIFS(Dati!$B$2:$B$761,Dati!$A$2:$A$761,$H87,Dati!$H$2:$H$761,$Z87)+SUMIFS(Dati!$I$2:$I$761,Dati!$H$2:$H$761,$H87,Dati!$A$2:$A$761,$Z87),"-")</f>
        <v/>
      </c>
      <c r="AW87" s="22">
        <f>IF(AND($H87&lt;&gt;"",$AA87&lt;&gt;"",$H87&lt;&gt;$AA87,IFERROR(VLOOKUP($H87,areaCercaPuntiClassificaSquadra,3,FALSE),-1)=IFERROR(VLOOKUP($AA87,areaCercaPuntiClassificaSquadra,3,FALSE),-2)),SUMIFS(Dati!$B$2:$B$761,Dati!$A$2:$A$761,$H87,Dati!$H$2:$H$761,$AA87)+SUMIFS(Dati!$I$2:$I$761,Dati!$H$2:$H$761,$H87,Dati!$A$2:$A$761,$AA87),"-")</f>
        <v/>
      </c>
      <c r="AX87" s="22">
        <f>IF(AND($H87&lt;&gt;"",$AB87&lt;&gt;"",$H87&lt;&gt;$AB87,IFERROR(VLOOKUP($H87,areaCercaPuntiClassificaSquadra,3,FALSE),-1)=IFERROR(VLOOKUP($AB87,areaCercaPuntiClassificaSquadra,3,FALSE),-2)),SUMIFS(Dati!$B$2:$B$761,Dati!$A$2:$A$761,$H87,Dati!$H$2:$H$761,$AB87)+SUMIFS(Dati!$I$2:$I$761,Dati!$H$2:$H$761,$H87,Dati!$A$2:$A$761,$AB87),"-")</f>
        <v/>
      </c>
      <c r="AY87" s="22">
        <f>IF(AND($H87&lt;&gt;"",$AC87&lt;&gt;"",$H87&lt;&gt;$AC87,IFERROR(VLOOKUP($H87,areaCercaPuntiClassificaSquadra,3,FALSE),-1)=IFERROR(VLOOKUP($AC87,areaCercaPuntiClassificaSquadra,3,FALSE),-2)),SUMIFS(Dati!$B$2:$B$761,Dati!$A$2:$A$761,$H87,Dati!$H$2:$H$761,$AC87)+SUMIFS(Dati!$I$2:$I$761,Dati!$H$2:$H$761,$H87,Dati!$A$2:$A$761,$AC87),"-")</f>
        <v/>
      </c>
      <c r="AZ87" s="22">
        <f>IF(AND($H87&lt;&gt;"",$AD87&lt;&gt;"",$H87&lt;&gt;$AD87,IFERROR(VLOOKUP($H87,areaCercaPuntiClassificaSquadra,3,FALSE),-1)=IFERROR(VLOOKUP($AD87,areaCercaPuntiClassificaSquadra,3,FALSE),-2)),SUMIFS(Dati!$B$2:$B$761,Dati!$A$2:$A$761,$H87,Dati!$H$2:$H$761,$AD87)+SUMIFS(Dati!$I$2:$I$761,Dati!$H$2:$H$761,$H87,Dati!$A$2:$A$761,$AD87),"-")</f>
        <v/>
      </c>
      <c r="BA87" s="22">
        <f>IF(AND($H87&lt;&gt;"",$AE87&lt;&gt;"",$H87&lt;&gt;$AE87,IFERROR(VLOOKUP($H87,areaCercaPuntiClassificaSquadra,3,FALSE),-1)=IFERROR(VLOOKUP($AE87,areaCercaPuntiClassificaSquadra,3,FALSE),-2)),SUMIFS(Dati!$B$2:$B$761,Dati!$A$2:$A$761,$H87,Dati!$H$2:$H$761,$AE87)+SUMIFS(Dati!$I$2:$I$761,Dati!$H$2:$H$761,$H87,Dati!$A$2:$A$761,$AE87),"-")</f>
        <v/>
      </c>
      <c r="BB87" s="22">
        <f>IF(AND($H87&lt;&gt;"",$AF87&lt;&gt;"",$H87&lt;&gt;$AF87,IFERROR(VLOOKUP($H87,areaCercaPuntiClassificaSquadra,3,FALSE),-1)=IFERROR(VLOOKUP($AF87,areaCercaPuntiClassificaSquadra,3,FALSE),-2)),SUMIFS(Dati!$B$2:$B$761,Dati!$A$2:$A$761,$H87,Dati!$H$2:$H$761,$AF87)+SUMIFS(Dati!$I$2:$I$761,Dati!$H$2:$H$761,$H87,Dati!$A$2:$A$761,$AF87),"-")</f>
        <v/>
      </c>
      <c r="BC87" s="22">
        <f>IF(AND($H87&lt;&gt;"",$AG87&lt;&gt;"",$H87&lt;&gt;$AG87,IFERROR(VLOOKUP($H87,areaCercaPuntiClassificaSquadra,3,FALSE),-1)=IFERROR(VLOOKUP($AG87,areaCercaPuntiClassificaSquadra,3,FALSE),-2)),SUMIFS(Dati!$B$2:$B$761,Dati!$A$2:$A$761,$H87,Dati!$H$2:$H$761,$AG87)+SUMIFS(Dati!$I$2:$I$761,Dati!$H$2:$H$761,$H87,Dati!$A$2:$A$761,$AG87),"-")</f>
        <v/>
      </c>
      <c r="BD87" s="22">
        <f>IF(AND($H87&lt;&gt;"",$AH87&lt;&gt;"",$H87&lt;&gt;$AH87,IFERROR(VLOOKUP($H87,areaCercaPuntiClassificaSquadra,3,FALSE),-1)=IFERROR(VLOOKUP($AH87,areaCercaPuntiClassificaSquadra,3,FALSE),-2)),SUMIFS(Dati!$B$2:$B$761,Dati!$A$2:$A$761,$H87,Dati!$H$2:$H$761,$AH87)+SUMIFS(Dati!$I$2:$I$761,Dati!$H$2:$H$761,$H87,Dati!$A$2:$A$761,$AH87),"-")</f>
        <v/>
      </c>
      <c r="BE87" s="22">
        <f>IF(AND($H87&lt;&gt;"",$AI87&lt;&gt;"",$H87&lt;&gt;$AI87,IFERROR(VLOOKUP($H87,areaCercaPuntiClassificaSquadra,3,FALSE),-1)=IFERROR(VLOOKUP($AI87,areaCercaPuntiClassificaSquadra,3,FALSE),-2)),SUMIFS(Dati!$B$2:$B$761,Dati!$A$2:$A$761,$H87,Dati!$H$2:$H$761,$AI87)+SUMIFS(Dati!$I$2:$I$761,Dati!$H$2:$H$761,$H87,Dati!$A$2:$A$761,$AI87),"-")</f>
        <v/>
      </c>
      <c r="BF87" s="22">
        <f>IF(AND($H87&lt;&gt;"",$AJ87&lt;&gt;"",$H87&lt;&gt;$AJ87,IFERROR(VLOOKUP($H87,areaCercaPuntiClassificaSquadra,3,FALSE),-1)=IFERROR(VLOOKUP($AJ87,areaCercaPuntiClassificaSquadra,3,FALSE),-2)),SUMIFS(Dati!$B$2:$B$761,Dati!$A$2:$A$761,$H87,Dati!$H$2:$H$761,$AJ87)+SUMIFS(Dati!$I$2:$I$761,Dati!$H$2:$H$761,$H87,Dati!$A$2:$A$761,$AJ87),"-")</f>
        <v/>
      </c>
      <c r="BG87" s="22">
        <f>IF(AND($H87&lt;&gt;"",$AK87&lt;&gt;"",$H87&lt;&gt;$AK87,IFERROR(VLOOKUP($H87,areaCercaPuntiClassificaSquadra,3,FALSE),-1)=IFERROR(VLOOKUP($AK87,areaCercaPuntiClassificaSquadra,3,FALSE),-2)),SUMIFS(Dati!$B$2:$B$761,Dati!$A$2:$A$761,$H87,Dati!$H$2:$H$761,$AK87)+SUMIFS(Dati!$I$2:$I$761,Dati!$H$2:$H$761,$H87,Dati!$A$2:$A$761,$AK87),"-")</f>
        <v/>
      </c>
      <c r="BH87" s="22">
        <f>IF(AND($H87&lt;&gt;"",$AL87&lt;&gt;"",$H87&lt;&gt;$AL87,IFERROR(VLOOKUP($H87,areaCercaPuntiClassificaSquadra,3,FALSE),-1)=IFERROR(VLOOKUP($AL87,areaCercaPuntiClassificaSquadra,3,FALSE),-2)),SUMIFS(Dati!$B$2:$B$761,Dati!$A$2:$A$761,$H87,Dati!$H$2:$H$761,$AL87)+SUMIFS(Dati!$I$2:$I$761,Dati!$H$2:$H$761,$H87,Dati!$A$2:$A$761,$AL87),"-")</f>
        <v/>
      </c>
      <c r="BI87" s="22">
        <f>IF(AND($H87&lt;&gt;"",$AM87&lt;&gt;"",$H87&lt;&gt;$AM87,IFERROR(VLOOKUP($H87,areaCercaPuntiClassificaSquadra,3,FALSE),-1)=IFERROR(VLOOKUP($AM87,areaCercaPuntiClassificaSquadra,3,FALSE),-2)),SUMIFS(Dati!$B$2:$B$761,Dati!$A$2:$A$761,$H87,Dati!$H$2:$H$761,$AM87)+SUMIFS(Dati!$I$2:$I$761,Dati!$H$2:$H$761,$H87,Dati!$A$2:$A$761,$AM87),"-")</f>
        <v/>
      </c>
      <c r="BJ87" s="22">
        <f>IF(AND($H87&lt;&gt;"",$AN87&lt;&gt;"",$H87&lt;&gt;$AN87,IFERROR(VLOOKUP($H87,areaCercaPuntiClassificaSquadra,3,FALSE),-1)=IFERROR(VLOOKUP($AN87,areaCercaPuntiClassificaSquadra,3,FALSE),-2)),SUMIFS(Dati!$B$2:$B$761,Dati!$A$2:$A$761,$H87,Dati!$H$2:$H$761,$AN87)+SUMIFS(Dati!$I$2:$I$761,Dati!$H$2:$H$761,$H87,Dati!$A$2:$A$761,$AN87),"-")</f>
        <v/>
      </c>
      <c r="BK87" s="22">
        <f>IF(AND($H87&lt;&gt;"",$AO87&lt;&gt;"",$H87&lt;&gt;$AO87,IFERROR(VLOOKUP($H87,areaCercaPuntiClassificaSquadra,3,FALSE),-1)=IFERROR(VLOOKUP($AO87,areaCercaPuntiClassificaSquadra,3,FALSE),-2)),SUMIFS(Dati!$B$2:$B$761,Dati!$A$2:$A$761,$H87,Dati!$H$2:$H$761,$AO87)+SUMIFS(Dati!$I$2:$I$761,Dati!$H$2:$H$761,$H87,Dati!$A$2:$A$761,$AO87),"-")</f>
        <v/>
      </c>
      <c r="BL87" s="22">
        <f>IF(AND($H87&lt;&gt;"",$AP87&lt;&gt;"",$H87&lt;&gt;$AP87,IFERROR(VLOOKUP($H87,areaCercaPuntiClassificaSquadra,3,FALSE),-1)=IFERROR(VLOOKUP($AP87,areaCercaPuntiClassificaSquadra,3,FALSE),-2)),SUMIFS(Dati!$B$2:$B$761,Dati!$A$2:$A$761,$H87,Dati!$H$2:$H$761,$AP87)+SUMIFS(Dati!$I$2:$I$761,Dati!$H$2:$H$761,$H87,Dati!$A$2:$A$761,$AP87),"-")</f>
        <v/>
      </c>
      <c r="BM87" s="22">
        <f>IF(AND($H87&lt;&gt;"",$AQ87&lt;&gt;"",$H87&lt;&gt;$AQ87,IFERROR(VLOOKUP($H87,areaCercaPuntiClassificaSquadra,3,FALSE),-1)=IFERROR(VLOOKUP($AQ87,areaCercaPuntiClassificaSquadra,3,FALSE),-2)),SUMIFS(Dati!$B$2:$B$761,Dati!$A$2:$A$761,$H87,Dati!$H$2:$H$761,$AQ87)+SUMIFS(Dati!$I$2:$I$761,Dati!$H$2:$H$761,$H87,Dati!$A$2:$A$761,$AQ87),"-")</f>
        <v/>
      </c>
      <c r="BN87" s="22">
        <f>IF(AND($H87&lt;&gt;"",$AR87&lt;&gt;"",$H87&lt;&gt;$AR87,IFERROR(VLOOKUP($H87,areaCercaPuntiClassificaSquadra,3,FALSE),-1)=IFERROR(VLOOKUP($AR87,areaCercaPuntiClassificaSquadra,3,FALSE),-2)),SUMIFS(Dati!$B$2:$B$761,Dati!$A$2:$A$761,$H87,Dati!$H$2:$H$761,$AR87)+SUMIFS(Dati!$I$2:$I$761,Dati!$H$2:$H$761,$H87,Dati!$A$2:$A$761,$AR87),"-")</f>
        <v/>
      </c>
      <c r="BP87" s="21">
        <f>$C87</f>
        <v/>
      </c>
      <c r="BQ87" s="22">
        <f>IF(AND($H87&lt;&gt;"",$Y87&lt;&gt;"",$H87&lt;&gt;$Y87,IFERROR(VLOOKUP($H87,areaCercaPuntiClassificaSquadra,3,FALSE),-1)=IFERROR(VLOOKUP($Y87,areaCercaPuntiClassificaSquadra,3,FALSE),-2)),SUMIFS(Dati!$D$2:$D$761,Dati!$A$2:$A$761,$H87,Dati!$H$2:$H$761,$Y87)+SUMIFS(Dati!$K$2:$K$761,Dati!$H$2:$H$761,$H87,Dati!$A$2:$A$761,$Y87)+SUMIFS(Dati!$C$2:$C$761,Dati!$A$2:$A$761,$H87,Dati!$H$2:$H$761,$Y87)+SUMIFS(Dati!$J$2:$J$761,Dati!$H$2:$H$761,$H87,Dati!$A$2:$A$761,$Y87),"-")</f>
        <v/>
      </c>
      <c r="BR87" s="22">
        <f>IF(AND($H87&lt;&gt;"",$Z87&lt;&gt;"",$H87&lt;&gt;$Z87,IFERROR(VLOOKUP($H87,areaCercaPuntiClassificaSquadra,3,FALSE),-1)=IFERROR(VLOOKUP($Z87,areaCercaPuntiClassificaSquadra,3,FALSE),-2)),SUMIFS(Dati!$D$2:$D$761,Dati!$A$2:$A$761,$H87,Dati!$H$2:$H$761,$Z87)+SUMIFS(Dati!$K$2:$K$761,Dati!$H$2:$H$761,$H87,Dati!$A$2:$A$761,$Z87)+SUMIFS(Dati!$C$2:$C$761,Dati!$A$2:$A$761,$H87,Dati!$H$2:$H$761,$Z87)+SUMIFS(Dati!$J$2:$J$761,Dati!$H$2:$H$761,$H87,Dati!$A$2:$A$761,$Z87),"-")</f>
        <v/>
      </c>
      <c r="BS87" s="22">
        <f>IF(AND($H87&lt;&gt;"",$AA87&lt;&gt;"",$H87&lt;&gt;$AA87,IFERROR(VLOOKUP($H87,areaCercaPuntiClassificaSquadra,3,FALSE),-1)=IFERROR(VLOOKUP($AA87,areaCercaPuntiClassificaSquadra,3,FALSE),-2)),SUMIFS(Dati!$D$2:$D$761,Dati!$A$2:$A$761,$H87,Dati!$H$2:$H$761,$AA87)+SUMIFS(Dati!$K$2:$K$761,Dati!$H$2:$H$761,$H87,Dati!$A$2:$A$761,$AA87)+SUMIFS(Dati!$C$2:$C$761,Dati!$A$2:$A$761,$H87,Dati!$H$2:$H$761,$AA87)+SUMIFS(Dati!$J$2:$J$761,Dati!$H$2:$H$761,$H87,Dati!$A$2:$A$761,$AA87),"-")</f>
        <v/>
      </c>
      <c r="BT87" s="22">
        <f>IF(AND($H87&lt;&gt;"",$AB87&lt;&gt;"",$H87&lt;&gt;$AB87,IFERROR(VLOOKUP($H87,areaCercaPuntiClassificaSquadra,3,FALSE),-1)=IFERROR(VLOOKUP($AB87,areaCercaPuntiClassificaSquadra,3,FALSE),-2)),SUMIFS(Dati!$D$2:$D$761,Dati!$A$2:$A$761,$H87,Dati!$H$2:$H$761,$AB87)+SUMIFS(Dati!$K$2:$K$761,Dati!$H$2:$H$761,$H87,Dati!$A$2:$A$761,$AB87)+SUMIFS(Dati!$C$2:$C$761,Dati!$A$2:$A$761,$H87,Dati!$H$2:$H$761,$AB87)+SUMIFS(Dati!$J$2:$J$761,Dati!$H$2:$H$761,$H87,Dati!$A$2:$A$761,$AB87),"-")</f>
        <v/>
      </c>
      <c r="BU87" s="22">
        <f>IF(AND($H87&lt;&gt;"",$AC87&lt;&gt;"",$H87&lt;&gt;$AC87,IFERROR(VLOOKUP($H87,areaCercaPuntiClassificaSquadra,3,FALSE),-1)=IFERROR(VLOOKUP($AC87,areaCercaPuntiClassificaSquadra,3,FALSE),-2)),SUMIFS(Dati!$D$2:$D$761,Dati!$A$2:$A$761,$H87,Dati!$H$2:$H$761,$AC87)+SUMIFS(Dati!$K$2:$K$761,Dati!$H$2:$H$761,$H87,Dati!$A$2:$A$761,$AC87)+SUMIFS(Dati!$C$2:$C$761,Dati!$A$2:$A$761,$H87,Dati!$H$2:$H$761,$AC87)+SUMIFS(Dati!$J$2:$J$761,Dati!$H$2:$H$761,$H87,Dati!$A$2:$A$761,$AC87),"-")</f>
        <v/>
      </c>
      <c r="BV87" s="22">
        <f>IF(AND($H87&lt;&gt;"",$AD87&lt;&gt;"",$H87&lt;&gt;$AD87,IFERROR(VLOOKUP($H87,areaCercaPuntiClassificaSquadra,3,FALSE),-1)=IFERROR(VLOOKUP($AD87,areaCercaPuntiClassificaSquadra,3,FALSE),-2)),SUMIFS(Dati!$D$2:$D$761,Dati!$A$2:$A$761,$H87,Dati!$H$2:$H$761,$AD87)+SUMIFS(Dati!$K$2:$K$761,Dati!$H$2:$H$761,$H87,Dati!$A$2:$A$761,$AD87)+SUMIFS(Dati!$C$2:$C$761,Dati!$A$2:$A$761,$H87,Dati!$H$2:$H$761,$AD87)+SUMIFS(Dati!$J$2:$J$761,Dati!$H$2:$H$761,$H87,Dati!$A$2:$A$761,$AD87),"-")</f>
        <v/>
      </c>
      <c r="BW87" s="22">
        <f>IF(AND($H87&lt;&gt;"",$AE87&lt;&gt;"",$H87&lt;&gt;$AE87,IFERROR(VLOOKUP($H87,areaCercaPuntiClassificaSquadra,3,FALSE),-1)=IFERROR(VLOOKUP($AE87,areaCercaPuntiClassificaSquadra,3,FALSE),-2)),SUMIFS(Dati!$D$2:$D$761,Dati!$A$2:$A$761,$H87,Dati!$H$2:$H$761,$AE87)+SUMIFS(Dati!$K$2:$K$761,Dati!$H$2:$H$761,$H87,Dati!$A$2:$A$761,$AE87)+SUMIFS(Dati!$C$2:$C$761,Dati!$A$2:$A$761,$H87,Dati!$H$2:$H$761,$AE87)+SUMIFS(Dati!$J$2:$J$761,Dati!$H$2:$H$761,$H87,Dati!$A$2:$A$761,$AE87),"-")</f>
        <v/>
      </c>
      <c r="BX87" s="22">
        <f>IF(AND($H87&lt;&gt;"",$AF87&lt;&gt;"",$H87&lt;&gt;$AF87,IFERROR(VLOOKUP($H87,areaCercaPuntiClassificaSquadra,3,FALSE),-1)=IFERROR(VLOOKUP($AF87,areaCercaPuntiClassificaSquadra,3,FALSE),-2)),SUMIFS(Dati!$D$2:$D$761,Dati!$A$2:$A$761,$H87,Dati!$H$2:$H$761,$AF87)+SUMIFS(Dati!$K$2:$K$761,Dati!$H$2:$H$761,$H87,Dati!$A$2:$A$761,$AF87)+SUMIFS(Dati!$C$2:$C$761,Dati!$A$2:$A$761,$H87,Dati!$H$2:$H$761,$AF87)+SUMIFS(Dati!$J$2:$J$761,Dati!$H$2:$H$761,$H87,Dati!$A$2:$A$761,$AF87),"-")</f>
        <v/>
      </c>
      <c r="BY87" s="22">
        <f>IF(AND($H87&lt;&gt;"",$AG87&lt;&gt;"",$H87&lt;&gt;$AG87,IFERROR(VLOOKUP($H87,areaCercaPuntiClassificaSquadra,3,FALSE),-1)=IFERROR(VLOOKUP($AG87,areaCercaPuntiClassificaSquadra,3,FALSE),-2)),SUMIFS(Dati!$D$2:$D$761,Dati!$A$2:$A$761,$H87,Dati!$H$2:$H$761,$AG87)+SUMIFS(Dati!$K$2:$K$761,Dati!$H$2:$H$761,$H87,Dati!$A$2:$A$761,$AG87)+SUMIFS(Dati!$C$2:$C$761,Dati!$A$2:$A$761,$H87,Dati!$H$2:$H$761,$AG87)+SUMIFS(Dati!$J$2:$J$761,Dati!$H$2:$H$761,$H87,Dati!$A$2:$A$761,$AG87),"-")</f>
        <v/>
      </c>
      <c r="BZ87" s="22">
        <f>IF(AND($H87&lt;&gt;"",$AH87&lt;&gt;"",$H87&lt;&gt;$AH87,IFERROR(VLOOKUP($H87,areaCercaPuntiClassificaSquadra,3,FALSE),-1)=IFERROR(VLOOKUP($AH87,areaCercaPuntiClassificaSquadra,3,FALSE),-2)),SUMIFS(Dati!$D$2:$D$761,Dati!$A$2:$A$761,$H87,Dati!$H$2:$H$761,$AH87)+SUMIFS(Dati!$K$2:$K$761,Dati!$H$2:$H$761,$H87,Dati!$A$2:$A$761,$AH87)+SUMIFS(Dati!$C$2:$C$761,Dati!$A$2:$A$761,$H87,Dati!$H$2:$H$761,$AH87)+SUMIFS(Dati!$J$2:$J$761,Dati!$H$2:$H$761,$H87,Dati!$A$2:$A$761,$AH87),"-")</f>
        <v/>
      </c>
      <c r="CA87" s="22">
        <f>IF(AND($H87&lt;&gt;"",$AI87&lt;&gt;"",$H87&lt;&gt;$AI87,IFERROR(VLOOKUP($H87,areaCercaPuntiClassificaSquadra,3,FALSE),-1)=IFERROR(VLOOKUP($AI87,areaCercaPuntiClassificaSquadra,3,FALSE),-2)),SUMIFS(Dati!$D$2:$D$761,Dati!$A$2:$A$761,$H87,Dati!$H$2:$H$761,$AI87)+SUMIFS(Dati!$K$2:$K$761,Dati!$H$2:$H$761,$H87,Dati!$A$2:$A$761,$AI87)+SUMIFS(Dati!$C$2:$C$761,Dati!$A$2:$A$761,$H87,Dati!$H$2:$H$761,$AI87)+SUMIFS(Dati!$J$2:$J$761,Dati!$H$2:$H$761,$H87,Dati!$A$2:$A$761,$AI87),"-")</f>
        <v/>
      </c>
      <c r="CB87" s="22">
        <f>IF(AND($H87&lt;&gt;"",$AJ87&lt;&gt;"",$H87&lt;&gt;$AJ87,IFERROR(VLOOKUP($H87,areaCercaPuntiClassificaSquadra,3,FALSE),-1)=IFERROR(VLOOKUP($AJ87,areaCercaPuntiClassificaSquadra,3,FALSE),-2)),SUMIFS(Dati!$D$2:$D$761,Dati!$A$2:$A$761,$H87,Dati!$H$2:$H$761,$AJ87)+SUMIFS(Dati!$K$2:$K$761,Dati!$H$2:$H$761,$H87,Dati!$A$2:$A$761,$AJ87)+SUMIFS(Dati!$C$2:$C$761,Dati!$A$2:$A$761,$H87,Dati!$H$2:$H$761,$AJ87)+SUMIFS(Dati!$J$2:$J$761,Dati!$H$2:$H$761,$H87,Dati!$A$2:$A$761,$AJ87),"-")</f>
        <v/>
      </c>
      <c r="CC87" s="22">
        <f>IF(AND($H87&lt;&gt;"",$AK87&lt;&gt;"",$H87&lt;&gt;$AK87,IFERROR(VLOOKUP($H87,areaCercaPuntiClassificaSquadra,3,FALSE),-1)=IFERROR(VLOOKUP($AK87,areaCercaPuntiClassificaSquadra,3,FALSE),-2)),SUMIFS(Dati!$D$2:$D$761,Dati!$A$2:$A$761,$H87,Dati!$H$2:$H$761,$AK87)+SUMIFS(Dati!$K$2:$K$761,Dati!$H$2:$H$761,$H87,Dati!$A$2:$A$761,$AK87)+SUMIFS(Dati!$C$2:$C$761,Dati!$A$2:$A$761,$H87,Dati!$H$2:$H$761,$AK87)+SUMIFS(Dati!$J$2:$J$761,Dati!$H$2:$H$761,$H87,Dati!$A$2:$A$761,$AK87),"-")</f>
        <v/>
      </c>
      <c r="CD87" s="22">
        <f>IF(AND($H87&lt;&gt;"",$AL87&lt;&gt;"",$H87&lt;&gt;$AL87,IFERROR(VLOOKUP($H87,areaCercaPuntiClassificaSquadra,3,FALSE),-1)=IFERROR(VLOOKUP($AL87,areaCercaPuntiClassificaSquadra,3,FALSE),-2)),SUMIFS(Dati!$D$2:$D$761,Dati!$A$2:$A$761,$H87,Dati!$H$2:$H$761,$AL87)+SUMIFS(Dati!$K$2:$K$761,Dati!$H$2:$H$761,$H87,Dati!$A$2:$A$761,$AL87)+SUMIFS(Dati!$C$2:$C$761,Dati!$A$2:$A$761,$H87,Dati!$H$2:$H$761,$AL87)+SUMIFS(Dati!$J$2:$J$761,Dati!$H$2:$H$761,$H87,Dati!$A$2:$A$761,$AL87),"-")</f>
        <v/>
      </c>
      <c r="CE87" s="22">
        <f>IF(AND($H87&lt;&gt;"",$AM87&lt;&gt;"",$H87&lt;&gt;$AM87,IFERROR(VLOOKUP($H87,areaCercaPuntiClassificaSquadra,3,FALSE),-1)=IFERROR(VLOOKUP($AM87,areaCercaPuntiClassificaSquadra,3,FALSE),-2)),SUMIFS(Dati!$D$2:$D$761,Dati!$A$2:$A$761,$H87,Dati!$H$2:$H$761,$AM87)+SUMIFS(Dati!$K$2:$K$761,Dati!$H$2:$H$761,$H87,Dati!$A$2:$A$761,$AM87)+SUMIFS(Dati!$C$2:$C$761,Dati!$A$2:$A$761,$H87,Dati!$H$2:$H$761,$AM87)+SUMIFS(Dati!$J$2:$J$761,Dati!$H$2:$H$761,$H87,Dati!$A$2:$A$761,$AM87),"-")</f>
        <v/>
      </c>
      <c r="CF87" s="22">
        <f>IF(AND($H87&lt;&gt;"",$AN87&lt;&gt;"",$H87&lt;&gt;$AN87,IFERROR(VLOOKUP($H87,areaCercaPuntiClassificaSquadra,3,FALSE),-1)=IFERROR(VLOOKUP($AN87,areaCercaPuntiClassificaSquadra,3,FALSE),-2)),SUMIFS(Dati!$D$2:$D$761,Dati!$A$2:$A$761,$H87,Dati!$H$2:$H$761,$AN87)+SUMIFS(Dati!$K$2:$K$761,Dati!$H$2:$H$761,$H87,Dati!$A$2:$A$761,$AN87)+SUMIFS(Dati!$C$2:$C$761,Dati!$A$2:$A$761,$H87,Dati!$H$2:$H$761,$AN87)+SUMIFS(Dati!$J$2:$J$761,Dati!$H$2:$H$761,$H87,Dati!$A$2:$A$761,$AN87),"-")</f>
        <v/>
      </c>
      <c r="CG87" s="22">
        <f>IF(AND($H87&lt;&gt;"",$AO87&lt;&gt;"",$H87&lt;&gt;$AO87,IFERROR(VLOOKUP($H87,areaCercaPuntiClassificaSquadra,3,FALSE),-1)=IFERROR(VLOOKUP($AO87,areaCercaPuntiClassificaSquadra,3,FALSE),-2)),SUMIFS(Dati!$D$2:$D$761,Dati!$A$2:$A$761,$H87,Dati!$H$2:$H$761,$AO87)+SUMIFS(Dati!$K$2:$K$761,Dati!$H$2:$H$761,$H87,Dati!$A$2:$A$761,$AO87)+SUMIFS(Dati!$C$2:$C$761,Dati!$A$2:$A$761,$H87,Dati!$H$2:$H$761,$AO87)+SUMIFS(Dati!$J$2:$J$761,Dati!$H$2:$H$761,$H87,Dati!$A$2:$A$761,$AO87),"-")</f>
        <v/>
      </c>
      <c r="CH87" s="22">
        <f>IF(AND($H87&lt;&gt;"",$AP87&lt;&gt;"",$H87&lt;&gt;$AP87,IFERROR(VLOOKUP($H87,areaCercaPuntiClassificaSquadra,3,FALSE),-1)=IFERROR(VLOOKUP($AP87,areaCercaPuntiClassificaSquadra,3,FALSE),-2)),SUMIFS(Dati!$D$2:$D$761,Dati!$A$2:$A$761,$H87,Dati!$H$2:$H$761,$AP87)+SUMIFS(Dati!$K$2:$K$761,Dati!$H$2:$H$761,$H87,Dati!$A$2:$A$761,$AP87)+SUMIFS(Dati!$C$2:$C$761,Dati!$A$2:$A$761,$H87,Dati!$H$2:$H$761,$AP87)+SUMIFS(Dati!$J$2:$J$761,Dati!$H$2:$H$761,$H87,Dati!$A$2:$A$761,$AP87),"-")</f>
        <v/>
      </c>
      <c r="CI87" s="22">
        <f>IF(AND($H87&lt;&gt;"",$AQ87&lt;&gt;"",$H87&lt;&gt;$AQ87,IFERROR(VLOOKUP($H87,areaCercaPuntiClassificaSquadra,3,FALSE),-1)=IFERROR(VLOOKUP($AQ87,areaCercaPuntiClassificaSquadra,3,FALSE),-2)),SUMIFS(Dati!$D$2:$D$761,Dati!$A$2:$A$761,$H87,Dati!$H$2:$H$761,$AQ87)+SUMIFS(Dati!$K$2:$K$761,Dati!$H$2:$H$761,$H87,Dati!$A$2:$A$761,$AQ87)+SUMIFS(Dati!$C$2:$C$761,Dati!$A$2:$A$761,$H87,Dati!$H$2:$H$761,$AQ87)+SUMIFS(Dati!$J$2:$J$761,Dati!$H$2:$H$761,$H87,Dati!$A$2:$A$761,$AQ87),"-")</f>
        <v/>
      </c>
      <c r="CJ87" s="22">
        <f>IF(AND($H87&lt;&gt;"",$AR87&lt;&gt;"",$H87&lt;&gt;$AR87,IFERROR(VLOOKUP($H87,areaCercaPuntiClassificaSquadra,3,FALSE),-1)=IFERROR(VLOOKUP($AR87,areaCercaPuntiClassificaSquadra,3,FALSE),-2)),SUMIFS(Dati!$D$2:$D$761,Dati!$A$2:$A$761,$H87,Dati!$H$2:$H$761,$AR87)+SUMIFS(Dati!$K$2:$K$761,Dati!$H$2:$H$761,$H87,Dati!$A$2:$A$761,$AR87)+SUMIFS(Dati!$C$2:$C$761,Dati!$A$2:$A$761,$H87,Dati!$H$2:$H$761,$AR87)+SUMIFS(Dati!$J$2:$J$761,Dati!$H$2:$H$761,$H87,Dati!$A$2:$A$761,$AR87),"-")</f>
        <v/>
      </c>
      <c r="CL87" s="21">
        <f>$C87</f>
        <v/>
      </c>
      <c r="CM87" s="22">
        <f>IF(AND($H87&lt;&gt;"",$Y87&lt;&gt;"",$H87&lt;&gt;$Y87,IFERROR(VLOOKUP($H87,areaCercaPuntiClassificaSquadra,3,FALSE),-1)=IFERROR(VLOOKUP($Y87,areaCercaPuntiClassificaSquadra,3,FALSE),-2)),SUMIFS(Dati!$E$2:$E$761,Dati!$A$2:$A$761,$H87,Dati!$H$2:$H$761,$Y87)+SUMIFS(Dati!$L$2:$L$761,Dati!$H$2:$H$761,$H87,Dati!$A$2:$A$761,$Y87),"-")</f>
        <v/>
      </c>
      <c r="CN87" s="22">
        <f>IF(AND($H87&lt;&gt;"",$Z87&lt;&gt;"",$H87&lt;&gt;$Z87,IFERROR(VLOOKUP($H87,areaCercaPuntiClassificaSquadra,3,FALSE),-1)=IFERROR(VLOOKUP($Z87,areaCercaPuntiClassificaSquadra,3,FALSE),-2)),SUMIFS(Dati!$E$2:$E$761,Dati!$A$2:$A$761,$H87,Dati!$H$2:$H$761,$Z87)+SUMIFS(Dati!$L$2:$L$761,Dati!$H$2:$H$761,$H87,Dati!$A$2:$A$761,$Z87),"-")</f>
        <v/>
      </c>
      <c r="CO87" s="22">
        <f>IF(AND($H87&lt;&gt;"",$AA87&lt;&gt;"",$H87&lt;&gt;$AA87,IFERROR(VLOOKUP($H87,areaCercaPuntiClassificaSquadra,3,FALSE),-1)=IFERROR(VLOOKUP($AA87,areaCercaPuntiClassificaSquadra,3,FALSE),-2)),SUMIFS(Dati!$E$2:$E$761,Dati!$A$2:$A$761,$H87,Dati!$H$2:$H$761,$AA87)+SUMIFS(Dati!$L$2:$L$761,Dati!$H$2:$H$761,$H87,Dati!$A$2:$A$761,$AA87),"-")</f>
        <v/>
      </c>
      <c r="CP87" s="22">
        <f>IF(AND($H87&lt;&gt;"",$AB87&lt;&gt;"",$H87&lt;&gt;$AB87,IFERROR(VLOOKUP($H87,areaCercaPuntiClassificaSquadra,3,FALSE),-1)=IFERROR(VLOOKUP($AB87,areaCercaPuntiClassificaSquadra,3,FALSE),-2)),SUMIFS(Dati!$E$2:$E$761,Dati!$A$2:$A$761,$H87,Dati!$H$2:$H$761,$AB87)+SUMIFS(Dati!$L$2:$L$761,Dati!$H$2:$H$761,$H87,Dati!$A$2:$A$761,$AB87),"-")</f>
        <v/>
      </c>
      <c r="CQ87" s="22">
        <f>IF(AND($H87&lt;&gt;"",$AC87&lt;&gt;"",$H87&lt;&gt;$AC87,IFERROR(VLOOKUP($H87,areaCercaPuntiClassificaSquadra,3,FALSE),-1)=IFERROR(VLOOKUP($AC87,areaCercaPuntiClassificaSquadra,3,FALSE),-2)),SUMIFS(Dati!$E$2:$E$761,Dati!$A$2:$A$761,$H87,Dati!$H$2:$H$761,$AC87)+SUMIFS(Dati!$L$2:$L$761,Dati!$H$2:$H$761,$H87,Dati!$A$2:$A$761,$AC87),"-")</f>
        <v/>
      </c>
      <c r="CR87" s="22">
        <f>IF(AND($H87&lt;&gt;"",$AD87&lt;&gt;"",$H87&lt;&gt;$AD87,IFERROR(VLOOKUP($H87,areaCercaPuntiClassificaSquadra,3,FALSE),-1)=IFERROR(VLOOKUP($AD87,areaCercaPuntiClassificaSquadra,3,FALSE),-2)),SUMIFS(Dati!$E$2:$E$761,Dati!$A$2:$A$761,$H87,Dati!$H$2:$H$761,$AD87)+SUMIFS(Dati!$L$2:$L$761,Dati!$H$2:$H$761,$H87,Dati!$A$2:$A$761,$AD87),"-")</f>
        <v/>
      </c>
      <c r="CS87" s="22">
        <f>IF(AND($H87&lt;&gt;"",$AE87&lt;&gt;"",$H87&lt;&gt;$AE87,IFERROR(VLOOKUP($H87,areaCercaPuntiClassificaSquadra,3,FALSE),-1)=IFERROR(VLOOKUP($AE87,areaCercaPuntiClassificaSquadra,3,FALSE),-2)),SUMIFS(Dati!$E$2:$E$761,Dati!$A$2:$A$761,$H87,Dati!$H$2:$H$761,$AE87)+SUMIFS(Dati!$L$2:$L$761,Dati!$H$2:$H$761,$H87,Dati!$A$2:$A$761,$AE87),"-")</f>
        <v/>
      </c>
      <c r="CT87" s="22">
        <f>IF(AND($H87&lt;&gt;"",$AF87&lt;&gt;"",$H87&lt;&gt;$AF87,IFERROR(VLOOKUP($H87,areaCercaPuntiClassificaSquadra,3,FALSE),-1)=IFERROR(VLOOKUP($AF87,areaCercaPuntiClassificaSquadra,3,FALSE),-2)),SUMIFS(Dati!$E$2:$E$761,Dati!$A$2:$A$761,$H87,Dati!$H$2:$H$761,$AF87)+SUMIFS(Dati!$L$2:$L$761,Dati!$H$2:$H$761,$H87,Dati!$A$2:$A$761,$AF87),"-")</f>
        <v/>
      </c>
      <c r="CU87" s="22">
        <f>IF(AND($H87&lt;&gt;"",$AG87&lt;&gt;"",$H87&lt;&gt;$AG87,IFERROR(VLOOKUP($H87,areaCercaPuntiClassificaSquadra,3,FALSE),-1)=IFERROR(VLOOKUP($AG87,areaCercaPuntiClassificaSquadra,3,FALSE),-2)),SUMIFS(Dati!$E$2:$E$761,Dati!$A$2:$A$761,$H87,Dati!$H$2:$H$761,$AG87)+SUMIFS(Dati!$L$2:$L$761,Dati!$H$2:$H$761,$H87,Dati!$A$2:$A$761,$AG87),"-")</f>
        <v/>
      </c>
      <c r="CV87" s="22">
        <f>IF(AND($H87&lt;&gt;"",$AH87&lt;&gt;"",$H87&lt;&gt;$AH87,IFERROR(VLOOKUP($H87,areaCercaPuntiClassificaSquadra,3,FALSE),-1)=IFERROR(VLOOKUP($AH87,areaCercaPuntiClassificaSquadra,3,FALSE),-2)),SUMIFS(Dati!$E$2:$E$761,Dati!$A$2:$A$761,$H87,Dati!$H$2:$H$761,$AH87)+SUMIFS(Dati!$L$2:$L$761,Dati!$H$2:$H$761,$H87,Dati!$A$2:$A$761,$AH87),"-")</f>
        <v/>
      </c>
      <c r="CW87" s="22">
        <f>IF(AND($H87&lt;&gt;"",$AI87&lt;&gt;"",$H87&lt;&gt;$AI87,IFERROR(VLOOKUP($H87,areaCercaPuntiClassificaSquadra,3,FALSE),-1)=IFERROR(VLOOKUP($AI87,areaCercaPuntiClassificaSquadra,3,FALSE),-2)),SUMIFS(Dati!$E$2:$E$761,Dati!$A$2:$A$761,$H87,Dati!$H$2:$H$761,$AI87)+SUMIFS(Dati!$L$2:$L$761,Dati!$H$2:$H$761,$H87,Dati!$A$2:$A$761,$AI87),"-")</f>
        <v/>
      </c>
      <c r="CX87" s="22">
        <f>IF(AND($H87&lt;&gt;"",$AJ87&lt;&gt;"",$H87&lt;&gt;$AJ87,IFERROR(VLOOKUP($H87,areaCercaPuntiClassificaSquadra,3,FALSE),-1)=IFERROR(VLOOKUP($AJ87,areaCercaPuntiClassificaSquadra,3,FALSE),-2)),SUMIFS(Dati!$E$2:$E$761,Dati!$A$2:$A$761,$H87,Dati!$H$2:$H$761,$AJ87)+SUMIFS(Dati!$L$2:$L$761,Dati!$H$2:$H$761,$H87,Dati!$A$2:$A$761,$AJ87),"-")</f>
        <v/>
      </c>
      <c r="CY87" s="22">
        <f>IF(AND($H87&lt;&gt;"",$AK87&lt;&gt;"",$H87&lt;&gt;$AK87,IFERROR(VLOOKUP($H87,areaCercaPuntiClassificaSquadra,3,FALSE),-1)=IFERROR(VLOOKUP($AK87,areaCercaPuntiClassificaSquadra,3,FALSE),-2)),SUMIFS(Dati!$E$2:$E$761,Dati!$A$2:$A$761,$H87,Dati!$H$2:$H$761,$AK87)+SUMIFS(Dati!$L$2:$L$761,Dati!$H$2:$H$761,$H87,Dati!$A$2:$A$761,$AK87),"-")</f>
        <v/>
      </c>
      <c r="CZ87" s="22">
        <f>IF(AND($H87&lt;&gt;"",$AL87&lt;&gt;"",$H87&lt;&gt;$AL87,IFERROR(VLOOKUP($H87,areaCercaPuntiClassificaSquadra,3,FALSE),-1)=IFERROR(VLOOKUP($AL87,areaCercaPuntiClassificaSquadra,3,FALSE),-2)),SUMIFS(Dati!$E$2:$E$761,Dati!$A$2:$A$761,$H87,Dati!$H$2:$H$761,$AL87)+SUMIFS(Dati!$L$2:$L$761,Dati!$H$2:$H$761,$H87,Dati!$A$2:$A$761,$AL87),"-")</f>
        <v/>
      </c>
      <c r="DA87" s="22">
        <f>IF(AND($H87&lt;&gt;"",$AM87&lt;&gt;"",$H87&lt;&gt;$AM87,IFERROR(VLOOKUP($H87,areaCercaPuntiClassificaSquadra,3,FALSE),-1)=IFERROR(VLOOKUP($AM87,areaCercaPuntiClassificaSquadra,3,FALSE),-2)),SUMIFS(Dati!$E$2:$E$761,Dati!$A$2:$A$761,$H87,Dati!$H$2:$H$761,$AM87)+SUMIFS(Dati!$L$2:$L$761,Dati!$H$2:$H$761,$H87,Dati!$A$2:$A$761,$AM87),"-")</f>
        <v/>
      </c>
      <c r="DB87" s="22">
        <f>IF(AND($H87&lt;&gt;"",$AN87&lt;&gt;"",$H87&lt;&gt;$AN87,IFERROR(VLOOKUP($H87,areaCercaPuntiClassificaSquadra,3,FALSE),-1)=IFERROR(VLOOKUP($AN87,areaCercaPuntiClassificaSquadra,3,FALSE),-2)),SUMIFS(Dati!$E$2:$E$761,Dati!$A$2:$A$761,$H87,Dati!$H$2:$H$761,$AN87)+SUMIFS(Dati!$L$2:$L$761,Dati!$H$2:$H$761,$H87,Dati!$A$2:$A$761,$AN87),"-")</f>
        <v/>
      </c>
      <c r="DC87" s="22">
        <f>IF(AND($H87&lt;&gt;"",$AO87&lt;&gt;"",$H87&lt;&gt;$AO87,IFERROR(VLOOKUP($H87,areaCercaPuntiClassificaSquadra,3,FALSE),-1)=IFERROR(VLOOKUP($AO87,areaCercaPuntiClassificaSquadra,3,FALSE),-2)),SUMIFS(Dati!$E$2:$E$761,Dati!$A$2:$A$761,$H87,Dati!$H$2:$H$761,$AO87)+SUMIFS(Dati!$L$2:$L$761,Dati!$H$2:$H$761,$H87,Dati!$A$2:$A$761,$AO87),"-")</f>
        <v/>
      </c>
      <c r="DD87" s="22">
        <f>IF(AND($H87&lt;&gt;"",$AP87&lt;&gt;"",$H87&lt;&gt;$AP87,IFERROR(VLOOKUP($H87,areaCercaPuntiClassificaSquadra,3,FALSE),-1)=IFERROR(VLOOKUP($AP87,areaCercaPuntiClassificaSquadra,3,FALSE),-2)),SUMIFS(Dati!$E$2:$E$761,Dati!$A$2:$A$761,$H87,Dati!$H$2:$H$761,$AP87)+SUMIFS(Dati!$L$2:$L$761,Dati!$H$2:$H$761,$H87,Dati!$A$2:$A$761,$AP87),"-")</f>
        <v/>
      </c>
      <c r="DE87" s="22">
        <f>IF(AND($H87&lt;&gt;"",$AQ87&lt;&gt;"",$H87&lt;&gt;$AQ87,IFERROR(VLOOKUP($H87,areaCercaPuntiClassificaSquadra,3,FALSE),-1)=IFERROR(VLOOKUP($AQ87,areaCercaPuntiClassificaSquadra,3,FALSE),-2)),SUMIFS(Dati!$E$2:$E$761,Dati!$A$2:$A$761,$H87,Dati!$H$2:$H$761,$AQ87)+SUMIFS(Dati!$L$2:$L$761,Dati!$H$2:$H$761,$H87,Dati!$A$2:$A$761,$AQ87),"-")</f>
        <v/>
      </c>
      <c r="DF87" s="22">
        <f>IF(AND($H87&lt;&gt;"",$AR87&lt;&gt;"",$H87&lt;&gt;$AR87,IFERROR(VLOOKUP($H87,areaCercaPuntiClassificaSquadra,3,FALSE),-1)=IFERROR(VLOOKUP($AR87,areaCercaPuntiClassificaSquadra,3,FALSE),-2)),SUMIFS(Dati!$E$2:$E$761,Dati!$A$2:$A$761,$H87,Dati!$H$2:$H$761,$AR87)+SUMIFS(Dati!$L$2:$L$761,Dati!$H$2:$H$761,$H87,Dati!$A$2:$A$761,$AR87),"-")</f>
        <v/>
      </c>
      <c r="DH87" s="21">
        <f>$C87</f>
        <v/>
      </c>
      <c r="DI87" s="22">
        <f>IF(AND($H87&lt;&gt;"",$Y87&lt;&gt;"",$H87&lt;&gt;$Y87,IFERROR(VLOOKUP($H87,areaCercaPuntiClassificaSquadra,3,FALSE),-1)=IFERROR(VLOOKUP($Y87,areaCercaPuntiClassificaSquadra,3,FALSE),-2)),SUMIFS(Dati!$F$2:$F$761,Dati!$A$2:$A$761,$H87,Dati!$H$2:$H$761,$Y87)+SUMIFS(Dati!$M$2:$M$761,Dati!$H$2:$H$761,$H87,Dati!$A$2:$A$761,$Y87),"-")</f>
        <v/>
      </c>
      <c r="DJ87" s="22">
        <f>IF(AND($H87&lt;&gt;"",$Z87&lt;&gt;"",$H87&lt;&gt;$Z87,IFERROR(VLOOKUP($H87,areaCercaPuntiClassificaSquadra,3,FALSE),-1)=IFERROR(VLOOKUP($Z87,areaCercaPuntiClassificaSquadra,3,FALSE),-2)),SUMIFS(Dati!$F$2:$F$761,Dati!$A$2:$A$761,$H87,Dati!$H$2:$H$761,$Z87)+SUMIFS(Dati!$M$2:$M$761,Dati!$H$2:$H$761,$H87,Dati!$A$2:$A$761,$Z87),"-")</f>
        <v/>
      </c>
      <c r="DK87" s="22">
        <f>IF(AND($H87&lt;&gt;"",$AA87&lt;&gt;"",$H87&lt;&gt;$AA87,IFERROR(VLOOKUP($H87,areaCercaPuntiClassificaSquadra,3,FALSE),-1)=IFERROR(VLOOKUP($AA87,areaCercaPuntiClassificaSquadra,3,FALSE),-2)),SUMIFS(Dati!$F$2:$F$761,Dati!$A$2:$A$761,$H87,Dati!$H$2:$H$761,$AA87)+SUMIFS(Dati!$M$2:$M$761,Dati!$H$2:$H$761,$H87,Dati!$A$2:$A$761,$AA87),"-")</f>
        <v/>
      </c>
      <c r="DL87" s="22">
        <f>IF(AND($H87&lt;&gt;"",$AB87&lt;&gt;"",$H87&lt;&gt;$AB87,IFERROR(VLOOKUP($H87,areaCercaPuntiClassificaSquadra,3,FALSE),-1)=IFERROR(VLOOKUP($AB87,areaCercaPuntiClassificaSquadra,3,FALSE),-2)),SUMIFS(Dati!$F$2:$F$761,Dati!$A$2:$A$761,$H87,Dati!$H$2:$H$761,$AB87)+SUMIFS(Dati!$M$2:$M$761,Dati!$H$2:$H$761,$H87,Dati!$A$2:$A$761,$AB87),"-")</f>
        <v/>
      </c>
      <c r="DM87" s="22">
        <f>IF(AND($H87&lt;&gt;"",$AC87&lt;&gt;"",$H87&lt;&gt;$AC87,IFERROR(VLOOKUP($H87,areaCercaPuntiClassificaSquadra,3,FALSE),-1)=IFERROR(VLOOKUP($AC87,areaCercaPuntiClassificaSquadra,3,FALSE),-2)),SUMIFS(Dati!$F$2:$F$761,Dati!$A$2:$A$761,$H87,Dati!$H$2:$H$761,$AC87)+SUMIFS(Dati!$M$2:$M$761,Dati!$H$2:$H$761,$H87,Dati!$A$2:$A$761,$AC87),"-")</f>
        <v/>
      </c>
      <c r="DN87" s="22">
        <f>IF(AND($H87&lt;&gt;"",$AD87&lt;&gt;"",$H87&lt;&gt;$AD87,IFERROR(VLOOKUP($H87,areaCercaPuntiClassificaSquadra,3,FALSE),-1)=IFERROR(VLOOKUP($AD87,areaCercaPuntiClassificaSquadra,3,FALSE),-2)),SUMIFS(Dati!$F$2:$F$761,Dati!$A$2:$A$761,$H87,Dati!$H$2:$H$761,$AD87)+SUMIFS(Dati!$M$2:$M$761,Dati!$H$2:$H$761,$H87,Dati!$A$2:$A$761,$AD87),"-")</f>
        <v/>
      </c>
      <c r="DO87" s="22">
        <f>IF(AND($H87&lt;&gt;"",$AE87&lt;&gt;"",$H87&lt;&gt;$AE87,IFERROR(VLOOKUP($H87,areaCercaPuntiClassificaSquadra,3,FALSE),-1)=IFERROR(VLOOKUP($AE87,areaCercaPuntiClassificaSquadra,3,FALSE),-2)),SUMIFS(Dati!$F$2:$F$761,Dati!$A$2:$A$761,$H87,Dati!$H$2:$H$761,$AE87)+SUMIFS(Dati!$M$2:$M$761,Dati!$H$2:$H$761,$H87,Dati!$A$2:$A$761,$AE87),"-")</f>
        <v/>
      </c>
      <c r="DP87" s="22">
        <f>IF(AND($H87&lt;&gt;"",$AF87&lt;&gt;"",$H87&lt;&gt;$AF87,IFERROR(VLOOKUP($H87,areaCercaPuntiClassificaSquadra,3,FALSE),-1)=IFERROR(VLOOKUP($AF87,areaCercaPuntiClassificaSquadra,3,FALSE),-2)),SUMIFS(Dati!$F$2:$F$761,Dati!$A$2:$A$761,$H87,Dati!$H$2:$H$761,$AF87)+SUMIFS(Dati!$M$2:$M$761,Dati!$H$2:$H$761,$H87,Dati!$A$2:$A$761,$AF87),"-")</f>
        <v/>
      </c>
      <c r="DQ87" s="22">
        <f>IF(AND($H87&lt;&gt;"",$AG87&lt;&gt;"",$H87&lt;&gt;$AG87,IFERROR(VLOOKUP($H87,areaCercaPuntiClassificaSquadra,3,FALSE),-1)=IFERROR(VLOOKUP($AG87,areaCercaPuntiClassificaSquadra,3,FALSE),-2)),SUMIFS(Dati!$F$2:$F$761,Dati!$A$2:$A$761,$H87,Dati!$H$2:$H$761,$AG87)+SUMIFS(Dati!$M$2:$M$761,Dati!$H$2:$H$761,$H87,Dati!$A$2:$A$761,$AG87),"-")</f>
        <v/>
      </c>
      <c r="DR87" s="22">
        <f>IF(AND($H87&lt;&gt;"",$AH87&lt;&gt;"",$H87&lt;&gt;$AH87,IFERROR(VLOOKUP($H87,areaCercaPuntiClassificaSquadra,3,FALSE),-1)=IFERROR(VLOOKUP($AH87,areaCercaPuntiClassificaSquadra,3,FALSE),-2)),SUMIFS(Dati!$F$2:$F$761,Dati!$A$2:$A$761,$H87,Dati!$H$2:$H$761,$AH87)+SUMIFS(Dati!$M$2:$M$761,Dati!$H$2:$H$761,$H87,Dati!$A$2:$A$761,$AH87),"-")</f>
        <v/>
      </c>
      <c r="DS87" s="22">
        <f>IF(AND($H87&lt;&gt;"",$AI87&lt;&gt;"",$H87&lt;&gt;$AI87,IFERROR(VLOOKUP($H87,areaCercaPuntiClassificaSquadra,3,FALSE),-1)=IFERROR(VLOOKUP($AI87,areaCercaPuntiClassificaSquadra,3,FALSE),-2)),SUMIFS(Dati!$F$2:$F$761,Dati!$A$2:$A$761,$H87,Dati!$H$2:$H$761,$AI87)+SUMIFS(Dati!$M$2:$M$761,Dati!$H$2:$H$761,$H87,Dati!$A$2:$A$761,$AI87),"-")</f>
        <v/>
      </c>
      <c r="DT87" s="22">
        <f>IF(AND($H87&lt;&gt;"",$AJ87&lt;&gt;"",$H87&lt;&gt;$AJ87,IFERROR(VLOOKUP($H87,areaCercaPuntiClassificaSquadra,3,FALSE),-1)=IFERROR(VLOOKUP($AJ87,areaCercaPuntiClassificaSquadra,3,FALSE),-2)),SUMIFS(Dati!$F$2:$F$761,Dati!$A$2:$A$761,$H87,Dati!$H$2:$H$761,$AJ87)+SUMIFS(Dati!$M$2:$M$761,Dati!$H$2:$H$761,$H87,Dati!$A$2:$A$761,$AJ87),"-")</f>
        <v/>
      </c>
      <c r="DU87" s="22">
        <f>IF(AND($H87&lt;&gt;"",$AK87&lt;&gt;"",$H87&lt;&gt;$AK87,IFERROR(VLOOKUP($H87,areaCercaPuntiClassificaSquadra,3,FALSE),-1)=IFERROR(VLOOKUP($AK87,areaCercaPuntiClassificaSquadra,3,FALSE),-2)),SUMIFS(Dati!$F$2:$F$761,Dati!$A$2:$A$761,$H87,Dati!$H$2:$H$761,$AK87)+SUMIFS(Dati!$M$2:$M$761,Dati!$H$2:$H$761,$H87,Dati!$A$2:$A$761,$AK87),"-")</f>
        <v/>
      </c>
      <c r="DV87" s="22">
        <f>IF(AND($H87&lt;&gt;"",$AL87&lt;&gt;"",$H87&lt;&gt;$AL87,IFERROR(VLOOKUP($H87,areaCercaPuntiClassificaSquadra,3,FALSE),-1)=IFERROR(VLOOKUP($AL87,areaCercaPuntiClassificaSquadra,3,FALSE),-2)),SUMIFS(Dati!$F$2:$F$761,Dati!$A$2:$A$761,$H87,Dati!$H$2:$H$761,$AL87)+SUMIFS(Dati!$M$2:$M$761,Dati!$H$2:$H$761,$H87,Dati!$A$2:$A$761,$AL87),"-")</f>
        <v/>
      </c>
      <c r="DW87" s="22">
        <f>IF(AND($H87&lt;&gt;"",$AM87&lt;&gt;"",$H87&lt;&gt;$AM87,IFERROR(VLOOKUP($H87,areaCercaPuntiClassificaSquadra,3,FALSE),-1)=IFERROR(VLOOKUP($AM87,areaCercaPuntiClassificaSquadra,3,FALSE),-2)),SUMIFS(Dati!$F$2:$F$761,Dati!$A$2:$A$761,$H87,Dati!$H$2:$H$761,$AM87)+SUMIFS(Dati!$M$2:$M$761,Dati!$H$2:$H$761,$H87,Dati!$A$2:$A$761,$AM87),"-")</f>
        <v/>
      </c>
      <c r="DX87" s="22">
        <f>IF(AND($H87&lt;&gt;"",$AN87&lt;&gt;"",$H87&lt;&gt;$AN87,IFERROR(VLOOKUP($H87,areaCercaPuntiClassificaSquadra,3,FALSE),-1)=IFERROR(VLOOKUP($AN87,areaCercaPuntiClassificaSquadra,3,FALSE),-2)),SUMIFS(Dati!$F$2:$F$761,Dati!$A$2:$A$761,$H87,Dati!$H$2:$H$761,$AN87)+SUMIFS(Dati!$M$2:$M$761,Dati!$H$2:$H$761,$H87,Dati!$A$2:$A$761,$AN87),"-")</f>
        <v/>
      </c>
      <c r="DY87" s="22">
        <f>IF(AND($H87&lt;&gt;"",$AO87&lt;&gt;"",$H87&lt;&gt;$AO87,IFERROR(VLOOKUP($H87,areaCercaPuntiClassificaSquadra,3,FALSE),-1)=IFERROR(VLOOKUP($AO87,areaCercaPuntiClassificaSquadra,3,FALSE),-2)),SUMIFS(Dati!$F$2:$F$761,Dati!$A$2:$A$761,$H87,Dati!$H$2:$H$761,$AO87)+SUMIFS(Dati!$M$2:$M$761,Dati!$H$2:$H$761,$H87,Dati!$A$2:$A$761,$AO87),"-")</f>
        <v/>
      </c>
      <c r="DZ87" s="22">
        <f>IF(AND($H87&lt;&gt;"",$AP87&lt;&gt;"",$H87&lt;&gt;$AP87,IFERROR(VLOOKUP($H87,areaCercaPuntiClassificaSquadra,3,FALSE),-1)=IFERROR(VLOOKUP($AP87,areaCercaPuntiClassificaSquadra,3,FALSE),-2)),SUMIFS(Dati!$F$2:$F$761,Dati!$A$2:$A$761,$H87,Dati!$H$2:$H$761,$AP87)+SUMIFS(Dati!$M$2:$M$761,Dati!$H$2:$H$761,$H87,Dati!$A$2:$A$761,$AP87),"-")</f>
        <v/>
      </c>
      <c r="EA87" s="22">
        <f>IF(AND($H87&lt;&gt;"",$AQ87&lt;&gt;"",$H87&lt;&gt;$AQ87,IFERROR(VLOOKUP($H87,areaCercaPuntiClassificaSquadra,3,FALSE),-1)=IFERROR(VLOOKUP($AQ87,areaCercaPuntiClassificaSquadra,3,FALSE),-2)),SUMIFS(Dati!$F$2:$F$761,Dati!$A$2:$A$761,$H87,Dati!$H$2:$H$761,$AQ87)+SUMIFS(Dati!$M$2:$M$761,Dati!$H$2:$H$761,$H87,Dati!$A$2:$A$761,$AQ87),"-")</f>
        <v/>
      </c>
      <c r="EB87" s="22">
        <f>IF(AND($H87&lt;&gt;"",$AR87&lt;&gt;"",$H87&lt;&gt;$AR87,IFERROR(VLOOKUP($H87,areaCercaPuntiClassificaSquadra,3,FALSE),-1)=IFERROR(VLOOKUP($AR87,areaCercaPuntiClassificaSquadra,3,FALSE),-2)),SUMIFS(Dati!$F$2:$F$761,Dati!$A$2:$A$761,$H87,Dati!$H$2:$H$761,$AR87)+SUMIFS(Dati!$M$2:$M$761,Dati!$H$2:$H$761,$H87,Dati!$A$2:$A$761,$AR87),"-")</f>
        <v/>
      </c>
      <c r="ED87" s="22">
        <f>IF($C87="","",SUM(AU87:BN87))</f>
        <v/>
      </c>
    </row>
    <row r="88">
      <c r="B88" s="12" t="inlineStr">
        <is>
          <t>D15</t>
        </is>
      </c>
      <c r="C88" s="13" t="inlineStr">
        <is>
          <t>Gorilla Gentili-Gorillaopoli GU</t>
        </is>
      </c>
      <c r="D88" s="14" t="n"/>
      <c r="E88" s="27" t="inlineStr">
        <is>
          <t>D</t>
        </is>
      </c>
      <c r="G88" s="28">
        <f>IF($C88="","",$E88&amp;(COUNTIFS(I$14:I$93,"&gt;"&amp;I88,E$14:E$93,"="&amp;E88,C$14:C$93,"&lt;&gt;")+COUNTIFS(I$14:I$93,"="&amp;I88,H$14:H$93,"&lt;="&amp;H88,E$14:E$93,"="&amp;E88,C$14:C$93,"&lt;&gt;")))</f>
        <v/>
      </c>
      <c r="H88" s="17">
        <f>IF($C88="","",IFERROR(LEFT($C88,FIND("-",$C88)-1),$C88))</f>
        <v/>
      </c>
      <c r="I88" s="12">
        <f>TEXT(1000000000+J88,"|0000000000|")&amp;TEXT(SUM(AU88:BN88),"0000000000|")&amp;IF(SUM(DI88:EB88)=0,"0000000000|",TEXT(ROUND(SUM(CM88:DF88)/SUM(DI88:EB88),4)*100000,"0000000000|"))&amp;IF(P88=0,"0000000000|",TEXT(ROUND(O88/P88,4)*100000,"0000000000|"))</f>
        <v/>
      </c>
      <c r="J88" s="28">
        <f>L88*constPuntiVittoria+M88*constPuntiSconfitta+N88*constPuntiForfait+IF(D88="",0,D88)</f>
        <v/>
      </c>
      <c r="K88" s="12">
        <f>SUM(L88:N88)</f>
        <v/>
      </c>
      <c r="L88" s="12">
        <f>IF($H88="",0,SUMIF(Dati!$A$2:$A$761,$H88,Dati!$B$2:$B$761)+SUMIF(Dati!$H$2:$H$761,$H88,Dati!$I$2:$I$761))</f>
        <v/>
      </c>
      <c r="M88" s="12">
        <f>IF($H88="",0,SUMIF(Dati!$A$2:$A$761,$H88,Dati!$D$2:$D$761)+SUMIF(Dati!$H$2:$H$761,$H88,Dati!$K$2:$K$761))</f>
        <v/>
      </c>
      <c r="N88" s="12">
        <f>IF($H88="",0,SUMIF(Dati!$A$2:$A$761,$H88,Dati!$C$2:$C$761)+SUMIF(Dati!$H$2:$H$761,$H88,Dati!$J$2:$J$761))</f>
        <v/>
      </c>
      <c r="O88" s="12">
        <f>IF($H88="",0,SUMIF(Dati!$A$2:$A$761,$H88,Dati!$E$2:$E$761)+SUMIF(Dati!$H$2:$H$761,$H88,Dati!$L$2:$L$761))</f>
        <v/>
      </c>
      <c r="P88" s="12">
        <f>IF($H88="",0,SUMIF(Dati!$A$2:$A$761,$H88,Dati!$F$2:$F$761)+SUMIF(Dati!$H$2:$H$761,$H88,Dati!$M$2:$M$761))</f>
        <v/>
      </c>
      <c r="Q88" s="12">
        <f>IF($H88="",0,SUMIF(Dati!$A$2:$A$761,$H88,Dati!$G$2:$G$761)+SUMIF(Dati!$H$2:$H$761,$H88,Dati!$N$2:$N$761))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IF(COUNTIFS($E$14:$E$93,$E88,$J$14:$J$93,$J88,$C$14:$C$93,"&lt;&gt;")&lt;=1,"-",SUM(AU88:BN88)&amp;"-"&amp;SUM(BQ88:CJ88))</f>
        <v/>
      </c>
      <c r="V88" s="18">
        <f>IF(COUNTIFS($E$14:$E$93,$E88,$J$14:$J$93,$J88,$C$14:$C$93,"&lt;&gt;",$ED$14:$ED$93,$ED88)&lt;=1,"-",IF(SUM(DI88:EB88)=0,0,ROUND(SUM(CM88:DF88)/SUM(DI88:EB88),3)))</f>
        <v/>
      </c>
      <c r="W88" s="18">
        <f>IF(COUNTIFS($E$14:$E$93,$E88,$J$14:$J$93,$J88,$C$14:$C$93,"&lt;&gt;",$ED$14:$ED$93,$ED88,$V$14:$V$93,$V88)&lt;=1,"-",IF(P88=0,0,ROUND(O88/P88,3)))</f>
        <v/>
      </c>
      <c r="X88" s="19">
        <f>IF($C88="","",$E88&amp;"#"&amp;COUNTIFS($E$14:$E88,$E88,$C$14:$C88,"&lt;&gt;"))</f>
        <v/>
      </c>
      <c r="Y88" s="20">
        <f>IFERROR(INDEX($H$14:$H$93,MATCH($E88&amp;"#1",$X$14:$X$93,0)),"")</f>
        <v/>
      </c>
      <c r="Z88" s="20">
        <f>IFERROR(INDEX($H$14:$H$93,MATCH($E88&amp;"#2",$X$14:$X$93,0)),"")</f>
        <v/>
      </c>
      <c r="AA88" s="20">
        <f>IFERROR(INDEX($H$14:$H$93,MATCH($E88&amp;"#3",$X$14:$X$93,0)),"")</f>
        <v/>
      </c>
      <c r="AB88" s="20">
        <f>IFERROR(INDEX($H$14:$H$93,MATCH($E88&amp;"#4",$X$14:$X$93,0)),"")</f>
        <v/>
      </c>
      <c r="AC88" s="20">
        <f>IFERROR(INDEX($H$14:$H$93,MATCH($E88&amp;"#5",$X$14:$X$93,0)),"")</f>
        <v/>
      </c>
      <c r="AD88" s="20">
        <f>IFERROR(INDEX($H$14:$H$93,MATCH($E88&amp;"#6",$X$14:$X$93,0)),"")</f>
        <v/>
      </c>
      <c r="AE88" s="20">
        <f>IFERROR(INDEX($H$14:$H$93,MATCH($E88&amp;"#7",$X$14:$X$93,0)),"")</f>
        <v/>
      </c>
      <c r="AF88" s="20">
        <f>IFERROR(INDEX($H$14:$H$93,MATCH($E88&amp;"#8",$X$14:$X$93,0)),"")</f>
        <v/>
      </c>
      <c r="AG88" s="20">
        <f>IFERROR(INDEX($H$14:$H$93,MATCH($E88&amp;"#9",$X$14:$X$93,0)),"")</f>
        <v/>
      </c>
      <c r="AH88" s="20">
        <f>IFERROR(INDEX($H$14:$H$93,MATCH($E88&amp;"#10",$X$14:$X$93,0)),"")</f>
        <v/>
      </c>
      <c r="AI88" s="20">
        <f>IFERROR(INDEX($H$14:$H$93,MATCH($E88&amp;"#11",$X$14:$X$93,0)),"")</f>
        <v/>
      </c>
      <c r="AJ88" s="20">
        <f>IFERROR(INDEX($H$14:$H$93,MATCH($E88&amp;"#12",$X$14:$X$93,0)),"")</f>
        <v/>
      </c>
      <c r="AK88" s="20">
        <f>IFERROR(INDEX($H$14:$H$93,MATCH($E88&amp;"#13",$X$14:$X$93,0)),"")</f>
        <v/>
      </c>
      <c r="AL88" s="20">
        <f>IFERROR(INDEX($H$14:$H$93,MATCH($E88&amp;"#14",$X$14:$X$93,0)),"")</f>
        <v/>
      </c>
      <c r="AM88" s="20">
        <f>IFERROR(INDEX($H$14:$H$93,MATCH($E88&amp;"#15",$X$14:$X$93,0)),"")</f>
        <v/>
      </c>
      <c r="AN88" s="20">
        <f>IFERROR(INDEX($H$14:$H$93,MATCH($E88&amp;"#16",$X$14:$X$93,0)),"")</f>
        <v/>
      </c>
      <c r="AO88" s="20">
        <f>IFERROR(INDEX($H$14:$H$93,MATCH($E88&amp;"#17",$X$14:$X$93,0)),"")</f>
        <v/>
      </c>
      <c r="AP88" s="20">
        <f>IFERROR(INDEX($H$14:$H$93,MATCH($E88&amp;"#18",$X$14:$X$93,0)),"")</f>
        <v/>
      </c>
      <c r="AQ88" s="20">
        <f>IFERROR(INDEX($H$14:$H$93,MATCH($E88&amp;"#19",$X$14:$X$93,0)),"")</f>
        <v/>
      </c>
      <c r="AR88" s="20">
        <f>IFERROR(INDEX($H$14:$H$93,MATCH($E88&amp;"#20",$X$14:$X$93,0)),"")</f>
        <v/>
      </c>
      <c r="AT88" s="21">
        <f>$C88</f>
        <v/>
      </c>
      <c r="AU88" s="22">
        <f>IF(AND($H88&lt;&gt;"",$Y88&lt;&gt;"",$H88&lt;&gt;$Y88,IFERROR(VLOOKUP($H88,areaCercaPuntiClassificaSquadra,3,FALSE),-1)=IFERROR(VLOOKUP($Y88,areaCercaPuntiClassificaSquadra,3,FALSE),-2)),SUMIFS(Dati!$B$2:$B$761,Dati!$A$2:$A$761,$H88,Dati!$H$2:$H$761,$Y88)+SUMIFS(Dati!$I$2:$I$761,Dati!$H$2:$H$761,$H88,Dati!$A$2:$A$761,$Y88),"-")</f>
        <v/>
      </c>
      <c r="AV88" s="22">
        <f>IF(AND($H88&lt;&gt;"",$Z88&lt;&gt;"",$H88&lt;&gt;$Z88,IFERROR(VLOOKUP($H88,areaCercaPuntiClassificaSquadra,3,FALSE),-1)=IFERROR(VLOOKUP($Z88,areaCercaPuntiClassificaSquadra,3,FALSE),-2)),SUMIFS(Dati!$B$2:$B$761,Dati!$A$2:$A$761,$H88,Dati!$H$2:$H$761,$Z88)+SUMIFS(Dati!$I$2:$I$761,Dati!$H$2:$H$761,$H88,Dati!$A$2:$A$761,$Z88),"-")</f>
        <v/>
      </c>
      <c r="AW88" s="22">
        <f>IF(AND($H88&lt;&gt;"",$AA88&lt;&gt;"",$H88&lt;&gt;$AA88,IFERROR(VLOOKUP($H88,areaCercaPuntiClassificaSquadra,3,FALSE),-1)=IFERROR(VLOOKUP($AA88,areaCercaPuntiClassificaSquadra,3,FALSE),-2)),SUMIFS(Dati!$B$2:$B$761,Dati!$A$2:$A$761,$H88,Dati!$H$2:$H$761,$AA88)+SUMIFS(Dati!$I$2:$I$761,Dati!$H$2:$H$761,$H88,Dati!$A$2:$A$761,$AA88),"-")</f>
        <v/>
      </c>
      <c r="AX88" s="22">
        <f>IF(AND($H88&lt;&gt;"",$AB88&lt;&gt;"",$H88&lt;&gt;$AB88,IFERROR(VLOOKUP($H88,areaCercaPuntiClassificaSquadra,3,FALSE),-1)=IFERROR(VLOOKUP($AB88,areaCercaPuntiClassificaSquadra,3,FALSE),-2)),SUMIFS(Dati!$B$2:$B$761,Dati!$A$2:$A$761,$H88,Dati!$H$2:$H$761,$AB88)+SUMIFS(Dati!$I$2:$I$761,Dati!$H$2:$H$761,$H88,Dati!$A$2:$A$761,$AB88),"-")</f>
        <v/>
      </c>
      <c r="AY88" s="22">
        <f>IF(AND($H88&lt;&gt;"",$AC88&lt;&gt;"",$H88&lt;&gt;$AC88,IFERROR(VLOOKUP($H88,areaCercaPuntiClassificaSquadra,3,FALSE),-1)=IFERROR(VLOOKUP($AC88,areaCercaPuntiClassificaSquadra,3,FALSE),-2)),SUMIFS(Dati!$B$2:$B$761,Dati!$A$2:$A$761,$H88,Dati!$H$2:$H$761,$AC88)+SUMIFS(Dati!$I$2:$I$761,Dati!$H$2:$H$761,$H88,Dati!$A$2:$A$761,$AC88),"-")</f>
        <v/>
      </c>
      <c r="AZ88" s="22">
        <f>IF(AND($H88&lt;&gt;"",$AD88&lt;&gt;"",$H88&lt;&gt;$AD88,IFERROR(VLOOKUP($H88,areaCercaPuntiClassificaSquadra,3,FALSE),-1)=IFERROR(VLOOKUP($AD88,areaCercaPuntiClassificaSquadra,3,FALSE),-2)),SUMIFS(Dati!$B$2:$B$761,Dati!$A$2:$A$761,$H88,Dati!$H$2:$H$761,$AD88)+SUMIFS(Dati!$I$2:$I$761,Dati!$H$2:$H$761,$H88,Dati!$A$2:$A$761,$AD88),"-")</f>
        <v/>
      </c>
      <c r="BA88" s="22">
        <f>IF(AND($H88&lt;&gt;"",$AE88&lt;&gt;"",$H88&lt;&gt;$AE88,IFERROR(VLOOKUP($H88,areaCercaPuntiClassificaSquadra,3,FALSE),-1)=IFERROR(VLOOKUP($AE88,areaCercaPuntiClassificaSquadra,3,FALSE),-2)),SUMIFS(Dati!$B$2:$B$761,Dati!$A$2:$A$761,$H88,Dati!$H$2:$H$761,$AE88)+SUMIFS(Dati!$I$2:$I$761,Dati!$H$2:$H$761,$H88,Dati!$A$2:$A$761,$AE88),"-")</f>
        <v/>
      </c>
      <c r="BB88" s="22">
        <f>IF(AND($H88&lt;&gt;"",$AF88&lt;&gt;"",$H88&lt;&gt;$AF88,IFERROR(VLOOKUP($H88,areaCercaPuntiClassificaSquadra,3,FALSE),-1)=IFERROR(VLOOKUP($AF88,areaCercaPuntiClassificaSquadra,3,FALSE),-2)),SUMIFS(Dati!$B$2:$B$761,Dati!$A$2:$A$761,$H88,Dati!$H$2:$H$761,$AF88)+SUMIFS(Dati!$I$2:$I$761,Dati!$H$2:$H$761,$H88,Dati!$A$2:$A$761,$AF88),"-")</f>
        <v/>
      </c>
      <c r="BC88" s="22">
        <f>IF(AND($H88&lt;&gt;"",$AG88&lt;&gt;"",$H88&lt;&gt;$AG88,IFERROR(VLOOKUP($H88,areaCercaPuntiClassificaSquadra,3,FALSE),-1)=IFERROR(VLOOKUP($AG88,areaCercaPuntiClassificaSquadra,3,FALSE),-2)),SUMIFS(Dati!$B$2:$B$761,Dati!$A$2:$A$761,$H88,Dati!$H$2:$H$761,$AG88)+SUMIFS(Dati!$I$2:$I$761,Dati!$H$2:$H$761,$H88,Dati!$A$2:$A$761,$AG88),"-")</f>
        <v/>
      </c>
      <c r="BD88" s="22">
        <f>IF(AND($H88&lt;&gt;"",$AH88&lt;&gt;"",$H88&lt;&gt;$AH88,IFERROR(VLOOKUP($H88,areaCercaPuntiClassificaSquadra,3,FALSE),-1)=IFERROR(VLOOKUP($AH88,areaCercaPuntiClassificaSquadra,3,FALSE),-2)),SUMIFS(Dati!$B$2:$B$761,Dati!$A$2:$A$761,$H88,Dati!$H$2:$H$761,$AH88)+SUMIFS(Dati!$I$2:$I$761,Dati!$H$2:$H$761,$H88,Dati!$A$2:$A$761,$AH88),"-")</f>
        <v/>
      </c>
      <c r="BE88" s="22">
        <f>IF(AND($H88&lt;&gt;"",$AI88&lt;&gt;"",$H88&lt;&gt;$AI88,IFERROR(VLOOKUP($H88,areaCercaPuntiClassificaSquadra,3,FALSE),-1)=IFERROR(VLOOKUP($AI88,areaCercaPuntiClassificaSquadra,3,FALSE),-2)),SUMIFS(Dati!$B$2:$B$761,Dati!$A$2:$A$761,$H88,Dati!$H$2:$H$761,$AI88)+SUMIFS(Dati!$I$2:$I$761,Dati!$H$2:$H$761,$H88,Dati!$A$2:$A$761,$AI88),"-")</f>
        <v/>
      </c>
      <c r="BF88" s="22">
        <f>IF(AND($H88&lt;&gt;"",$AJ88&lt;&gt;"",$H88&lt;&gt;$AJ88,IFERROR(VLOOKUP($H88,areaCercaPuntiClassificaSquadra,3,FALSE),-1)=IFERROR(VLOOKUP($AJ88,areaCercaPuntiClassificaSquadra,3,FALSE),-2)),SUMIFS(Dati!$B$2:$B$761,Dati!$A$2:$A$761,$H88,Dati!$H$2:$H$761,$AJ88)+SUMIFS(Dati!$I$2:$I$761,Dati!$H$2:$H$761,$H88,Dati!$A$2:$A$761,$AJ88),"-")</f>
        <v/>
      </c>
      <c r="BG88" s="22">
        <f>IF(AND($H88&lt;&gt;"",$AK88&lt;&gt;"",$H88&lt;&gt;$AK88,IFERROR(VLOOKUP($H88,areaCercaPuntiClassificaSquadra,3,FALSE),-1)=IFERROR(VLOOKUP($AK88,areaCercaPuntiClassificaSquadra,3,FALSE),-2)),SUMIFS(Dati!$B$2:$B$761,Dati!$A$2:$A$761,$H88,Dati!$H$2:$H$761,$AK88)+SUMIFS(Dati!$I$2:$I$761,Dati!$H$2:$H$761,$H88,Dati!$A$2:$A$761,$AK88),"-")</f>
        <v/>
      </c>
      <c r="BH88" s="22">
        <f>IF(AND($H88&lt;&gt;"",$AL88&lt;&gt;"",$H88&lt;&gt;$AL88,IFERROR(VLOOKUP($H88,areaCercaPuntiClassificaSquadra,3,FALSE),-1)=IFERROR(VLOOKUP($AL88,areaCercaPuntiClassificaSquadra,3,FALSE),-2)),SUMIFS(Dati!$B$2:$B$761,Dati!$A$2:$A$761,$H88,Dati!$H$2:$H$761,$AL88)+SUMIFS(Dati!$I$2:$I$761,Dati!$H$2:$H$761,$H88,Dati!$A$2:$A$761,$AL88),"-")</f>
        <v/>
      </c>
      <c r="BI88" s="22">
        <f>IF(AND($H88&lt;&gt;"",$AM88&lt;&gt;"",$H88&lt;&gt;$AM88,IFERROR(VLOOKUP($H88,areaCercaPuntiClassificaSquadra,3,FALSE),-1)=IFERROR(VLOOKUP($AM88,areaCercaPuntiClassificaSquadra,3,FALSE),-2)),SUMIFS(Dati!$B$2:$B$761,Dati!$A$2:$A$761,$H88,Dati!$H$2:$H$761,$AM88)+SUMIFS(Dati!$I$2:$I$761,Dati!$H$2:$H$761,$H88,Dati!$A$2:$A$761,$AM88),"-")</f>
        <v/>
      </c>
      <c r="BJ88" s="22">
        <f>IF(AND($H88&lt;&gt;"",$AN88&lt;&gt;"",$H88&lt;&gt;$AN88,IFERROR(VLOOKUP($H88,areaCercaPuntiClassificaSquadra,3,FALSE),-1)=IFERROR(VLOOKUP($AN88,areaCercaPuntiClassificaSquadra,3,FALSE),-2)),SUMIFS(Dati!$B$2:$B$761,Dati!$A$2:$A$761,$H88,Dati!$H$2:$H$761,$AN88)+SUMIFS(Dati!$I$2:$I$761,Dati!$H$2:$H$761,$H88,Dati!$A$2:$A$761,$AN88),"-")</f>
        <v/>
      </c>
      <c r="BK88" s="22">
        <f>IF(AND($H88&lt;&gt;"",$AO88&lt;&gt;"",$H88&lt;&gt;$AO88,IFERROR(VLOOKUP($H88,areaCercaPuntiClassificaSquadra,3,FALSE),-1)=IFERROR(VLOOKUP($AO88,areaCercaPuntiClassificaSquadra,3,FALSE),-2)),SUMIFS(Dati!$B$2:$B$761,Dati!$A$2:$A$761,$H88,Dati!$H$2:$H$761,$AO88)+SUMIFS(Dati!$I$2:$I$761,Dati!$H$2:$H$761,$H88,Dati!$A$2:$A$761,$AO88),"-")</f>
        <v/>
      </c>
      <c r="BL88" s="22">
        <f>IF(AND($H88&lt;&gt;"",$AP88&lt;&gt;"",$H88&lt;&gt;$AP88,IFERROR(VLOOKUP($H88,areaCercaPuntiClassificaSquadra,3,FALSE),-1)=IFERROR(VLOOKUP($AP88,areaCercaPuntiClassificaSquadra,3,FALSE),-2)),SUMIFS(Dati!$B$2:$B$761,Dati!$A$2:$A$761,$H88,Dati!$H$2:$H$761,$AP88)+SUMIFS(Dati!$I$2:$I$761,Dati!$H$2:$H$761,$H88,Dati!$A$2:$A$761,$AP88),"-")</f>
        <v/>
      </c>
      <c r="BM88" s="22">
        <f>IF(AND($H88&lt;&gt;"",$AQ88&lt;&gt;"",$H88&lt;&gt;$AQ88,IFERROR(VLOOKUP($H88,areaCercaPuntiClassificaSquadra,3,FALSE),-1)=IFERROR(VLOOKUP($AQ88,areaCercaPuntiClassificaSquadra,3,FALSE),-2)),SUMIFS(Dati!$B$2:$B$761,Dati!$A$2:$A$761,$H88,Dati!$H$2:$H$761,$AQ88)+SUMIFS(Dati!$I$2:$I$761,Dati!$H$2:$H$761,$H88,Dati!$A$2:$A$761,$AQ88),"-")</f>
        <v/>
      </c>
      <c r="BN88" s="22">
        <f>IF(AND($H88&lt;&gt;"",$AR88&lt;&gt;"",$H88&lt;&gt;$AR88,IFERROR(VLOOKUP($H88,areaCercaPuntiClassificaSquadra,3,FALSE),-1)=IFERROR(VLOOKUP($AR88,areaCercaPuntiClassificaSquadra,3,FALSE),-2)),SUMIFS(Dati!$B$2:$B$761,Dati!$A$2:$A$761,$H88,Dati!$H$2:$H$761,$AR88)+SUMIFS(Dati!$I$2:$I$761,Dati!$H$2:$H$761,$H88,Dati!$A$2:$A$761,$AR88),"-")</f>
        <v/>
      </c>
      <c r="BP88" s="21">
        <f>$C88</f>
        <v/>
      </c>
      <c r="BQ88" s="22">
        <f>IF(AND($H88&lt;&gt;"",$Y88&lt;&gt;"",$H88&lt;&gt;$Y88,IFERROR(VLOOKUP($H88,areaCercaPuntiClassificaSquadra,3,FALSE),-1)=IFERROR(VLOOKUP($Y88,areaCercaPuntiClassificaSquadra,3,FALSE),-2)),SUMIFS(Dati!$D$2:$D$761,Dati!$A$2:$A$761,$H88,Dati!$H$2:$H$761,$Y88)+SUMIFS(Dati!$K$2:$K$761,Dati!$H$2:$H$761,$H88,Dati!$A$2:$A$761,$Y88)+SUMIFS(Dati!$C$2:$C$761,Dati!$A$2:$A$761,$H88,Dati!$H$2:$H$761,$Y88)+SUMIFS(Dati!$J$2:$J$761,Dati!$H$2:$H$761,$H88,Dati!$A$2:$A$761,$Y88),"-")</f>
        <v/>
      </c>
      <c r="BR88" s="22">
        <f>IF(AND($H88&lt;&gt;"",$Z88&lt;&gt;"",$H88&lt;&gt;$Z88,IFERROR(VLOOKUP($H88,areaCercaPuntiClassificaSquadra,3,FALSE),-1)=IFERROR(VLOOKUP($Z88,areaCercaPuntiClassificaSquadra,3,FALSE),-2)),SUMIFS(Dati!$D$2:$D$761,Dati!$A$2:$A$761,$H88,Dati!$H$2:$H$761,$Z88)+SUMIFS(Dati!$K$2:$K$761,Dati!$H$2:$H$761,$H88,Dati!$A$2:$A$761,$Z88)+SUMIFS(Dati!$C$2:$C$761,Dati!$A$2:$A$761,$H88,Dati!$H$2:$H$761,$Z88)+SUMIFS(Dati!$J$2:$J$761,Dati!$H$2:$H$761,$H88,Dati!$A$2:$A$761,$Z88),"-")</f>
        <v/>
      </c>
      <c r="BS88" s="22">
        <f>IF(AND($H88&lt;&gt;"",$AA88&lt;&gt;"",$H88&lt;&gt;$AA88,IFERROR(VLOOKUP($H88,areaCercaPuntiClassificaSquadra,3,FALSE),-1)=IFERROR(VLOOKUP($AA88,areaCercaPuntiClassificaSquadra,3,FALSE),-2)),SUMIFS(Dati!$D$2:$D$761,Dati!$A$2:$A$761,$H88,Dati!$H$2:$H$761,$AA88)+SUMIFS(Dati!$K$2:$K$761,Dati!$H$2:$H$761,$H88,Dati!$A$2:$A$761,$AA88)+SUMIFS(Dati!$C$2:$C$761,Dati!$A$2:$A$761,$H88,Dati!$H$2:$H$761,$AA88)+SUMIFS(Dati!$J$2:$J$761,Dati!$H$2:$H$761,$H88,Dati!$A$2:$A$761,$AA88),"-")</f>
        <v/>
      </c>
      <c r="BT88" s="22">
        <f>IF(AND($H88&lt;&gt;"",$AB88&lt;&gt;"",$H88&lt;&gt;$AB88,IFERROR(VLOOKUP($H88,areaCercaPuntiClassificaSquadra,3,FALSE),-1)=IFERROR(VLOOKUP($AB88,areaCercaPuntiClassificaSquadra,3,FALSE),-2)),SUMIFS(Dati!$D$2:$D$761,Dati!$A$2:$A$761,$H88,Dati!$H$2:$H$761,$AB88)+SUMIFS(Dati!$K$2:$K$761,Dati!$H$2:$H$761,$H88,Dati!$A$2:$A$761,$AB88)+SUMIFS(Dati!$C$2:$C$761,Dati!$A$2:$A$761,$H88,Dati!$H$2:$H$761,$AB88)+SUMIFS(Dati!$J$2:$J$761,Dati!$H$2:$H$761,$H88,Dati!$A$2:$A$761,$AB88),"-")</f>
        <v/>
      </c>
      <c r="BU88" s="22">
        <f>IF(AND($H88&lt;&gt;"",$AC88&lt;&gt;"",$H88&lt;&gt;$AC88,IFERROR(VLOOKUP($H88,areaCercaPuntiClassificaSquadra,3,FALSE),-1)=IFERROR(VLOOKUP($AC88,areaCercaPuntiClassificaSquadra,3,FALSE),-2)),SUMIFS(Dati!$D$2:$D$761,Dati!$A$2:$A$761,$H88,Dati!$H$2:$H$761,$AC88)+SUMIFS(Dati!$K$2:$K$761,Dati!$H$2:$H$761,$H88,Dati!$A$2:$A$761,$AC88)+SUMIFS(Dati!$C$2:$C$761,Dati!$A$2:$A$761,$H88,Dati!$H$2:$H$761,$AC88)+SUMIFS(Dati!$J$2:$J$761,Dati!$H$2:$H$761,$H88,Dati!$A$2:$A$761,$AC88),"-")</f>
        <v/>
      </c>
      <c r="BV88" s="22">
        <f>IF(AND($H88&lt;&gt;"",$AD88&lt;&gt;"",$H88&lt;&gt;$AD88,IFERROR(VLOOKUP($H88,areaCercaPuntiClassificaSquadra,3,FALSE),-1)=IFERROR(VLOOKUP($AD88,areaCercaPuntiClassificaSquadra,3,FALSE),-2)),SUMIFS(Dati!$D$2:$D$761,Dati!$A$2:$A$761,$H88,Dati!$H$2:$H$761,$AD88)+SUMIFS(Dati!$K$2:$K$761,Dati!$H$2:$H$761,$H88,Dati!$A$2:$A$761,$AD88)+SUMIFS(Dati!$C$2:$C$761,Dati!$A$2:$A$761,$H88,Dati!$H$2:$H$761,$AD88)+SUMIFS(Dati!$J$2:$J$761,Dati!$H$2:$H$761,$H88,Dati!$A$2:$A$761,$AD88),"-")</f>
        <v/>
      </c>
      <c r="BW88" s="22">
        <f>IF(AND($H88&lt;&gt;"",$AE88&lt;&gt;"",$H88&lt;&gt;$AE88,IFERROR(VLOOKUP($H88,areaCercaPuntiClassificaSquadra,3,FALSE),-1)=IFERROR(VLOOKUP($AE88,areaCercaPuntiClassificaSquadra,3,FALSE),-2)),SUMIFS(Dati!$D$2:$D$761,Dati!$A$2:$A$761,$H88,Dati!$H$2:$H$761,$AE88)+SUMIFS(Dati!$K$2:$K$761,Dati!$H$2:$H$761,$H88,Dati!$A$2:$A$761,$AE88)+SUMIFS(Dati!$C$2:$C$761,Dati!$A$2:$A$761,$H88,Dati!$H$2:$H$761,$AE88)+SUMIFS(Dati!$J$2:$J$761,Dati!$H$2:$H$761,$H88,Dati!$A$2:$A$761,$AE88),"-")</f>
        <v/>
      </c>
      <c r="BX88" s="22">
        <f>IF(AND($H88&lt;&gt;"",$AF88&lt;&gt;"",$H88&lt;&gt;$AF88,IFERROR(VLOOKUP($H88,areaCercaPuntiClassificaSquadra,3,FALSE),-1)=IFERROR(VLOOKUP($AF88,areaCercaPuntiClassificaSquadra,3,FALSE),-2)),SUMIFS(Dati!$D$2:$D$761,Dati!$A$2:$A$761,$H88,Dati!$H$2:$H$761,$AF88)+SUMIFS(Dati!$K$2:$K$761,Dati!$H$2:$H$761,$H88,Dati!$A$2:$A$761,$AF88)+SUMIFS(Dati!$C$2:$C$761,Dati!$A$2:$A$761,$H88,Dati!$H$2:$H$761,$AF88)+SUMIFS(Dati!$J$2:$J$761,Dati!$H$2:$H$761,$H88,Dati!$A$2:$A$761,$AF88),"-")</f>
        <v/>
      </c>
      <c r="BY88" s="22">
        <f>IF(AND($H88&lt;&gt;"",$AG88&lt;&gt;"",$H88&lt;&gt;$AG88,IFERROR(VLOOKUP($H88,areaCercaPuntiClassificaSquadra,3,FALSE),-1)=IFERROR(VLOOKUP($AG88,areaCercaPuntiClassificaSquadra,3,FALSE),-2)),SUMIFS(Dati!$D$2:$D$761,Dati!$A$2:$A$761,$H88,Dati!$H$2:$H$761,$AG88)+SUMIFS(Dati!$K$2:$K$761,Dati!$H$2:$H$761,$H88,Dati!$A$2:$A$761,$AG88)+SUMIFS(Dati!$C$2:$C$761,Dati!$A$2:$A$761,$H88,Dati!$H$2:$H$761,$AG88)+SUMIFS(Dati!$J$2:$J$761,Dati!$H$2:$H$761,$H88,Dati!$A$2:$A$761,$AG88),"-")</f>
        <v/>
      </c>
      <c r="BZ88" s="22">
        <f>IF(AND($H88&lt;&gt;"",$AH88&lt;&gt;"",$H88&lt;&gt;$AH88,IFERROR(VLOOKUP($H88,areaCercaPuntiClassificaSquadra,3,FALSE),-1)=IFERROR(VLOOKUP($AH88,areaCercaPuntiClassificaSquadra,3,FALSE),-2)),SUMIFS(Dati!$D$2:$D$761,Dati!$A$2:$A$761,$H88,Dati!$H$2:$H$761,$AH88)+SUMIFS(Dati!$K$2:$K$761,Dati!$H$2:$H$761,$H88,Dati!$A$2:$A$761,$AH88)+SUMIFS(Dati!$C$2:$C$761,Dati!$A$2:$A$761,$H88,Dati!$H$2:$H$761,$AH88)+SUMIFS(Dati!$J$2:$J$761,Dati!$H$2:$H$761,$H88,Dati!$A$2:$A$761,$AH88),"-")</f>
        <v/>
      </c>
      <c r="CA88" s="22">
        <f>IF(AND($H88&lt;&gt;"",$AI88&lt;&gt;"",$H88&lt;&gt;$AI88,IFERROR(VLOOKUP($H88,areaCercaPuntiClassificaSquadra,3,FALSE),-1)=IFERROR(VLOOKUP($AI88,areaCercaPuntiClassificaSquadra,3,FALSE),-2)),SUMIFS(Dati!$D$2:$D$761,Dati!$A$2:$A$761,$H88,Dati!$H$2:$H$761,$AI88)+SUMIFS(Dati!$K$2:$K$761,Dati!$H$2:$H$761,$H88,Dati!$A$2:$A$761,$AI88)+SUMIFS(Dati!$C$2:$C$761,Dati!$A$2:$A$761,$H88,Dati!$H$2:$H$761,$AI88)+SUMIFS(Dati!$J$2:$J$761,Dati!$H$2:$H$761,$H88,Dati!$A$2:$A$761,$AI88),"-")</f>
        <v/>
      </c>
      <c r="CB88" s="22">
        <f>IF(AND($H88&lt;&gt;"",$AJ88&lt;&gt;"",$H88&lt;&gt;$AJ88,IFERROR(VLOOKUP($H88,areaCercaPuntiClassificaSquadra,3,FALSE),-1)=IFERROR(VLOOKUP($AJ88,areaCercaPuntiClassificaSquadra,3,FALSE),-2)),SUMIFS(Dati!$D$2:$D$761,Dati!$A$2:$A$761,$H88,Dati!$H$2:$H$761,$AJ88)+SUMIFS(Dati!$K$2:$K$761,Dati!$H$2:$H$761,$H88,Dati!$A$2:$A$761,$AJ88)+SUMIFS(Dati!$C$2:$C$761,Dati!$A$2:$A$761,$H88,Dati!$H$2:$H$761,$AJ88)+SUMIFS(Dati!$J$2:$J$761,Dati!$H$2:$H$761,$H88,Dati!$A$2:$A$761,$AJ88),"-")</f>
        <v/>
      </c>
      <c r="CC88" s="22">
        <f>IF(AND($H88&lt;&gt;"",$AK88&lt;&gt;"",$H88&lt;&gt;$AK88,IFERROR(VLOOKUP($H88,areaCercaPuntiClassificaSquadra,3,FALSE),-1)=IFERROR(VLOOKUP($AK88,areaCercaPuntiClassificaSquadra,3,FALSE),-2)),SUMIFS(Dati!$D$2:$D$761,Dati!$A$2:$A$761,$H88,Dati!$H$2:$H$761,$AK88)+SUMIFS(Dati!$K$2:$K$761,Dati!$H$2:$H$761,$H88,Dati!$A$2:$A$761,$AK88)+SUMIFS(Dati!$C$2:$C$761,Dati!$A$2:$A$761,$H88,Dati!$H$2:$H$761,$AK88)+SUMIFS(Dati!$J$2:$J$761,Dati!$H$2:$H$761,$H88,Dati!$A$2:$A$761,$AK88),"-")</f>
        <v/>
      </c>
      <c r="CD88" s="22">
        <f>IF(AND($H88&lt;&gt;"",$AL88&lt;&gt;"",$H88&lt;&gt;$AL88,IFERROR(VLOOKUP($H88,areaCercaPuntiClassificaSquadra,3,FALSE),-1)=IFERROR(VLOOKUP($AL88,areaCercaPuntiClassificaSquadra,3,FALSE),-2)),SUMIFS(Dati!$D$2:$D$761,Dati!$A$2:$A$761,$H88,Dati!$H$2:$H$761,$AL88)+SUMIFS(Dati!$K$2:$K$761,Dati!$H$2:$H$761,$H88,Dati!$A$2:$A$761,$AL88)+SUMIFS(Dati!$C$2:$C$761,Dati!$A$2:$A$761,$H88,Dati!$H$2:$H$761,$AL88)+SUMIFS(Dati!$J$2:$J$761,Dati!$H$2:$H$761,$H88,Dati!$A$2:$A$761,$AL88),"-")</f>
        <v/>
      </c>
      <c r="CE88" s="22">
        <f>IF(AND($H88&lt;&gt;"",$AM88&lt;&gt;"",$H88&lt;&gt;$AM88,IFERROR(VLOOKUP($H88,areaCercaPuntiClassificaSquadra,3,FALSE),-1)=IFERROR(VLOOKUP($AM88,areaCercaPuntiClassificaSquadra,3,FALSE),-2)),SUMIFS(Dati!$D$2:$D$761,Dati!$A$2:$A$761,$H88,Dati!$H$2:$H$761,$AM88)+SUMIFS(Dati!$K$2:$K$761,Dati!$H$2:$H$761,$H88,Dati!$A$2:$A$761,$AM88)+SUMIFS(Dati!$C$2:$C$761,Dati!$A$2:$A$761,$H88,Dati!$H$2:$H$761,$AM88)+SUMIFS(Dati!$J$2:$J$761,Dati!$H$2:$H$761,$H88,Dati!$A$2:$A$761,$AM88),"-")</f>
        <v/>
      </c>
      <c r="CF88" s="22">
        <f>IF(AND($H88&lt;&gt;"",$AN88&lt;&gt;"",$H88&lt;&gt;$AN88,IFERROR(VLOOKUP($H88,areaCercaPuntiClassificaSquadra,3,FALSE),-1)=IFERROR(VLOOKUP($AN88,areaCercaPuntiClassificaSquadra,3,FALSE),-2)),SUMIFS(Dati!$D$2:$D$761,Dati!$A$2:$A$761,$H88,Dati!$H$2:$H$761,$AN88)+SUMIFS(Dati!$K$2:$K$761,Dati!$H$2:$H$761,$H88,Dati!$A$2:$A$761,$AN88)+SUMIFS(Dati!$C$2:$C$761,Dati!$A$2:$A$761,$H88,Dati!$H$2:$H$761,$AN88)+SUMIFS(Dati!$J$2:$J$761,Dati!$H$2:$H$761,$H88,Dati!$A$2:$A$761,$AN88),"-")</f>
        <v/>
      </c>
      <c r="CG88" s="22">
        <f>IF(AND($H88&lt;&gt;"",$AO88&lt;&gt;"",$H88&lt;&gt;$AO88,IFERROR(VLOOKUP($H88,areaCercaPuntiClassificaSquadra,3,FALSE),-1)=IFERROR(VLOOKUP($AO88,areaCercaPuntiClassificaSquadra,3,FALSE),-2)),SUMIFS(Dati!$D$2:$D$761,Dati!$A$2:$A$761,$H88,Dati!$H$2:$H$761,$AO88)+SUMIFS(Dati!$K$2:$K$761,Dati!$H$2:$H$761,$H88,Dati!$A$2:$A$761,$AO88)+SUMIFS(Dati!$C$2:$C$761,Dati!$A$2:$A$761,$H88,Dati!$H$2:$H$761,$AO88)+SUMIFS(Dati!$J$2:$J$761,Dati!$H$2:$H$761,$H88,Dati!$A$2:$A$761,$AO88),"-")</f>
        <v/>
      </c>
      <c r="CH88" s="22">
        <f>IF(AND($H88&lt;&gt;"",$AP88&lt;&gt;"",$H88&lt;&gt;$AP88,IFERROR(VLOOKUP($H88,areaCercaPuntiClassificaSquadra,3,FALSE),-1)=IFERROR(VLOOKUP($AP88,areaCercaPuntiClassificaSquadra,3,FALSE),-2)),SUMIFS(Dati!$D$2:$D$761,Dati!$A$2:$A$761,$H88,Dati!$H$2:$H$761,$AP88)+SUMIFS(Dati!$K$2:$K$761,Dati!$H$2:$H$761,$H88,Dati!$A$2:$A$761,$AP88)+SUMIFS(Dati!$C$2:$C$761,Dati!$A$2:$A$761,$H88,Dati!$H$2:$H$761,$AP88)+SUMIFS(Dati!$J$2:$J$761,Dati!$H$2:$H$761,$H88,Dati!$A$2:$A$761,$AP88),"-")</f>
        <v/>
      </c>
      <c r="CI88" s="22">
        <f>IF(AND($H88&lt;&gt;"",$AQ88&lt;&gt;"",$H88&lt;&gt;$AQ88,IFERROR(VLOOKUP($H88,areaCercaPuntiClassificaSquadra,3,FALSE),-1)=IFERROR(VLOOKUP($AQ88,areaCercaPuntiClassificaSquadra,3,FALSE),-2)),SUMIFS(Dati!$D$2:$D$761,Dati!$A$2:$A$761,$H88,Dati!$H$2:$H$761,$AQ88)+SUMIFS(Dati!$K$2:$K$761,Dati!$H$2:$H$761,$H88,Dati!$A$2:$A$761,$AQ88)+SUMIFS(Dati!$C$2:$C$761,Dati!$A$2:$A$761,$H88,Dati!$H$2:$H$761,$AQ88)+SUMIFS(Dati!$J$2:$J$761,Dati!$H$2:$H$761,$H88,Dati!$A$2:$A$761,$AQ88),"-")</f>
        <v/>
      </c>
      <c r="CJ88" s="22">
        <f>IF(AND($H88&lt;&gt;"",$AR88&lt;&gt;"",$H88&lt;&gt;$AR88,IFERROR(VLOOKUP($H88,areaCercaPuntiClassificaSquadra,3,FALSE),-1)=IFERROR(VLOOKUP($AR88,areaCercaPuntiClassificaSquadra,3,FALSE),-2)),SUMIFS(Dati!$D$2:$D$761,Dati!$A$2:$A$761,$H88,Dati!$H$2:$H$761,$AR88)+SUMIFS(Dati!$K$2:$K$761,Dati!$H$2:$H$761,$H88,Dati!$A$2:$A$761,$AR88)+SUMIFS(Dati!$C$2:$C$761,Dati!$A$2:$A$761,$H88,Dati!$H$2:$H$761,$AR88)+SUMIFS(Dati!$J$2:$J$761,Dati!$H$2:$H$761,$H88,Dati!$A$2:$A$761,$AR88),"-")</f>
        <v/>
      </c>
      <c r="CL88" s="21">
        <f>$C88</f>
        <v/>
      </c>
      <c r="CM88" s="22">
        <f>IF(AND($H88&lt;&gt;"",$Y88&lt;&gt;"",$H88&lt;&gt;$Y88,IFERROR(VLOOKUP($H88,areaCercaPuntiClassificaSquadra,3,FALSE),-1)=IFERROR(VLOOKUP($Y88,areaCercaPuntiClassificaSquadra,3,FALSE),-2)),SUMIFS(Dati!$E$2:$E$761,Dati!$A$2:$A$761,$H88,Dati!$H$2:$H$761,$Y88)+SUMIFS(Dati!$L$2:$L$761,Dati!$H$2:$H$761,$H88,Dati!$A$2:$A$761,$Y88),"-")</f>
        <v/>
      </c>
      <c r="CN88" s="22">
        <f>IF(AND($H88&lt;&gt;"",$Z88&lt;&gt;"",$H88&lt;&gt;$Z88,IFERROR(VLOOKUP($H88,areaCercaPuntiClassificaSquadra,3,FALSE),-1)=IFERROR(VLOOKUP($Z88,areaCercaPuntiClassificaSquadra,3,FALSE),-2)),SUMIFS(Dati!$E$2:$E$761,Dati!$A$2:$A$761,$H88,Dati!$H$2:$H$761,$Z88)+SUMIFS(Dati!$L$2:$L$761,Dati!$H$2:$H$761,$H88,Dati!$A$2:$A$761,$Z88),"-")</f>
        <v/>
      </c>
      <c r="CO88" s="22">
        <f>IF(AND($H88&lt;&gt;"",$AA88&lt;&gt;"",$H88&lt;&gt;$AA88,IFERROR(VLOOKUP($H88,areaCercaPuntiClassificaSquadra,3,FALSE),-1)=IFERROR(VLOOKUP($AA88,areaCercaPuntiClassificaSquadra,3,FALSE),-2)),SUMIFS(Dati!$E$2:$E$761,Dati!$A$2:$A$761,$H88,Dati!$H$2:$H$761,$AA88)+SUMIFS(Dati!$L$2:$L$761,Dati!$H$2:$H$761,$H88,Dati!$A$2:$A$761,$AA88),"-")</f>
        <v/>
      </c>
      <c r="CP88" s="22">
        <f>IF(AND($H88&lt;&gt;"",$AB88&lt;&gt;"",$H88&lt;&gt;$AB88,IFERROR(VLOOKUP($H88,areaCercaPuntiClassificaSquadra,3,FALSE),-1)=IFERROR(VLOOKUP($AB88,areaCercaPuntiClassificaSquadra,3,FALSE),-2)),SUMIFS(Dati!$E$2:$E$761,Dati!$A$2:$A$761,$H88,Dati!$H$2:$H$761,$AB88)+SUMIFS(Dati!$L$2:$L$761,Dati!$H$2:$H$761,$H88,Dati!$A$2:$A$761,$AB88),"-")</f>
        <v/>
      </c>
      <c r="CQ88" s="22">
        <f>IF(AND($H88&lt;&gt;"",$AC88&lt;&gt;"",$H88&lt;&gt;$AC88,IFERROR(VLOOKUP($H88,areaCercaPuntiClassificaSquadra,3,FALSE),-1)=IFERROR(VLOOKUP($AC88,areaCercaPuntiClassificaSquadra,3,FALSE),-2)),SUMIFS(Dati!$E$2:$E$761,Dati!$A$2:$A$761,$H88,Dati!$H$2:$H$761,$AC88)+SUMIFS(Dati!$L$2:$L$761,Dati!$H$2:$H$761,$H88,Dati!$A$2:$A$761,$AC88),"-")</f>
        <v/>
      </c>
      <c r="CR88" s="22">
        <f>IF(AND($H88&lt;&gt;"",$AD88&lt;&gt;"",$H88&lt;&gt;$AD88,IFERROR(VLOOKUP($H88,areaCercaPuntiClassificaSquadra,3,FALSE),-1)=IFERROR(VLOOKUP($AD88,areaCercaPuntiClassificaSquadra,3,FALSE),-2)),SUMIFS(Dati!$E$2:$E$761,Dati!$A$2:$A$761,$H88,Dati!$H$2:$H$761,$AD88)+SUMIFS(Dati!$L$2:$L$761,Dati!$H$2:$H$761,$H88,Dati!$A$2:$A$761,$AD88),"-")</f>
        <v/>
      </c>
      <c r="CS88" s="22">
        <f>IF(AND($H88&lt;&gt;"",$AE88&lt;&gt;"",$H88&lt;&gt;$AE88,IFERROR(VLOOKUP($H88,areaCercaPuntiClassificaSquadra,3,FALSE),-1)=IFERROR(VLOOKUP($AE88,areaCercaPuntiClassificaSquadra,3,FALSE),-2)),SUMIFS(Dati!$E$2:$E$761,Dati!$A$2:$A$761,$H88,Dati!$H$2:$H$761,$AE88)+SUMIFS(Dati!$L$2:$L$761,Dati!$H$2:$H$761,$H88,Dati!$A$2:$A$761,$AE88),"-")</f>
        <v/>
      </c>
      <c r="CT88" s="22">
        <f>IF(AND($H88&lt;&gt;"",$AF88&lt;&gt;"",$H88&lt;&gt;$AF88,IFERROR(VLOOKUP($H88,areaCercaPuntiClassificaSquadra,3,FALSE),-1)=IFERROR(VLOOKUP($AF88,areaCercaPuntiClassificaSquadra,3,FALSE),-2)),SUMIFS(Dati!$E$2:$E$761,Dati!$A$2:$A$761,$H88,Dati!$H$2:$H$761,$AF88)+SUMIFS(Dati!$L$2:$L$761,Dati!$H$2:$H$761,$H88,Dati!$A$2:$A$761,$AF88),"-")</f>
        <v/>
      </c>
      <c r="CU88" s="22">
        <f>IF(AND($H88&lt;&gt;"",$AG88&lt;&gt;"",$H88&lt;&gt;$AG88,IFERROR(VLOOKUP($H88,areaCercaPuntiClassificaSquadra,3,FALSE),-1)=IFERROR(VLOOKUP($AG88,areaCercaPuntiClassificaSquadra,3,FALSE),-2)),SUMIFS(Dati!$E$2:$E$761,Dati!$A$2:$A$761,$H88,Dati!$H$2:$H$761,$AG88)+SUMIFS(Dati!$L$2:$L$761,Dati!$H$2:$H$761,$H88,Dati!$A$2:$A$761,$AG88),"-")</f>
        <v/>
      </c>
      <c r="CV88" s="22">
        <f>IF(AND($H88&lt;&gt;"",$AH88&lt;&gt;"",$H88&lt;&gt;$AH88,IFERROR(VLOOKUP($H88,areaCercaPuntiClassificaSquadra,3,FALSE),-1)=IFERROR(VLOOKUP($AH88,areaCercaPuntiClassificaSquadra,3,FALSE),-2)),SUMIFS(Dati!$E$2:$E$761,Dati!$A$2:$A$761,$H88,Dati!$H$2:$H$761,$AH88)+SUMIFS(Dati!$L$2:$L$761,Dati!$H$2:$H$761,$H88,Dati!$A$2:$A$761,$AH88),"-")</f>
        <v/>
      </c>
      <c r="CW88" s="22">
        <f>IF(AND($H88&lt;&gt;"",$AI88&lt;&gt;"",$H88&lt;&gt;$AI88,IFERROR(VLOOKUP($H88,areaCercaPuntiClassificaSquadra,3,FALSE),-1)=IFERROR(VLOOKUP($AI88,areaCercaPuntiClassificaSquadra,3,FALSE),-2)),SUMIFS(Dati!$E$2:$E$761,Dati!$A$2:$A$761,$H88,Dati!$H$2:$H$761,$AI88)+SUMIFS(Dati!$L$2:$L$761,Dati!$H$2:$H$761,$H88,Dati!$A$2:$A$761,$AI88),"-")</f>
        <v/>
      </c>
      <c r="CX88" s="22">
        <f>IF(AND($H88&lt;&gt;"",$AJ88&lt;&gt;"",$H88&lt;&gt;$AJ88,IFERROR(VLOOKUP($H88,areaCercaPuntiClassificaSquadra,3,FALSE),-1)=IFERROR(VLOOKUP($AJ88,areaCercaPuntiClassificaSquadra,3,FALSE),-2)),SUMIFS(Dati!$E$2:$E$761,Dati!$A$2:$A$761,$H88,Dati!$H$2:$H$761,$AJ88)+SUMIFS(Dati!$L$2:$L$761,Dati!$H$2:$H$761,$H88,Dati!$A$2:$A$761,$AJ88),"-")</f>
        <v/>
      </c>
      <c r="CY88" s="22">
        <f>IF(AND($H88&lt;&gt;"",$AK88&lt;&gt;"",$H88&lt;&gt;$AK88,IFERROR(VLOOKUP($H88,areaCercaPuntiClassificaSquadra,3,FALSE),-1)=IFERROR(VLOOKUP($AK88,areaCercaPuntiClassificaSquadra,3,FALSE),-2)),SUMIFS(Dati!$E$2:$E$761,Dati!$A$2:$A$761,$H88,Dati!$H$2:$H$761,$AK88)+SUMIFS(Dati!$L$2:$L$761,Dati!$H$2:$H$761,$H88,Dati!$A$2:$A$761,$AK88),"-")</f>
        <v/>
      </c>
      <c r="CZ88" s="22">
        <f>IF(AND($H88&lt;&gt;"",$AL88&lt;&gt;"",$H88&lt;&gt;$AL88,IFERROR(VLOOKUP($H88,areaCercaPuntiClassificaSquadra,3,FALSE),-1)=IFERROR(VLOOKUP($AL88,areaCercaPuntiClassificaSquadra,3,FALSE),-2)),SUMIFS(Dati!$E$2:$E$761,Dati!$A$2:$A$761,$H88,Dati!$H$2:$H$761,$AL88)+SUMIFS(Dati!$L$2:$L$761,Dati!$H$2:$H$761,$H88,Dati!$A$2:$A$761,$AL88),"-")</f>
        <v/>
      </c>
      <c r="DA88" s="22">
        <f>IF(AND($H88&lt;&gt;"",$AM88&lt;&gt;"",$H88&lt;&gt;$AM88,IFERROR(VLOOKUP($H88,areaCercaPuntiClassificaSquadra,3,FALSE),-1)=IFERROR(VLOOKUP($AM88,areaCercaPuntiClassificaSquadra,3,FALSE),-2)),SUMIFS(Dati!$E$2:$E$761,Dati!$A$2:$A$761,$H88,Dati!$H$2:$H$761,$AM88)+SUMIFS(Dati!$L$2:$L$761,Dati!$H$2:$H$761,$H88,Dati!$A$2:$A$761,$AM88),"-")</f>
        <v/>
      </c>
      <c r="DB88" s="22">
        <f>IF(AND($H88&lt;&gt;"",$AN88&lt;&gt;"",$H88&lt;&gt;$AN88,IFERROR(VLOOKUP($H88,areaCercaPuntiClassificaSquadra,3,FALSE),-1)=IFERROR(VLOOKUP($AN88,areaCercaPuntiClassificaSquadra,3,FALSE),-2)),SUMIFS(Dati!$E$2:$E$761,Dati!$A$2:$A$761,$H88,Dati!$H$2:$H$761,$AN88)+SUMIFS(Dati!$L$2:$L$761,Dati!$H$2:$H$761,$H88,Dati!$A$2:$A$761,$AN88),"-")</f>
        <v/>
      </c>
      <c r="DC88" s="22">
        <f>IF(AND($H88&lt;&gt;"",$AO88&lt;&gt;"",$H88&lt;&gt;$AO88,IFERROR(VLOOKUP($H88,areaCercaPuntiClassificaSquadra,3,FALSE),-1)=IFERROR(VLOOKUP($AO88,areaCercaPuntiClassificaSquadra,3,FALSE),-2)),SUMIFS(Dati!$E$2:$E$761,Dati!$A$2:$A$761,$H88,Dati!$H$2:$H$761,$AO88)+SUMIFS(Dati!$L$2:$L$761,Dati!$H$2:$H$761,$H88,Dati!$A$2:$A$761,$AO88),"-")</f>
        <v/>
      </c>
      <c r="DD88" s="22">
        <f>IF(AND($H88&lt;&gt;"",$AP88&lt;&gt;"",$H88&lt;&gt;$AP88,IFERROR(VLOOKUP($H88,areaCercaPuntiClassificaSquadra,3,FALSE),-1)=IFERROR(VLOOKUP($AP88,areaCercaPuntiClassificaSquadra,3,FALSE),-2)),SUMIFS(Dati!$E$2:$E$761,Dati!$A$2:$A$761,$H88,Dati!$H$2:$H$761,$AP88)+SUMIFS(Dati!$L$2:$L$761,Dati!$H$2:$H$761,$H88,Dati!$A$2:$A$761,$AP88),"-")</f>
        <v/>
      </c>
      <c r="DE88" s="22">
        <f>IF(AND($H88&lt;&gt;"",$AQ88&lt;&gt;"",$H88&lt;&gt;$AQ88,IFERROR(VLOOKUP($H88,areaCercaPuntiClassificaSquadra,3,FALSE),-1)=IFERROR(VLOOKUP($AQ88,areaCercaPuntiClassificaSquadra,3,FALSE),-2)),SUMIFS(Dati!$E$2:$E$761,Dati!$A$2:$A$761,$H88,Dati!$H$2:$H$761,$AQ88)+SUMIFS(Dati!$L$2:$L$761,Dati!$H$2:$H$761,$H88,Dati!$A$2:$A$761,$AQ88),"-")</f>
        <v/>
      </c>
      <c r="DF88" s="22">
        <f>IF(AND($H88&lt;&gt;"",$AR88&lt;&gt;"",$H88&lt;&gt;$AR88,IFERROR(VLOOKUP($H88,areaCercaPuntiClassificaSquadra,3,FALSE),-1)=IFERROR(VLOOKUP($AR88,areaCercaPuntiClassificaSquadra,3,FALSE),-2)),SUMIFS(Dati!$E$2:$E$761,Dati!$A$2:$A$761,$H88,Dati!$H$2:$H$761,$AR88)+SUMIFS(Dati!$L$2:$L$761,Dati!$H$2:$H$761,$H88,Dati!$A$2:$A$761,$AR88),"-")</f>
        <v/>
      </c>
      <c r="DH88" s="21">
        <f>$C88</f>
        <v/>
      </c>
      <c r="DI88" s="22">
        <f>IF(AND($H88&lt;&gt;"",$Y88&lt;&gt;"",$H88&lt;&gt;$Y88,IFERROR(VLOOKUP($H88,areaCercaPuntiClassificaSquadra,3,FALSE),-1)=IFERROR(VLOOKUP($Y88,areaCercaPuntiClassificaSquadra,3,FALSE),-2)),SUMIFS(Dati!$F$2:$F$761,Dati!$A$2:$A$761,$H88,Dati!$H$2:$H$761,$Y88)+SUMIFS(Dati!$M$2:$M$761,Dati!$H$2:$H$761,$H88,Dati!$A$2:$A$761,$Y88),"-")</f>
        <v/>
      </c>
      <c r="DJ88" s="22">
        <f>IF(AND($H88&lt;&gt;"",$Z88&lt;&gt;"",$H88&lt;&gt;$Z88,IFERROR(VLOOKUP($H88,areaCercaPuntiClassificaSquadra,3,FALSE),-1)=IFERROR(VLOOKUP($Z88,areaCercaPuntiClassificaSquadra,3,FALSE),-2)),SUMIFS(Dati!$F$2:$F$761,Dati!$A$2:$A$761,$H88,Dati!$H$2:$H$761,$Z88)+SUMIFS(Dati!$M$2:$M$761,Dati!$H$2:$H$761,$H88,Dati!$A$2:$A$761,$Z88),"-")</f>
        <v/>
      </c>
      <c r="DK88" s="22">
        <f>IF(AND($H88&lt;&gt;"",$AA88&lt;&gt;"",$H88&lt;&gt;$AA88,IFERROR(VLOOKUP($H88,areaCercaPuntiClassificaSquadra,3,FALSE),-1)=IFERROR(VLOOKUP($AA88,areaCercaPuntiClassificaSquadra,3,FALSE),-2)),SUMIFS(Dati!$F$2:$F$761,Dati!$A$2:$A$761,$H88,Dati!$H$2:$H$761,$AA88)+SUMIFS(Dati!$M$2:$M$761,Dati!$H$2:$H$761,$H88,Dati!$A$2:$A$761,$AA88),"-")</f>
        <v/>
      </c>
      <c r="DL88" s="22">
        <f>IF(AND($H88&lt;&gt;"",$AB88&lt;&gt;"",$H88&lt;&gt;$AB88,IFERROR(VLOOKUP($H88,areaCercaPuntiClassificaSquadra,3,FALSE),-1)=IFERROR(VLOOKUP($AB88,areaCercaPuntiClassificaSquadra,3,FALSE),-2)),SUMIFS(Dati!$F$2:$F$761,Dati!$A$2:$A$761,$H88,Dati!$H$2:$H$761,$AB88)+SUMIFS(Dati!$M$2:$M$761,Dati!$H$2:$H$761,$H88,Dati!$A$2:$A$761,$AB88),"-")</f>
        <v/>
      </c>
      <c r="DM88" s="22">
        <f>IF(AND($H88&lt;&gt;"",$AC88&lt;&gt;"",$H88&lt;&gt;$AC88,IFERROR(VLOOKUP($H88,areaCercaPuntiClassificaSquadra,3,FALSE),-1)=IFERROR(VLOOKUP($AC88,areaCercaPuntiClassificaSquadra,3,FALSE),-2)),SUMIFS(Dati!$F$2:$F$761,Dati!$A$2:$A$761,$H88,Dati!$H$2:$H$761,$AC88)+SUMIFS(Dati!$M$2:$M$761,Dati!$H$2:$H$761,$H88,Dati!$A$2:$A$761,$AC88),"-")</f>
        <v/>
      </c>
      <c r="DN88" s="22">
        <f>IF(AND($H88&lt;&gt;"",$AD88&lt;&gt;"",$H88&lt;&gt;$AD88,IFERROR(VLOOKUP($H88,areaCercaPuntiClassificaSquadra,3,FALSE),-1)=IFERROR(VLOOKUP($AD88,areaCercaPuntiClassificaSquadra,3,FALSE),-2)),SUMIFS(Dati!$F$2:$F$761,Dati!$A$2:$A$761,$H88,Dati!$H$2:$H$761,$AD88)+SUMIFS(Dati!$M$2:$M$761,Dati!$H$2:$H$761,$H88,Dati!$A$2:$A$761,$AD88),"-")</f>
        <v/>
      </c>
      <c r="DO88" s="22">
        <f>IF(AND($H88&lt;&gt;"",$AE88&lt;&gt;"",$H88&lt;&gt;$AE88,IFERROR(VLOOKUP($H88,areaCercaPuntiClassificaSquadra,3,FALSE),-1)=IFERROR(VLOOKUP($AE88,areaCercaPuntiClassificaSquadra,3,FALSE),-2)),SUMIFS(Dati!$F$2:$F$761,Dati!$A$2:$A$761,$H88,Dati!$H$2:$H$761,$AE88)+SUMIFS(Dati!$M$2:$M$761,Dati!$H$2:$H$761,$H88,Dati!$A$2:$A$761,$AE88),"-")</f>
        <v/>
      </c>
      <c r="DP88" s="22">
        <f>IF(AND($H88&lt;&gt;"",$AF88&lt;&gt;"",$H88&lt;&gt;$AF88,IFERROR(VLOOKUP($H88,areaCercaPuntiClassificaSquadra,3,FALSE),-1)=IFERROR(VLOOKUP($AF88,areaCercaPuntiClassificaSquadra,3,FALSE),-2)),SUMIFS(Dati!$F$2:$F$761,Dati!$A$2:$A$761,$H88,Dati!$H$2:$H$761,$AF88)+SUMIFS(Dati!$M$2:$M$761,Dati!$H$2:$H$761,$H88,Dati!$A$2:$A$761,$AF88),"-")</f>
        <v/>
      </c>
      <c r="DQ88" s="22">
        <f>IF(AND($H88&lt;&gt;"",$AG88&lt;&gt;"",$H88&lt;&gt;$AG88,IFERROR(VLOOKUP($H88,areaCercaPuntiClassificaSquadra,3,FALSE),-1)=IFERROR(VLOOKUP($AG88,areaCercaPuntiClassificaSquadra,3,FALSE),-2)),SUMIFS(Dati!$F$2:$F$761,Dati!$A$2:$A$761,$H88,Dati!$H$2:$H$761,$AG88)+SUMIFS(Dati!$M$2:$M$761,Dati!$H$2:$H$761,$H88,Dati!$A$2:$A$761,$AG88),"-")</f>
        <v/>
      </c>
      <c r="DR88" s="22">
        <f>IF(AND($H88&lt;&gt;"",$AH88&lt;&gt;"",$H88&lt;&gt;$AH88,IFERROR(VLOOKUP($H88,areaCercaPuntiClassificaSquadra,3,FALSE),-1)=IFERROR(VLOOKUP($AH88,areaCercaPuntiClassificaSquadra,3,FALSE),-2)),SUMIFS(Dati!$F$2:$F$761,Dati!$A$2:$A$761,$H88,Dati!$H$2:$H$761,$AH88)+SUMIFS(Dati!$M$2:$M$761,Dati!$H$2:$H$761,$H88,Dati!$A$2:$A$761,$AH88),"-")</f>
        <v/>
      </c>
      <c r="DS88" s="22">
        <f>IF(AND($H88&lt;&gt;"",$AI88&lt;&gt;"",$H88&lt;&gt;$AI88,IFERROR(VLOOKUP($H88,areaCercaPuntiClassificaSquadra,3,FALSE),-1)=IFERROR(VLOOKUP($AI88,areaCercaPuntiClassificaSquadra,3,FALSE),-2)),SUMIFS(Dati!$F$2:$F$761,Dati!$A$2:$A$761,$H88,Dati!$H$2:$H$761,$AI88)+SUMIFS(Dati!$M$2:$M$761,Dati!$H$2:$H$761,$H88,Dati!$A$2:$A$761,$AI88),"-")</f>
        <v/>
      </c>
      <c r="DT88" s="22">
        <f>IF(AND($H88&lt;&gt;"",$AJ88&lt;&gt;"",$H88&lt;&gt;$AJ88,IFERROR(VLOOKUP($H88,areaCercaPuntiClassificaSquadra,3,FALSE),-1)=IFERROR(VLOOKUP($AJ88,areaCercaPuntiClassificaSquadra,3,FALSE),-2)),SUMIFS(Dati!$F$2:$F$761,Dati!$A$2:$A$761,$H88,Dati!$H$2:$H$761,$AJ88)+SUMIFS(Dati!$M$2:$M$761,Dati!$H$2:$H$761,$H88,Dati!$A$2:$A$761,$AJ88),"-")</f>
        <v/>
      </c>
      <c r="DU88" s="22">
        <f>IF(AND($H88&lt;&gt;"",$AK88&lt;&gt;"",$H88&lt;&gt;$AK88,IFERROR(VLOOKUP($H88,areaCercaPuntiClassificaSquadra,3,FALSE),-1)=IFERROR(VLOOKUP($AK88,areaCercaPuntiClassificaSquadra,3,FALSE),-2)),SUMIFS(Dati!$F$2:$F$761,Dati!$A$2:$A$761,$H88,Dati!$H$2:$H$761,$AK88)+SUMIFS(Dati!$M$2:$M$761,Dati!$H$2:$H$761,$H88,Dati!$A$2:$A$761,$AK88),"-")</f>
        <v/>
      </c>
      <c r="DV88" s="22">
        <f>IF(AND($H88&lt;&gt;"",$AL88&lt;&gt;"",$H88&lt;&gt;$AL88,IFERROR(VLOOKUP($H88,areaCercaPuntiClassificaSquadra,3,FALSE),-1)=IFERROR(VLOOKUP($AL88,areaCercaPuntiClassificaSquadra,3,FALSE),-2)),SUMIFS(Dati!$F$2:$F$761,Dati!$A$2:$A$761,$H88,Dati!$H$2:$H$761,$AL88)+SUMIFS(Dati!$M$2:$M$761,Dati!$H$2:$H$761,$H88,Dati!$A$2:$A$761,$AL88),"-")</f>
        <v/>
      </c>
      <c r="DW88" s="22">
        <f>IF(AND($H88&lt;&gt;"",$AM88&lt;&gt;"",$H88&lt;&gt;$AM88,IFERROR(VLOOKUP($H88,areaCercaPuntiClassificaSquadra,3,FALSE),-1)=IFERROR(VLOOKUP($AM88,areaCercaPuntiClassificaSquadra,3,FALSE),-2)),SUMIFS(Dati!$F$2:$F$761,Dati!$A$2:$A$761,$H88,Dati!$H$2:$H$761,$AM88)+SUMIFS(Dati!$M$2:$M$761,Dati!$H$2:$H$761,$H88,Dati!$A$2:$A$761,$AM88),"-")</f>
        <v/>
      </c>
      <c r="DX88" s="22">
        <f>IF(AND($H88&lt;&gt;"",$AN88&lt;&gt;"",$H88&lt;&gt;$AN88,IFERROR(VLOOKUP($H88,areaCercaPuntiClassificaSquadra,3,FALSE),-1)=IFERROR(VLOOKUP($AN88,areaCercaPuntiClassificaSquadra,3,FALSE),-2)),SUMIFS(Dati!$F$2:$F$761,Dati!$A$2:$A$761,$H88,Dati!$H$2:$H$761,$AN88)+SUMIFS(Dati!$M$2:$M$761,Dati!$H$2:$H$761,$H88,Dati!$A$2:$A$761,$AN88),"-")</f>
        <v/>
      </c>
      <c r="DY88" s="22">
        <f>IF(AND($H88&lt;&gt;"",$AO88&lt;&gt;"",$H88&lt;&gt;$AO88,IFERROR(VLOOKUP($H88,areaCercaPuntiClassificaSquadra,3,FALSE),-1)=IFERROR(VLOOKUP($AO88,areaCercaPuntiClassificaSquadra,3,FALSE),-2)),SUMIFS(Dati!$F$2:$F$761,Dati!$A$2:$A$761,$H88,Dati!$H$2:$H$761,$AO88)+SUMIFS(Dati!$M$2:$M$761,Dati!$H$2:$H$761,$H88,Dati!$A$2:$A$761,$AO88),"-")</f>
        <v/>
      </c>
      <c r="DZ88" s="22">
        <f>IF(AND($H88&lt;&gt;"",$AP88&lt;&gt;"",$H88&lt;&gt;$AP88,IFERROR(VLOOKUP($H88,areaCercaPuntiClassificaSquadra,3,FALSE),-1)=IFERROR(VLOOKUP($AP88,areaCercaPuntiClassificaSquadra,3,FALSE),-2)),SUMIFS(Dati!$F$2:$F$761,Dati!$A$2:$A$761,$H88,Dati!$H$2:$H$761,$AP88)+SUMIFS(Dati!$M$2:$M$761,Dati!$H$2:$H$761,$H88,Dati!$A$2:$A$761,$AP88),"-")</f>
        <v/>
      </c>
      <c r="EA88" s="22">
        <f>IF(AND($H88&lt;&gt;"",$AQ88&lt;&gt;"",$H88&lt;&gt;$AQ88,IFERROR(VLOOKUP($H88,areaCercaPuntiClassificaSquadra,3,FALSE),-1)=IFERROR(VLOOKUP($AQ88,areaCercaPuntiClassificaSquadra,3,FALSE),-2)),SUMIFS(Dati!$F$2:$F$761,Dati!$A$2:$A$761,$H88,Dati!$H$2:$H$761,$AQ88)+SUMIFS(Dati!$M$2:$M$761,Dati!$H$2:$H$761,$H88,Dati!$A$2:$A$761,$AQ88),"-")</f>
        <v/>
      </c>
      <c r="EB88" s="22">
        <f>IF(AND($H88&lt;&gt;"",$AR88&lt;&gt;"",$H88&lt;&gt;$AR88,IFERROR(VLOOKUP($H88,areaCercaPuntiClassificaSquadra,3,FALSE),-1)=IFERROR(VLOOKUP($AR88,areaCercaPuntiClassificaSquadra,3,FALSE),-2)),SUMIFS(Dati!$F$2:$F$761,Dati!$A$2:$A$761,$H88,Dati!$H$2:$H$761,$AR88)+SUMIFS(Dati!$M$2:$M$761,Dati!$H$2:$H$761,$H88,Dati!$A$2:$A$761,$AR88),"-")</f>
        <v/>
      </c>
      <c r="ED88" s="22">
        <f>IF($C88="","",SUM(AU88:BN88))</f>
        <v/>
      </c>
    </row>
    <row r="89">
      <c r="B89" s="12" t="inlineStr">
        <is>
          <t>D16</t>
        </is>
      </c>
      <c r="C89" s="13" t="inlineStr">
        <is>
          <t>Istrici Instancabili-Istriciopoli IA</t>
        </is>
      </c>
      <c r="D89" s="14" t="n"/>
      <c r="E89" s="27" t="inlineStr">
        <is>
          <t>D</t>
        </is>
      </c>
      <c r="G89" s="28">
        <f>IF($C89="","",$E89&amp;(COUNTIFS(I$14:I$93,"&gt;"&amp;I89,E$14:E$93,"="&amp;E89,C$14:C$93,"&lt;&gt;")+COUNTIFS(I$14:I$93,"="&amp;I89,H$14:H$93,"&lt;="&amp;H89,E$14:E$93,"="&amp;E89,C$14:C$93,"&lt;&gt;")))</f>
        <v/>
      </c>
      <c r="H89" s="17">
        <f>IF($C89="","",IFERROR(LEFT($C89,FIND("-",$C89)-1),$C89))</f>
        <v/>
      </c>
      <c r="I89" s="12">
        <f>TEXT(1000000000+J89,"|0000000000|")&amp;TEXT(SUM(AU89:BN89),"0000000000|")&amp;IF(SUM(DI89:EB89)=0,"0000000000|",TEXT(ROUND(SUM(CM89:DF89)/SUM(DI89:EB89),4)*100000,"0000000000|"))&amp;IF(P89=0,"0000000000|",TEXT(ROUND(O89/P89,4)*100000,"0000000000|"))</f>
        <v/>
      </c>
      <c r="J89" s="28">
        <f>L89*constPuntiVittoria+M89*constPuntiSconfitta+N89*constPuntiForfait+IF(D89="",0,D89)</f>
        <v/>
      </c>
      <c r="K89" s="12">
        <f>SUM(L89:N89)</f>
        <v/>
      </c>
      <c r="L89" s="12">
        <f>IF($H89="",0,SUMIF(Dati!$A$2:$A$761,$H89,Dati!$B$2:$B$761)+SUMIF(Dati!$H$2:$H$761,$H89,Dati!$I$2:$I$761))</f>
        <v/>
      </c>
      <c r="M89" s="12">
        <f>IF($H89="",0,SUMIF(Dati!$A$2:$A$761,$H89,Dati!$D$2:$D$761)+SUMIF(Dati!$H$2:$H$761,$H89,Dati!$K$2:$K$761))</f>
        <v/>
      </c>
      <c r="N89" s="12">
        <f>IF($H89="",0,SUMIF(Dati!$A$2:$A$761,$H89,Dati!$C$2:$C$761)+SUMIF(Dati!$H$2:$H$761,$H89,Dati!$J$2:$J$761))</f>
        <v/>
      </c>
      <c r="O89" s="12">
        <f>IF($H89="",0,SUMIF(Dati!$A$2:$A$761,$H89,Dati!$E$2:$E$761)+SUMIF(Dati!$H$2:$H$761,$H89,Dati!$L$2:$L$761))</f>
        <v/>
      </c>
      <c r="P89" s="12">
        <f>IF($H89="",0,SUMIF(Dati!$A$2:$A$761,$H89,Dati!$F$2:$F$761)+SUMIF(Dati!$H$2:$H$761,$H89,Dati!$M$2:$M$761))</f>
        <v/>
      </c>
      <c r="Q89" s="12">
        <f>IF($H89="",0,SUMIF(Dati!$A$2:$A$761,$H89,Dati!$G$2:$G$761)+SUMIF(Dati!$H$2:$H$761,$H89,Dati!$N$2:$N$761))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IF(COUNTIFS($E$14:$E$93,$E89,$J$14:$J$93,$J89,$C$14:$C$93,"&lt;&gt;")&lt;=1,"-",SUM(AU89:BN89)&amp;"-"&amp;SUM(BQ89:CJ89))</f>
        <v/>
      </c>
      <c r="V89" s="18">
        <f>IF(COUNTIFS($E$14:$E$93,$E89,$J$14:$J$93,$J89,$C$14:$C$93,"&lt;&gt;",$ED$14:$ED$93,$ED89)&lt;=1,"-",IF(SUM(DI89:EB89)=0,0,ROUND(SUM(CM89:DF89)/SUM(DI89:EB89),3)))</f>
        <v/>
      </c>
      <c r="W89" s="18">
        <f>IF(COUNTIFS($E$14:$E$93,$E89,$J$14:$J$93,$J89,$C$14:$C$93,"&lt;&gt;",$ED$14:$ED$93,$ED89,$V$14:$V$93,$V89)&lt;=1,"-",IF(P89=0,0,ROUND(O89/P89,3)))</f>
        <v/>
      </c>
      <c r="X89" s="19">
        <f>IF($C89="","",$E89&amp;"#"&amp;COUNTIFS($E$14:$E89,$E89,$C$14:$C89,"&lt;&gt;"))</f>
        <v/>
      </c>
      <c r="Y89" s="20">
        <f>IFERROR(INDEX($H$14:$H$93,MATCH($E89&amp;"#1",$X$14:$X$93,0)),"")</f>
        <v/>
      </c>
      <c r="Z89" s="20">
        <f>IFERROR(INDEX($H$14:$H$93,MATCH($E89&amp;"#2",$X$14:$X$93,0)),"")</f>
        <v/>
      </c>
      <c r="AA89" s="20">
        <f>IFERROR(INDEX($H$14:$H$93,MATCH($E89&amp;"#3",$X$14:$X$93,0)),"")</f>
        <v/>
      </c>
      <c r="AB89" s="20">
        <f>IFERROR(INDEX($H$14:$H$93,MATCH($E89&amp;"#4",$X$14:$X$93,0)),"")</f>
        <v/>
      </c>
      <c r="AC89" s="20">
        <f>IFERROR(INDEX($H$14:$H$93,MATCH($E89&amp;"#5",$X$14:$X$93,0)),"")</f>
        <v/>
      </c>
      <c r="AD89" s="20">
        <f>IFERROR(INDEX($H$14:$H$93,MATCH($E89&amp;"#6",$X$14:$X$93,0)),"")</f>
        <v/>
      </c>
      <c r="AE89" s="20">
        <f>IFERROR(INDEX($H$14:$H$93,MATCH($E89&amp;"#7",$X$14:$X$93,0)),"")</f>
        <v/>
      </c>
      <c r="AF89" s="20">
        <f>IFERROR(INDEX($H$14:$H$93,MATCH($E89&amp;"#8",$X$14:$X$93,0)),"")</f>
        <v/>
      </c>
      <c r="AG89" s="20">
        <f>IFERROR(INDEX($H$14:$H$93,MATCH($E89&amp;"#9",$X$14:$X$93,0)),"")</f>
        <v/>
      </c>
      <c r="AH89" s="20">
        <f>IFERROR(INDEX($H$14:$H$93,MATCH($E89&amp;"#10",$X$14:$X$93,0)),"")</f>
        <v/>
      </c>
      <c r="AI89" s="20">
        <f>IFERROR(INDEX($H$14:$H$93,MATCH($E89&amp;"#11",$X$14:$X$93,0)),"")</f>
        <v/>
      </c>
      <c r="AJ89" s="20">
        <f>IFERROR(INDEX($H$14:$H$93,MATCH($E89&amp;"#12",$X$14:$X$93,0)),"")</f>
        <v/>
      </c>
      <c r="AK89" s="20">
        <f>IFERROR(INDEX($H$14:$H$93,MATCH($E89&amp;"#13",$X$14:$X$93,0)),"")</f>
        <v/>
      </c>
      <c r="AL89" s="20">
        <f>IFERROR(INDEX($H$14:$H$93,MATCH($E89&amp;"#14",$X$14:$X$93,0)),"")</f>
        <v/>
      </c>
      <c r="AM89" s="20">
        <f>IFERROR(INDEX($H$14:$H$93,MATCH($E89&amp;"#15",$X$14:$X$93,0)),"")</f>
        <v/>
      </c>
      <c r="AN89" s="20">
        <f>IFERROR(INDEX($H$14:$H$93,MATCH($E89&amp;"#16",$X$14:$X$93,0)),"")</f>
        <v/>
      </c>
      <c r="AO89" s="20">
        <f>IFERROR(INDEX($H$14:$H$93,MATCH($E89&amp;"#17",$X$14:$X$93,0)),"")</f>
        <v/>
      </c>
      <c r="AP89" s="20">
        <f>IFERROR(INDEX($H$14:$H$93,MATCH($E89&amp;"#18",$X$14:$X$93,0)),"")</f>
        <v/>
      </c>
      <c r="AQ89" s="20">
        <f>IFERROR(INDEX($H$14:$H$93,MATCH($E89&amp;"#19",$X$14:$X$93,0)),"")</f>
        <v/>
      </c>
      <c r="AR89" s="20">
        <f>IFERROR(INDEX($H$14:$H$93,MATCH($E89&amp;"#20",$X$14:$X$93,0)),"")</f>
        <v/>
      </c>
      <c r="AT89" s="21">
        <f>$C89</f>
        <v/>
      </c>
      <c r="AU89" s="22">
        <f>IF(AND($H89&lt;&gt;"",$Y89&lt;&gt;"",$H89&lt;&gt;$Y89,IFERROR(VLOOKUP($H89,areaCercaPuntiClassificaSquadra,3,FALSE),-1)=IFERROR(VLOOKUP($Y89,areaCercaPuntiClassificaSquadra,3,FALSE),-2)),SUMIFS(Dati!$B$2:$B$761,Dati!$A$2:$A$761,$H89,Dati!$H$2:$H$761,$Y89)+SUMIFS(Dati!$I$2:$I$761,Dati!$H$2:$H$761,$H89,Dati!$A$2:$A$761,$Y89),"-")</f>
        <v/>
      </c>
      <c r="AV89" s="22">
        <f>IF(AND($H89&lt;&gt;"",$Z89&lt;&gt;"",$H89&lt;&gt;$Z89,IFERROR(VLOOKUP($H89,areaCercaPuntiClassificaSquadra,3,FALSE),-1)=IFERROR(VLOOKUP($Z89,areaCercaPuntiClassificaSquadra,3,FALSE),-2)),SUMIFS(Dati!$B$2:$B$761,Dati!$A$2:$A$761,$H89,Dati!$H$2:$H$761,$Z89)+SUMIFS(Dati!$I$2:$I$761,Dati!$H$2:$H$761,$H89,Dati!$A$2:$A$761,$Z89),"-")</f>
        <v/>
      </c>
      <c r="AW89" s="22">
        <f>IF(AND($H89&lt;&gt;"",$AA89&lt;&gt;"",$H89&lt;&gt;$AA89,IFERROR(VLOOKUP($H89,areaCercaPuntiClassificaSquadra,3,FALSE),-1)=IFERROR(VLOOKUP($AA89,areaCercaPuntiClassificaSquadra,3,FALSE),-2)),SUMIFS(Dati!$B$2:$B$761,Dati!$A$2:$A$761,$H89,Dati!$H$2:$H$761,$AA89)+SUMIFS(Dati!$I$2:$I$761,Dati!$H$2:$H$761,$H89,Dati!$A$2:$A$761,$AA89),"-")</f>
        <v/>
      </c>
      <c r="AX89" s="22">
        <f>IF(AND($H89&lt;&gt;"",$AB89&lt;&gt;"",$H89&lt;&gt;$AB89,IFERROR(VLOOKUP($H89,areaCercaPuntiClassificaSquadra,3,FALSE),-1)=IFERROR(VLOOKUP($AB89,areaCercaPuntiClassificaSquadra,3,FALSE),-2)),SUMIFS(Dati!$B$2:$B$761,Dati!$A$2:$A$761,$H89,Dati!$H$2:$H$761,$AB89)+SUMIFS(Dati!$I$2:$I$761,Dati!$H$2:$H$761,$H89,Dati!$A$2:$A$761,$AB89),"-")</f>
        <v/>
      </c>
      <c r="AY89" s="22">
        <f>IF(AND($H89&lt;&gt;"",$AC89&lt;&gt;"",$H89&lt;&gt;$AC89,IFERROR(VLOOKUP($H89,areaCercaPuntiClassificaSquadra,3,FALSE),-1)=IFERROR(VLOOKUP($AC89,areaCercaPuntiClassificaSquadra,3,FALSE),-2)),SUMIFS(Dati!$B$2:$B$761,Dati!$A$2:$A$761,$H89,Dati!$H$2:$H$761,$AC89)+SUMIFS(Dati!$I$2:$I$761,Dati!$H$2:$H$761,$H89,Dati!$A$2:$A$761,$AC89),"-")</f>
        <v/>
      </c>
      <c r="AZ89" s="22">
        <f>IF(AND($H89&lt;&gt;"",$AD89&lt;&gt;"",$H89&lt;&gt;$AD89,IFERROR(VLOOKUP($H89,areaCercaPuntiClassificaSquadra,3,FALSE),-1)=IFERROR(VLOOKUP($AD89,areaCercaPuntiClassificaSquadra,3,FALSE),-2)),SUMIFS(Dati!$B$2:$B$761,Dati!$A$2:$A$761,$H89,Dati!$H$2:$H$761,$AD89)+SUMIFS(Dati!$I$2:$I$761,Dati!$H$2:$H$761,$H89,Dati!$A$2:$A$761,$AD89),"-")</f>
        <v/>
      </c>
      <c r="BA89" s="22">
        <f>IF(AND($H89&lt;&gt;"",$AE89&lt;&gt;"",$H89&lt;&gt;$AE89,IFERROR(VLOOKUP($H89,areaCercaPuntiClassificaSquadra,3,FALSE),-1)=IFERROR(VLOOKUP($AE89,areaCercaPuntiClassificaSquadra,3,FALSE),-2)),SUMIFS(Dati!$B$2:$B$761,Dati!$A$2:$A$761,$H89,Dati!$H$2:$H$761,$AE89)+SUMIFS(Dati!$I$2:$I$761,Dati!$H$2:$H$761,$H89,Dati!$A$2:$A$761,$AE89),"-")</f>
        <v/>
      </c>
      <c r="BB89" s="22">
        <f>IF(AND($H89&lt;&gt;"",$AF89&lt;&gt;"",$H89&lt;&gt;$AF89,IFERROR(VLOOKUP($H89,areaCercaPuntiClassificaSquadra,3,FALSE),-1)=IFERROR(VLOOKUP($AF89,areaCercaPuntiClassificaSquadra,3,FALSE),-2)),SUMIFS(Dati!$B$2:$B$761,Dati!$A$2:$A$761,$H89,Dati!$H$2:$H$761,$AF89)+SUMIFS(Dati!$I$2:$I$761,Dati!$H$2:$H$761,$H89,Dati!$A$2:$A$761,$AF89),"-")</f>
        <v/>
      </c>
      <c r="BC89" s="22">
        <f>IF(AND($H89&lt;&gt;"",$AG89&lt;&gt;"",$H89&lt;&gt;$AG89,IFERROR(VLOOKUP($H89,areaCercaPuntiClassificaSquadra,3,FALSE),-1)=IFERROR(VLOOKUP($AG89,areaCercaPuntiClassificaSquadra,3,FALSE),-2)),SUMIFS(Dati!$B$2:$B$761,Dati!$A$2:$A$761,$H89,Dati!$H$2:$H$761,$AG89)+SUMIFS(Dati!$I$2:$I$761,Dati!$H$2:$H$761,$H89,Dati!$A$2:$A$761,$AG89),"-")</f>
        <v/>
      </c>
      <c r="BD89" s="22">
        <f>IF(AND($H89&lt;&gt;"",$AH89&lt;&gt;"",$H89&lt;&gt;$AH89,IFERROR(VLOOKUP($H89,areaCercaPuntiClassificaSquadra,3,FALSE),-1)=IFERROR(VLOOKUP($AH89,areaCercaPuntiClassificaSquadra,3,FALSE),-2)),SUMIFS(Dati!$B$2:$B$761,Dati!$A$2:$A$761,$H89,Dati!$H$2:$H$761,$AH89)+SUMIFS(Dati!$I$2:$I$761,Dati!$H$2:$H$761,$H89,Dati!$A$2:$A$761,$AH89),"-")</f>
        <v/>
      </c>
      <c r="BE89" s="22">
        <f>IF(AND($H89&lt;&gt;"",$AI89&lt;&gt;"",$H89&lt;&gt;$AI89,IFERROR(VLOOKUP($H89,areaCercaPuntiClassificaSquadra,3,FALSE),-1)=IFERROR(VLOOKUP($AI89,areaCercaPuntiClassificaSquadra,3,FALSE),-2)),SUMIFS(Dati!$B$2:$B$761,Dati!$A$2:$A$761,$H89,Dati!$H$2:$H$761,$AI89)+SUMIFS(Dati!$I$2:$I$761,Dati!$H$2:$H$761,$H89,Dati!$A$2:$A$761,$AI89),"-")</f>
        <v/>
      </c>
      <c r="BF89" s="22">
        <f>IF(AND($H89&lt;&gt;"",$AJ89&lt;&gt;"",$H89&lt;&gt;$AJ89,IFERROR(VLOOKUP($H89,areaCercaPuntiClassificaSquadra,3,FALSE),-1)=IFERROR(VLOOKUP($AJ89,areaCercaPuntiClassificaSquadra,3,FALSE),-2)),SUMIFS(Dati!$B$2:$B$761,Dati!$A$2:$A$761,$H89,Dati!$H$2:$H$761,$AJ89)+SUMIFS(Dati!$I$2:$I$761,Dati!$H$2:$H$761,$H89,Dati!$A$2:$A$761,$AJ89),"-")</f>
        <v/>
      </c>
      <c r="BG89" s="22">
        <f>IF(AND($H89&lt;&gt;"",$AK89&lt;&gt;"",$H89&lt;&gt;$AK89,IFERROR(VLOOKUP($H89,areaCercaPuntiClassificaSquadra,3,FALSE),-1)=IFERROR(VLOOKUP($AK89,areaCercaPuntiClassificaSquadra,3,FALSE),-2)),SUMIFS(Dati!$B$2:$B$761,Dati!$A$2:$A$761,$H89,Dati!$H$2:$H$761,$AK89)+SUMIFS(Dati!$I$2:$I$761,Dati!$H$2:$H$761,$H89,Dati!$A$2:$A$761,$AK89),"-")</f>
        <v/>
      </c>
      <c r="BH89" s="22">
        <f>IF(AND($H89&lt;&gt;"",$AL89&lt;&gt;"",$H89&lt;&gt;$AL89,IFERROR(VLOOKUP($H89,areaCercaPuntiClassificaSquadra,3,FALSE),-1)=IFERROR(VLOOKUP($AL89,areaCercaPuntiClassificaSquadra,3,FALSE),-2)),SUMIFS(Dati!$B$2:$B$761,Dati!$A$2:$A$761,$H89,Dati!$H$2:$H$761,$AL89)+SUMIFS(Dati!$I$2:$I$761,Dati!$H$2:$H$761,$H89,Dati!$A$2:$A$761,$AL89),"-")</f>
        <v/>
      </c>
      <c r="BI89" s="22">
        <f>IF(AND($H89&lt;&gt;"",$AM89&lt;&gt;"",$H89&lt;&gt;$AM89,IFERROR(VLOOKUP($H89,areaCercaPuntiClassificaSquadra,3,FALSE),-1)=IFERROR(VLOOKUP($AM89,areaCercaPuntiClassificaSquadra,3,FALSE),-2)),SUMIFS(Dati!$B$2:$B$761,Dati!$A$2:$A$761,$H89,Dati!$H$2:$H$761,$AM89)+SUMIFS(Dati!$I$2:$I$761,Dati!$H$2:$H$761,$H89,Dati!$A$2:$A$761,$AM89),"-")</f>
        <v/>
      </c>
      <c r="BJ89" s="22">
        <f>IF(AND($H89&lt;&gt;"",$AN89&lt;&gt;"",$H89&lt;&gt;$AN89,IFERROR(VLOOKUP($H89,areaCercaPuntiClassificaSquadra,3,FALSE),-1)=IFERROR(VLOOKUP($AN89,areaCercaPuntiClassificaSquadra,3,FALSE),-2)),SUMIFS(Dati!$B$2:$B$761,Dati!$A$2:$A$761,$H89,Dati!$H$2:$H$761,$AN89)+SUMIFS(Dati!$I$2:$I$761,Dati!$H$2:$H$761,$H89,Dati!$A$2:$A$761,$AN89),"-")</f>
        <v/>
      </c>
      <c r="BK89" s="22">
        <f>IF(AND($H89&lt;&gt;"",$AO89&lt;&gt;"",$H89&lt;&gt;$AO89,IFERROR(VLOOKUP($H89,areaCercaPuntiClassificaSquadra,3,FALSE),-1)=IFERROR(VLOOKUP($AO89,areaCercaPuntiClassificaSquadra,3,FALSE),-2)),SUMIFS(Dati!$B$2:$B$761,Dati!$A$2:$A$761,$H89,Dati!$H$2:$H$761,$AO89)+SUMIFS(Dati!$I$2:$I$761,Dati!$H$2:$H$761,$H89,Dati!$A$2:$A$761,$AO89),"-")</f>
        <v/>
      </c>
      <c r="BL89" s="22">
        <f>IF(AND($H89&lt;&gt;"",$AP89&lt;&gt;"",$H89&lt;&gt;$AP89,IFERROR(VLOOKUP($H89,areaCercaPuntiClassificaSquadra,3,FALSE),-1)=IFERROR(VLOOKUP($AP89,areaCercaPuntiClassificaSquadra,3,FALSE),-2)),SUMIFS(Dati!$B$2:$B$761,Dati!$A$2:$A$761,$H89,Dati!$H$2:$H$761,$AP89)+SUMIFS(Dati!$I$2:$I$761,Dati!$H$2:$H$761,$H89,Dati!$A$2:$A$761,$AP89),"-")</f>
        <v/>
      </c>
      <c r="BM89" s="22">
        <f>IF(AND($H89&lt;&gt;"",$AQ89&lt;&gt;"",$H89&lt;&gt;$AQ89,IFERROR(VLOOKUP($H89,areaCercaPuntiClassificaSquadra,3,FALSE),-1)=IFERROR(VLOOKUP($AQ89,areaCercaPuntiClassificaSquadra,3,FALSE),-2)),SUMIFS(Dati!$B$2:$B$761,Dati!$A$2:$A$761,$H89,Dati!$H$2:$H$761,$AQ89)+SUMIFS(Dati!$I$2:$I$761,Dati!$H$2:$H$761,$H89,Dati!$A$2:$A$761,$AQ89),"-")</f>
        <v/>
      </c>
      <c r="BN89" s="22">
        <f>IF(AND($H89&lt;&gt;"",$AR89&lt;&gt;"",$H89&lt;&gt;$AR89,IFERROR(VLOOKUP($H89,areaCercaPuntiClassificaSquadra,3,FALSE),-1)=IFERROR(VLOOKUP($AR89,areaCercaPuntiClassificaSquadra,3,FALSE),-2)),SUMIFS(Dati!$B$2:$B$761,Dati!$A$2:$A$761,$H89,Dati!$H$2:$H$761,$AR89)+SUMIFS(Dati!$I$2:$I$761,Dati!$H$2:$H$761,$H89,Dati!$A$2:$A$761,$AR89),"-")</f>
        <v/>
      </c>
      <c r="BP89" s="21">
        <f>$C89</f>
        <v/>
      </c>
      <c r="BQ89" s="22">
        <f>IF(AND($H89&lt;&gt;"",$Y89&lt;&gt;"",$H89&lt;&gt;$Y89,IFERROR(VLOOKUP($H89,areaCercaPuntiClassificaSquadra,3,FALSE),-1)=IFERROR(VLOOKUP($Y89,areaCercaPuntiClassificaSquadra,3,FALSE),-2)),SUMIFS(Dati!$D$2:$D$761,Dati!$A$2:$A$761,$H89,Dati!$H$2:$H$761,$Y89)+SUMIFS(Dati!$K$2:$K$761,Dati!$H$2:$H$761,$H89,Dati!$A$2:$A$761,$Y89)+SUMIFS(Dati!$C$2:$C$761,Dati!$A$2:$A$761,$H89,Dati!$H$2:$H$761,$Y89)+SUMIFS(Dati!$J$2:$J$761,Dati!$H$2:$H$761,$H89,Dati!$A$2:$A$761,$Y89),"-")</f>
        <v/>
      </c>
      <c r="BR89" s="22">
        <f>IF(AND($H89&lt;&gt;"",$Z89&lt;&gt;"",$H89&lt;&gt;$Z89,IFERROR(VLOOKUP($H89,areaCercaPuntiClassificaSquadra,3,FALSE),-1)=IFERROR(VLOOKUP($Z89,areaCercaPuntiClassificaSquadra,3,FALSE),-2)),SUMIFS(Dati!$D$2:$D$761,Dati!$A$2:$A$761,$H89,Dati!$H$2:$H$761,$Z89)+SUMIFS(Dati!$K$2:$K$761,Dati!$H$2:$H$761,$H89,Dati!$A$2:$A$761,$Z89)+SUMIFS(Dati!$C$2:$C$761,Dati!$A$2:$A$761,$H89,Dati!$H$2:$H$761,$Z89)+SUMIFS(Dati!$J$2:$J$761,Dati!$H$2:$H$761,$H89,Dati!$A$2:$A$761,$Z89),"-")</f>
        <v/>
      </c>
      <c r="BS89" s="22">
        <f>IF(AND($H89&lt;&gt;"",$AA89&lt;&gt;"",$H89&lt;&gt;$AA89,IFERROR(VLOOKUP($H89,areaCercaPuntiClassificaSquadra,3,FALSE),-1)=IFERROR(VLOOKUP($AA89,areaCercaPuntiClassificaSquadra,3,FALSE),-2)),SUMIFS(Dati!$D$2:$D$761,Dati!$A$2:$A$761,$H89,Dati!$H$2:$H$761,$AA89)+SUMIFS(Dati!$K$2:$K$761,Dati!$H$2:$H$761,$H89,Dati!$A$2:$A$761,$AA89)+SUMIFS(Dati!$C$2:$C$761,Dati!$A$2:$A$761,$H89,Dati!$H$2:$H$761,$AA89)+SUMIFS(Dati!$J$2:$J$761,Dati!$H$2:$H$761,$H89,Dati!$A$2:$A$761,$AA89),"-")</f>
        <v/>
      </c>
      <c r="BT89" s="22">
        <f>IF(AND($H89&lt;&gt;"",$AB89&lt;&gt;"",$H89&lt;&gt;$AB89,IFERROR(VLOOKUP($H89,areaCercaPuntiClassificaSquadra,3,FALSE),-1)=IFERROR(VLOOKUP($AB89,areaCercaPuntiClassificaSquadra,3,FALSE),-2)),SUMIFS(Dati!$D$2:$D$761,Dati!$A$2:$A$761,$H89,Dati!$H$2:$H$761,$AB89)+SUMIFS(Dati!$K$2:$K$761,Dati!$H$2:$H$761,$H89,Dati!$A$2:$A$761,$AB89)+SUMIFS(Dati!$C$2:$C$761,Dati!$A$2:$A$761,$H89,Dati!$H$2:$H$761,$AB89)+SUMIFS(Dati!$J$2:$J$761,Dati!$H$2:$H$761,$H89,Dati!$A$2:$A$761,$AB89),"-")</f>
        <v/>
      </c>
      <c r="BU89" s="22">
        <f>IF(AND($H89&lt;&gt;"",$AC89&lt;&gt;"",$H89&lt;&gt;$AC89,IFERROR(VLOOKUP($H89,areaCercaPuntiClassificaSquadra,3,FALSE),-1)=IFERROR(VLOOKUP($AC89,areaCercaPuntiClassificaSquadra,3,FALSE),-2)),SUMIFS(Dati!$D$2:$D$761,Dati!$A$2:$A$761,$H89,Dati!$H$2:$H$761,$AC89)+SUMIFS(Dati!$K$2:$K$761,Dati!$H$2:$H$761,$H89,Dati!$A$2:$A$761,$AC89)+SUMIFS(Dati!$C$2:$C$761,Dati!$A$2:$A$761,$H89,Dati!$H$2:$H$761,$AC89)+SUMIFS(Dati!$J$2:$J$761,Dati!$H$2:$H$761,$H89,Dati!$A$2:$A$761,$AC89),"-")</f>
        <v/>
      </c>
      <c r="BV89" s="22">
        <f>IF(AND($H89&lt;&gt;"",$AD89&lt;&gt;"",$H89&lt;&gt;$AD89,IFERROR(VLOOKUP($H89,areaCercaPuntiClassificaSquadra,3,FALSE),-1)=IFERROR(VLOOKUP($AD89,areaCercaPuntiClassificaSquadra,3,FALSE),-2)),SUMIFS(Dati!$D$2:$D$761,Dati!$A$2:$A$761,$H89,Dati!$H$2:$H$761,$AD89)+SUMIFS(Dati!$K$2:$K$761,Dati!$H$2:$H$761,$H89,Dati!$A$2:$A$761,$AD89)+SUMIFS(Dati!$C$2:$C$761,Dati!$A$2:$A$761,$H89,Dati!$H$2:$H$761,$AD89)+SUMIFS(Dati!$J$2:$J$761,Dati!$H$2:$H$761,$H89,Dati!$A$2:$A$761,$AD89),"-")</f>
        <v/>
      </c>
      <c r="BW89" s="22">
        <f>IF(AND($H89&lt;&gt;"",$AE89&lt;&gt;"",$H89&lt;&gt;$AE89,IFERROR(VLOOKUP($H89,areaCercaPuntiClassificaSquadra,3,FALSE),-1)=IFERROR(VLOOKUP($AE89,areaCercaPuntiClassificaSquadra,3,FALSE),-2)),SUMIFS(Dati!$D$2:$D$761,Dati!$A$2:$A$761,$H89,Dati!$H$2:$H$761,$AE89)+SUMIFS(Dati!$K$2:$K$761,Dati!$H$2:$H$761,$H89,Dati!$A$2:$A$761,$AE89)+SUMIFS(Dati!$C$2:$C$761,Dati!$A$2:$A$761,$H89,Dati!$H$2:$H$761,$AE89)+SUMIFS(Dati!$J$2:$J$761,Dati!$H$2:$H$761,$H89,Dati!$A$2:$A$761,$AE89),"-")</f>
        <v/>
      </c>
      <c r="BX89" s="22">
        <f>IF(AND($H89&lt;&gt;"",$AF89&lt;&gt;"",$H89&lt;&gt;$AF89,IFERROR(VLOOKUP($H89,areaCercaPuntiClassificaSquadra,3,FALSE),-1)=IFERROR(VLOOKUP($AF89,areaCercaPuntiClassificaSquadra,3,FALSE),-2)),SUMIFS(Dati!$D$2:$D$761,Dati!$A$2:$A$761,$H89,Dati!$H$2:$H$761,$AF89)+SUMIFS(Dati!$K$2:$K$761,Dati!$H$2:$H$761,$H89,Dati!$A$2:$A$761,$AF89)+SUMIFS(Dati!$C$2:$C$761,Dati!$A$2:$A$761,$H89,Dati!$H$2:$H$761,$AF89)+SUMIFS(Dati!$J$2:$J$761,Dati!$H$2:$H$761,$H89,Dati!$A$2:$A$761,$AF89),"-")</f>
        <v/>
      </c>
      <c r="BY89" s="22">
        <f>IF(AND($H89&lt;&gt;"",$AG89&lt;&gt;"",$H89&lt;&gt;$AG89,IFERROR(VLOOKUP($H89,areaCercaPuntiClassificaSquadra,3,FALSE),-1)=IFERROR(VLOOKUP($AG89,areaCercaPuntiClassificaSquadra,3,FALSE),-2)),SUMIFS(Dati!$D$2:$D$761,Dati!$A$2:$A$761,$H89,Dati!$H$2:$H$761,$AG89)+SUMIFS(Dati!$K$2:$K$761,Dati!$H$2:$H$761,$H89,Dati!$A$2:$A$761,$AG89)+SUMIFS(Dati!$C$2:$C$761,Dati!$A$2:$A$761,$H89,Dati!$H$2:$H$761,$AG89)+SUMIFS(Dati!$J$2:$J$761,Dati!$H$2:$H$761,$H89,Dati!$A$2:$A$761,$AG89),"-")</f>
        <v/>
      </c>
      <c r="BZ89" s="22">
        <f>IF(AND($H89&lt;&gt;"",$AH89&lt;&gt;"",$H89&lt;&gt;$AH89,IFERROR(VLOOKUP($H89,areaCercaPuntiClassificaSquadra,3,FALSE),-1)=IFERROR(VLOOKUP($AH89,areaCercaPuntiClassificaSquadra,3,FALSE),-2)),SUMIFS(Dati!$D$2:$D$761,Dati!$A$2:$A$761,$H89,Dati!$H$2:$H$761,$AH89)+SUMIFS(Dati!$K$2:$K$761,Dati!$H$2:$H$761,$H89,Dati!$A$2:$A$761,$AH89)+SUMIFS(Dati!$C$2:$C$761,Dati!$A$2:$A$761,$H89,Dati!$H$2:$H$761,$AH89)+SUMIFS(Dati!$J$2:$J$761,Dati!$H$2:$H$761,$H89,Dati!$A$2:$A$761,$AH89),"-")</f>
        <v/>
      </c>
      <c r="CA89" s="22">
        <f>IF(AND($H89&lt;&gt;"",$AI89&lt;&gt;"",$H89&lt;&gt;$AI89,IFERROR(VLOOKUP($H89,areaCercaPuntiClassificaSquadra,3,FALSE),-1)=IFERROR(VLOOKUP($AI89,areaCercaPuntiClassificaSquadra,3,FALSE),-2)),SUMIFS(Dati!$D$2:$D$761,Dati!$A$2:$A$761,$H89,Dati!$H$2:$H$761,$AI89)+SUMIFS(Dati!$K$2:$K$761,Dati!$H$2:$H$761,$H89,Dati!$A$2:$A$761,$AI89)+SUMIFS(Dati!$C$2:$C$761,Dati!$A$2:$A$761,$H89,Dati!$H$2:$H$761,$AI89)+SUMIFS(Dati!$J$2:$J$761,Dati!$H$2:$H$761,$H89,Dati!$A$2:$A$761,$AI89),"-")</f>
        <v/>
      </c>
      <c r="CB89" s="22">
        <f>IF(AND($H89&lt;&gt;"",$AJ89&lt;&gt;"",$H89&lt;&gt;$AJ89,IFERROR(VLOOKUP($H89,areaCercaPuntiClassificaSquadra,3,FALSE),-1)=IFERROR(VLOOKUP($AJ89,areaCercaPuntiClassificaSquadra,3,FALSE),-2)),SUMIFS(Dati!$D$2:$D$761,Dati!$A$2:$A$761,$H89,Dati!$H$2:$H$761,$AJ89)+SUMIFS(Dati!$K$2:$K$761,Dati!$H$2:$H$761,$H89,Dati!$A$2:$A$761,$AJ89)+SUMIFS(Dati!$C$2:$C$761,Dati!$A$2:$A$761,$H89,Dati!$H$2:$H$761,$AJ89)+SUMIFS(Dati!$J$2:$J$761,Dati!$H$2:$H$761,$H89,Dati!$A$2:$A$761,$AJ89),"-")</f>
        <v/>
      </c>
      <c r="CC89" s="22">
        <f>IF(AND($H89&lt;&gt;"",$AK89&lt;&gt;"",$H89&lt;&gt;$AK89,IFERROR(VLOOKUP($H89,areaCercaPuntiClassificaSquadra,3,FALSE),-1)=IFERROR(VLOOKUP($AK89,areaCercaPuntiClassificaSquadra,3,FALSE),-2)),SUMIFS(Dati!$D$2:$D$761,Dati!$A$2:$A$761,$H89,Dati!$H$2:$H$761,$AK89)+SUMIFS(Dati!$K$2:$K$761,Dati!$H$2:$H$761,$H89,Dati!$A$2:$A$761,$AK89)+SUMIFS(Dati!$C$2:$C$761,Dati!$A$2:$A$761,$H89,Dati!$H$2:$H$761,$AK89)+SUMIFS(Dati!$J$2:$J$761,Dati!$H$2:$H$761,$H89,Dati!$A$2:$A$761,$AK89),"-")</f>
        <v/>
      </c>
      <c r="CD89" s="22">
        <f>IF(AND($H89&lt;&gt;"",$AL89&lt;&gt;"",$H89&lt;&gt;$AL89,IFERROR(VLOOKUP($H89,areaCercaPuntiClassificaSquadra,3,FALSE),-1)=IFERROR(VLOOKUP($AL89,areaCercaPuntiClassificaSquadra,3,FALSE),-2)),SUMIFS(Dati!$D$2:$D$761,Dati!$A$2:$A$761,$H89,Dati!$H$2:$H$761,$AL89)+SUMIFS(Dati!$K$2:$K$761,Dati!$H$2:$H$761,$H89,Dati!$A$2:$A$761,$AL89)+SUMIFS(Dati!$C$2:$C$761,Dati!$A$2:$A$761,$H89,Dati!$H$2:$H$761,$AL89)+SUMIFS(Dati!$J$2:$J$761,Dati!$H$2:$H$761,$H89,Dati!$A$2:$A$761,$AL89),"-")</f>
        <v/>
      </c>
      <c r="CE89" s="22">
        <f>IF(AND($H89&lt;&gt;"",$AM89&lt;&gt;"",$H89&lt;&gt;$AM89,IFERROR(VLOOKUP($H89,areaCercaPuntiClassificaSquadra,3,FALSE),-1)=IFERROR(VLOOKUP($AM89,areaCercaPuntiClassificaSquadra,3,FALSE),-2)),SUMIFS(Dati!$D$2:$D$761,Dati!$A$2:$A$761,$H89,Dati!$H$2:$H$761,$AM89)+SUMIFS(Dati!$K$2:$K$761,Dati!$H$2:$H$761,$H89,Dati!$A$2:$A$761,$AM89)+SUMIFS(Dati!$C$2:$C$761,Dati!$A$2:$A$761,$H89,Dati!$H$2:$H$761,$AM89)+SUMIFS(Dati!$J$2:$J$761,Dati!$H$2:$H$761,$H89,Dati!$A$2:$A$761,$AM89),"-")</f>
        <v/>
      </c>
      <c r="CF89" s="22">
        <f>IF(AND($H89&lt;&gt;"",$AN89&lt;&gt;"",$H89&lt;&gt;$AN89,IFERROR(VLOOKUP($H89,areaCercaPuntiClassificaSquadra,3,FALSE),-1)=IFERROR(VLOOKUP($AN89,areaCercaPuntiClassificaSquadra,3,FALSE),-2)),SUMIFS(Dati!$D$2:$D$761,Dati!$A$2:$A$761,$H89,Dati!$H$2:$H$761,$AN89)+SUMIFS(Dati!$K$2:$K$761,Dati!$H$2:$H$761,$H89,Dati!$A$2:$A$761,$AN89)+SUMIFS(Dati!$C$2:$C$761,Dati!$A$2:$A$761,$H89,Dati!$H$2:$H$761,$AN89)+SUMIFS(Dati!$J$2:$J$761,Dati!$H$2:$H$761,$H89,Dati!$A$2:$A$761,$AN89),"-")</f>
        <v/>
      </c>
      <c r="CG89" s="22">
        <f>IF(AND($H89&lt;&gt;"",$AO89&lt;&gt;"",$H89&lt;&gt;$AO89,IFERROR(VLOOKUP($H89,areaCercaPuntiClassificaSquadra,3,FALSE),-1)=IFERROR(VLOOKUP($AO89,areaCercaPuntiClassificaSquadra,3,FALSE),-2)),SUMIFS(Dati!$D$2:$D$761,Dati!$A$2:$A$761,$H89,Dati!$H$2:$H$761,$AO89)+SUMIFS(Dati!$K$2:$K$761,Dati!$H$2:$H$761,$H89,Dati!$A$2:$A$761,$AO89)+SUMIFS(Dati!$C$2:$C$761,Dati!$A$2:$A$761,$H89,Dati!$H$2:$H$761,$AO89)+SUMIFS(Dati!$J$2:$J$761,Dati!$H$2:$H$761,$H89,Dati!$A$2:$A$761,$AO89),"-")</f>
        <v/>
      </c>
      <c r="CH89" s="22">
        <f>IF(AND($H89&lt;&gt;"",$AP89&lt;&gt;"",$H89&lt;&gt;$AP89,IFERROR(VLOOKUP($H89,areaCercaPuntiClassificaSquadra,3,FALSE),-1)=IFERROR(VLOOKUP($AP89,areaCercaPuntiClassificaSquadra,3,FALSE),-2)),SUMIFS(Dati!$D$2:$D$761,Dati!$A$2:$A$761,$H89,Dati!$H$2:$H$761,$AP89)+SUMIFS(Dati!$K$2:$K$761,Dati!$H$2:$H$761,$H89,Dati!$A$2:$A$761,$AP89)+SUMIFS(Dati!$C$2:$C$761,Dati!$A$2:$A$761,$H89,Dati!$H$2:$H$761,$AP89)+SUMIFS(Dati!$J$2:$J$761,Dati!$H$2:$H$761,$H89,Dati!$A$2:$A$761,$AP89),"-")</f>
        <v/>
      </c>
      <c r="CI89" s="22">
        <f>IF(AND($H89&lt;&gt;"",$AQ89&lt;&gt;"",$H89&lt;&gt;$AQ89,IFERROR(VLOOKUP($H89,areaCercaPuntiClassificaSquadra,3,FALSE),-1)=IFERROR(VLOOKUP($AQ89,areaCercaPuntiClassificaSquadra,3,FALSE),-2)),SUMIFS(Dati!$D$2:$D$761,Dati!$A$2:$A$761,$H89,Dati!$H$2:$H$761,$AQ89)+SUMIFS(Dati!$K$2:$K$761,Dati!$H$2:$H$761,$H89,Dati!$A$2:$A$761,$AQ89)+SUMIFS(Dati!$C$2:$C$761,Dati!$A$2:$A$761,$H89,Dati!$H$2:$H$761,$AQ89)+SUMIFS(Dati!$J$2:$J$761,Dati!$H$2:$H$761,$H89,Dati!$A$2:$A$761,$AQ89),"-")</f>
        <v/>
      </c>
      <c r="CJ89" s="22">
        <f>IF(AND($H89&lt;&gt;"",$AR89&lt;&gt;"",$H89&lt;&gt;$AR89,IFERROR(VLOOKUP($H89,areaCercaPuntiClassificaSquadra,3,FALSE),-1)=IFERROR(VLOOKUP($AR89,areaCercaPuntiClassificaSquadra,3,FALSE),-2)),SUMIFS(Dati!$D$2:$D$761,Dati!$A$2:$A$761,$H89,Dati!$H$2:$H$761,$AR89)+SUMIFS(Dati!$K$2:$K$761,Dati!$H$2:$H$761,$H89,Dati!$A$2:$A$761,$AR89)+SUMIFS(Dati!$C$2:$C$761,Dati!$A$2:$A$761,$H89,Dati!$H$2:$H$761,$AR89)+SUMIFS(Dati!$J$2:$J$761,Dati!$H$2:$H$761,$H89,Dati!$A$2:$A$761,$AR89),"-")</f>
        <v/>
      </c>
      <c r="CL89" s="21">
        <f>$C89</f>
        <v/>
      </c>
      <c r="CM89" s="22">
        <f>IF(AND($H89&lt;&gt;"",$Y89&lt;&gt;"",$H89&lt;&gt;$Y89,IFERROR(VLOOKUP($H89,areaCercaPuntiClassificaSquadra,3,FALSE),-1)=IFERROR(VLOOKUP($Y89,areaCercaPuntiClassificaSquadra,3,FALSE),-2)),SUMIFS(Dati!$E$2:$E$761,Dati!$A$2:$A$761,$H89,Dati!$H$2:$H$761,$Y89)+SUMIFS(Dati!$L$2:$L$761,Dati!$H$2:$H$761,$H89,Dati!$A$2:$A$761,$Y89),"-")</f>
        <v/>
      </c>
      <c r="CN89" s="22">
        <f>IF(AND($H89&lt;&gt;"",$Z89&lt;&gt;"",$H89&lt;&gt;$Z89,IFERROR(VLOOKUP($H89,areaCercaPuntiClassificaSquadra,3,FALSE),-1)=IFERROR(VLOOKUP($Z89,areaCercaPuntiClassificaSquadra,3,FALSE),-2)),SUMIFS(Dati!$E$2:$E$761,Dati!$A$2:$A$761,$H89,Dati!$H$2:$H$761,$Z89)+SUMIFS(Dati!$L$2:$L$761,Dati!$H$2:$H$761,$H89,Dati!$A$2:$A$761,$Z89),"-")</f>
        <v/>
      </c>
      <c r="CO89" s="22">
        <f>IF(AND($H89&lt;&gt;"",$AA89&lt;&gt;"",$H89&lt;&gt;$AA89,IFERROR(VLOOKUP($H89,areaCercaPuntiClassificaSquadra,3,FALSE),-1)=IFERROR(VLOOKUP($AA89,areaCercaPuntiClassificaSquadra,3,FALSE),-2)),SUMIFS(Dati!$E$2:$E$761,Dati!$A$2:$A$761,$H89,Dati!$H$2:$H$761,$AA89)+SUMIFS(Dati!$L$2:$L$761,Dati!$H$2:$H$761,$H89,Dati!$A$2:$A$761,$AA89),"-")</f>
        <v/>
      </c>
      <c r="CP89" s="22">
        <f>IF(AND($H89&lt;&gt;"",$AB89&lt;&gt;"",$H89&lt;&gt;$AB89,IFERROR(VLOOKUP($H89,areaCercaPuntiClassificaSquadra,3,FALSE),-1)=IFERROR(VLOOKUP($AB89,areaCercaPuntiClassificaSquadra,3,FALSE),-2)),SUMIFS(Dati!$E$2:$E$761,Dati!$A$2:$A$761,$H89,Dati!$H$2:$H$761,$AB89)+SUMIFS(Dati!$L$2:$L$761,Dati!$H$2:$H$761,$H89,Dati!$A$2:$A$761,$AB89),"-")</f>
        <v/>
      </c>
      <c r="CQ89" s="22">
        <f>IF(AND($H89&lt;&gt;"",$AC89&lt;&gt;"",$H89&lt;&gt;$AC89,IFERROR(VLOOKUP($H89,areaCercaPuntiClassificaSquadra,3,FALSE),-1)=IFERROR(VLOOKUP($AC89,areaCercaPuntiClassificaSquadra,3,FALSE),-2)),SUMIFS(Dati!$E$2:$E$761,Dati!$A$2:$A$761,$H89,Dati!$H$2:$H$761,$AC89)+SUMIFS(Dati!$L$2:$L$761,Dati!$H$2:$H$761,$H89,Dati!$A$2:$A$761,$AC89),"-")</f>
        <v/>
      </c>
      <c r="CR89" s="22">
        <f>IF(AND($H89&lt;&gt;"",$AD89&lt;&gt;"",$H89&lt;&gt;$AD89,IFERROR(VLOOKUP($H89,areaCercaPuntiClassificaSquadra,3,FALSE),-1)=IFERROR(VLOOKUP($AD89,areaCercaPuntiClassificaSquadra,3,FALSE),-2)),SUMIFS(Dati!$E$2:$E$761,Dati!$A$2:$A$761,$H89,Dati!$H$2:$H$761,$AD89)+SUMIFS(Dati!$L$2:$L$761,Dati!$H$2:$H$761,$H89,Dati!$A$2:$A$761,$AD89),"-")</f>
        <v/>
      </c>
      <c r="CS89" s="22">
        <f>IF(AND($H89&lt;&gt;"",$AE89&lt;&gt;"",$H89&lt;&gt;$AE89,IFERROR(VLOOKUP($H89,areaCercaPuntiClassificaSquadra,3,FALSE),-1)=IFERROR(VLOOKUP($AE89,areaCercaPuntiClassificaSquadra,3,FALSE),-2)),SUMIFS(Dati!$E$2:$E$761,Dati!$A$2:$A$761,$H89,Dati!$H$2:$H$761,$AE89)+SUMIFS(Dati!$L$2:$L$761,Dati!$H$2:$H$761,$H89,Dati!$A$2:$A$761,$AE89),"-")</f>
        <v/>
      </c>
      <c r="CT89" s="22">
        <f>IF(AND($H89&lt;&gt;"",$AF89&lt;&gt;"",$H89&lt;&gt;$AF89,IFERROR(VLOOKUP($H89,areaCercaPuntiClassificaSquadra,3,FALSE),-1)=IFERROR(VLOOKUP($AF89,areaCercaPuntiClassificaSquadra,3,FALSE),-2)),SUMIFS(Dati!$E$2:$E$761,Dati!$A$2:$A$761,$H89,Dati!$H$2:$H$761,$AF89)+SUMIFS(Dati!$L$2:$L$761,Dati!$H$2:$H$761,$H89,Dati!$A$2:$A$761,$AF89),"-")</f>
        <v/>
      </c>
      <c r="CU89" s="22">
        <f>IF(AND($H89&lt;&gt;"",$AG89&lt;&gt;"",$H89&lt;&gt;$AG89,IFERROR(VLOOKUP($H89,areaCercaPuntiClassificaSquadra,3,FALSE),-1)=IFERROR(VLOOKUP($AG89,areaCercaPuntiClassificaSquadra,3,FALSE),-2)),SUMIFS(Dati!$E$2:$E$761,Dati!$A$2:$A$761,$H89,Dati!$H$2:$H$761,$AG89)+SUMIFS(Dati!$L$2:$L$761,Dati!$H$2:$H$761,$H89,Dati!$A$2:$A$761,$AG89),"-")</f>
        <v/>
      </c>
      <c r="CV89" s="22">
        <f>IF(AND($H89&lt;&gt;"",$AH89&lt;&gt;"",$H89&lt;&gt;$AH89,IFERROR(VLOOKUP($H89,areaCercaPuntiClassificaSquadra,3,FALSE),-1)=IFERROR(VLOOKUP($AH89,areaCercaPuntiClassificaSquadra,3,FALSE),-2)),SUMIFS(Dati!$E$2:$E$761,Dati!$A$2:$A$761,$H89,Dati!$H$2:$H$761,$AH89)+SUMIFS(Dati!$L$2:$L$761,Dati!$H$2:$H$761,$H89,Dati!$A$2:$A$761,$AH89),"-")</f>
        <v/>
      </c>
      <c r="CW89" s="22">
        <f>IF(AND($H89&lt;&gt;"",$AI89&lt;&gt;"",$H89&lt;&gt;$AI89,IFERROR(VLOOKUP($H89,areaCercaPuntiClassificaSquadra,3,FALSE),-1)=IFERROR(VLOOKUP($AI89,areaCercaPuntiClassificaSquadra,3,FALSE),-2)),SUMIFS(Dati!$E$2:$E$761,Dati!$A$2:$A$761,$H89,Dati!$H$2:$H$761,$AI89)+SUMIFS(Dati!$L$2:$L$761,Dati!$H$2:$H$761,$H89,Dati!$A$2:$A$761,$AI89),"-")</f>
        <v/>
      </c>
      <c r="CX89" s="22">
        <f>IF(AND($H89&lt;&gt;"",$AJ89&lt;&gt;"",$H89&lt;&gt;$AJ89,IFERROR(VLOOKUP($H89,areaCercaPuntiClassificaSquadra,3,FALSE),-1)=IFERROR(VLOOKUP($AJ89,areaCercaPuntiClassificaSquadra,3,FALSE),-2)),SUMIFS(Dati!$E$2:$E$761,Dati!$A$2:$A$761,$H89,Dati!$H$2:$H$761,$AJ89)+SUMIFS(Dati!$L$2:$L$761,Dati!$H$2:$H$761,$H89,Dati!$A$2:$A$761,$AJ89),"-")</f>
        <v/>
      </c>
      <c r="CY89" s="22">
        <f>IF(AND($H89&lt;&gt;"",$AK89&lt;&gt;"",$H89&lt;&gt;$AK89,IFERROR(VLOOKUP($H89,areaCercaPuntiClassificaSquadra,3,FALSE),-1)=IFERROR(VLOOKUP($AK89,areaCercaPuntiClassificaSquadra,3,FALSE),-2)),SUMIFS(Dati!$E$2:$E$761,Dati!$A$2:$A$761,$H89,Dati!$H$2:$H$761,$AK89)+SUMIFS(Dati!$L$2:$L$761,Dati!$H$2:$H$761,$H89,Dati!$A$2:$A$761,$AK89),"-")</f>
        <v/>
      </c>
      <c r="CZ89" s="22">
        <f>IF(AND($H89&lt;&gt;"",$AL89&lt;&gt;"",$H89&lt;&gt;$AL89,IFERROR(VLOOKUP($H89,areaCercaPuntiClassificaSquadra,3,FALSE),-1)=IFERROR(VLOOKUP($AL89,areaCercaPuntiClassificaSquadra,3,FALSE),-2)),SUMIFS(Dati!$E$2:$E$761,Dati!$A$2:$A$761,$H89,Dati!$H$2:$H$761,$AL89)+SUMIFS(Dati!$L$2:$L$761,Dati!$H$2:$H$761,$H89,Dati!$A$2:$A$761,$AL89),"-")</f>
        <v/>
      </c>
      <c r="DA89" s="22">
        <f>IF(AND($H89&lt;&gt;"",$AM89&lt;&gt;"",$H89&lt;&gt;$AM89,IFERROR(VLOOKUP($H89,areaCercaPuntiClassificaSquadra,3,FALSE),-1)=IFERROR(VLOOKUP($AM89,areaCercaPuntiClassificaSquadra,3,FALSE),-2)),SUMIFS(Dati!$E$2:$E$761,Dati!$A$2:$A$761,$H89,Dati!$H$2:$H$761,$AM89)+SUMIFS(Dati!$L$2:$L$761,Dati!$H$2:$H$761,$H89,Dati!$A$2:$A$761,$AM89),"-")</f>
        <v/>
      </c>
      <c r="DB89" s="22">
        <f>IF(AND($H89&lt;&gt;"",$AN89&lt;&gt;"",$H89&lt;&gt;$AN89,IFERROR(VLOOKUP($H89,areaCercaPuntiClassificaSquadra,3,FALSE),-1)=IFERROR(VLOOKUP($AN89,areaCercaPuntiClassificaSquadra,3,FALSE),-2)),SUMIFS(Dati!$E$2:$E$761,Dati!$A$2:$A$761,$H89,Dati!$H$2:$H$761,$AN89)+SUMIFS(Dati!$L$2:$L$761,Dati!$H$2:$H$761,$H89,Dati!$A$2:$A$761,$AN89),"-")</f>
        <v/>
      </c>
      <c r="DC89" s="22">
        <f>IF(AND($H89&lt;&gt;"",$AO89&lt;&gt;"",$H89&lt;&gt;$AO89,IFERROR(VLOOKUP($H89,areaCercaPuntiClassificaSquadra,3,FALSE),-1)=IFERROR(VLOOKUP($AO89,areaCercaPuntiClassificaSquadra,3,FALSE),-2)),SUMIFS(Dati!$E$2:$E$761,Dati!$A$2:$A$761,$H89,Dati!$H$2:$H$761,$AO89)+SUMIFS(Dati!$L$2:$L$761,Dati!$H$2:$H$761,$H89,Dati!$A$2:$A$761,$AO89),"-")</f>
        <v/>
      </c>
      <c r="DD89" s="22">
        <f>IF(AND($H89&lt;&gt;"",$AP89&lt;&gt;"",$H89&lt;&gt;$AP89,IFERROR(VLOOKUP($H89,areaCercaPuntiClassificaSquadra,3,FALSE),-1)=IFERROR(VLOOKUP($AP89,areaCercaPuntiClassificaSquadra,3,FALSE),-2)),SUMIFS(Dati!$E$2:$E$761,Dati!$A$2:$A$761,$H89,Dati!$H$2:$H$761,$AP89)+SUMIFS(Dati!$L$2:$L$761,Dati!$H$2:$H$761,$H89,Dati!$A$2:$A$761,$AP89),"-")</f>
        <v/>
      </c>
      <c r="DE89" s="22">
        <f>IF(AND($H89&lt;&gt;"",$AQ89&lt;&gt;"",$H89&lt;&gt;$AQ89,IFERROR(VLOOKUP($H89,areaCercaPuntiClassificaSquadra,3,FALSE),-1)=IFERROR(VLOOKUP($AQ89,areaCercaPuntiClassificaSquadra,3,FALSE),-2)),SUMIFS(Dati!$E$2:$E$761,Dati!$A$2:$A$761,$H89,Dati!$H$2:$H$761,$AQ89)+SUMIFS(Dati!$L$2:$L$761,Dati!$H$2:$H$761,$H89,Dati!$A$2:$A$761,$AQ89),"-")</f>
        <v/>
      </c>
      <c r="DF89" s="22">
        <f>IF(AND($H89&lt;&gt;"",$AR89&lt;&gt;"",$H89&lt;&gt;$AR89,IFERROR(VLOOKUP($H89,areaCercaPuntiClassificaSquadra,3,FALSE),-1)=IFERROR(VLOOKUP($AR89,areaCercaPuntiClassificaSquadra,3,FALSE),-2)),SUMIFS(Dati!$E$2:$E$761,Dati!$A$2:$A$761,$H89,Dati!$H$2:$H$761,$AR89)+SUMIFS(Dati!$L$2:$L$761,Dati!$H$2:$H$761,$H89,Dati!$A$2:$A$761,$AR89),"-")</f>
        <v/>
      </c>
      <c r="DH89" s="21">
        <f>$C89</f>
        <v/>
      </c>
      <c r="DI89" s="22">
        <f>IF(AND($H89&lt;&gt;"",$Y89&lt;&gt;"",$H89&lt;&gt;$Y89,IFERROR(VLOOKUP($H89,areaCercaPuntiClassificaSquadra,3,FALSE),-1)=IFERROR(VLOOKUP($Y89,areaCercaPuntiClassificaSquadra,3,FALSE),-2)),SUMIFS(Dati!$F$2:$F$761,Dati!$A$2:$A$761,$H89,Dati!$H$2:$H$761,$Y89)+SUMIFS(Dati!$M$2:$M$761,Dati!$H$2:$H$761,$H89,Dati!$A$2:$A$761,$Y89),"-")</f>
        <v/>
      </c>
      <c r="DJ89" s="22">
        <f>IF(AND($H89&lt;&gt;"",$Z89&lt;&gt;"",$H89&lt;&gt;$Z89,IFERROR(VLOOKUP($H89,areaCercaPuntiClassificaSquadra,3,FALSE),-1)=IFERROR(VLOOKUP($Z89,areaCercaPuntiClassificaSquadra,3,FALSE),-2)),SUMIFS(Dati!$F$2:$F$761,Dati!$A$2:$A$761,$H89,Dati!$H$2:$H$761,$Z89)+SUMIFS(Dati!$M$2:$M$761,Dati!$H$2:$H$761,$H89,Dati!$A$2:$A$761,$Z89),"-")</f>
        <v/>
      </c>
      <c r="DK89" s="22">
        <f>IF(AND($H89&lt;&gt;"",$AA89&lt;&gt;"",$H89&lt;&gt;$AA89,IFERROR(VLOOKUP($H89,areaCercaPuntiClassificaSquadra,3,FALSE),-1)=IFERROR(VLOOKUP($AA89,areaCercaPuntiClassificaSquadra,3,FALSE),-2)),SUMIFS(Dati!$F$2:$F$761,Dati!$A$2:$A$761,$H89,Dati!$H$2:$H$761,$AA89)+SUMIFS(Dati!$M$2:$M$761,Dati!$H$2:$H$761,$H89,Dati!$A$2:$A$761,$AA89),"-")</f>
        <v/>
      </c>
      <c r="DL89" s="22">
        <f>IF(AND($H89&lt;&gt;"",$AB89&lt;&gt;"",$H89&lt;&gt;$AB89,IFERROR(VLOOKUP($H89,areaCercaPuntiClassificaSquadra,3,FALSE),-1)=IFERROR(VLOOKUP($AB89,areaCercaPuntiClassificaSquadra,3,FALSE),-2)),SUMIFS(Dati!$F$2:$F$761,Dati!$A$2:$A$761,$H89,Dati!$H$2:$H$761,$AB89)+SUMIFS(Dati!$M$2:$M$761,Dati!$H$2:$H$761,$H89,Dati!$A$2:$A$761,$AB89),"-")</f>
        <v/>
      </c>
      <c r="DM89" s="22">
        <f>IF(AND($H89&lt;&gt;"",$AC89&lt;&gt;"",$H89&lt;&gt;$AC89,IFERROR(VLOOKUP($H89,areaCercaPuntiClassificaSquadra,3,FALSE),-1)=IFERROR(VLOOKUP($AC89,areaCercaPuntiClassificaSquadra,3,FALSE),-2)),SUMIFS(Dati!$F$2:$F$761,Dati!$A$2:$A$761,$H89,Dati!$H$2:$H$761,$AC89)+SUMIFS(Dati!$M$2:$M$761,Dati!$H$2:$H$761,$H89,Dati!$A$2:$A$761,$AC89),"-")</f>
        <v/>
      </c>
      <c r="DN89" s="22">
        <f>IF(AND($H89&lt;&gt;"",$AD89&lt;&gt;"",$H89&lt;&gt;$AD89,IFERROR(VLOOKUP($H89,areaCercaPuntiClassificaSquadra,3,FALSE),-1)=IFERROR(VLOOKUP($AD89,areaCercaPuntiClassificaSquadra,3,FALSE),-2)),SUMIFS(Dati!$F$2:$F$761,Dati!$A$2:$A$761,$H89,Dati!$H$2:$H$761,$AD89)+SUMIFS(Dati!$M$2:$M$761,Dati!$H$2:$H$761,$H89,Dati!$A$2:$A$761,$AD89),"-")</f>
        <v/>
      </c>
      <c r="DO89" s="22">
        <f>IF(AND($H89&lt;&gt;"",$AE89&lt;&gt;"",$H89&lt;&gt;$AE89,IFERROR(VLOOKUP($H89,areaCercaPuntiClassificaSquadra,3,FALSE),-1)=IFERROR(VLOOKUP($AE89,areaCercaPuntiClassificaSquadra,3,FALSE),-2)),SUMIFS(Dati!$F$2:$F$761,Dati!$A$2:$A$761,$H89,Dati!$H$2:$H$761,$AE89)+SUMIFS(Dati!$M$2:$M$761,Dati!$H$2:$H$761,$H89,Dati!$A$2:$A$761,$AE89),"-")</f>
        <v/>
      </c>
      <c r="DP89" s="22">
        <f>IF(AND($H89&lt;&gt;"",$AF89&lt;&gt;"",$H89&lt;&gt;$AF89,IFERROR(VLOOKUP($H89,areaCercaPuntiClassificaSquadra,3,FALSE),-1)=IFERROR(VLOOKUP($AF89,areaCercaPuntiClassificaSquadra,3,FALSE),-2)),SUMIFS(Dati!$F$2:$F$761,Dati!$A$2:$A$761,$H89,Dati!$H$2:$H$761,$AF89)+SUMIFS(Dati!$M$2:$M$761,Dati!$H$2:$H$761,$H89,Dati!$A$2:$A$761,$AF89),"-")</f>
        <v/>
      </c>
      <c r="DQ89" s="22">
        <f>IF(AND($H89&lt;&gt;"",$AG89&lt;&gt;"",$H89&lt;&gt;$AG89,IFERROR(VLOOKUP($H89,areaCercaPuntiClassificaSquadra,3,FALSE),-1)=IFERROR(VLOOKUP($AG89,areaCercaPuntiClassificaSquadra,3,FALSE),-2)),SUMIFS(Dati!$F$2:$F$761,Dati!$A$2:$A$761,$H89,Dati!$H$2:$H$761,$AG89)+SUMIFS(Dati!$M$2:$M$761,Dati!$H$2:$H$761,$H89,Dati!$A$2:$A$761,$AG89),"-")</f>
        <v/>
      </c>
      <c r="DR89" s="22">
        <f>IF(AND($H89&lt;&gt;"",$AH89&lt;&gt;"",$H89&lt;&gt;$AH89,IFERROR(VLOOKUP($H89,areaCercaPuntiClassificaSquadra,3,FALSE),-1)=IFERROR(VLOOKUP($AH89,areaCercaPuntiClassificaSquadra,3,FALSE),-2)),SUMIFS(Dati!$F$2:$F$761,Dati!$A$2:$A$761,$H89,Dati!$H$2:$H$761,$AH89)+SUMIFS(Dati!$M$2:$M$761,Dati!$H$2:$H$761,$H89,Dati!$A$2:$A$761,$AH89),"-")</f>
        <v/>
      </c>
      <c r="DS89" s="22">
        <f>IF(AND($H89&lt;&gt;"",$AI89&lt;&gt;"",$H89&lt;&gt;$AI89,IFERROR(VLOOKUP($H89,areaCercaPuntiClassificaSquadra,3,FALSE),-1)=IFERROR(VLOOKUP($AI89,areaCercaPuntiClassificaSquadra,3,FALSE),-2)),SUMIFS(Dati!$F$2:$F$761,Dati!$A$2:$A$761,$H89,Dati!$H$2:$H$761,$AI89)+SUMIFS(Dati!$M$2:$M$761,Dati!$H$2:$H$761,$H89,Dati!$A$2:$A$761,$AI89),"-")</f>
        <v/>
      </c>
      <c r="DT89" s="22">
        <f>IF(AND($H89&lt;&gt;"",$AJ89&lt;&gt;"",$H89&lt;&gt;$AJ89,IFERROR(VLOOKUP($H89,areaCercaPuntiClassificaSquadra,3,FALSE),-1)=IFERROR(VLOOKUP($AJ89,areaCercaPuntiClassificaSquadra,3,FALSE),-2)),SUMIFS(Dati!$F$2:$F$761,Dati!$A$2:$A$761,$H89,Dati!$H$2:$H$761,$AJ89)+SUMIFS(Dati!$M$2:$M$761,Dati!$H$2:$H$761,$H89,Dati!$A$2:$A$761,$AJ89),"-")</f>
        <v/>
      </c>
      <c r="DU89" s="22">
        <f>IF(AND($H89&lt;&gt;"",$AK89&lt;&gt;"",$H89&lt;&gt;$AK89,IFERROR(VLOOKUP($H89,areaCercaPuntiClassificaSquadra,3,FALSE),-1)=IFERROR(VLOOKUP($AK89,areaCercaPuntiClassificaSquadra,3,FALSE),-2)),SUMIFS(Dati!$F$2:$F$761,Dati!$A$2:$A$761,$H89,Dati!$H$2:$H$761,$AK89)+SUMIFS(Dati!$M$2:$M$761,Dati!$H$2:$H$761,$H89,Dati!$A$2:$A$761,$AK89),"-")</f>
        <v/>
      </c>
      <c r="DV89" s="22">
        <f>IF(AND($H89&lt;&gt;"",$AL89&lt;&gt;"",$H89&lt;&gt;$AL89,IFERROR(VLOOKUP($H89,areaCercaPuntiClassificaSquadra,3,FALSE),-1)=IFERROR(VLOOKUP($AL89,areaCercaPuntiClassificaSquadra,3,FALSE),-2)),SUMIFS(Dati!$F$2:$F$761,Dati!$A$2:$A$761,$H89,Dati!$H$2:$H$761,$AL89)+SUMIFS(Dati!$M$2:$M$761,Dati!$H$2:$H$761,$H89,Dati!$A$2:$A$761,$AL89),"-")</f>
        <v/>
      </c>
      <c r="DW89" s="22">
        <f>IF(AND($H89&lt;&gt;"",$AM89&lt;&gt;"",$H89&lt;&gt;$AM89,IFERROR(VLOOKUP($H89,areaCercaPuntiClassificaSquadra,3,FALSE),-1)=IFERROR(VLOOKUP($AM89,areaCercaPuntiClassificaSquadra,3,FALSE),-2)),SUMIFS(Dati!$F$2:$F$761,Dati!$A$2:$A$761,$H89,Dati!$H$2:$H$761,$AM89)+SUMIFS(Dati!$M$2:$M$761,Dati!$H$2:$H$761,$H89,Dati!$A$2:$A$761,$AM89),"-")</f>
        <v/>
      </c>
      <c r="DX89" s="22">
        <f>IF(AND($H89&lt;&gt;"",$AN89&lt;&gt;"",$H89&lt;&gt;$AN89,IFERROR(VLOOKUP($H89,areaCercaPuntiClassificaSquadra,3,FALSE),-1)=IFERROR(VLOOKUP($AN89,areaCercaPuntiClassificaSquadra,3,FALSE),-2)),SUMIFS(Dati!$F$2:$F$761,Dati!$A$2:$A$761,$H89,Dati!$H$2:$H$761,$AN89)+SUMIFS(Dati!$M$2:$M$761,Dati!$H$2:$H$761,$H89,Dati!$A$2:$A$761,$AN89),"-")</f>
        <v/>
      </c>
      <c r="DY89" s="22">
        <f>IF(AND($H89&lt;&gt;"",$AO89&lt;&gt;"",$H89&lt;&gt;$AO89,IFERROR(VLOOKUP($H89,areaCercaPuntiClassificaSquadra,3,FALSE),-1)=IFERROR(VLOOKUP($AO89,areaCercaPuntiClassificaSquadra,3,FALSE),-2)),SUMIFS(Dati!$F$2:$F$761,Dati!$A$2:$A$761,$H89,Dati!$H$2:$H$761,$AO89)+SUMIFS(Dati!$M$2:$M$761,Dati!$H$2:$H$761,$H89,Dati!$A$2:$A$761,$AO89),"-")</f>
        <v/>
      </c>
      <c r="DZ89" s="22">
        <f>IF(AND($H89&lt;&gt;"",$AP89&lt;&gt;"",$H89&lt;&gt;$AP89,IFERROR(VLOOKUP($H89,areaCercaPuntiClassificaSquadra,3,FALSE),-1)=IFERROR(VLOOKUP($AP89,areaCercaPuntiClassificaSquadra,3,FALSE),-2)),SUMIFS(Dati!$F$2:$F$761,Dati!$A$2:$A$761,$H89,Dati!$H$2:$H$761,$AP89)+SUMIFS(Dati!$M$2:$M$761,Dati!$H$2:$H$761,$H89,Dati!$A$2:$A$761,$AP89),"-")</f>
        <v/>
      </c>
      <c r="EA89" s="22">
        <f>IF(AND($H89&lt;&gt;"",$AQ89&lt;&gt;"",$H89&lt;&gt;$AQ89,IFERROR(VLOOKUP($H89,areaCercaPuntiClassificaSquadra,3,FALSE),-1)=IFERROR(VLOOKUP($AQ89,areaCercaPuntiClassificaSquadra,3,FALSE),-2)),SUMIFS(Dati!$F$2:$F$761,Dati!$A$2:$A$761,$H89,Dati!$H$2:$H$761,$AQ89)+SUMIFS(Dati!$M$2:$M$761,Dati!$H$2:$H$761,$H89,Dati!$A$2:$A$761,$AQ89),"-")</f>
        <v/>
      </c>
      <c r="EB89" s="22">
        <f>IF(AND($H89&lt;&gt;"",$AR89&lt;&gt;"",$H89&lt;&gt;$AR89,IFERROR(VLOOKUP($H89,areaCercaPuntiClassificaSquadra,3,FALSE),-1)=IFERROR(VLOOKUP($AR89,areaCercaPuntiClassificaSquadra,3,FALSE),-2)),SUMIFS(Dati!$F$2:$F$761,Dati!$A$2:$A$761,$H89,Dati!$H$2:$H$761,$AR89)+SUMIFS(Dati!$M$2:$M$761,Dati!$H$2:$H$761,$H89,Dati!$A$2:$A$761,$AR89),"-")</f>
        <v/>
      </c>
      <c r="ED89" s="22">
        <f>IF($C89="","",SUM(AU89:BN89))</f>
        <v/>
      </c>
    </row>
    <row r="90">
      <c r="B90" s="12" t="inlineStr">
        <is>
          <t>D17</t>
        </is>
      </c>
      <c r="C90" s="13" t="inlineStr">
        <is>
          <t>Lontre Leali-Lontreopoli LE</t>
        </is>
      </c>
      <c r="D90" s="14" t="n"/>
      <c r="E90" s="27" t="inlineStr">
        <is>
          <t>D</t>
        </is>
      </c>
      <c r="G90" s="28">
        <f>IF($C90="","",$E90&amp;(COUNTIFS(I$14:I$93,"&gt;"&amp;I90,E$14:E$93,"="&amp;E90,C$14:C$93,"&lt;&gt;")+COUNTIFS(I$14:I$93,"="&amp;I90,H$14:H$93,"&lt;="&amp;H90,E$14:E$93,"="&amp;E90,C$14:C$93,"&lt;&gt;")))</f>
        <v/>
      </c>
      <c r="H90" s="17">
        <f>IF($C90="","",IFERROR(LEFT($C90,FIND("-",$C90)-1),$C90))</f>
        <v/>
      </c>
      <c r="I90" s="12">
        <f>TEXT(1000000000+J90,"|0000000000|")&amp;TEXT(SUM(AU90:BN90),"0000000000|")&amp;IF(SUM(DI90:EB90)=0,"0000000000|",TEXT(ROUND(SUM(CM90:DF90)/SUM(DI90:EB90),4)*100000,"0000000000|"))&amp;IF(P90=0,"0000000000|",TEXT(ROUND(O90/P90,4)*100000,"0000000000|"))</f>
        <v/>
      </c>
      <c r="J90" s="28">
        <f>L90*constPuntiVittoria+M90*constPuntiSconfitta+N90*constPuntiForfait+IF(D90="",0,D90)</f>
        <v/>
      </c>
      <c r="K90" s="12">
        <f>SUM(L90:N90)</f>
        <v/>
      </c>
      <c r="L90" s="12">
        <f>IF($H90="",0,SUMIF(Dati!$A$2:$A$761,$H90,Dati!$B$2:$B$761)+SUMIF(Dati!$H$2:$H$761,$H90,Dati!$I$2:$I$761))</f>
        <v/>
      </c>
      <c r="M90" s="12">
        <f>IF($H90="",0,SUMIF(Dati!$A$2:$A$761,$H90,Dati!$D$2:$D$761)+SUMIF(Dati!$H$2:$H$761,$H90,Dati!$K$2:$K$761))</f>
        <v/>
      </c>
      <c r="N90" s="12">
        <f>IF($H90="",0,SUMIF(Dati!$A$2:$A$761,$H90,Dati!$C$2:$C$761)+SUMIF(Dati!$H$2:$H$761,$H90,Dati!$J$2:$J$761))</f>
        <v/>
      </c>
      <c r="O90" s="12">
        <f>IF($H90="",0,SUMIF(Dati!$A$2:$A$761,$H90,Dati!$E$2:$E$761)+SUMIF(Dati!$H$2:$H$761,$H90,Dati!$L$2:$L$761))</f>
        <v/>
      </c>
      <c r="P90" s="12">
        <f>IF($H90="",0,SUMIF(Dati!$A$2:$A$761,$H90,Dati!$F$2:$F$761)+SUMIF(Dati!$H$2:$H$761,$H90,Dati!$M$2:$M$761))</f>
        <v/>
      </c>
      <c r="Q90" s="12">
        <f>IF($H90="",0,SUMIF(Dati!$A$2:$A$761,$H90,Dati!$G$2:$G$761)+SUMIF(Dati!$H$2:$H$761,$H90,Dati!$N$2:$N$761))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IF(COUNTIFS($E$14:$E$93,$E90,$J$14:$J$93,$J90,$C$14:$C$93,"&lt;&gt;")&lt;=1,"-",SUM(AU90:BN90)&amp;"-"&amp;SUM(BQ90:CJ90))</f>
        <v/>
      </c>
      <c r="V90" s="18">
        <f>IF(COUNTIFS($E$14:$E$93,$E90,$J$14:$J$93,$J90,$C$14:$C$93,"&lt;&gt;",$ED$14:$ED$93,$ED90)&lt;=1,"-",IF(SUM(DI90:EB90)=0,0,ROUND(SUM(CM90:DF90)/SUM(DI90:EB90),3)))</f>
        <v/>
      </c>
      <c r="W90" s="18">
        <f>IF(COUNTIFS($E$14:$E$93,$E90,$J$14:$J$93,$J90,$C$14:$C$93,"&lt;&gt;",$ED$14:$ED$93,$ED90,$V$14:$V$93,$V90)&lt;=1,"-",IF(P90=0,0,ROUND(O90/P90,3)))</f>
        <v/>
      </c>
      <c r="X90" s="19">
        <f>IF($C90="","",$E90&amp;"#"&amp;COUNTIFS($E$14:$E90,$E90,$C$14:$C90,"&lt;&gt;"))</f>
        <v/>
      </c>
      <c r="Y90" s="20">
        <f>IFERROR(INDEX($H$14:$H$93,MATCH($E90&amp;"#1",$X$14:$X$93,0)),"")</f>
        <v/>
      </c>
      <c r="Z90" s="20">
        <f>IFERROR(INDEX($H$14:$H$93,MATCH($E90&amp;"#2",$X$14:$X$93,0)),"")</f>
        <v/>
      </c>
      <c r="AA90" s="20">
        <f>IFERROR(INDEX($H$14:$H$93,MATCH($E90&amp;"#3",$X$14:$X$93,0)),"")</f>
        <v/>
      </c>
      <c r="AB90" s="20">
        <f>IFERROR(INDEX($H$14:$H$93,MATCH($E90&amp;"#4",$X$14:$X$93,0)),"")</f>
        <v/>
      </c>
      <c r="AC90" s="20">
        <f>IFERROR(INDEX($H$14:$H$93,MATCH($E90&amp;"#5",$X$14:$X$93,0)),"")</f>
        <v/>
      </c>
      <c r="AD90" s="20">
        <f>IFERROR(INDEX($H$14:$H$93,MATCH($E90&amp;"#6",$X$14:$X$93,0)),"")</f>
        <v/>
      </c>
      <c r="AE90" s="20">
        <f>IFERROR(INDEX($H$14:$H$93,MATCH($E90&amp;"#7",$X$14:$X$93,0)),"")</f>
        <v/>
      </c>
      <c r="AF90" s="20">
        <f>IFERROR(INDEX($H$14:$H$93,MATCH($E90&amp;"#8",$X$14:$X$93,0)),"")</f>
        <v/>
      </c>
      <c r="AG90" s="20">
        <f>IFERROR(INDEX($H$14:$H$93,MATCH($E90&amp;"#9",$X$14:$X$93,0)),"")</f>
        <v/>
      </c>
      <c r="AH90" s="20">
        <f>IFERROR(INDEX($H$14:$H$93,MATCH($E90&amp;"#10",$X$14:$X$93,0)),"")</f>
        <v/>
      </c>
      <c r="AI90" s="20">
        <f>IFERROR(INDEX($H$14:$H$93,MATCH($E90&amp;"#11",$X$14:$X$93,0)),"")</f>
        <v/>
      </c>
      <c r="AJ90" s="20">
        <f>IFERROR(INDEX($H$14:$H$93,MATCH($E90&amp;"#12",$X$14:$X$93,0)),"")</f>
        <v/>
      </c>
      <c r="AK90" s="20">
        <f>IFERROR(INDEX($H$14:$H$93,MATCH($E90&amp;"#13",$X$14:$X$93,0)),"")</f>
        <v/>
      </c>
      <c r="AL90" s="20">
        <f>IFERROR(INDEX($H$14:$H$93,MATCH($E90&amp;"#14",$X$14:$X$93,0)),"")</f>
        <v/>
      </c>
      <c r="AM90" s="20">
        <f>IFERROR(INDEX($H$14:$H$93,MATCH($E90&amp;"#15",$X$14:$X$93,0)),"")</f>
        <v/>
      </c>
      <c r="AN90" s="20">
        <f>IFERROR(INDEX($H$14:$H$93,MATCH($E90&amp;"#16",$X$14:$X$93,0)),"")</f>
        <v/>
      </c>
      <c r="AO90" s="20">
        <f>IFERROR(INDEX($H$14:$H$93,MATCH($E90&amp;"#17",$X$14:$X$93,0)),"")</f>
        <v/>
      </c>
      <c r="AP90" s="20">
        <f>IFERROR(INDEX($H$14:$H$93,MATCH($E90&amp;"#18",$X$14:$X$93,0)),"")</f>
        <v/>
      </c>
      <c r="AQ90" s="20">
        <f>IFERROR(INDEX($H$14:$H$93,MATCH($E90&amp;"#19",$X$14:$X$93,0)),"")</f>
        <v/>
      </c>
      <c r="AR90" s="20">
        <f>IFERROR(INDEX($H$14:$H$93,MATCH($E90&amp;"#20",$X$14:$X$93,0)),"")</f>
        <v/>
      </c>
      <c r="AT90" s="21">
        <f>$C90</f>
        <v/>
      </c>
      <c r="AU90" s="22">
        <f>IF(AND($H90&lt;&gt;"",$Y90&lt;&gt;"",$H90&lt;&gt;$Y90,IFERROR(VLOOKUP($H90,areaCercaPuntiClassificaSquadra,3,FALSE),-1)=IFERROR(VLOOKUP($Y90,areaCercaPuntiClassificaSquadra,3,FALSE),-2)),SUMIFS(Dati!$B$2:$B$761,Dati!$A$2:$A$761,$H90,Dati!$H$2:$H$761,$Y90)+SUMIFS(Dati!$I$2:$I$761,Dati!$H$2:$H$761,$H90,Dati!$A$2:$A$761,$Y90),"-")</f>
        <v/>
      </c>
      <c r="AV90" s="22">
        <f>IF(AND($H90&lt;&gt;"",$Z90&lt;&gt;"",$H90&lt;&gt;$Z90,IFERROR(VLOOKUP($H90,areaCercaPuntiClassificaSquadra,3,FALSE),-1)=IFERROR(VLOOKUP($Z90,areaCercaPuntiClassificaSquadra,3,FALSE),-2)),SUMIFS(Dati!$B$2:$B$761,Dati!$A$2:$A$761,$H90,Dati!$H$2:$H$761,$Z90)+SUMIFS(Dati!$I$2:$I$761,Dati!$H$2:$H$761,$H90,Dati!$A$2:$A$761,$Z90),"-")</f>
        <v/>
      </c>
      <c r="AW90" s="22">
        <f>IF(AND($H90&lt;&gt;"",$AA90&lt;&gt;"",$H90&lt;&gt;$AA90,IFERROR(VLOOKUP($H90,areaCercaPuntiClassificaSquadra,3,FALSE),-1)=IFERROR(VLOOKUP($AA90,areaCercaPuntiClassificaSquadra,3,FALSE),-2)),SUMIFS(Dati!$B$2:$B$761,Dati!$A$2:$A$761,$H90,Dati!$H$2:$H$761,$AA90)+SUMIFS(Dati!$I$2:$I$761,Dati!$H$2:$H$761,$H90,Dati!$A$2:$A$761,$AA90),"-")</f>
        <v/>
      </c>
      <c r="AX90" s="22">
        <f>IF(AND($H90&lt;&gt;"",$AB90&lt;&gt;"",$H90&lt;&gt;$AB90,IFERROR(VLOOKUP($H90,areaCercaPuntiClassificaSquadra,3,FALSE),-1)=IFERROR(VLOOKUP($AB90,areaCercaPuntiClassificaSquadra,3,FALSE),-2)),SUMIFS(Dati!$B$2:$B$761,Dati!$A$2:$A$761,$H90,Dati!$H$2:$H$761,$AB90)+SUMIFS(Dati!$I$2:$I$761,Dati!$H$2:$H$761,$H90,Dati!$A$2:$A$761,$AB90),"-")</f>
        <v/>
      </c>
      <c r="AY90" s="22">
        <f>IF(AND($H90&lt;&gt;"",$AC90&lt;&gt;"",$H90&lt;&gt;$AC90,IFERROR(VLOOKUP($H90,areaCercaPuntiClassificaSquadra,3,FALSE),-1)=IFERROR(VLOOKUP($AC90,areaCercaPuntiClassificaSquadra,3,FALSE),-2)),SUMIFS(Dati!$B$2:$B$761,Dati!$A$2:$A$761,$H90,Dati!$H$2:$H$761,$AC90)+SUMIFS(Dati!$I$2:$I$761,Dati!$H$2:$H$761,$H90,Dati!$A$2:$A$761,$AC90),"-")</f>
        <v/>
      </c>
      <c r="AZ90" s="22">
        <f>IF(AND($H90&lt;&gt;"",$AD90&lt;&gt;"",$H90&lt;&gt;$AD90,IFERROR(VLOOKUP($H90,areaCercaPuntiClassificaSquadra,3,FALSE),-1)=IFERROR(VLOOKUP($AD90,areaCercaPuntiClassificaSquadra,3,FALSE),-2)),SUMIFS(Dati!$B$2:$B$761,Dati!$A$2:$A$761,$H90,Dati!$H$2:$H$761,$AD90)+SUMIFS(Dati!$I$2:$I$761,Dati!$H$2:$H$761,$H90,Dati!$A$2:$A$761,$AD90),"-")</f>
        <v/>
      </c>
      <c r="BA90" s="22">
        <f>IF(AND($H90&lt;&gt;"",$AE90&lt;&gt;"",$H90&lt;&gt;$AE90,IFERROR(VLOOKUP($H90,areaCercaPuntiClassificaSquadra,3,FALSE),-1)=IFERROR(VLOOKUP($AE90,areaCercaPuntiClassificaSquadra,3,FALSE),-2)),SUMIFS(Dati!$B$2:$B$761,Dati!$A$2:$A$761,$H90,Dati!$H$2:$H$761,$AE90)+SUMIFS(Dati!$I$2:$I$761,Dati!$H$2:$H$761,$H90,Dati!$A$2:$A$761,$AE90),"-")</f>
        <v/>
      </c>
      <c r="BB90" s="22">
        <f>IF(AND($H90&lt;&gt;"",$AF90&lt;&gt;"",$H90&lt;&gt;$AF90,IFERROR(VLOOKUP($H90,areaCercaPuntiClassificaSquadra,3,FALSE),-1)=IFERROR(VLOOKUP($AF90,areaCercaPuntiClassificaSquadra,3,FALSE),-2)),SUMIFS(Dati!$B$2:$B$761,Dati!$A$2:$A$761,$H90,Dati!$H$2:$H$761,$AF90)+SUMIFS(Dati!$I$2:$I$761,Dati!$H$2:$H$761,$H90,Dati!$A$2:$A$761,$AF90),"-")</f>
        <v/>
      </c>
      <c r="BC90" s="22">
        <f>IF(AND($H90&lt;&gt;"",$AG90&lt;&gt;"",$H90&lt;&gt;$AG90,IFERROR(VLOOKUP($H90,areaCercaPuntiClassificaSquadra,3,FALSE),-1)=IFERROR(VLOOKUP($AG90,areaCercaPuntiClassificaSquadra,3,FALSE),-2)),SUMIFS(Dati!$B$2:$B$761,Dati!$A$2:$A$761,$H90,Dati!$H$2:$H$761,$AG90)+SUMIFS(Dati!$I$2:$I$761,Dati!$H$2:$H$761,$H90,Dati!$A$2:$A$761,$AG90),"-")</f>
        <v/>
      </c>
      <c r="BD90" s="22">
        <f>IF(AND($H90&lt;&gt;"",$AH90&lt;&gt;"",$H90&lt;&gt;$AH90,IFERROR(VLOOKUP($H90,areaCercaPuntiClassificaSquadra,3,FALSE),-1)=IFERROR(VLOOKUP($AH90,areaCercaPuntiClassificaSquadra,3,FALSE),-2)),SUMIFS(Dati!$B$2:$B$761,Dati!$A$2:$A$761,$H90,Dati!$H$2:$H$761,$AH90)+SUMIFS(Dati!$I$2:$I$761,Dati!$H$2:$H$761,$H90,Dati!$A$2:$A$761,$AH90),"-")</f>
        <v/>
      </c>
      <c r="BE90" s="22">
        <f>IF(AND($H90&lt;&gt;"",$AI90&lt;&gt;"",$H90&lt;&gt;$AI90,IFERROR(VLOOKUP($H90,areaCercaPuntiClassificaSquadra,3,FALSE),-1)=IFERROR(VLOOKUP($AI90,areaCercaPuntiClassificaSquadra,3,FALSE),-2)),SUMIFS(Dati!$B$2:$B$761,Dati!$A$2:$A$761,$H90,Dati!$H$2:$H$761,$AI90)+SUMIFS(Dati!$I$2:$I$761,Dati!$H$2:$H$761,$H90,Dati!$A$2:$A$761,$AI90),"-")</f>
        <v/>
      </c>
      <c r="BF90" s="22">
        <f>IF(AND($H90&lt;&gt;"",$AJ90&lt;&gt;"",$H90&lt;&gt;$AJ90,IFERROR(VLOOKUP($H90,areaCercaPuntiClassificaSquadra,3,FALSE),-1)=IFERROR(VLOOKUP($AJ90,areaCercaPuntiClassificaSquadra,3,FALSE),-2)),SUMIFS(Dati!$B$2:$B$761,Dati!$A$2:$A$761,$H90,Dati!$H$2:$H$761,$AJ90)+SUMIFS(Dati!$I$2:$I$761,Dati!$H$2:$H$761,$H90,Dati!$A$2:$A$761,$AJ90),"-")</f>
        <v/>
      </c>
      <c r="BG90" s="22">
        <f>IF(AND($H90&lt;&gt;"",$AK90&lt;&gt;"",$H90&lt;&gt;$AK90,IFERROR(VLOOKUP($H90,areaCercaPuntiClassificaSquadra,3,FALSE),-1)=IFERROR(VLOOKUP($AK90,areaCercaPuntiClassificaSquadra,3,FALSE),-2)),SUMIFS(Dati!$B$2:$B$761,Dati!$A$2:$A$761,$H90,Dati!$H$2:$H$761,$AK90)+SUMIFS(Dati!$I$2:$I$761,Dati!$H$2:$H$761,$H90,Dati!$A$2:$A$761,$AK90),"-")</f>
        <v/>
      </c>
      <c r="BH90" s="22">
        <f>IF(AND($H90&lt;&gt;"",$AL90&lt;&gt;"",$H90&lt;&gt;$AL90,IFERROR(VLOOKUP($H90,areaCercaPuntiClassificaSquadra,3,FALSE),-1)=IFERROR(VLOOKUP($AL90,areaCercaPuntiClassificaSquadra,3,FALSE),-2)),SUMIFS(Dati!$B$2:$B$761,Dati!$A$2:$A$761,$H90,Dati!$H$2:$H$761,$AL90)+SUMIFS(Dati!$I$2:$I$761,Dati!$H$2:$H$761,$H90,Dati!$A$2:$A$761,$AL90),"-")</f>
        <v/>
      </c>
      <c r="BI90" s="22">
        <f>IF(AND($H90&lt;&gt;"",$AM90&lt;&gt;"",$H90&lt;&gt;$AM90,IFERROR(VLOOKUP($H90,areaCercaPuntiClassificaSquadra,3,FALSE),-1)=IFERROR(VLOOKUP($AM90,areaCercaPuntiClassificaSquadra,3,FALSE),-2)),SUMIFS(Dati!$B$2:$B$761,Dati!$A$2:$A$761,$H90,Dati!$H$2:$H$761,$AM90)+SUMIFS(Dati!$I$2:$I$761,Dati!$H$2:$H$761,$H90,Dati!$A$2:$A$761,$AM90),"-")</f>
        <v/>
      </c>
      <c r="BJ90" s="22">
        <f>IF(AND($H90&lt;&gt;"",$AN90&lt;&gt;"",$H90&lt;&gt;$AN90,IFERROR(VLOOKUP($H90,areaCercaPuntiClassificaSquadra,3,FALSE),-1)=IFERROR(VLOOKUP($AN90,areaCercaPuntiClassificaSquadra,3,FALSE),-2)),SUMIFS(Dati!$B$2:$B$761,Dati!$A$2:$A$761,$H90,Dati!$H$2:$H$761,$AN90)+SUMIFS(Dati!$I$2:$I$761,Dati!$H$2:$H$761,$H90,Dati!$A$2:$A$761,$AN90),"-")</f>
        <v/>
      </c>
      <c r="BK90" s="22">
        <f>IF(AND($H90&lt;&gt;"",$AO90&lt;&gt;"",$H90&lt;&gt;$AO90,IFERROR(VLOOKUP($H90,areaCercaPuntiClassificaSquadra,3,FALSE),-1)=IFERROR(VLOOKUP($AO90,areaCercaPuntiClassificaSquadra,3,FALSE),-2)),SUMIFS(Dati!$B$2:$B$761,Dati!$A$2:$A$761,$H90,Dati!$H$2:$H$761,$AO90)+SUMIFS(Dati!$I$2:$I$761,Dati!$H$2:$H$761,$H90,Dati!$A$2:$A$761,$AO90),"-")</f>
        <v/>
      </c>
      <c r="BL90" s="22">
        <f>IF(AND($H90&lt;&gt;"",$AP90&lt;&gt;"",$H90&lt;&gt;$AP90,IFERROR(VLOOKUP($H90,areaCercaPuntiClassificaSquadra,3,FALSE),-1)=IFERROR(VLOOKUP($AP90,areaCercaPuntiClassificaSquadra,3,FALSE),-2)),SUMIFS(Dati!$B$2:$B$761,Dati!$A$2:$A$761,$H90,Dati!$H$2:$H$761,$AP90)+SUMIFS(Dati!$I$2:$I$761,Dati!$H$2:$H$761,$H90,Dati!$A$2:$A$761,$AP90),"-")</f>
        <v/>
      </c>
      <c r="BM90" s="22">
        <f>IF(AND($H90&lt;&gt;"",$AQ90&lt;&gt;"",$H90&lt;&gt;$AQ90,IFERROR(VLOOKUP($H90,areaCercaPuntiClassificaSquadra,3,FALSE),-1)=IFERROR(VLOOKUP($AQ90,areaCercaPuntiClassificaSquadra,3,FALSE),-2)),SUMIFS(Dati!$B$2:$B$761,Dati!$A$2:$A$761,$H90,Dati!$H$2:$H$761,$AQ90)+SUMIFS(Dati!$I$2:$I$761,Dati!$H$2:$H$761,$H90,Dati!$A$2:$A$761,$AQ90),"-")</f>
        <v/>
      </c>
      <c r="BN90" s="22">
        <f>IF(AND($H90&lt;&gt;"",$AR90&lt;&gt;"",$H90&lt;&gt;$AR90,IFERROR(VLOOKUP($H90,areaCercaPuntiClassificaSquadra,3,FALSE),-1)=IFERROR(VLOOKUP($AR90,areaCercaPuntiClassificaSquadra,3,FALSE),-2)),SUMIFS(Dati!$B$2:$B$761,Dati!$A$2:$A$761,$H90,Dati!$H$2:$H$761,$AR90)+SUMIFS(Dati!$I$2:$I$761,Dati!$H$2:$H$761,$H90,Dati!$A$2:$A$761,$AR90),"-")</f>
        <v/>
      </c>
      <c r="BP90" s="21">
        <f>$C90</f>
        <v/>
      </c>
      <c r="BQ90" s="22">
        <f>IF(AND($H90&lt;&gt;"",$Y90&lt;&gt;"",$H90&lt;&gt;$Y90,IFERROR(VLOOKUP($H90,areaCercaPuntiClassificaSquadra,3,FALSE),-1)=IFERROR(VLOOKUP($Y90,areaCercaPuntiClassificaSquadra,3,FALSE),-2)),SUMIFS(Dati!$D$2:$D$761,Dati!$A$2:$A$761,$H90,Dati!$H$2:$H$761,$Y90)+SUMIFS(Dati!$K$2:$K$761,Dati!$H$2:$H$761,$H90,Dati!$A$2:$A$761,$Y90)+SUMIFS(Dati!$C$2:$C$761,Dati!$A$2:$A$761,$H90,Dati!$H$2:$H$761,$Y90)+SUMIFS(Dati!$J$2:$J$761,Dati!$H$2:$H$761,$H90,Dati!$A$2:$A$761,$Y90),"-")</f>
        <v/>
      </c>
      <c r="BR90" s="22">
        <f>IF(AND($H90&lt;&gt;"",$Z90&lt;&gt;"",$H90&lt;&gt;$Z90,IFERROR(VLOOKUP($H90,areaCercaPuntiClassificaSquadra,3,FALSE),-1)=IFERROR(VLOOKUP($Z90,areaCercaPuntiClassificaSquadra,3,FALSE),-2)),SUMIFS(Dati!$D$2:$D$761,Dati!$A$2:$A$761,$H90,Dati!$H$2:$H$761,$Z90)+SUMIFS(Dati!$K$2:$K$761,Dati!$H$2:$H$761,$H90,Dati!$A$2:$A$761,$Z90)+SUMIFS(Dati!$C$2:$C$761,Dati!$A$2:$A$761,$H90,Dati!$H$2:$H$761,$Z90)+SUMIFS(Dati!$J$2:$J$761,Dati!$H$2:$H$761,$H90,Dati!$A$2:$A$761,$Z90),"-")</f>
        <v/>
      </c>
      <c r="BS90" s="22">
        <f>IF(AND($H90&lt;&gt;"",$AA90&lt;&gt;"",$H90&lt;&gt;$AA90,IFERROR(VLOOKUP($H90,areaCercaPuntiClassificaSquadra,3,FALSE),-1)=IFERROR(VLOOKUP($AA90,areaCercaPuntiClassificaSquadra,3,FALSE),-2)),SUMIFS(Dati!$D$2:$D$761,Dati!$A$2:$A$761,$H90,Dati!$H$2:$H$761,$AA90)+SUMIFS(Dati!$K$2:$K$761,Dati!$H$2:$H$761,$H90,Dati!$A$2:$A$761,$AA90)+SUMIFS(Dati!$C$2:$C$761,Dati!$A$2:$A$761,$H90,Dati!$H$2:$H$761,$AA90)+SUMIFS(Dati!$J$2:$J$761,Dati!$H$2:$H$761,$H90,Dati!$A$2:$A$761,$AA90),"-")</f>
        <v/>
      </c>
      <c r="BT90" s="22">
        <f>IF(AND($H90&lt;&gt;"",$AB90&lt;&gt;"",$H90&lt;&gt;$AB90,IFERROR(VLOOKUP($H90,areaCercaPuntiClassificaSquadra,3,FALSE),-1)=IFERROR(VLOOKUP($AB90,areaCercaPuntiClassificaSquadra,3,FALSE),-2)),SUMIFS(Dati!$D$2:$D$761,Dati!$A$2:$A$761,$H90,Dati!$H$2:$H$761,$AB90)+SUMIFS(Dati!$K$2:$K$761,Dati!$H$2:$H$761,$H90,Dati!$A$2:$A$761,$AB90)+SUMIFS(Dati!$C$2:$C$761,Dati!$A$2:$A$761,$H90,Dati!$H$2:$H$761,$AB90)+SUMIFS(Dati!$J$2:$J$761,Dati!$H$2:$H$761,$H90,Dati!$A$2:$A$761,$AB90),"-")</f>
        <v/>
      </c>
      <c r="BU90" s="22">
        <f>IF(AND($H90&lt;&gt;"",$AC90&lt;&gt;"",$H90&lt;&gt;$AC90,IFERROR(VLOOKUP($H90,areaCercaPuntiClassificaSquadra,3,FALSE),-1)=IFERROR(VLOOKUP($AC90,areaCercaPuntiClassificaSquadra,3,FALSE),-2)),SUMIFS(Dati!$D$2:$D$761,Dati!$A$2:$A$761,$H90,Dati!$H$2:$H$761,$AC90)+SUMIFS(Dati!$K$2:$K$761,Dati!$H$2:$H$761,$H90,Dati!$A$2:$A$761,$AC90)+SUMIFS(Dati!$C$2:$C$761,Dati!$A$2:$A$761,$H90,Dati!$H$2:$H$761,$AC90)+SUMIFS(Dati!$J$2:$J$761,Dati!$H$2:$H$761,$H90,Dati!$A$2:$A$761,$AC90),"-")</f>
        <v/>
      </c>
      <c r="BV90" s="22">
        <f>IF(AND($H90&lt;&gt;"",$AD90&lt;&gt;"",$H90&lt;&gt;$AD90,IFERROR(VLOOKUP($H90,areaCercaPuntiClassificaSquadra,3,FALSE),-1)=IFERROR(VLOOKUP($AD90,areaCercaPuntiClassificaSquadra,3,FALSE),-2)),SUMIFS(Dati!$D$2:$D$761,Dati!$A$2:$A$761,$H90,Dati!$H$2:$H$761,$AD90)+SUMIFS(Dati!$K$2:$K$761,Dati!$H$2:$H$761,$H90,Dati!$A$2:$A$761,$AD90)+SUMIFS(Dati!$C$2:$C$761,Dati!$A$2:$A$761,$H90,Dati!$H$2:$H$761,$AD90)+SUMIFS(Dati!$J$2:$J$761,Dati!$H$2:$H$761,$H90,Dati!$A$2:$A$761,$AD90),"-")</f>
        <v/>
      </c>
      <c r="BW90" s="22">
        <f>IF(AND($H90&lt;&gt;"",$AE90&lt;&gt;"",$H90&lt;&gt;$AE90,IFERROR(VLOOKUP($H90,areaCercaPuntiClassificaSquadra,3,FALSE),-1)=IFERROR(VLOOKUP($AE90,areaCercaPuntiClassificaSquadra,3,FALSE),-2)),SUMIFS(Dati!$D$2:$D$761,Dati!$A$2:$A$761,$H90,Dati!$H$2:$H$761,$AE90)+SUMIFS(Dati!$K$2:$K$761,Dati!$H$2:$H$761,$H90,Dati!$A$2:$A$761,$AE90)+SUMIFS(Dati!$C$2:$C$761,Dati!$A$2:$A$761,$H90,Dati!$H$2:$H$761,$AE90)+SUMIFS(Dati!$J$2:$J$761,Dati!$H$2:$H$761,$H90,Dati!$A$2:$A$761,$AE90),"-")</f>
        <v/>
      </c>
      <c r="BX90" s="22">
        <f>IF(AND($H90&lt;&gt;"",$AF90&lt;&gt;"",$H90&lt;&gt;$AF90,IFERROR(VLOOKUP($H90,areaCercaPuntiClassificaSquadra,3,FALSE),-1)=IFERROR(VLOOKUP($AF90,areaCercaPuntiClassificaSquadra,3,FALSE),-2)),SUMIFS(Dati!$D$2:$D$761,Dati!$A$2:$A$761,$H90,Dati!$H$2:$H$761,$AF90)+SUMIFS(Dati!$K$2:$K$761,Dati!$H$2:$H$761,$H90,Dati!$A$2:$A$761,$AF90)+SUMIFS(Dati!$C$2:$C$761,Dati!$A$2:$A$761,$H90,Dati!$H$2:$H$761,$AF90)+SUMIFS(Dati!$J$2:$J$761,Dati!$H$2:$H$761,$H90,Dati!$A$2:$A$761,$AF90),"-")</f>
        <v/>
      </c>
      <c r="BY90" s="22">
        <f>IF(AND($H90&lt;&gt;"",$AG90&lt;&gt;"",$H90&lt;&gt;$AG90,IFERROR(VLOOKUP($H90,areaCercaPuntiClassificaSquadra,3,FALSE),-1)=IFERROR(VLOOKUP($AG90,areaCercaPuntiClassificaSquadra,3,FALSE),-2)),SUMIFS(Dati!$D$2:$D$761,Dati!$A$2:$A$761,$H90,Dati!$H$2:$H$761,$AG90)+SUMIFS(Dati!$K$2:$K$761,Dati!$H$2:$H$761,$H90,Dati!$A$2:$A$761,$AG90)+SUMIFS(Dati!$C$2:$C$761,Dati!$A$2:$A$761,$H90,Dati!$H$2:$H$761,$AG90)+SUMIFS(Dati!$J$2:$J$761,Dati!$H$2:$H$761,$H90,Dati!$A$2:$A$761,$AG90),"-")</f>
        <v/>
      </c>
      <c r="BZ90" s="22">
        <f>IF(AND($H90&lt;&gt;"",$AH90&lt;&gt;"",$H90&lt;&gt;$AH90,IFERROR(VLOOKUP($H90,areaCercaPuntiClassificaSquadra,3,FALSE),-1)=IFERROR(VLOOKUP($AH90,areaCercaPuntiClassificaSquadra,3,FALSE),-2)),SUMIFS(Dati!$D$2:$D$761,Dati!$A$2:$A$761,$H90,Dati!$H$2:$H$761,$AH90)+SUMIFS(Dati!$K$2:$K$761,Dati!$H$2:$H$761,$H90,Dati!$A$2:$A$761,$AH90)+SUMIFS(Dati!$C$2:$C$761,Dati!$A$2:$A$761,$H90,Dati!$H$2:$H$761,$AH90)+SUMIFS(Dati!$J$2:$J$761,Dati!$H$2:$H$761,$H90,Dati!$A$2:$A$761,$AH90),"-")</f>
        <v/>
      </c>
      <c r="CA90" s="22">
        <f>IF(AND($H90&lt;&gt;"",$AI90&lt;&gt;"",$H90&lt;&gt;$AI90,IFERROR(VLOOKUP($H90,areaCercaPuntiClassificaSquadra,3,FALSE),-1)=IFERROR(VLOOKUP($AI90,areaCercaPuntiClassificaSquadra,3,FALSE),-2)),SUMIFS(Dati!$D$2:$D$761,Dati!$A$2:$A$761,$H90,Dati!$H$2:$H$761,$AI90)+SUMIFS(Dati!$K$2:$K$761,Dati!$H$2:$H$761,$H90,Dati!$A$2:$A$761,$AI90)+SUMIFS(Dati!$C$2:$C$761,Dati!$A$2:$A$761,$H90,Dati!$H$2:$H$761,$AI90)+SUMIFS(Dati!$J$2:$J$761,Dati!$H$2:$H$761,$H90,Dati!$A$2:$A$761,$AI90),"-")</f>
        <v/>
      </c>
      <c r="CB90" s="22">
        <f>IF(AND($H90&lt;&gt;"",$AJ90&lt;&gt;"",$H90&lt;&gt;$AJ90,IFERROR(VLOOKUP($H90,areaCercaPuntiClassificaSquadra,3,FALSE),-1)=IFERROR(VLOOKUP($AJ90,areaCercaPuntiClassificaSquadra,3,FALSE),-2)),SUMIFS(Dati!$D$2:$D$761,Dati!$A$2:$A$761,$H90,Dati!$H$2:$H$761,$AJ90)+SUMIFS(Dati!$K$2:$K$761,Dati!$H$2:$H$761,$H90,Dati!$A$2:$A$761,$AJ90)+SUMIFS(Dati!$C$2:$C$761,Dati!$A$2:$A$761,$H90,Dati!$H$2:$H$761,$AJ90)+SUMIFS(Dati!$J$2:$J$761,Dati!$H$2:$H$761,$H90,Dati!$A$2:$A$761,$AJ90),"-")</f>
        <v/>
      </c>
      <c r="CC90" s="22">
        <f>IF(AND($H90&lt;&gt;"",$AK90&lt;&gt;"",$H90&lt;&gt;$AK90,IFERROR(VLOOKUP($H90,areaCercaPuntiClassificaSquadra,3,FALSE),-1)=IFERROR(VLOOKUP($AK90,areaCercaPuntiClassificaSquadra,3,FALSE),-2)),SUMIFS(Dati!$D$2:$D$761,Dati!$A$2:$A$761,$H90,Dati!$H$2:$H$761,$AK90)+SUMIFS(Dati!$K$2:$K$761,Dati!$H$2:$H$761,$H90,Dati!$A$2:$A$761,$AK90)+SUMIFS(Dati!$C$2:$C$761,Dati!$A$2:$A$761,$H90,Dati!$H$2:$H$761,$AK90)+SUMIFS(Dati!$J$2:$J$761,Dati!$H$2:$H$761,$H90,Dati!$A$2:$A$761,$AK90),"-")</f>
        <v/>
      </c>
      <c r="CD90" s="22">
        <f>IF(AND($H90&lt;&gt;"",$AL90&lt;&gt;"",$H90&lt;&gt;$AL90,IFERROR(VLOOKUP($H90,areaCercaPuntiClassificaSquadra,3,FALSE),-1)=IFERROR(VLOOKUP($AL90,areaCercaPuntiClassificaSquadra,3,FALSE),-2)),SUMIFS(Dati!$D$2:$D$761,Dati!$A$2:$A$761,$H90,Dati!$H$2:$H$761,$AL90)+SUMIFS(Dati!$K$2:$K$761,Dati!$H$2:$H$761,$H90,Dati!$A$2:$A$761,$AL90)+SUMIFS(Dati!$C$2:$C$761,Dati!$A$2:$A$761,$H90,Dati!$H$2:$H$761,$AL90)+SUMIFS(Dati!$J$2:$J$761,Dati!$H$2:$H$761,$H90,Dati!$A$2:$A$761,$AL90),"-")</f>
        <v/>
      </c>
      <c r="CE90" s="22">
        <f>IF(AND($H90&lt;&gt;"",$AM90&lt;&gt;"",$H90&lt;&gt;$AM90,IFERROR(VLOOKUP($H90,areaCercaPuntiClassificaSquadra,3,FALSE),-1)=IFERROR(VLOOKUP($AM90,areaCercaPuntiClassificaSquadra,3,FALSE),-2)),SUMIFS(Dati!$D$2:$D$761,Dati!$A$2:$A$761,$H90,Dati!$H$2:$H$761,$AM90)+SUMIFS(Dati!$K$2:$K$761,Dati!$H$2:$H$761,$H90,Dati!$A$2:$A$761,$AM90)+SUMIFS(Dati!$C$2:$C$761,Dati!$A$2:$A$761,$H90,Dati!$H$2:$H$761,$AM90)+SUMIFS(Dati!$J$2:$J$761,Dati!$H$2:$H$761,$H90,Dati!$A$2:$A$761,$AM90),"-")</f>
        <v/>
      </c>
      <c r="CF90" s="22">
        <f>IF(AND($H90&lt;&gt;"",$AN90&lt;&gt;"",$H90&lt;&gt;$AN90,IFERROR(VLOOKUP($H90,areaCercaPuntiClassificaSquadra,3,FALSE),-1)=IFERROR(VLOOKUP($AN90,areaCercaPuntiClassificaSquadra,3,FALSE),-2)),SUMIFS(Dati!$D$2:$D$761,Dati!$A$2:$A$761,$H90,Dati!$H$2:$H$761,$AN90)+SUMIFS(Dati!$K$2:$K$761,Dati!$H$2:$H$761,$H90,Dati!$A$2:$A$761,$AN90)+SUMIFS(Dati!$C$2:$C$761,Dati!$A$2:$A$761,$H90,Dati!$H$2:$H$761,$AN90)+SUMIFS(Dati!$J$2:$J$761,Dati!$H$2:$H$761,$H90,Dati!$A$2:$A$761,$AN90),"-")</f>
        <v/>
      </c>
      <c r="CG90" s="22">
        <f>IF(AND($H90&lt;&gt;"",$AO90&lt;&gt;"",$H90&lt;&gt;$AO90,IFERROR(VLOOKUP($H90,areaCercaPuntiClassificaSquadra,3,FALSE),-1)=IFERROR(VLOOKUP($AO90,areaCercaPuntiClassificaSquadra,3,FALSE),-2)),SUMIFS(Dati!$D$2:$D$761,Dati!$A$2:$A$761,$H90,Dati!$H$2:$H$761,$AO90)+SUMIFS(Dati!$K$2:$K$761,Dati!$H$2:$H$761,$H90,Dati!$A$2:$A$761,$AO90)+SUMIFS(Dati!$C$2:$C$761,Dati!$A$2:$A$761,$H90,Dati!$H$2:$H$761,$AO90)+SUMIFS(Dati!$J$2:$J$761,Dati!$H$2:$H$761,$H90,Dati!$A$2:$A$761,$AO90),"-")</f>
        <v/>
      </c>
      <c r="CH90" s="22">
        <f>IF(AND($H90&lt;&gt;"",$AP90&lt;&gt;"",$H90&lt;&gt;$AP90,IFERROR(VLOOKUP($H90,areaCercaPuntiClassificaSquadra,3,FALSE),-1)=IFERROR(VLOOKUP($AP90,areaCercaPuntiClassificaSquadra,3,FALSE),-2)),SUMIFS(Dati!$D$2:$D$761,Dati!$A$2:$A$761,$H90,Dati!$H$2:$H$761,$AP90)+SUMIFS(Dati!$K$2:$K$761,Dati!$H$2:$H$761,$H90,Dati!$A$2:$A$761,$AP90)+SUMIFS(Dati!$C$2:$C$761,Dati!$A$2:$A$761,$H90,Dati!$H$2:$H$761,$AP90)+SUMIFS(Dati!$J$2:$J$761,Dati!$H$2:$H$761,$H90,Dati!$A$2:$A$761,$AP90),"-")</f>
        <v/>
      </c>
      <c r="CI90" s="22">
        <f>IF(AND($H90&lt;&gt;"",$AQ90&lt;&gt;"",$H90&lt;&gt;$AQ90,IFERROR(VLOOKUP($H90,areaCercaPuntiClassificaSquadra,3,FALSE),-1)=IFERROR(VLOOKUP($AQ90,areaCercaPuntiClassificaSquadra,3,FALSE),-2)),SUMIFS(Dati!$D$2:$D$761,Dati!$A$2:$A$761,$H90,Dati!$H$2:$H$761,$AQ90)+SUMIFS(Dati!$K$2:$K$761,Dati!$H$2:$H$761,$H90,Dati!$A$2:$A$761,$AQ90)+SUMIFS(Dati!$C$2:$C$761,Dati!$A$2:$A$761,$H90,Dati!$H$2:$H$761,$AQ90)+SUMIFS(Dati!$J$2:$J$761,Dati!$H$2:$H$761,$H90,Dati!$A$2:$A$761,$AQ90),"-")</f>
        <v/>
      </c>
      <c r="CJ90" s="22">
        <f>IF(AND($H90&lt;&gt;"",$AR90&lt;&gt;"",$H90&lt;&gt;$AR90,IFERROR(VLOOKUP($H90,areaCercaPuntiClassificaSquadra,3,FALSE),-1)=IFERROR(VLOOKUP($AR90,areaCercaPuntiClassificaSquadra,3,FALSE),-2)),SUMIFS(Dati!$D$2:$D$761,Dati!$A$2:$A$761,$H90,Dati!$H$2:$H$761,$AR90)+SUMIFS(Dati!$K$2:$K$761,Dati!$H$2:$H$761,$H90,Dati!$A$2:$A$761,$AR90)+SUMIFS(Dati!$C$2:$C$761,Dati!$A$2:$A$761,$H90,Dati!$H$2:$H$761,$AR90)+SUMIFS(Dati!$J$2:$J$761,Dati!$H$2:$H$761,$H90,Dati!$A$2:$A$761,$AR90),"-")</f>
        <v/>
      </c>
      <c r="CL90" s="21">
        <f>$C90</f>
        <v/>
      </c>
      <c r="CM90" s="22">
        <f>IF(AND($H90&lt;&gt;"",$Y90&lt;&gt;"",$H90&lt;&gt;$Y90,IFERROR(VLOOKUP($H90,areaCercaPuntiClassificaSquadra,3,FALSE),-1)=IFERROR(VLOOKUP($Y90,areaCercaPuntiClassificaSquadra,3,FALSE),-2)),SUMIFS(Dati!$E$2:$E$761,Dati!$A$2:$A$761,$H90,Dati!$H$2:$H$761,$Y90)+SUMIFS(Dati!$L$2:$L$761,Dati!$H$2:$H$761,$H90,Dati!$A$2:$A$761,$Y90),"-")</f>
        <v/>
      </c>
      <c r="CN90" s="22">
        <f>IF(AND($H90&lt;&gt;"",$Z90&lt;&gt;"",$H90&lt;&gt;$Z90,IFERROR(VLOOKUP($H90,areaCercaPuntiClassificaSquadra,3,FALSE),-1)=IFERROR(VLOOKUP($Z90,areaCercaPuntiClassificaSquadra,3,FALSE),-2)),SUMIFS(Dati!$E$2:$E$761,Dati!$A$2:$A$761,$H90,Dati!$H$2:$H$761,$Z90)+SUMIFS(Dati!$L$2:$L$761,Dati!$H$2:$H$761,$H90,Dati!$A$2:$A$761,$Z90),"-")</f>
        <v/>
      </c>
      <c r="CO90" s="22">
        <f>IF(AND($H90&lt;&gt;"",$AA90&lt;&gt;"",$H90&lt;&gt;$AA90,IFERROR(VLOOKUP($H90,areaCercaPuntiClassificaSquadra,3,FALSE),-1)=IFERROR(VLOOKUP($AA90,areaCercaPuntiClassificaSquadra,3,FALSE),-2)),SUMIFS(Dati!$E$2:$E$761,Dati!$A$2:$A$761,$H90,Dati!$H$2:$H$761,$AA90)+SUMIFS(Dati!$L$2:$L$761,Dati!$H$2:$H$761,$H90,Dati!$A$2:$A$761,$AA90),"-")</f>
        <v/>
      </c>
      <c r="CP90" s="22">
        <f>IF(AND($H90&lt;&gt;"",$AB90&lt;&gt;"",$H90&lt;&gt;$AB90,IFERROR(VLOOKUP($H90,areaCercaPuntiClassificaSquadra,3,FALSE),-1)=IFERROR(VLOOKUP($AB90,areaCercaPuntiClassificaSquadra,3,FALSE),-2)),SUMIFS(Dati!$E$2:$E$761,Dati!$A$2:$A$761,$H90,Dati!$H$2:$H$761,$AB90)+SUMIFS(Dati!$L$2:$L$761,Dati!$H$2:$H$761,$H90,Dati!$A$2:$A$761,$AB90),"-")</f>
        <v/>
      </c>
      <c r="CQ90" s="22">
        <f>IF(AND($H90&lt;&gt;"",$AC90&lt;&gt;"",$H90&lt;&gt;$AC90,IFERROR(VLOOKUP($H90,areaCercaPuntiClassificaSquadra,3,FALSE),-1)=IFERROR(VLOOKUP($AC90,areaCercaPuntiClassificaSquadra,3,FALSE),-2)),SUMIFS(Dati!$E$2:$E$761,Dati!$A$2:$A$761,$H90,Dati!$H$2:$H$761,$AC90)+SUMIFS(Dati!$L$2:$L$761,Dati!$H$2:$H$761,$H90,Dati!$A$2:$A$761,$AC90),"-")</f>
        <v/>
      </c>
      <c r="CR90" s="22">
        <f>IF(AND($H90&lt;&gt;"",$AD90&lt;&gt;"",$H90&lt;&gt;$AD90,IFERROR(VLOOKUP($H90,areaCercaPuntiClassificaSquadra,3,FALSE),-1)=IFERROR(VLOOKUP($AD90,areaCercaPuntiClassificaSquadra,3,FALSE),-2)),SUMIFS(Dati!$E$2:$E$761,Dati!$A$2:$A$761,$H90,Dati!$H$2:$H$761,$AD90)+SUMIFS(Dati!$L$2:$L$761,Dati!$H$2:$H$761,$H90,Dati!$A$2:$A$761,$AD90),"-")</f>
        <v/>
      </c>
      <c r="CS90" s="22">
        <f>IF(AND($H90&lt;&gt;"",$AE90&lt;&gt;"",$H90&lt;&gt;$AE90,IFERROR(VLOOKUP($H90,areaCercaPuntiClassificaSquadra,3,FALSE),-1)=IFERROR(VLOOKUP($AE90,areaCercaPuntiClassificaSquadra,3,FALSE),-2)),SUMIFS(Dati!$E$2:$E$761,Dati!$A$2:$A$761,$H90,Dati!$H$2:$H$761,$AE90)+SUMIFS(Dati!$L$2:$L$761,Dati!$H$2:$H$761,$H90,Dati!$A$2:$A$761,$AE90),"-")</f>
        <v/>
      </c>
      <c r="CT90" s="22">
        <f>IF(AND($H90&lt;&gt;"",$AF90&lt;&gt;"",$H90&lt;&gt;$AF90,IFERROR(VLOOKUP($H90,areaCercaPuntiClassificaSquadra,3,FALSE),-1)=IFERROR(VLOOKUP($AF90,areaCercaPuntiClassificaSquadra,3,FALSE),-2)),SUMIFS(Dati!$E$2:$E$761,Dati!$A$2:$A$761,$H90,Dati!$H$2:$H$761,$AF90)+SUMIFS(Dati!$L$2:$L$761,Dati!$H$2:$H$761,$H90,Dati!$A$2:$A$761,$AF90),"-")</f>
        <v/>
      </c>
      <c r="CU90" s="22">
        <f>IF(AND($H90&lt;&gt;"",$AG90&lt;&gt;"",$H90&lt;&gt;$AG90,IFERROR(VLOOKUP($H90,areaCercaPuntiClassificaSquadra,3,FALSE),-1)=IFERROR(VLOOKUP($AG90,areaCercaPuntiClassificaSquadra,3,FALSE),-2)),SUMIFS(Dati!$E$2:$E$761,Dati!$A$2:$A$761,$H90,Dati!$H$2:$H$761,$AG90)+SUMIFS(Dati!$L$2:$L$761,Dati!$H$2:$H$761,$H90,Dati!$A$2:$A$761,$AG90),"-")</f>
        <v/>
      </c>
      <c r="CV90" s="22">
        <f>IF(AND($H90&lt;&gt;"",$AH90&lt;&gt;"",$H90&lt;&gt;$AH90,IFERROR(VLOOKUP($H90,areaCercaPuntiClassificaSquadra,3,FALSE),-1)=IFERROR(VLOOKUP($AH90,areaCercaPuntiClassificaSquadra,3,FALSE),-2)),SUMIFS(Dati!$E$2:$E$761,Dati!$A$2:$A$761,$H90,Dati!$H$2:$H$761,$AH90)+SUMIFS(Dati!$L$2:$L$761,Dati!$H$2:$H$761,$H90,Dati!$A$2:$A$761,$AH90),"-")</f>
        <v/>
      </c>
      <c r="CW90" s="22">
        <f>IF(AND($H90&lt;&gt;"",$AI90&lt;&gt;"",$H90&lt;&gt;$AI90,IFERROR(VLOOKUP($H90,areaCercaPuntiClassificaSquadra,3,FALSE),-1)=IFERROR(VLOOKUP($AI90,areaCercaPuntiClassificaSquadra,3,FALSE),-2)),SUMIFS(Dati!$E$2:$E$761,Dati!$A$2:$A$761,$H90,Dati!$H$2:$H$761,$AI90)+SUMIFS(Dati!$L$2:$L$761,Dati!$H$2:$H$761,$H90,Dati!$A$2:$A$761,$AI90),"-")</f>
        <v/>
      </c>
      <c r="CX90" s="22">
        <f>IF(AND($H90&lt;&gt;"",$AJ90&lt;&gt;"",$H90&lt;&gt;$AJ90,IFERROR(VLOOKUP($H90,areaCercaPuntiClassificaSquadra,3,FALSE),-1)=IFERROR(VLOOKUP($AJ90,areaCercaPuntiClassificaSquadra,3,FALSE),-2)),SUMIFS(Dati!$E$2:$E$761,Dati!$A$2:$A$761,$H90,Dati!$H$2:$H$761,$AJ90)+SUMIFS(Dati!$L$2:$L$761,Dati!$H$2:$H$761,$H90,Dati!$A$2:$A$761,$AJ90),"-")</f>
        <v/>
      </c>
      <c r="CY90" s="22">
        <f>IF(AND($H90&lt;&gt;"",$AK90&lt;&gt;"",$H90&lt;&gt;$AK90,IFERROR(VLOOKUP($H90,areaCercaPuntiClassificaSquadra,3,FALSE),-1)=IFERROR(VLOOKUP($AK90,areaCercaPuntiClassificaSquadra,3,FALSE),-2)),SUMIFS(Dati!$E$2:$E$761,Dati!$A$2:$A$761,$H90,Dati!$H$2:$H$761,$AK90)+SUMIFS(Dati!$L$2:$L$761,Dati!$H$2:$H$761,$H90,Dati!$A$2:$A$761,$AK90),"-")</f>
        <v/>
      </c>
      <c r="CZ90" s="22">
        <f>IF(AND($H90&lt;&gt;"",$AL90&lt;&gt;"",$H90&lt;&gt;$AL90,IFERROR(VLOOKUP($H90,areaCercaPuntiClassificaSquadra,3,FALSE),-1)=IFERROR(VLOOKUP($AL90,areaCercaPuntiClassificaSquadra,3,FALSE),-2)),SUMIFS(Dati!$E$2:$E$761,Dati!$A$2:$A$761,$H90,Dati!$H$2:$H$761,$AL90)+SUMIFS(Dati!$L$2:$L$761,Dati!$H$2:$H$761,$H90,Dati!$A$2:$A$761,$AL90),"-")</f>
        <v/>
      </c>
      <c r="DA90" s="22">
        <f>IF(AND($H90&lt;&gt;"",$AM90&lt;&gt;"",$H90&lt;&gt;$AM90,IFERROR(VLOOKUP($H90,areaCercaPuntiClassificaSquadra,3,FALSE),-1)=IFERROR(VLOOKUP($AM90,areaCercaPuntiClassificaSquadra,3,FALSE),-2)),SUMIFS(Dati!$E$2:$E$761,Dati!$A$2:$A$761,$H90,Dati!$H$2:$H$761,$AM90)+SUMIFS(Dati!$L$2:$L$761,Dati!$H$2:$H$761,$H90,Dati!$A$2:$A$761,$AM90),"-")</f>
        <v/>
      </c>
      <c r="DB90" s="22">
        <f>IF(AND($H90&lt;&gt;"",$AN90&lt;&gt;"",$H90&lt;&gt;$AN90,IFERROR(VLOOKUP($H90,areaCercaPuntiClassificaSquadra,3,FALSE),-1)=IFERROR(VLOOKUP($AN90,areaCercaPuntiClassificaSquadra,3,FALSE),-2)),SUMIFS(Dati!$E$2:$E$761,Dati!$A$2:$A$761,$H90,Dati!$H$2:$H$761,$AN90)+SUMIFS(Dati!$L$2:$L$761,Dati!$H$2:$H$761,$H90,Dati!$A$2:$A$761,$AN90),"-")</f>
        <v/>
      </c>
      <c r="DC90" s="22">
        <f>IF(AND($H90&lt;&gt;"",$AO90&lt;&gt;"",$H90&lt;&gt;$AO90,IFERROR(VLOOKUP($H90,areaCercaPuntiClassificaSquadra,3,FALSE),-1)=IFERROR(VLOOKUP($AO90,areaCercaPuntiClassificaSquadra,3,FALSE),-2)),SUMIFS(Dati!$E$2:$E$761,Dati!$A$2:$A$761,$H90,Dati!$H$2:$H$761,$AO90)+SUMIFS(Dati!$L$2:$L$761,Dati!$H$2:$H$761,$H90,Dati!$A$2:$A$761,$AO90),"-")</f>
        <v/>
      </c>
      <c r="DD90" s="22">
        <f>IF(AND($H90&lt;&gt;"",$AP90&lt;&gt;"",$H90&lt;&gt;$AP90,IFERROR(VLOOKUP($H90,areaCercaPuntiClassificaSquadra,3,FALSE),-1)=IFERROR(VLOOKUP($AP90,areaCercaPuntiClassificaSquadra,3,FALSE),-2)),SUMIFS(Dati!$E$2:$E$761,Dati!$A$2:$A$761,$H90,Dati!$H$2:$H$761,$AP90)+SUMIFS(Dati!$L$2:$L$761,Dati!$H$2:$H$761,$H90,Dati!$A$2:$A$761,$AP90),"-")</f>
        <v/>
      </c>
      <c r="DE90" s="22">
        <f>IF(AND($H90&lt;&gt;"",$AQ90&lt;&gt;"",$H90&lt;&gt;$AQ90,IFERROR(VLOOKUP($H90,areaCercaPuntiClassificaSquadra,3,FALSE),-1)=IFERROR(VLOOKUP($AQ90,areaCercaPuntiClassificaSquadra,3,FALSE),-2)),SUMIFS(Dati!$E$2:$E$761,Dati!$A$2:$A$761,$H90,Dati!$H$2:$H$761,$AQ90)+SUMIFS(Dati!$L$2:$L$761,Dati!$H$2:$H$761,$H90,Dati!$A$2:$A$761,$AQ90),"-")</f>
        <v/>
      </c>
      <c r="DF90" s="22">
        <f>IF(AND($H90&lt;&gt;"",$AR90&lt;&gt;"",$H90&lt;&gt;$AR90,IFERROR(VLOOKUP($H90,areaCercaPuntiClassificaSquadra,3,FALSE),-1)=IFERROR(VLOOKUP($AR90,areaCercaPuntiClassificaSquadra,3,FALSE),-2)),SUMIFS(Dati!$E$2:$E$761,Dati!$A$2:$A$761,$H90,Dati!$H$2:$H$761,$AR90)+SUMIFS(Dati!$L$2:$L$761,Dati!$H$2:$H$761,$H90,Dati!$A$2:$A$761,$AR90),"-")</f>
        <v/>
      </c>
      <c r="DH90" s="21">
        <f>$C90</f>
        <v/>
      </c>
      <c r="DI90" s="22">
        <f>IF(AND($H90&lt;&gt;"",$Y90&lt;&gt;"",$H90&lt;&gt;$Y90,IFERROR(VLOOKUP($H90,areaCercaPuntiClassificaSquadra,3,FALSE),-1)=IFERROR(VLOOKUP($Y90,areaCercaPuntiClassificaSquadra,3,FALSE),-2)),SUMIFS(Dati!$F$2:$F$761,Dati!$A$2:$A$761,$H90,Dati!$H$2:$H$761,$Y90)+SUMIFS(Dati!$M$2:$M$761,Dati!$H$2:$H$761,$H90,Dati!$A$2:$A$761,$Y90),"-")</f>
        <v/>
      </c>
      <c r="DJ90" s="22">
        <f>IF(AND($H90&lt;&gt;"",$Z90&lt;&gt;"",$H90&lt;&gt;$Z90,IFERROR(VLOOKUP($H90,areaCercaPuntiClassificaSquadra,3,FALSE),-1)=IFERROR(VLOOKUP($Z90,areaCercaPuntiClassificaSquadra,3,FALSE),-2)),SUMIFS(Dati!$F$2:$F$761,Dati!$A$2:$A$761,$H90,Dati!$H$2:$H$761,$Z90)+SUMIFS(Dati!$M$2:$M$761,Dati!$H$2:$H$761,$H90,Dati!$A$2:$A$761,$Z90),"-")</f>
        <v/>
      </c>
      <c r="DK90" s="22">
        <f>IF(AND($H90&lt;&gt;"",$AA90&lt;&gt;"",$H90&lt;&gt;$AA90,IFERROR(VLOOKUP($H90,areaCercaPuntiClassificaSquadra,3,FALSE),-1)=IFERROR(VLOOKUP($AA90,areaCercaPuntiClassificaSquadra,3,FALSE),-2)),SUMIFS(Dati!$F$2:$F$761,Dati!$A$2:$A$761,$H90,Dati!$H$2:$H$761,$AA90)+SUMIFS(Dati!$M$2:$M$761,Dati!$H$2:$H$761,$H90,Dati!$A$2:$A$761,$AA90),"-")</f>
        <v/>
      </c>
      <c r="DL90" s="22">
        <f>IF(AND($H90&lt;&gt;"",$AB90&lt;&gt;"",$H90&lt;&gt;$AB90,IFERROR(VLOOKUP($H90,areaCercaPuntiClassificaSquadra,3,FALSE),-1)=IFERROR(VLOOKUP($AB90,areaCercaPuntiClassificaSquadra,3,FALSE),-2)),SUMIFS(Dati!$F$2:$F$761,Dati!$A$2:$A$761,$H90,Dati!$H$2:$H$761,$AB90)+SUMIFS(Dati!$M$2:$M$761,Dati!$H$2:$H$761,$H90,Dati!$A$2:$A$761,$AB90),"-")</f>
        <v/>
      </c>
      <c r="DM90" s="22">
        <f>IF(AND($H90&lt;&gt;"",$AC90&lt;&gt;"",$H90&lt;&gt;$AC90,IFERROR(VLOOKUP($H90,areaCercaPuntiClassificaSquadra,3,FALSE),-1)=IFERROR(VLOOKUP($AC90,areaCercaPuntiClassificaSquadra,3,FALSE),-2)),SUMIFS(Dati!$F$2:$F$761,Dati!$A$2:$A$761,$H90,Dati!$H$2:$H$761,$AC90)+SUMIFS(Dati!$M$2:$M$761,Dati!$H$2:$H$761,$H90,Dati!$A$2:$A$761,$AC90),"-")</f>
        <v/>
      </c>
      <c r="DN90" s="22">
        <f>IF(AND($H90&lt;&gt;"",$AD90&lt;&gt;"",$H90&lt;&gt;$AD90,IFERROR(VLOOKUP($H90,areaCercaPuntiClassificaSquadra,3,FALSE),-1)=IFERROR(VLOOKUP($AD90,areaCercaPuntiClassificaSquadra,3,FALSE),-2)),SUMIFS(Dati!$F$2:$F$761,Dati!$A$2:$A$761,$H90,Dati!$H$2:$H$761,$AD90)+SUMIFS(Dati!$M$2:$M$761,Dati!$H$2:$H$761,$H90,Dati!$A$2:$A$761,$AD90),"-")</f>
        <v/>
      </c>
      <c r="DO90" s="22">
        <f>IF(AND($H90&lt;&gt;"",$AE90&lt;&gt;"",$H90&lt;&gt;$AE90,IFERROR(VLOOKUP($H90,areaCercaPuntiClassificaSquadra,3,FALSE),-1)=IFERROR(VLOOKUP($AE90,areaCercaPuntiClassificaSquadra,3,FALSE),-2)),SUMIFS(Dati!$F$2:$F$761,Dati!$A$2:$A$761,$H90,Dati!$H$2:$H$761,$AE90)+SUMIFS(Dati!$M$2:$M$761,Dati!$H$2:$H$761,$H90,Dati!$A$2:$A$761,$AE90),"-")</f>
        <v/>
      </c>
      <c r="DP90" s="22">
        <f>IF(AND($H90&lt;&gt;"",$AF90&lt;&gt;"",$H90&lt;&gt;$AF90,IFERROR(VLOOKUP($H90,areaCercaPuntiClassificaSquadra,3,FALSE),-1)=IFERROR(VLOOKUP($AF90,areaCercaPuntiClassificaSquadra,3,FALSE),-2)),SUMIFS(Dati!$F$2:$F$761,Dati!$A$2:$A$761,$H90,Dati!$H$2:$H$761,$AF90)+SUMIFS(Dati!$M$2:$M$761,Dati!$H$2:$H$761,$H90,Dati!$A$2:$A$761,$AF90),"-")</f>
        <v/>
      </c>
      <c r="DQ90" s="22">
        <f>IF(AND($H90&lt;&gt;"",$AG90&lt;&gt;"",$H90&lt;&gt;$AG90,IFERROR(VLOOKUP($H90,areaCercaPuntiClassificaSquadra,3,FALSE),-1)=IFERROR(VLOOKUP($AG90,areaCercaPuntiClassificaSquadra,3,FALSE),-2)),SUMIFS(Dati!$F$2:$F$761,Dati!$A$2:$A$761,$H90,Dati!$H$2:$H$761,$AG90)+SUMIFS(Dati!$M$2:$M$761,Dati!$H$2:$H$761,$H90,Dati!$A$2:$A$761,$AG90),"-")</f>
        <v/>
      </c>
      <c r="DR90" s="22">
        <f>IF(AND($H90&lt;&gt;"",$AH90&lt;&gt;"",$H90&lt;&gt;$AH90,IFERROR(VLOOKUP($H90,areaCercaPuntiClassificaSquadra,3,FALSE),-1)=IFERROR(VLOOKUP($AH90,areaCercaPuntiClassificaSquadra,3,FALSE),-2)),SUMIFS(Dati!$F$2:$F$761,Dati!$A$2:$A$761,$H90,Dati!$H$2:$H$761,$AH90)+SUMIFS(Dati!$M$2:$M$761,Dati!$H$2:$H$761,$H90,Dati!$A$2:$A$761,$AH90),"-")</f>
        <v/>
      </c>
      <c r="DS90" s="22">
        <f>IF(AND($H90&lt;&gt;"",$AI90&lt;&gt;"",$H90&lt;&gt;$AI90,IFERROR(VLOOKUP($H90,areaCercaPuntiClassificaSquadra,3,FALSE),-1)=IFERROR(VLOOKUP($AI90,areaCercaPuntiClassificaSquadra,3,FALSE),-2)),SUMIFS(Dati!$F$2:$F$761,Dati!$A$2:$A$761,$H90,Dati!$H$2:$H$761,$AI90)+SUMIFS(Dati!$M$2:$M$761,Dati!$H$2:$H$761,$H90,Dati!$A$2:$A$761,$AI90),"-")</f>
        <v/>
      </c>
      <c r="DT90" s="22">
        <f>IF(AND($H90&lt;&gt;"",$AJ90&lt;&gt;"",$H90&lt;&gt;$AJ90,IFERROR(VLOOKUP($H90,areaCercaPuntiClassificaSquadra,3,FALSE),-1)=IFERROR(VLOOKUP($AJ90,areaCercaPuntiClassificaSquadra,3,FALSE),-2)),SUMIFS(Dati!$F$2:$F$761,Dati!$A$2:$A$761,$H90,Dati!$H$2:$H$761,$AJ90)+SUMIFS(Dati!$M$2:$M$761,Dati!$H$2:$H$761,$H90,Dati!$A$2:$A$761,$AJ90),"-")</f>
        <v/>
      </c>
      <c r="DU90" s="22">
        <f>IF(AND($H90&lt;&gt;"",$AK90&lt;&gt;"",$H90&lt;&gt;$AK90,IFERROR(VLOOKUP($H90,areaCercaPuntiClassificaSquadra,3,FALSE),-1)=IFERROR(VLOOKUP($AK90,areaCercaPuntiClassificaSquadra,3,FALSE),-2)),SUMIFS(Dati!$F$2:$F$761,Dati!$A$2:$A$761,$H90,Dati!$H$2:$H$761,$AK90)+SUMIFS(Dati!$M$2:$M$761,Dati!$H$2:$H$761,$H90,Dati!$A$2:$A$761,$AK90),"-")</f>
        <v/>
      </c>
      <c r="DV90" s="22">
        <f>IF(AND($H90&lt;&gt;"",$AL90&lt;&gt;"",$H90&lt;&gt;$AL90,IFERROR(VLOOKUP($H90,areaCercaPuntiClassificaSquadra,3,FALSE),-1)=IFERROR(VLOOKUP($AL90,areaCercaPuntiClassificaSquadra,3,FALSE),-2)),SUMIFS(Dati!$F$2:$F$761,Dati!$A$2:$A$761,$H90,Dati!$H$2:$H$761,$AL90)+SUMIFS(Dati!$M$2:$M$761,Dati!$H$2:$H$761,$H90,Dati!$A$2:$A$761,$AL90),"-")</f>
        <v/>
      </c>
      <c r="DW90" s="22">
        <f>IF(AND($H90&lt;&gt;"",$AM90&lt;&gt;"",$H90&lt;&gt;$AM90,IFERROR(VLOOKUP($H90,areaCercaPuntiClassificaSquadra,3,FALSE),-1)=IFERROR(VLOOKUP($AM90,areaCercaPuntiClassificaSquadra,3,FALSE),-2)),SUMIFS(Dati!$F$2:$F$761,Dati!$A$2:$A$761,$H90,Dati!$H$2:$H$761,$AM90)+SUMIFS(Dati!$M$2:$M$761,Dati!$H$2:$H$761,$H90,Dati!$A$2:$A$761,$AM90),"-")</f>
        <v/>
      </c>
      <c r="DX90" s="22">
        <f>IF(AND($H90&lt;&gt;"",$AN90&lt;&gt;"",$H90&lt;&gt;$AN90,IFERROR(VLOOKUP($H90,areaCercaPuntiClassificaSquadra,3,FALSE),-1)=IFERROR(VLOOKUP($AN90,areaCercaPuntiClassificaSquadra,3,FALSE),-2)),SUMIFS(Dati!$F$2:$F$761,Dati!$A$2:$A$761,$H90,Dati!$H$2:$H$761,$AN90)+SUMIFS(Dati!$M$2:$M$761,Dati!$H$2:$H$761,$H90,Dati!$A$2:$A$761,$AN90),"-")</f>
        <v/>
      </c>
      <c r="DY90" s="22">
        <f>IF(AND($H90&lt;&gt;"",$AO90&lt;&gt;"",$H90&lt;&gt;$AO90,IFERROR(VLOOKUP($H90,areaCercaPuntiClassificaSquadra,3,FALSE),-1)=IFERROR(VLOOKUP($AO90,areaCercaPuntiClassificaSquadra,3,FALSE),-2)),SUMIFS(Dati!$F$2:$F$761,Dati!$A$2:$A$761,$H90,Dati!$H$2:$H$761,$AO90)+SUMIFS(Dati!$M$2:$M$761,Dati!$H$2:$H$761,$H90,Dati!$A$2:$A$761,$AO90),"-")</f>
        <v/>
      </c>
      <c r="DZ90" s="22">
        <f>IF(AND($H90&lt;&gt;"",$AP90&lt;&gt;"",$H90&lt;&gt;$AP90,IFERROR(VLOOKUP($H90,areaCercaPuntiClassificaSquadra,3,FALSE),-1)=IFERROR(VLOOKUP($AP90,areaCercaPuntiClassificaSquadra,3,FALSE),-2)),SUMIFS(Dati!$F$2:$F$761,Dati!$A$2:$A$761,$H90,Dati!$H$2:$H$761,$AP90)+SUMIFS(Dati!$M$2:$M$761,Dati!$H$2:$H$761,$H90,Dati!$A$2:$A$761,$AP90),"-")</f>
        <v/>
      </c>
      <c r="EA90" s="22">
        <f>IF(AND($H90&lt;&gt;"",$AQ90&lt;&gt;"",$H90&lt;&gt;$AQ90,IFERROR(VLOOKUP($H90,areaCercaPuntiClassificaSquadra,3,FALSE),-1)=IFERROR(VLOOKUP($AQ90,areaCercaPuntiClassificaSquadra,3,FALSE),-2)),SUMIFS(Dati!$F$2:$F$761,Dati!$A$2:$A$761,$H90,Dati!$H$2:$H$761,$AQ90)+SUMIFS(Dati!$M$2:$M$761,Dati!$H$2:$H$761,$H90,Dati!$A$2:$A$761,$AQ90),"-")</f>
        <v/>
      </c>
      <c r="EB90" s="22">
        <f>IF(AND($H90&lt;&gt;"",$AR90&lt;&gt;"",$H90&lt;&gt;$AR90,IFERROR(VLOOKUP($H90,areaCercaPuntiClassificaSquadra,3,FALSE),-1)=IFERROR(VLOOKUP($AR90,areaCercaPuntiClassificaSquadra,3,FALSE),-2)),SUMIFS(Dati!$F$2:$F$761,Dati!$A$2:$A$761,$H90,Dati!$H$2:$H$761,$AR90)+SUMIFS(Dati!$M$2:$M$761,Dati!$H$2:$H$761,$H90,Dati!$A$2:$A$761,$AR90),"-")</f>
        <v/>
      </c>
      <c r="ED90" s="22">
        <f>IF($C90="","",SUM(AU90:BN90))</f>
        <v/>
      </c>
    </row>
    <row r="91">
      <c r="B91" s="12" t="inlineStr">
        <is>
          <t>D18</t>
        </is>
      </c>
      <c r="C91" s="13" t="inlineStr">
        <is>
          <t>Macachi Mobili-Macachiopoli MI</t>
        </is>
      </c>
      <c r="D91" s="14" t="n"/>
      <c r="E91" s="27" t="inlineStr">
        <is>
          <t>D</t>
        </is>
      </c>
      <c r="G91" s="28">
        <f>IF($C91="","",$E91&amp;(COUNTIFS(I$14:I$93,"&gt;"&amp;I91,E$14:E$93,"="&amp;E91,C$14:C$93,"&lt;&gt;")+COUNTIFS(I$14:I$93,"="&amp;I91,H$14:H$93,"&lt;="&amp;H91,E$14:E$93,"="&amp;E91,C$14:C$93,"&lt;&gt;")))</f>
        <v/>
      </c>
      <c r="H91" s="17">
        <f>IF($C91="","",IFERROR(LEFT($C91,FIND("-",$C91)-1),$C91))</f>
        <v/>
      </c>
      <c r="I91" s="12">
        <f>TEXT(1000000000+J91,"|0000000000|")&amp;TEXT(SUM(AU91:BN91),"0000000000|")&amp;IF(SUM(DI91:EB91)=0,"0000000000|",TEXT(ROUND(SUM(CM91:DF91)/SUM(DI91:EB91),4)*100000,"0000000000|"))&amp;IF(P91=0,"0000000000|",TEXT(ROUND(O91/P91,4)*100000,"0000000000|"))</f>
        <v/>
      </c>
      <c r="J91" s="28">
        <f>L91*constPuntiVittoria+M91*constPuntiSconfitta+N91*constPuntiForfait+IF(D91="",0,D91)</f>
        <v/>
      </c>
      <c r="K91" s="12">
        <f>SUM(L91:N91)</f>
        <v/>
      </c>
      <c r="L91" s="12">
        <f>IF($H91="",0,SUMIF(Dati!$A$2:$A$761,$H91,Dati!$B$2:$B$761)+SUMIF(Dati!$H$2:$H$761,$H91,Dati!$I$2:$I$761))</f>
        <v/>
      </c>
      <c r="M91" s="12">
        <f>IF($H91="",0,SUMIF(Dati!$A$2:$A$761,$H91,Dati!$D$2:$D$761)+SUMIF(Dati!$H$2:$H$761,$H91,Dati!$K$2:$K$761))</f>
        <v/>
      </c>
      <c r="N91" s="12">
        <f>IF($H91="",0,SUMIF(Dati!$A$2:$A$761,$H91,Dati!$C$2:$C$761)+SUMIF(Dati!$H$2:$H$761,$H91,Dati!$J$2:$J$761))</f>
        <v/>
      </c>
      <c r="O91" s="12">
        <f>IF($H91="",0,SUMIF(Dati!$A$2:$A$761,$H91,Dati!$E$2:$E$761)+SUMIF(Dati!$H$2:$H$761,$H91,Dati!$L$2:$L$761))</f>
        <v/>
      </c>
      <c r="P91" s="12">
        <f>IF($H91="",0,SUMIF(Dati!$A$2:$A$761,$H91,Dati!$F$2:$F$761)+SUMIF(Dati!$H$2:$H$761,$H91,Dati!$M$2:$M$761))</f>
        <v/>
      </c>
      <c r="Q91" s="12">
        <f>IF($H91="",0,SUMIF(Dati!$A$2:$A$761,$H91,Dati!$G$2:$G$761)+SUMIF(Dati!$H$2:$H$761,$H91,Dati!$N$2:$N$761))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IF(COUNTIFS($E$14:$E$93,$E91,$J$14:$J$93,$J91,$C$14:$C$93,"&lt;&gt;")&lt;=1,"-",SUM(AU91:BN91)&amp;"-"&amp;SUM(BQ91:CJ91))</f>
        <v/>
      </c>
      <c r="V91" s="18">
        <f>IF(COUNTIFS($E$14:$E$93,$E91,$J$14:$J$93,$J91,$C$14:$C$93,"&lt;&gt;",$ED$14:$ED$93,$ED91)&lt;=1,"-",IF(SUM(DI91:EB91)=0,0,ROUND(SUM(CM91:DF91)/SUM(DI91:EB91),3)))</f>
        <v/>
      </c>
      <c r="W91" s="18">
        <f>IF(COUNTIFS($E$14:$E$93,$E91,$J$14:$J$93,$J91,$C$14:$C$93,"&lt;&gt;",$ED$14:$ED$93,$ED91,$V$14:$V$93,$V91)&lt;=1,"-",IF(P91=0,0,ROUND(O91/P91,3)))</f>
        <v/>
      </c>
      <c r="X91" s="19">
        <f>IF($C91="","",$E91&amp;"#"&amp;COUNTIFS($E$14:$E91,$E91,$C$14:$C91,"&lt;&gt;"))</f>
        <v/>
      </c>
      <c r="Y91" s="20">
        <f>IFERROR(INDEX($H$14:$H$93,MATCH($E91&amp;"#1",$X$14:$X$93,0)),"")</f>
        <v/>
      </c>
      <c r="Z91" s="20">
        <f>IFERROR(INDEX($H$14:$H$93,MATCH($E91&amp;"#2",$X$14:$X$93,0)),"")</f>
        <v/>
      </c>
      <c r="AA91" s="20">
        <f>IFERROR(INDEX($H$14:$H$93,MATCH($E91&amp;"#3",$X$14:$X$93,0)),"")</f>
        <v/>
      </c>
      <c r="AB91" s="20">
        <f>IFERROR(INDEX($H$14:$H$93,MATCH($E91&amp;"#4",$X$14:$X$93,0)),"")</f>
        <v/>
      </c>
      <c r="AC91" s="20">
        <f>IFERROR(INDEX($H$14:$H$93,MATCH($E91&amp;"#5",$X$14:$X$93,0)),"")</f>
        <v/>
      </c>
      <c r="AD91" s="20">
        <f>IFERROR(INDEX($H$14:$H$93,MATCH($E91&amp;"#6",$X$14:$X$93,0)),"")</f>
        <v/>
      </c>
      <c r="AE91" s="20">
        <f>IFERROR(INDEX($H$14:$H$93,MATCH($E91&amp;"#7",$X$14:$X$93,0)),"")</f>
        <v/>
      </c>
      <c r="AF91" s="20">
        <f>IFERROR(INDEX($H$14:$H$93,MATCH($E91&amp;"#8",$X$14:$X$93,0)),"")</f>
        <v/>
      </c>
      <c r="AG91" s="20">
        <f>IFERROR(INDEX($H$14:$H$93,MATCH($E91&amp;"#9",$X$14:$X$93,0)),"")</f>
        <v/>
      </c>
      <c r="AH91" s="20">
        <f>IFERROR(INDEX($H$14:$H$93,MATCH($E91&amp;"#10",$X$14:$X$93,0)),"")</f>
        <v/>
      </c>
      <c r="AI91" s="20">
        <f>IFERROR(INDEX($H$14:$H$93,MATCH($E91&amp;"#11",$X$14:$X$93,0)),"")</f>
        <v/>
      </c>
      <c r="AJ91" s="20">
        <f>IFERROR(INDEX($H$14:$H$93,MATCH($E91&amp;"#12",$X$14:$X$93,0)),"")</f>
        <v/>
      </c>
      <c r="AK91" s="20">
        <f>IFERROR(INDEX($H$14:$H$93,MATCH($E91&amp;"#13",$X$14:$X$93,0)),"")</f>
        <v/>
      </c>
      <c r="AL91" s="20">
        <f>IFERROR(INDEX($H$14:$H$93,MATCH($E91&amp;"#14",$X$14:$X$93,0)),"")</f>
        <v/>
      </c>
      <c r="AM91" s="20">
        <f>IFERROR(INDEX($H$14:$H$93,MATCH($E91&amp;"#15",$X$14:$X$93,0)),"")</f>
        <v/>
      </c>
      <c r="AN91" s="20">
        <f>IFERROR(INDEX($H$14:$H$93,MATCH($E91&amp;"#16",$X$14:$X$93,0)),"")</f>
        <v/>
      </c>
      <c r="AO91" s="20">
        <f>IFERROR(INDEX($H$14:$H$93,MATCH($E91&amp;"#17",$X$14:$X$93,0)),"")</f>
        <v/>
      </c>
      <c r="AP91" s="20">
        <f>IFERROR(INDEX($H$14:$H$93,MATCH($E91&amp;"#18",$X$14:$X$93,0)),"")</f>
        <v/>
      </c>
      <c r="AQ91" s="20">
        <f>IFERROR(INDEX($H$14:$H$93,MATCH($E91&amp;"#19",$X$14:$X$93,0)),"")</f>
        <v/>
      </c>
      <c r="AR91" s="20">
        <f>IFERROR(INDEX($H$14:$H$93,MATCH($E91&amp;"#20",$X$14:$X$93,0)),"")</f>
        <v/>
      </c>
      <c r="AT91" s="21">
        <f>$C91</f>
        <v/>
      </c>
      <c r="AU91" s="22">
        <f>IF(AND($H91&lt;&gt;"",$Y91&lt;&gt;"",$H91&lt;&gt;$Y91,IFERROR(VLOOKUP($H91,areaCercaPuntiClassificaSquadra,3,FALSE),-1)=IFERROR(VLOOKUP($Y91,areaCercaPuntiClassificaSquadra,3,FALSE),-2)),SUMIFS(Dati!$B$2:$B$761,Dati!$A$2:$A$761,$H91,Dati!$H$2:$H$761,$Y91)+SUMIFS(Dati!$I$2:$I$761,Dati!$H$2:$H$761,$H91,Dati!$A$2:$A$761,$Y91),"-")</f>
        <v/>
      </c>
      <c r="AV91" s="22">
        <f>IF(AND($H91&lt;&gt;"",$Z91&lt;&gt;"",$H91&lt;&gt;$Z91,IFERROR(VLOOKUP($H91,areaCercaPuntiClassificaSquadra,3,FALSE),-1)=IFERROR(VLOOKUP($Z91,areaCercaPuntiClassificaSquadra,3,FALSE),-2)),SUMIFS(Dati!$B$2:$B$761,Dati!$A$2:$A$761,$H91,Dati!$H$2:$H$761,$Z91)+SUMIFS(Dati!$I$2:$I$761,Dati!$H$2:$H$761,$H91,Dati!$A$2:$A$761,$Z91),"-")</f>
        <v/>
      </c>
      <c r="AW91" s="22">
        <f>IF(AND($H91&lt;&gt;"",$AA91&lt;&gt;"",$H91&lt;&gt;$AA91,IFERROR(VLOOKUP($H91,areaCercaPuntiClassificaSquadra,3,FALSE),-1)=IFERROR(VLOOKUP($AA91,areaCercaPuntiClassificaSquadra,3,FALSE),-2)),SUMIFS(Dati!$B$2:$B$761,Dati!$A$2:$A$761,$H91,Dati!$H$2:$H$761,$AA91)+SUMIFS(Dati!$I$2:$I$761,Dati!$H$2:$H$761,$H91,Dati!$A$2:$A$761,$AA91),"-")</f>
        <v/>
      </c>
      <c r="AX91" s="22">
        <f>IF(AND($H91&lt;&gt;"",$AB91&lt;&gt;"",$H91&lt;&gt;$AB91,IFERROR(VLOOKUP($H91,areaCercaPuntiClassificaSquadra,3,FALSE),-1)=IFERROR(VLOOKUP($AB91,areaCercaPuntiClassificaSquadra,3,FALSE),-2)),SUMIFS(Dati!$B$2:$B$761,Dati!$A$2:$A$761,$H91,Dati!$H$2:$H$761,$AB91)+SUMIFS(Dati!$I$2:$I$761,Dati!$H$2:$H$761,$H91,Dati!$A$2:$A$761,$AB91),"-")</f>
        <v/>
      </c>
      <c r="AY91" s="22">
        <f>IF(AND($H91&lt;&gt;"",$AC91&lt;&gt;"",$H91&lt;&gt;$AC91,IFERROR(VLOOKUP($H91,areaCercaPuntiClassificaSquadra,3,FALSE),-1)=IFERROR(VLOOKUP($AC91,areaCercaPuntiClassificaSquadra,3,FALSE),-2)),SUMIFS(Dati!$B$2:$B$761,Dati!$A$2:$A$761,$H91,Dati!$H$2:$H$761,$AC91)+SUMIFS(Dati!$I$2:$I$761,Dati!$H$2:$H$761,$H91,Dati!$A$2:$A$761,$AC91),"-")</f>
        <v/>
      </c>
      <c r="AZ91" s="22">
        <f>IF(AND($H91&lt;&gt;"",$AD91&lt;&gt;"",$H91&lt;&gt;$AD91,IFERROR(VLOOKUP($H91,areaCercaPuntiClassificaSquadra,3,FALSE),-1)=IFERROR(VLOOKUP($AD91,areaCercaPuntiClassificaSquadra,3,FALSE),-2)),SUMIFS(Dati!$B$2:$B$761,Dati!$A$2:$A$761,$H91,Dati!$H$2:$H$761,$AD91)+SUMIFS(Dati!$I$2:$I$761,Dati!$H$2:$H$761,$H91,Dati!$A$2:$A$761,$AD91),"-")</f>
        <v/>
      </c>
      <c r="BA91" s="22">
        <f>IF(AND($H91&lt;&gt;"",$AE91&lt;&gt;"",$H91&lt;&gt;$AE91,IFERROR(VLOOKUP($H91,areaCercaPuntiClassificaSquadra,3,FALSE),-1)=IFERROR(VLOOKUP($AE91,areaCercaPuntiClassificaSquadra,3,FALSE),-2)),SUMIFS(Dati!$B$2:$B$761,Dati!$A$2:$A$761,$H91,Dati!$H$2:$H$761,$AE91)+SUMIFS(Dati!$I$2:$I$761,Dati!$H$2:$H$761,$H91,Dati!$A$2:$A$761,$AE91),"-")</f>
        <v/>
      </c>
      <c r="BB91" s="22">
        <f>IF(AND($H91&lt;&gt;"",$AF91&lt;&gt;"",$H91&lt;&gt;$AF91,IFERROR(VLOOKUP($H91,areaCercaPuntiClassificaSquadra,3,FALSE),-1)=IFERROR(VLOOKUP($AF91,areaCercaPuntiClassificaSquadra,3,FALSE),-2)),SUMIFS(Dati!$B$2:$B$761,Dati!$A$2:$A$761,$H91,Dati!$H$2:$H$761,$AF91)+SUMIFS(Dati!$I$2:$I$761,Dati!$H$2:$H$761,$H91,Dati!$A$2:$A$761,$AF91),"-")</f>
        <v/>
      </c>
      <c r="BC91" s="22">
        <f>IF(AND($H91&lt;&gt;"",$AG91&lt;&gt;"",$H91&lt;&gt;$AG91,IFERROR(VLOOKUP($H91,areaCercaPuntiClassificaSquadra,3,FALSE),-1)=IFERROR(VLOOKUP($AG91,areaCercaPuntiClassificaSquadra,3,FALSE),-2)),SUMIFS(Dati!$B$2:$B$761,Dati!$A$2:$A$761,$H91,Dati!$H$2:$H$761,$AG91)+SUMIFS(Dati!$I$2:$I$761,Dati!$H$2:$H$761,$H91,Dati!$A$2:$A$761,$AG91),"-")</f>
        <v/>
      </c>
      <c r="BD91" s="22">
        <f>IF(AND($H91&lt;&gt;"",$AH91&lt;&gt;"",$H91&lt;&gt;$AH91,IFERROR(VLOOKUP($H91,areaCercaPuntiClassificaSquadra,3,FALSE),-1)=IFERROR(VLOOKUP($AH91,areaCercaPuntiClassificaSquadra,3,FALSE),-2)),SUMIFS(Dati!$B$2:$B$761,Dati!$A$2:$A$761,$H91,Dati!$H$2:$H$761,$AH91)+SUMIFS(Dati!$I$2:$I$761,Dati!$H$2:$H$761,$H91,Dati!$A$2:$A$761,$AH91),"-")</f>
        <v/>
      </c>
      <c r="BE91" s="22">
        <f>IF(AND($H91&lt;&gt;"",$AI91&lt;&gt;"",$H91&lt;&gt;$AI91,IFERROR(VLOOKUP($H91,areaCercaPuntiClassificaSquadra,3,FALSE),-1)=IFERROR(VLOOKUP($AI91,areaCercaPuntiClassificaSquadra,3,FALSE),-2)),SUMIFS(Dati!$B$2:$B$761,Dati!$A$2:$A$761,$H91,Dati!$H$2:$H$761,$AI91)+SUMIFS(Dati!$I$2:$I$761,Dati!$H$2:$H$761,$H91,Dati!$A$2:$A$761,$AI91),"-")</f>
        <v/>
      </c>
      <c r="BF91" s="22">
        <f>IF(AND($H91&lt;&gt;"",$AJ91&lt;&gt;"",$H91&lt;&gt;$AJ91,IFERROR(VLOOKUP($H91,areaCercaPuntiClassificaSquadra,3,FALSE),-1)=IFERROR(VLOOKUP($AJ91,areaCercaPuntiClassificaSquadra,3,FALSE),-2)),SUMIFS(Dati!$B$2:$B$761,Dati!$A$2:$A$761,$H91,Dati!$H$2:$H$761,$AJ91)+SUMIFS(Dati!$I$2:$I$761,Dati!$H$2:$H$761,$H91,Dati!$A$2:$A$761,$AJ91),"-")</f>
        <v/>
      </c>
      <c r="BG91" s="22">
        <f>IF(AND($H91&lt;&gt;"",$AK91&lt;&gt;"",$H91&lt;&gt;$AK91,IFERROR(VLOOKUP($H91,areaCercaPuntiClassificaSquadra,3,FALSE),-1)=IFERROR(VLOOKUP($AK91,areaCercaPuntiClassificaSquadra,3,FALSE),-2)),SUMIFS(Dati!$B$2:$B$761,Dati!$A$2:$A$761,$H91,Dati!$H$2:$H$761,$AK91)+SUMIFS(Dati!$I$2:$I$761,Dati!$H$2:$H$761,$H91,Dati!$A$2:$A$761,$AK91),"-")</f>
        <v/>
      </c>
      <c r="BH91" s="22">
        <f>IF(AND($H91&lt;&gt;"",$AL91&lt;&gt;"",$H91&lt;&gt;$AL91,IFERROR(VLOOKUP($H91,areaCercaPuntiClassificaSquadra,3,FALSE),-1)=IFERROR(VLOOKUP($AL91,areaCercaPuntiClassificaSquadra,3,FALSE),-2)),SUMIFS(Dati!$B$2:$B$761,Dati!$A$2:$A$761,$H91,Dati!$H$2:$H$761,$AL91)+SUMIFS(Dati!$I$2:$I$761,Dati!$H$2:$H$761,$H91,Dati!$A$2:$A$761,$AL91),"-")</f>
        <v/>
      </c>
      <c r="BI91" s="22">
        <f>IF(AND($H91&lt;&gt;"",$AM91&lt;&gt;"",$H91&lt;&gt;$AM91,IFERROR(VLOOKUP($H91,areaCercaPuntiClassificaSquadra,3,FALSE),-1)=IFERROR(VLOOKUP($AM91,areaCercaPuntiClassificaSquadra,3,FALSE),-2)),SUMIFS(Dati!$B$2:$B$761,Dati!$A$2:$A$761,$H91,Dati!$H$2:$H$761,$AM91)+SUMIFS(Dati!$I$2:$I$761,Dati!$H$2:$H$761,$H91,Dati!$A$2:$A$761,$AM91),"-")</f>
        <v/>
      </c>
      <c r="BJ91" s="22">
        <f>IF(AND($H91&lt;&gt;"",$AN91&lt;&gt;"",$H91&lt;&gt;$AN91,IFERROR(VLOOKUP($H91,areaCercaPuntiClassificaSquadra,3,FALSE),-1)=IFERROR(VLOOKUP($AN91,areaCercaPuntiClassificaSquadra,3,FALSE),-2)),SUMIFS(Dati!$B$2:$B$761,Dati!$A$2:$A$761,$H91,Dati!$H$2:$H$761,$AN91)+SUMIFS(Dati!$I$2:$I$761,Dati!$H$2:$H$761,$H91,Dati!$A$2:$A$761,$AN91),"-")</f>
        <v/>
      </c>
      <c r="BK91" s="22">
        <f>IF(AND($H91&lt;&gt;"",$AO91&lt;&gt;"",$H91&lt;&gt;$AO91,IFERROR(VLOOKUP($H91,areaCercaPuntiClassificaSquadra,3,FALSE),-1)=IFERROR(VLOOKUP($AO91,areaCercaPuntiClassificaSquadra,3,FALSE),-2)),SUMIFS(Dati!$B$2:$B$761,Dati!$A$2:$A$761,$H91,Dati!$H$2:$H$761,$AO91)+SUMIFS(Dati!$I$2:$I$761,Dati!$H$2:$H$761,$H91,Dati!$A$2:$A$761,$AO91),"-")</f>
        <v/>
      </c>
      <c r="BL91" s="22">
        <f>IF(AND($H91&lt;&gt;"",$AP91&lt;&gt;"",$H91&lt;&gt;$AP91,IFERROR(VLOOKUP($H91,areaCercaPuntiClassificaSquadra,3,FALSE),-1)=IFERROR(VLOOKUP($AP91,areaCercaPuntiClassificaSquadra,3,FALSE),-2)),SUMIFS(Dati!$B$2:$B$761,Dati!$A$2:$A$761,$H91,Dati!$H$2:$H$761,$AP91)+SUMIFS(Dati!$I$2:$I$761,Dati!$H$2:$H$761,$H91,Dati!$A$2:$A$761,$AP91),"-")</f>
        <v/>
      </c>
      <c r="BM91" s="22">
        <f>IF(AND($H91&lt;&gt;"",$AQ91&lt;&gt;"",$H91&lt;&gt;$AQ91,IFERROR(VLOOKUP($H91,areaCercaPuntiClassificaSquadra,3,FALSE),-1)=IFERROR(VLOOKUP($AQ91,areaCercaPuntiClassificaSquadra,3,FALSE),-2)),SUMIFS(Dati!$B$2:$B$761,Dati!$A$2:$A$761,$H91,Dati!$H$2:$H$761,$AQ91)+SUMIFS(Dati!$I$2:$I$761,Dati!$H$2:$H$761,$H91,Dati!$A$2:$A$761,$AQ91),"-")</f>
        <v/>
      </c>
      <c r="BN91" s="22">
        <f>IF(AND($H91&lt;&gt;"",$AR91&lt;&gt;"",$H91&lt;&gt;$AR91,IFERROR(VLOOKUP($H91,areaCercaPuntiClassificaSquadra,3,FALSE),-1)=IFERROR(VLOOKUP($AR91,areaCercaPuntiClassificaSquadra,3,FALSE),-2)),SUMIFS(Dati!$B$2:$B$761,Dati!$A$2:$A$761,$H91,Dati!$H$2:$H$761,$AR91)+SUMIFS(Dati!$I$2:$I$761,Dati!$H$2:$H$761,$H91,Dati!$A$2:$A$761,$AR91),"-")</f>
        <v/>
      </c>
      <c r="BP91" s="21">
        <f>$C91</f>
        <v/>
      </c>
      <c r="BQ91" s="22">
        <f>IF(AND($H91&lt;&gt;"",$Y91&lt;&gt;"",$H91&lt;&gt;$Y91,IFERROR(VLOOKUP($H91,areaCercaPuntiClassificaSquadra,3,FALSE),-1)=IFERROR(VLOOKUP($Y91,areaCercaPuntiClassificaSquadra,3,FALSE),-2)),SUMIFS(Dati!$D$2:$D$761,Dati!$A$2:$A$761,$H91,Dati!$H$2:$H$761,$Y91)+SUMIFS(Dati!$K$2:$K$761,Dati!$H$2:$H$761,$H91,Dati!$A$2:$A$761,$Y91)+SUMIFS(Dati!$C$2:$C$761,Dati!$A$2:$A$761,$H91,Dati!$H$2:$H$761,$Y91)+SUMIFS(Dati!$J$2:$J$761,Dati!$H$2:$H$761,$H91,Dati!$A$2:$A$761,$Y91),"-")</f>
        <v/>
      </c>
      <c r="BR91" s="22">
        <f>IF(AND($H91&lt;&gt;"",$Z91&lt;&gt;"",$H91&lt;&gt;$Z91,IFERROR(VLOOKUP($H91,areaCercaPuntiClassificaSquadra,3,FALSE),-1)=IFERROR(VLOOKUP($Z91,areaCercaPuntiClassificaSquadra,3,FALSE),-2)),SUMIFS(Dati!$D$2:$D$761,Dati!$A$2:$A$761,$H91,Dati!$H$2:$H$761,$Z91)+SUMIFS(Dati!$K$2:$K$761,Dati!$H$2:$H$761,$H91,Dati!$A$2:$A$761,$Z91)+SUMIFS(Dati!$C$2:$C$761,Dati!$A$2:$A$761,$H91,Dati!$H$2:$H$761,$Z91)+SUMIFS(Dati!$J$2:$J$761,Dati!$H$2:$H$761,$H91,Dati!$A$2:$A$761,$Z91),"-")</f>
        <v/>
      </c>
      <c r="BS91" s="22">
        <f>IF(AND($H91&lt;&gt;"",$AA91&lt;&gt;"",$H91&lt;&gt;$AA91,IFERROR(VLOOKUP($H91,areaCercaPuntiClassificaSquadra,3,FALSE),-1)=IFERROR(VLOOKUP($AA91,areaCercaPuntiClassificaSquadra,3,FALSE),-2)),SUMIFS(Dati!$D$2:$D$761,Dati!$A$2:$A$761,$H91,Dati!$H$2:$H$761,$AA91)+SUMIFS(Dati!$K$2:$K$761,Dati!$H$2:$H$761,$H91,Dati!$A$2:$A$761,$AA91)+SUMIFS(Dati!$C$2:$C$761,Dati!$A$2:$A$761,$H91,Dati!$H$2:$H$761,$AA91)+SUMIFS(Dati!$J$2:$J$761,Dati!$H$2:$H$761,$H91,Dati!$A$2:$A$761,$AA91),"-")</f>
        <v/>
      </c>
      <c r="BT91" s="22">
        <f>IF(AND($H91&lt;&gt;"",$AB91&lt;&gt;"",$H91&lt;&gt;$AB91,IFERROR(VLOOKUP($H91,areaCercaPuntiClassificaSquadra,3,FALSE),-1)=IFERROR(VLOOKUP($AB91,areaCercaPuntiClassificaSquadra,3,FALSE),-2)),SUMIFS(Dati!$D$2:$D$761,Dati!$A$2:$A$761,$H91,Dati!$H$2:$H$761,$AB91)+SUMIFS(Dati!$K$2:$K$761,Dati!$H$2:$H$761,$H91,Dati!$A$2:$A$761,$AB91)+SUMIFS(Dati!$C$2:$C$761,Dati!$A$2:$A$761,$H91,Dati!$H$2:$H$761,$AB91)+SUMIFS(Dati!$J$2:$J$761,Dati!$H$2:$H$761,$H91,Dati!$A$2:$A$761,$AB91),"-")</f>
        <v/>
      </c>
      <c r="BU91" s="22">
        <f>IF(AND($H91&lt;&gt;"",$AC91&lt;&gt;"",$H91&lt;&gt;$AC91,IFERROR(VLOOKUP($H91,areaCercaPuntiClassificaSquadra,3,FALSE),-1)=IFERROR(VLOOKUP($AC91,areaCercaPuntiClassificaSquadra,3,FALSE),-2)),SUMIFS(Dati!$D$2:$D$761,Dati!$A$2:$A$761,$H91,Dati!$H$2:$H$761,$AC91)+SUMIFS(Dati!$K$2:$K$761,Dati!$H$2:$H$761,$H91,Dati!$A$2:$A$761,$AC91)+SUMIFS(Dati!$C$2:$C$761,Dati!$A$2:$A$761,$H91,Dati!$H$2:$H$761,$AC91)+SUMIFS(Dati!$J$2:$J$761,Dati!$H$2:$H$761,$H91,Dati!$A$2:$A$761,$AC91),"-")</f>
        <v/>
      </c>
      <c r="BV91" s="22">
        <f>IF(AND($H91&lt;&gt;"",$AD91&lt;&gt;"",$H91&lt;&gt;$AD91,IFERROR(VLOOKUP($H91,areaCercaPuntiClassificaSquadra,3,FALSE),-1)=IFERROR(VLOOKUP($AD91,areaCercaPuntiClassificaSquadra,3,FALSE),-2)),SUMIFS(Dati!$D$2:$D$761,Dati!$A$2:$A$761,$H91,Dati!$H$2:$H$761,$AD91)+SUMIFS(Dati!$K$2:$K$761,Dati!$H$2:$H$761,$H91,Dati!$A$2:$A$761,$AD91)+SUMIFS(Dati!$C$2:$C$761,Dati!$A$2:$A$761,$H91,Dati!$H$2:$H$761,$AD91)+SUMIFS(Dati!$J$2:$J$761,Dati!$H$2:$H$761,$H91,Dati!$A$2:$A$761,$AD91),"-")</f>
        <v/>
      </c>
      <c r="BW91" s="22">
        <f>IF(AND($H91&lt;&gt;"",$AE91&lt;&gt;"",$H91&lt;&gt;$AE91,IFERROR(VLOOKUP($H91,areaCercaPuntiClassificaSquadra,3,FALSE),-1)=IFERROR(VLOOKUP($AE91,areaCercaPuntiClassificaSquadra,3,FALSE),-2)),SUMIFS(Dati!$D$2:$D$761,Dati!$A$2:$A$761,$H91,Dati!$H$2:$H$761,$AE91)+SUMIFS(Dati!$K$2:$K$761,Dati!$H$2:$H$761,$H91,Dati!$A$2:$A$761,$AE91)+SUMIFS(Dati!$C$2:$C$761,Dati!$A$2:$A$761,$H91,Dati!$H$2:$H$761,$AE91)+SUMIFS(Dati!$J$2:$J$761,Dati!$H$2:$H$761,$H91,Dati!$A$2:$A$761,$AE91),"-")</f>
        <v/>
      </c>
      <c r="BX91" s="22">
        <f>IF(AND($H91&lt;&gt;"",$AF91&lt;&gt;"",$H91&lt;&gt;$AF91,IFERROR(VLOOKUP($H91,areaCercaPuntiClassificaSquadra,3,FALSE),-1)=IFERROR(VLOOKUP($AF91,areaCercaPuntiClassificaSquadra,3,FALSE),-2)),SUMIFS(Dati!$D$2:$D$761,Dati!$A$2:$A$761,$H91,Dati!$H$2:$H$761,$AF91)+SUMIFS(Dati!$K$2:$K$761,Dati!$H$2:$H$761,$H91,Dati!$A$2:$A$761,$AF91)+SUMIFS(Dati!$C$2:$C$761,Dati!$A$2:$A$761,$H91,Dati!$H$2:$H$761,$AF91)+SUMIFS(Dati!$J$2:$J$761,Dati!$H$2:$H$761,$H91,Dati!$A$2:$A$761,$AF91),"-")</f>
        <v/>
      </c>
      <c r="BY91" s="22">
        <f>IF(AND($H91&lt;&gt;"",$AG91&lt;&gt;"",$H91&lt;&gt;$AG91,IFERROR(VLOOKUP($H91,areaCercaPuntiClassificaSquadra,3,FALSE),-1)=IFERROR(VLOOKUP($AG91,areaCercaPuntiClassificaSquadra,3,FALSE),-2)),SUMIFS(Dati!$D$2:$D$761,Dati!$A$2:$A$761,$H91,Dati!$H$2:$H$761,$AG91)+SUMIFS(Dati!$K$2:$K$761,Dati!$H$2:$H$761,$H91,Dati!$A$2:$A$761,$AG91)+SUMIFS(Dati!$C$2:$C$761,Dati!$A$2:$A$761,$H91,Dati!$H$2:$H$761,$AG91)+SUMIFS(Dati!$J$2:$J$761,Dati!$H$2:$H$761,$H91,Dati!$A$2:$A$761,$AG91),"-")</f>
        <v/>
      </c>
      <c r="BZ91" s="22">
        <f>IF(AND($H91&lt;&gt;"",$AH91&lt;&gt;"",$H91&lt;&gt;$AH91,IFERROR(VLOOKUP($H91,areaCercaPuntiClassificaSquadra,3,FALSE),-1)=IFERROR(VLOOKUP($AH91,areaCercaPuntiClassificaSquadra,3,FALSE),-2)),SUMIFS(Dati!$D$2:$D$761,Dati!$A$2:$A$761,$H91,Dati!$H$2:$H$761,$AH91)+SUMIFS(Dati!$K$2:$K$761,Dati!$H$2:$H$761,$H91,Dati!$A$2:$A$761,$AH91)+SUMIFS(Dati!$C$2:$C$761,Dati!$A$2:$A$761,$H91,Dati!$H$2:$H$761,$AH91)+SUMIFS(Dati!$J$2:$J$761,Dati!$H$2:$H$761,$H91,Dati!$A$2:$A$761,$AH91),"-")</f>
        <v/>
      </c>
      <c r="CA91" s="22">
        <f>IF(AND($H91&lt;&gt;"",$AI91&lt;&gt;"",$H91&lt;&gt;$AI91,IFERROR(VLOOKUP($H91,areaCercaPuntiClassificaSquadra,3,FALSE),-1)=IFERROR(VLOOKUP($AI91,areaCercaPuntiClassificaSquadra,3,FALSE),-2)),SUMIFS(Dati!$D$2:$D$761,Dati!$A$2:$A$761,$H91,Dati!$H$2:$H$761,$AI91)+SUMIFS(Dati!$K$2:$K$761,Dati!$H$2:$H$761,$H91,Dati!$A$2:$A$761,$AI91)+SUMIFS(Dati!$C$2:$C$761,Dati!$A$2:$A$761,$H91,Dati!$H$2:$H$761,$AI91)+SUMIFS(Dati!$J$2:$J$761,Dati!$H$2:$H$761,$H91,Dati!$A$2:$A$761,$AI91),"-")</f>
        <v/>
      </c>
      <c r="CB91" s="22">
        <f>IF(AND($H91&lt;&gt;"",$AJ91&lt;&gt;"",$H91&lt;&gt;$AJ91,IFERROR(VLOOKUP($H91,areaCercaPuntiClassificaSquadra,3,FALSE),-1)=IFERROR(VLOOKUP($AJ91,areaCercaPuntiClassificaSquadra,3,FALSE),-2)),SUMIFS(Dati!$D$2:$D$761,Dati!$A$2:$A$761,$H91,Dati!$H$2:$H$761,$AJ91)+SUMIFS(Dati!$K$2:$K$761,Dati!$H$2:$H$761,$H91,Dati!$A$2:$A$761,$AJ91)+SUMIFS(Dati!$C$2:$C$761,Dati!$A$2:$A$761,$H91,Dati!$H$2:$H$761,$AJ91)+SUMIFS(Dati!$J$2:$J$761,Dati!$H$2:$H$761,$H91,Dati!$A$2:$A$761,$AJ91),"-")</f>
        <v/>
      </c>
      <c r="CC91" s="22">
        <f>IF(AND($H91&lt;&gt;"",$AK91&lt;&gt;"",$H91&lt;&gt;$AK91,IFERROR(VLOOKUP($H91,areaCercaPuntiClassificaSquadra,3,FALSE),-1)=IFERROR(VLOOKUP($AK91,areaCercaPuntiClassificaSquadra,3,FALSE),-2)),SUMIFS(Dati!$D$2:$D$761,Dati!$A$2:$A$761,$H91,Dati!$H$2:$H$761,$AK91)+SUMIFS(Dati!$K$2:$K$761,Dati!$H$2:$H$761,$H91,Dati!$A$2:$A$761,$AK91)+SUMIFS(Dati!$C$2:$C$761,Dati!$A$2:$A$761,$H91,Dati!$H$2:$H$761,$AK91)+SUMIFS(Dati!$J$2:$J$761,Dati!$H$2:$H$761,$H91,Dati!$A$2:$A$761,$AK91),"-")</f>
        <v/>
      </c>
      <c r="CD91" s="22">
        <f>IF(AND($H91&lt;&gt;"",$AL91&lt;&gt;"",$H91&lt;&gt;$AL91,IFERROR(VLOOKUP($H91,areaCercaPuntiClassificaSquadra,3,FALSE),-1)=IFERROR(VLOOKUP($AL91,areaCercaPuntiClassificaSquadra,3,FALSE),-2)),SUMIFS(Dati!$D$2:$D$761,Dati!$A$2:$A$761,$H91,Dati!$H$2:$H$761,$AL91)+SUMIFS(Dati!$K$2:$K$761,Dati!$H$2:$H$761,$H91,Dati!$A$2:$A$761,$AL91)+SUMIFS(Dati!$C$2:$C$761,Dati!$A$2:$A$761,$H91,Dati!$H$2:$H$761,$AL91)+SUMIFS(Dati!$J$2:$J$761,Dati!$H$2:$H$761,$H91,Dati!$A$2:$A$761,$AL91),"-")</f>
        <v/>
      </c>
      <c r="CE91" s="22">
        <f>IF(AND($H91&lt;&gt;"",$AM91&lt;&gt;"",$H91&lt;&gt;$AM91,IFERROR(VLOOKUP($H91,areaCercaPuntiClassificaSquadra,3,FALSE),-1)=IFERROR(VLOOKUP($AM91,areaCercaPuntiClassificaSquadra,3,FALSE),-2)),SUMIFS(Dati!$D$2:$D$761,Dati!$A$2:$A$761,$H91,Dati!$H$2:$H$761,$AM91)+SUMIFS(Dati!$K$2:$K$761,Dati!$H$2:$H$761,$H91,Dati!$A$2:$A$761,$AM91)+SUMIFS(Dati!$C$2:$C$761,Dati!$A$2:$A$761,$H91,Dati!$H$2:$H$761,$AM91)+SUMIFS(Dati!$J$2:$J$761,Dati!$H$2:$H$761,$H91,Dati!$A$2:$A$761,$AM91),"-")</f>
        <v/>
      </c>
      <c r="CF91" s="22">
        <f>IF(AND($H91&lt;&gt;"",$AN91&lt;&gt;"",$H91&lt;&gt;$AN91,IFERROR(VLOOKUP($H91,areaCercaPuntiClassificaSquadra,3,FALSE),-1)=IFERROR(VLOOKUP($AN91,areaCercaPuntiClassificaSquadra,3,FALSE),-2)),SUMIFS(Dati!$D$2:$D$761,Dati!$A$2:$A$761,$H91,Dati!$H$2:$H$761,$AN91)+SUMIFS(Dati!$K$2:$K$761,Dati!$H$2:$H$761,$H91,Dati!$A$2:$A$761,$AN91)+SUMIFS(Dati!$C$2:$C$761,Dati!$A$2:$A$761,$H91,Dati!$H$2:$H$761,$AN91)+SUMIFS(Dati!$J$2:$J$761,Dati!$H$2:$H$761,$H91,Dati!$A$2:$A$761,$AN91),"-")</f>
        <v/>
      </c>
      <c r="CG91" s="22">
        <f>IF(AND($H91&lt;&gt;"",$AO91&lt;&gt;"",$H91&lt;&gt;$AO91,IFERROR(VLOOKUP($H91,areaCercaPuntiClassificaSquadra,3,FALSE),-1)=IFERROR(VLOOKUP($AO91,areaCercaPuntiClassificaSquadra,3,FALSE),-2)),SUMIFS(Dati!$D$2:$D$761,Dati!$A$2:$A$761,$H91,Dati!$H$2:$H$761,$AO91)+SUMIFS(Dati!$K$2:$K$761,Dati!$H$2:$H$761,$H91,Dati!$A$2:$A$761,$AO91)+SUMIFS(Dati!$C$2:$C$761,Dati!$A$2:$A$761,$H91,Dati!$H$2:$H$761,$AO91)+SUMIFS(Dati!$J$2:$J$761,Dati!$H$2:$H$761,$H91,Dati!$A$2:$A$761,$AO91),"-")</f>
        <v/>
      </c>
      <c r="CH91" s="22">
        <f>IF(AND($H91&lt;&gt;"",$AP91&lt;&gt;"",$H91&lt;&gt;$AP91,IFERROR(VLOOKUP($H91,areaCercaPuntiClassificaSquadra,3,FALSE),-1)=IFERROR(VLOOKUP($AP91,areaCercaPuntiClassificaSquadra,3,FALSE),-2)),SUMIFS(Dati!$D$2:$D$761,Dati!$A$2:$A$761,$H91,Dati!$H$2:$H$761,$AP91)+SUMIFS(Dati!$K$2:$K$761,Dati!$H$2:$H$761,$H91,Dati!$A$2:$A$761,$AP91)+SUMIFS(Dati!$C$2:$C$761,Dati!$A$2:$A$761,$H91,Dati!$H$2:$H$761,$AP91)+SUMIFS(Dati!$J$2:$J$761,Dati!$H$2:$H$761,$H91,Dati!$A$2:$A$761,$AP91),"-")</f>
        <v/>
      </c>
      <c r="CI91" s="22">
        <f>IF(AND($H91&lt;&gt;"",$AQ91&lt;&gt;"",$H91&lt;&gt;$AQ91,IFERROR(VLOOKUP($H91,areaCercaPuntiClassificaSquadra,3,FALSE),-1)=IFERROR(VLOOKUP($AQ91,areaCercaPuntiClassificaSquadra,3,FALSE),-2)),SUMIFS(Dati!$D$2:$D$761,Dati!$A$2:$A$761,$H91,Dati!$H$2:$H$761,$AQ91)+SUMIFS(Dati!$K$2:$K$761,Dati!$H$2:$H$761,$H91,Dati!$A$2:$A$761,$AQ91)+SUMIFS(Dati!$C$2:$C$761,Dati!$A$2:$A$761,$H91,Dati!$H$2:$H$761,$AQ91)+SUMIFS(Dati!$J$2:$J$761,Dati!$H$2:$H$761,$H91,Dati!$A$2:$A$761,$AQ91),"-")</f>
        <v/>
      </c>
      <c r="CJ91" s="22">
        <f>IF(AND($H91&lt;&gt;"",$AR91&lt;&gt;"",$H91&lt;&gt;$AR91,IFERROR(VLOOKUP($H91,areaCercaPuntiClassificaSquadra,3,FALSE),-1)=IFERROR(VLOOKUP($AR91,areaCercaPuntiClassificaSquadra,3,FALSE),-2)),SUMIFS(Dati!$D$2:$D$761,Dati!$A$2:$A$761,$H91,Dati!$H$2:$H$761,$AR91)+SUMIFS(Dati!$K$2:$K$761,Dati!$H$2:$H$761,$H91,Dati!$A$2:$A$761,$AR91)+SUMIFS(Dati!$C$2:$C$761,Dati!$A$2:$A$761,$H91,Dati!$H$2:$H$761,$AR91)+SUMIFS(Dati!$J$2:$J$761,Dati!$H$2:$H$761,$H91,Dati!$A$2:$A$761,$AR91),"-")</f>
        <v/>
      </c>
      <c r="CL91" s="21">
        <f>$C91</f>
        <v/>
      </c>
      <c r="CM91" s="22">
        <f>IF(AND($H91&lt;&gt;"",$Y91&lt;&gt;"",$H91&lt;&gt;$Y91,IFERROR(VLOOKUP($H91,areaCercaPuntiClassificaSquadra,3,FALSE),-1)=IFERROR(VLOOKUP($Y91,areaCercaPuntiClassificaSquadra,3,FALSE),-2)),SUMIFS(Dati!$E$2:$E$761,Dati!$A$2:$A$761,$H91,Dati!$H$2:$H$761,$Y91)+SUMIFS(Dati!$L$2:$L$761,Dati!$H$2:$H$761,$H91,Dati!$A$2:$A$761,$Y91),"-")</f>
        <v/>
      </c>
      <c r="CN91" s="22">
        <f>IF(AND($H91&lt;&gt;"",$Z91&lt;&gt;"",$H91&lt;&gt;$Z91,IFERROR(VLOOKUP($H91,areaCercaPuntiClassificaSquadra,3,FALSE),-1)=IFERROR(VLOOKUP($Z91,areaCercaPuntiClassificaSquadra,3,FALSE),-2)),SUMIFS(Dati!$E$2:$E$761,Dati!$A$2:$A$761,$H91,Dati!$H$2:$H$761,$Z91)+SUMIFS(Dati!$L$2:$L$761,Dati!$H$2:$H$761,$H91,Dati!$A$2:$A$761,$Z91),"-")</f>
        <v/>
      </c>
      <c r="CO91" s="22">
        <f>IF(AND($H91&lt;&gt;"",$AA91&lt;&gt;"",$H91&lt;&gt;$AA91,IFERROR(VLOOKUP($H91,areaCercaPuntiClassificaSquadra,3,FALSE),-1)=IFERROR(VLOOKUP($AA91,areaCercaPuntiClassificaSquadra,3,FALSE),-2)),SUMIFS(Dati!$E$2:$E$761,Dati!$A$2:$A$761,$H91,Dati!$H$2:$H$761,$AA91)+SUMIFS(Dati!$L$2:$L$761,Dati!$H$2:$H$761,$H91,Dati!$A$2:$A$761,$AA91),"-")</f>
        <v/>
      </c>
      <c r="CP91" s="22">
        <f>IF(AND($H91&lt;&gt;"",$AB91&lt;&gt;"",$H91&lt;&gt;$AB91,IFERROR(VLOOKUP($H91,areaCercaPuntiClassificaSquadra,3,FALSE),-1)=IFERROR(VLOOKUP($AB91,areaCercaPuntiClassificaSquadra,3,FALSE),-2)),SUMIFS(Dati!$E$2:$E$761,Dati!$A$2:$A$761,$H91,Dati!$H$2:$H$761,$AB91)+SUMIFS(Dati!$L$2:$L$761,Dati!$H$2:$H$761,$H91,Dati!$A$2:$A$761,$AB91),"-")</f>
        <v/>
      </c>
      <c r="CQ91" s="22">
        <f>IF(AND($H91&lt;&gt;"",$AC91&lt;&gt;"",$H91&lt;&gt;$AC91,IFERROR(VLOOKUP($H91,areaCercaPuntiClassificaSquadra,3,FALSE),-1)=IFERROR(VLOOKUP($AC91,areaCercaPuntiClassificaSquadra,3,FALSE),-2)),SUMIFS(Dati!$E$2:$E$761,Dati!$A$2:$A$761,$H91,Dati!$H$2:$H$761,$AC91)+SUMIFS(Dati!$L$2:$L$761,Dati!$H$2:$H$761,$H91,Dati!$A$2:$A$761,$AC91),"-")</f>
        <v/>
      </c>
      <c r="CR91" s="22">
        <f>IF(AND($H91&lt;&gt;"",$AD91&lt;&gt;"",$H91&lt;&gt;$AD91,IFERROR(VLOOKUP($H91,areaCercaPuntiClassificaSquadra,3,FALSE),-1)=IFERROR(VLOOKUP($AD91,areaCercaPuntiClassificaSquadra,3,FALSE),-2)),SUMIFS(Dati!$E$2:$E$761,Dati!$A$2:$A$761,$H91,Dati!$H$2:$H$761,$AD91)+SUMIFS(Dati!$L$2:$L$761,Dati!$H$2:$H$761,$H91,Dati!$A$2:$A$761,$AD91),"-")</f>
        <v/>
      </c>
      <c r="CS91" s="22">
        <f>IF(AND($H91&lt;&gt;"",$AE91&lt;&gt;"",$H91&lt;&gt;$AE91,IFERROR(VLOOKUP($H91,areaCercaPuntiClassificaSquadra,3,FALSE),-1)=IFERROR(VLOOKUP($AE91,areaCercaPuntiClassificaSquadra,3,FALSE),-2)),SUMIFS(Dati!$E$2:$E$761,Dati!$A$2:$A$761,$H91,Dati!$H$2:$H$761,$AE91)+SUMIFS(Dati!$L$2:$L$761,Dati!$H$2:$H$761,$H91,Dati!$A$2:$A$761,$AE91),"-")</f>
        <v/>
      </c>
      <c r="CT91" s="22">
        <f>IF(AND($H91&lt;&gt;"",$AF91&lt;&gt;"",$H91&lt;&gt;$AF91,IFERROR(VLOOKUP($H91,areaCercaPuntiClassificaSquadra,3,FALSE),-1)=IFERROR(VLOOKUP($AF91,areaCercaPuntiClassificaSquadra,3,FALSE),-2)),SUMIFS(Dati!$E$2:$E$761,Dati!$A$2:$A$761,$H91,Dati!$H$2:$H$761,$AF91)+SUMIFS(Dati!$L$2:$L$761,Dati!$H$2:$H$761,$H91,Dati!$A$2:$A$761,$AF91),"-")</f>
        <v/>
      </c>
      <c r="CU91" s="22">
        <f>IF(AND($H91&lt;&gt;"",$AG91&lt;&gt;"",$H91&lt;&gt;$AG91,IFERROR(VLOOKUP($H91,areaCercaPuntiClassificaSquadra,3,FALSE),-1)=IFERROR(VLOOKUP($AG91,areaCercaPuntiClassificaSquadra,3,FALSE),-2)),SUMIFS(Dati!$E$2:$E$761,Dati!$A$2:$A$761,$H91,Dati!$H$2:$H$761,$AG91)+SUMIFS(Dati!$L$2:$L$761,Dati!$H$2:$H$761,$H91,Dati!$A$2:$A$761,$AG91),"-")</f>
        <v/>
      </c>
      <c r="CV91" s="22">
        <f>IF(AND($H91&lt;&gt;"",$AH91&lt;&gt;"",$H91&lt;&gt;$AH91,IFERROR(VLOOKUP($H91,areaCercaPuntiClassificaSquadra,3,FALSE),-1)=IFERROR(VLOOKUP($AH91,areaCercaPuntiClassificaSquadra,3,FALSE),-2)),SUMIFS(Dati!$E$2:$E$761,Dati!$A$2:$A$761,$H91,Dati!$H$2:$H$761,$AH91)+SUMIFS(Dati!$L$2:$L$761,Dati!$H$2:$H$761,$H91,Dati!$A$2:$A$761,$AH91),"-")</f>
        <v/>
      </c>
      <c r="CW91" s="22">
        <f>IF(AND($H91&lt;&gt;"",$AI91&lt;&gt;"",$H91&lt;&gt;$AI91,IFERROR(VLOOKUP($H91,areaCercaPuntiClassificaSquadra,3,FALSE),-1)=IFERROR(VLOOKUP($AI91,areaCercaPuntiClassificaSquadra,3,FALSE),-2)),SUMIFS(Dati!$E$2:$E$761,Dati!$A$2:$A$761,$H91,Dati!$H$2:$H$761,$AI91)+SUMIFS(Dati!$L$2:$L$761,Dati!$H$2:$H$761,$H91,Dati!$A$2:$A$761,$AI91),"-")</f>
        <v/>
      </c>
      <c r="CX91" s="22">
        <f>IF(AND($H91&lt;&gt;"",$AJ91&lt;&gt;"",$H91&lt;&gt;$AJ91,IFERROR(VLOOKUP($H91,areaCercaPuntiClassificaSquadra,3,FALSE),-1)=IFERROR(VLOOKUP($AJ91,areaCercaPuntiClassificaSquadra,3,FALSE),-2)),SUMIFS(Dati!$E$2:$E$761,Dati!$A$2:$A$761,$H91,Dati!$H$2:$H$761,$AJ91)+SUMIFS(Dati!$L$2:$L$761,Dati!$H$2:$H$761,$H91,Dati!$A$2:$A$761,$AJ91),"-")</f>
        <v/>
      </c>
      <c r="CY91" s="22">
        <f>IF(AND($H91&lt;&gt;"",$AK91&lt;&gt;"",$H91&lt;&gt;$AK91,IFERROR(VLOOKUP($H91,areaCercaPuntiClassificaSquadra,3,FALSE),-1)=IFERROR(VLOOKUP($AK91,areaCercaPuntiClassificaSquadra,3,FALSE),-2)),SUMIFS(Dati!$E$2:$E$761,Dati!$A$2:$A$761,$H91,Dati!$H$2:$H$761,$AK91)+SUMIFS(Dati!$L$2:$L$761,Dati!$H$2:$H$761,$H91,Dati!$A$2:$A$761,$AK91),"-")</f>
        <v/>
      </c>
      <c r="CZ91" s="22">
        <f>IF(AND($H91&lt;&gt;"",$AL91&lt;&gt;"",$H91&lt;&gt;$AL91,IFERROR(VLOOKUP($H91,areaCercaPuntiClassificaSquadra,3,FALSE),-1)=IFERROR(VLOOKUP($AL91,areaCercaPuntiClassificaSquadra,3,FALSE),-2)),SUMIFS(Dati!$E$2:$E$761,Dati!$A$2:$A$761,$H91,Dati!$H$2:$H$761,$AL91)+SUMIFS(Dati!$L$2:$L$761,Dati!$H$2:$H$761,$H91,Dati!$A$2:$A$761,$AL91),"-")</f>
        <v/>
      </c>
      <c r="DA91" s="22">
        <f>IF(AND($H91&lt;&gt;"",$AM91&lt;&gt;"",$H91&lt;&gt;$AM91,IFERROR(VLOOKUP($H91,areaCercaPuntiClassificaSquadra,3,FALSE),-1)=IFERROR(VLOOKUP($AM91,areaCercaPuntiClassificaSquadra,3,FALSE),-2)),SUMIFS(Dati!$E$2:$E$761,Dati!$A$2:$A$761,$H91,Dati!$H$2:$H$761,$AM91)+SUMIFS(Dati!$L$2:$L$761,Dati!$H$2:$H$761,$H91,Dati!$A$2:$A$761,$AM91),"-")</f>
        <v/>
      </c>
      <c r="DB91" s="22">
        <f>IF(AND($H91&lt;&gt;"",$AN91&lt;&gt;"",$H91&lt;&gt;$AN91,IFERROR(VLOOKUP($H91,areaCercaPuntiClassificaSquadra,3,FALSE),-1)=IFERROR(VLOOKUP($AN91,areaCercaPuntiClassificaSquadra,3,FALSE),-2)),SUMIFS(Dati!$E$2:$E$761,Dati!$A$2:$A$761,$H91,Dati!$H$2:$H$761,$AN91)+SUMIFS(Dati!$L$2:$L$761,Dati!$H$2:$H$761,$H91,Dati!$A$2:$A$761,$AN91),"-")</f>
        <v/>
      </c>
      <c r="DC91" s="22">
        <f>IF(AND($H91&lt;&gt;"",$AO91&lt;&gt;"",$H91&lt;&gt;$AO91,IFERROR(VLOOKUP($H91,areaCercaPuntiClassificaSquadra,3,FALSE),-1)=IFERROR(VLOOKUP($AO91,areaCercaPuntiClassificaSquadra,3,FALSE),-2)),SUMIFS(Dati!$E$2:$E$761,Dati!$A$2:$A$761,$H91,Dati!$H$2:$H$761,$AO91)+SUMIFS(Dati!$L$2:$L$761,Dati!$H$2:$H$761,$H91,Dati!$A$2:$A$761,$AO91),"-")</f>
        <v/>
      </c>
      <c r="DD91" s="22">
        <f>IF(AND($H91&lt;&gt;"",$AP91&lt;&gt;"",$H91&lt;&gt;$AP91,IFERROR(VLOOKUP($H91,areaCercaPuntiClassificaSquadra,3,FALSE),-1)=IFERROR(VLOOKUP($AP91,areaCercaPuntiClassificaSquadra,3,FALSE),-2)),SUMIFS(Dati!$E$2:$E$761,Dati!$A$2:$A$761,$H91,Dati!$H$2:$H$761,$AP91)+SUMIFS(Dati!$L$2:$L$761,Dati!$H$2:$H$761,$H91,Dati!$A$2:$A$761,$AP91),"-")</f>
        <v/>
      </c>
      <c r="DE91" s="22">
        <f>IF(AND($H91&lt;&gt;"",$AQ91&lt;&gt;"",$H91&lt;&gt;$AQ91,IFERROR(VLOOKUP($H91,areaCercaPuntiClassificaSquadra,3,FALSE),-1)=IFERROR(VLOOKUP($AQ91,areaCercaPuntiClassificaSquadra,3,FALSE),-2)),SUMIFS(Dati!$E$2:$E$761,Dati!$A$2:$A$761,$H91,Dati!$H$2:$H$761,$AQ91)+SUMIFS(Dati!$L$2:$L$761,Dati!$H$2:$H$761,$H91,Dati!$A$2:$A$761,$AQ91),"-")</f>
        <v/>
      </c>
      <c r="DF91" s="22">
        <f>IF(AND($H91&lt;&gt;"",$AR91&lt;&gt;"",$H91&lt;&gt;$AR91,IFERROR(VLOOKUP($H91,areaCercaPuntiClassificaSquadra,3,FALSE),-1)=IFERROR(VLOOKUP($AR91,areaCercaPuntiClassificaSquadra,3,FALSE),-2)),SUMIFS(Dati!$E$2:$E$761,Dati!$A$2:$A$761,$H91,Dati!$H$2:$H$761,$AR91)+SUMIFS(Dati!$L$2:$L$761,Dati!$H$2:$H$761,$H91,Dati!$A$2:$A$761,$AR91),"-")</f>
        <v/>
      </c>
      <c r="DH91" s="21">
        <f>$C91</f>
        <v/>
      </c>
      <c r="DI91" s="22">
        <f>IF(AND($H91&lt;&gt;"",$Y91&lt;&gt;"",$H91&lt;&gt;$Y91,IFERROR(VLOOKUP($H91,areaCercaPuntiClassificaSquadra,3,FALSE),-1)=IFERROR(VLOOKUP($Y91,areaCercaPuntiClassificaSquadra,3,FALSE),-2)),SUMIFS(Dati!$F$2:$F$761,Dati!$A$2:$A$761,$H91,Dati!$H$2:$H$761,$Y91)+SUMIFS(Dati!$M$2:$M$761,Dati!$H$2:$H$761,$H91,Dati!$A$2:$A$761,$Y91),"-")</f>
        <v/>
      </c>
      <c r="DJ91" s="22">
        <f>IF(AND($H91&lt;&gt;"",$Z91&lt;&gt;"",$H91&lt;&gt;$Z91,IFERROR(VLOOKUP($H91,areaCercaPuntiClassificaSquadra,3,FALSE),-1)=IFERROR(VLOOKUP($Z91,areaCercaPuntiClassificaSquadra,3,FALSE),-2)),SUMIFS(Dati!$F$2:$F$761,Dati!$A$2:$A$761,$H91,Dati!$H$2:$H$761,$Z91)+SUMIFS(Dati!$M$2:$M$761,Dati!$H$2:$H$761,$H91,Dati!$A$2:$A$761,$Z91),"-")</f>
        <v/>
      </c>
      <c r="DK91" s="22">
        <f>IF(AND($H91&lt;&gt;"",$AA91&lt;&gt;"",$H91&lt;&gt;$AA91,IFERROR(VLOOKUP($H91,areaCercaPuntiClassificaSquadra,3,FALSE),-1)=IFERROR(VLOOKUP($AA91,areaCercaPuntiClassificaSquadra,3,FALSE),-2)),SUMIFS(Dati!$F$2:$F$761,Dati!$A$2:$A$761,$H91,Dati!$H$2:$H$761,$AA91)+SUMIFS(Dati!$M$2:$M$761,Dati!$H$2:$H$761,$H91,Dati!$A$2:$A$761,$AA91),"-")</f>
        <v/>
      </c>
      <c r="DL91" s="22">
        <f>IF(AND($H91&lt;&gt;"",$AB91&lt;&gt;"",$H91&lt;&gt;$AB91,IFERROR(VLOOKUP($H91,areaCercaPuntiClassificaSquadra,3,FALSE),-1)=IFERROR(VLOOKUP($AB91,areaCercaPuntiClassificaSquadra,3,FALSE),-2)),SUMIFS(Dati!$F$2:$F$761,Dati!$A$2:$A$761,$H91,Dati!$H$2:$H$761,$AB91)+SUMIFS(Dati!$M$2:$M$761,Dati!$H$2:$H$761,$H91,Dati!$A$2:$A$761,$AB91),"-")</f>
        <v/>
      </c>
      <c r="DM91" s="22">
        <f>IF(AND($H91&lt;&gt;"",$AC91&lt;&gt;"",$H91&lt;&gt;$AC91,IFERROR(VLOOKUP($H91,areaCercaPuntiClassificaSquadra,3,FALSE),-1)=IFERROR(VLOOKUP($AC91,areaCercaPuntiClassificaSquadra,3,FALSE),-2)),SUMIFS(Dati!$F$2:$F$761,Dati!$A$2:$A$761,$H91,Dati!$H$2:$H$761,$AC91)+SUMIFS(Dati!$M$2:$M$761,Dati!$H$2:$H$761,$H91,Dati!$A$2:$A$761,$AC91),"-")</f>
        <v/>
      </c>
      <c r="DN91" s="22">
        <f>IF(AND($H91&lt;&gt;"",$AD91&lt;&gt;"",$H91&lt;&gt;$AD91,IFERROR(VLOOKUP($H91,areaCercaPuntiClassificaSquadra,3,FALSE),-1)=IFERROR(VLOOKUP($AD91,areaCercaPuntiClassificaSquadra,3,FALSE),-2)),SUMIFS(Dati!$F$2:$F$761,Dati!$A$2:$A$761,$H91,Dati!$H$2:$H$761,$AD91)+SUMIFS(Dati!$M$2:$M$761,Dati!$H$2:$H$761,$H91,Dati!$A$2:$A$761,$AD91),"-")</f>
        <v/>
      </c>
      <c r="DO91" s="22">
        <f>IF(AND($H91&lt;&gt;"",$AE91&lt;&gt;"",$H91&lt;&gt;$AE91,IFERROR(VLOOKUP($H91,areaCercaPuntiClassificaSquadra,3,FALSE),-1)=IFERROR(VLOOKUP($AE91,areaCercaPuntiClassificaSquadra,3,FALSE),-2)),SUMIFS(Dati!$F$2:$F$761,Dati!$A$2:$A$761,$H91,Dati!$H$2:$H$761,$AE91)+SUMIFS(Dati!$M$2:$M$761,Dati!$H$2:$H$761,$H91,Dati!$A$2:$A$761,$AE91),"-")</f>
        <v/>
      </c>
      <c r="DP91" s="22">
        <f>IF(AND($H91&lt;&gt;"",$AF91&lt;&gt;"",$H91&lt;&gt;$AF91,IFERROR(VLOOKUP($H91,areaCercaPuntiClassificaSquadra,3,FALSE),-1)=IFERROR(VLOOKUP($AF91,areaCercaPuntiClassificaSquadra,3,FALSE),-2)),SUMIFS(Dati!$F$2:$F$761,Dati!$A$2:$A$761,$H91,Dati!$H$2:$H$761,$AF91)+SUMIFS(Dati!$M$2:$M$761,Dati!$H$2:$H$761,$H91,Dati!$A$2:$A$761,$AF91),"-")</f>
        <v/>
      </c>
      <c r="DQ91" s="22">
        <f>IF(AND($H91&lt;&gt;"",$AG91&lt;&gt;"",$H91&lt;&gt;$AG91,IFERROR(VLOOKUP($H91,areaCercaPuntiClassificaSquadra,3,FALSE),-1)=IFERROR(VLOOKUP($AG91,areaCercaPuntiClassificaSquadra,3,FALSE),-2)),SUMIFS(Dati!$F$2:$F$761,Dati!$A$2:$A$761,$H91,Dati!$H$2:$H$761,$AG91)+SUMIFS(Dati!$M$2:$M$761,Dati!$H$2:$H$761,$H91,Dati!$A$2:$A$761,$AG91),"-")</f>
        <v/>
      </c>
      <c r="DR91" s="22">
        <f>IF(AND($H91&lt;&gt;"",$AH91&lt;&gt;"",$H91&lt;&gt;$AH91,IFERROR(VLOOKUP($H91,areaCercaPuntiClassificaSquadra,3,FALSE),-1)=IFERROR(VLOOKUP($AH91,areaCercaPuntiClassificaSquadra,3,FALSE),-2)),SUMIFS(Dati!$F$2:$F$761,Dati!$A$2:$A$761,$H91,Dati!$H$2:$H$761,$AH91)+SUMIFS(Dati!$M$2:$M$761,Dati!$H$2:$H$761,$H91,Dati!$A$2:$A$761,$AH91),"-")</f>
        <v/>
      </c>
      <c r="DS91" s="22">
        <f>IF(AND($H91&lt;&gt;"",$AI91&lt;&gt;"",$H91&lt;&gt;$AI91,IFERROR(VLOOKUP($H91,areaCercaPuntiClassificaSquadra,3,FALSE),-1)=IFERROR(VLOOKUP($AI91,areaCercaPuntiClassificaSquadra,3,FALSE),-2)),SUMIFS(Dati!$F$2:$F$761,Dati!$A$2:$A$761,$H91,Dati!$H$2:$H$761,$AI91)+SUMIFS(Dati!$M$2:$M$761,Dati!$H$2:$H$761,$H91,Dati!$A$2:$A$761,$AI91),"-")</f>
        <v/>
      </c>
      <c r="DT91" s="22">
        <f>IF(AND($H91&lt;&gt;"",$AJ91&lt;&gt;"",$H91&lt;&gt;$AJ91,IFERROR(VLOOKUP($H91,areaCercaPuntiClassificaSquadra,3,FALSE),-1)=IFERROR(VLOOKUP($AJ91,areaCercaPuntiClassificaSquadra,3,FALSE),-2)),SUMIFS(Dati!$F$2:$F$761,Dati!$A$2:$A$761,$H91,Dati!$H$2:$H$761,$AJ91)+SUMIFS(Dati!$M$2:$M$761,Dati!$H$2:$H$761,$H91,Dati!$A$2:$A$761,$AJ91),"-")</f>
        <v/>
      </c>
      <c r="DU91" s="22">
        <f>IF(AND($H91&lt;&gt;"",$AK91&lt;&gt;"",$H91&lt;&gt;$AK91,IFERROR(VLOOKUP($H91,areaCercaPuntiClassificaSquadra,3,FALSE),-1)=IFERROR(VLOOKUP($AK91,areaCercaPuntiClassificaSquadra,3,FALSE),-2)),SUMIFS(Dati!$F$2:$F$761,Dati!$A$2:$A$761,$H91,Dati!$H$2:$H$761,$AK91)+SUMIFS(Dati!$M$2:$M$761,Dati!$H$2:$H$761,$H91,Dati!$A$2:$A$761,$AK91),"-")</f>
        <v/>
      </c>
      <c r="DV91" s="22">
        <f>IF(AND($H91&lt;&gt;"",$AL91&lt;&gt;"",$H91&lt;&gt;$AL91,IFERROR(VLOOKUP($H91,areaCercaPuntiClassificaSquadra,3,FALSE),-1)=IFERROR(VLOOKUP($AL91,areaCercaPuntiClassificaSquadra,3,FALSE),-2)),SUMIFS(Dati!$F$2:$F$761,Dati!$A$2:$A$761,$H91,Dati!$H$2:$H$761,$AL91)+SUMIFS(Dati!$M$2:$M$761,Dati!$H$2:$H$761,$H91,Dati!$A$2:$A$761,$AL91),"-")</f>
        <v/>
      </c>
      <c r="DW91" s="22">
        <f>IF(AND($H91&lt;&gt;"",$AM91&lt;&gt;"",$H91&lt;&gt;$AM91,IFERROR(VLOOKUP($H91,areaCercaPuntiClassificaSquadra,3,FALSE),-1)=IFERROR(VLOOKUP($AM91,areaCercaPuntiClassificaSquadra,3,FALSE),-2)),SUMIFS(Dati!$F$2:$F$761,Dati!$A$2:$A$761,$H91,Dati!$H$2:$H$761,$AM91)+SUMIFS(Dati!$M$2:$M$761,Dati!$H$2:$H$761,$H91,Dati!$A$2:$A$761,$AM91),"-")</f>
        <v/>
      </c>
      <c r="DX91" s="22">
        <f>IF(AND($H91&lt;&gt;"",$AN91&lt;&gt;"",$H91&lt;&gt;$AN91,IFERROR(VLOOKUP($H91,areaCercaPuntiClassificaSquadra,3,FALSE),-1)=IFERROR(VLOOKUP($AN91,areaCercaPuntiClassificaSquadra,3,FALSE),-2)),SUMIFS(Dati!$F$2:$F$761,Dati!$A$2:$A$761,$H91,Dati!$H$2:$H$761,$AN91)+SUMIFS(Dati!$M$2:$M$761,Dati!$H$2:$H$761,$H91,Dati!$A$2:$A$761,$AN91),"-")</f>
        <v/>
      </c>
      <c r="DY91" s="22">
        <f>IF(AND($H91&lt;&gt;"",$AO91&lt;&gt;"",$H91&lt;&gt;$AO91,IFERROR(VLOOKUP($H91,areaCercaPuntiClassificaSquadra,3,FALSE),-1)=IFERROR(VLOOKUP($AO91,areaCercaPuntiClassificaSquadra,3,FALSE),-2)),SUMIFS(Dati!$F$2:$F$761,Dati!$A$2:$A$761,$H91,Dati!$H$2:$H$761,$AO91)+SUMIFS(Dati!$M$2:$M$761,Dati!$H$2:$H$761,$H91,Dati!$A$2:$A$761,$AO91),"-")</f>
        <v/>
      </c>
      <c r="DZ91" s="22">
        <f>IF(AND($H91&lt;&gt;"",$AP91&lt;&gt;"",$H91&lt;&gt;$AP91,IFERROR(VLOOKUP($H91,areaCercaPuntiClassificaSquadra,3,FALSE),-1)=IFERROR(VLOOKUP($AP91,areaCercaPuntiClassificaSquadra,3,FALSE),-2)),SUMIFS(Dati!$F$2:$F$761,Dati!$A$2:$A$761,$H91,Dati!$H$2:$H$761,$AP91)+SUMIFS(Dati!$M$2:$M$761,Dati!$H$2:$H$761,$H91,Dati!$A$2:$A$761,$AP91),"-")</f>
        <v/>
      </c>
      <c r="EA91" s="22">
        <f>IF(AND($H91&lt;&gt;"",$AQ91&lt;&gt;"",$H91&lt;&gt;$AQ91,IFERROR(VLOOKUP($H91,areaCercaPuntiClassificaSquadra,3,FALSE),-1)=IFERROR(VLOOKUP($AQ91,areaCercaPuntiClassificaSquadra,3,FALSE),-2)),SUMIFS(Dati!$F$2:$F$761,Dati!$A$2:$A$761,$H91,Dati!$H$2:$H$761,$AQ91)+SUMIFS(Dati!$M$2:$M$761,Dati!$H$2:$H$761,$H91,Dati!$A$2:$A$761,$AQ91),"-")</f>
        <v/>
      </c>
      <c r="EB91" s="22">
        <f>IF(AND($H91&lt;&gt;"",$AR91&lt;&gt;"",$H91&lt;&gt;$AR91,IFERROR(VLOOKUP($H91,areaCercaPuntiClassificaSquadra,3,FALSE),-1)=IFERROR(VLOOKUP($AR91,areaCercaPuntiClassificaSquadra,3,FALSE),-2)),SUMIFS(Dati!$F$2:$F$761,Dati!$A$2:$A$761,$H91,Dati!$H$2:$H$761,$AR91)+SUMIFS(Dati!$M$2:$M$761,Dati!$H$2:$H$761,$H91,Dati!$A$2:$A$761,$AR91),"-")</f>
        <v/>
      </c>
      <c r="ED91" s="22">
        <f>IF($C91="","",SUM(AU91:BN91))</f>
        <v/>
      </c>
    </row>
    <row r="92">
      <c r="B92" s="12" t="inlineStr">
        <is>
          <t>D19</t>
        </is>
      </c>
      <c r="C92" s="13" t="inlineStr">
        <is>
          <t>Nandu Nobili-Nanduopoli NO</t>
        </is>
      </c>
      <c r="D92" s="14" t="n"/>
      <c r="E92" s="27" t="inlineStr">
        <is>
          <t>D</t>
        </is>
      </c>
      <c r="G92" s="28">
        <f>IF($C92="","",$E92&amp;(COUNTIFS(I$14:I$93,"&gt;"&amp;I92,E$14:E$93,"="&amp;E92,C$14:C$93,"&lt;&gt;")+COUNTIFS(I$14:I$93,"="&amp;I92,H$14:H$93,"&lt;="&amp;H92,E$14:E$93,"="&amp;E92,C$14:C$93,"&lt;&gt;")))</f>
        <v/>
      </c>
      <c r="H92" s="17">
        <f>IF($C92="","",IFERROR(LEFT($C92,FIND("-",$C92)-1),$C92))</f>
        <v/>
      </c>
      <c r="I92" s="12">
        <f>TEXT(1000000000+J92,"|0000000000|")&amp;TEXT(SUM(AU92:BN92),"0000000000|")&amp;IF(SUM(DI92:EB92)=0,"0000000000|",TEXT(ROUND(SUM(CM92:DF92)/SUM(DI92:EB92),4)*100000,"0000000000|"))&amp;IF(P92=0,"0000000000|",TEXT(ROUND(O92/P92,4)*100000,"0000000000|"))</f>
        <v/>
      </c>
      <c r="J92" s="28">
        <f>L92*constPuntiVittoria+M92*constPuntiSconfitta+N92*constPuntiForfait+IF(D92="",0,D92)</f>
        <v/>
      </c>
      <c r="K92" s="12">
        <f>SUM(L92:N92)</f>
        <v/>
      </c>
      <c r="L92" s="12">
        <f>IF($H92="",0,SUMIF(Dati!$A$2:$A$761,$H92,Dati!$B$2:$B$761)+SUMIF(Dati!$H$2:$H$761,$H92,Dati!$I$2:$I$761))</f>
        <v/>
      </c>
      <c r="M92" s="12">
        <f>IF($H92="",0,SUMIF(Dati!$A$2:$A$761,$H92,Dati!$D$2:$D$761)+SUMIF(Dati!$H$2:$H$761,$H92,Dati!$K$2:$K$761))</f>
        <v/>
      </c>
      <c r="N92" s="12">
        <f>IF($H92="",0,SUMIF(Dati!$A$2:$A$761,$H92,Dati!$C$2:$C$761)+SUMIF(Dati!$H$2:$H$761,$H92,Dati!$J$2:$J$761))</f>
        <v/>
      </c>
      <c r="O92" s="12">
        <f>IF($H92="",0,SUMIF(Dati!$A$2:$A$761,$H92,Dati!$E$2:$E$761)+SUMIF(Dati!$H$2:$H$761,$H92,Dati!$L$2:$L$761))</f>
        <v/>
      </c>
      <c r="P92" s="12">
        <f>IF($H92="",0,SUMIF(Dati!$A$2:$A$761,$H92,Dati!$F$2:$F$761)+SUMIF(Dati!$H$2:$H$761,$H92,Dati!$M$2:$M$761))</f>
        <v/>
      </c>
      <c r="Q92" s="12">
        <f>IF($H92="",0,SUMIF(Dati!$A$2:$A$761,$H92,Dati!$G$2:$G$761)+SUMIF(Dati!$H$2:$H$761,$H92,Dati!$N$2:$N$761))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IF(COUNTIFS($E$14:$E$93,$E92,$J$14:$J$93,$J92,$C$14:$C$93,"&lt;&gt;")&lt;=1,"-",SUM(AU92:BN92)&amp;"-"&amp;SUM(BQ92:CJ92))</f>
        <v/>
      </c>
      <c r="V92" s="18">
        <f>IF(COUNTIFS($E$14:$E$93,$E92,$J$14:$J$93,$J92,$C$14:$C$93,"&lt;&gt;",$ED$14:$ED$93,$ED92)&lt;=1,"-",IF(SUM(DI92:EB92)=0,0,ROUND(SUM(CM92:DF92)/SUM(DI92:EB92),3)))</f>
        <v/>
      </c>
      <c r="W92" s="18">
        <f>IF(COUNTIFS($E$14:$E$93,$E92,$J$14:$J$93,$J92,$C$14:$C$93,"&lt;&gt;",$ED$14:$ED$93,$ED92,$V$14:$V$93,$V92)&lt;=1,"-",IF(P92=0,0,ROUND(O92/P92,3)))</f>
        <v/>
      </c>
      <c r="X92" s="19">
        <f>IF($C92="","",$E92&amp;"#"&amp;COUNTIFS($E$14:$E92,$E92,$C$14:$C92,"&lt;&gt;"))</f>
        <v/>
      </c>
      <c r="Y92" s="20">
        <f>IFERROR(INDEX($H$14:$H$93,MATCH($E92&amp;"#1",$X$14:$X$93,0)),"")</f>
        <v/>
      </c>
      <c r="Z92" s="20">
        <f>IFERROR(INDEX($H$14:$H$93,MATCH($E92&amp;"#2",$X$14:$X$93,0)),"")</f>
        <v/>
      </c>
      <c r="AA92" s="20">
        <f>IFERROR(INDEX($H$14:$H$93,MATCH($E92&amp;"#3",$X$14:$X$93,0)),"")</f>
        <v/>
      </c>
      <c r="AB92" s="20">
        <f>IFERROR(INDEX($H$14:$H$93,MATCH($E92&amp;"#4",$X$14:$X$93,0)),"")</f>
        <v/>
      </c>
      <c r="AC92" s="20">
        <f>IFERROR(INDEX($H$14:$H$93,MATCH($E92&amp;"#5",$X$14:$X$93,0)),"")</f>
        <v/>
      </c>
      <c r="AD92" s="20">
        <f>IFERROR(INDEX($H$14:$H$93,MATCH($E92&amp;"#6",$X$14:$X$93,0)),"")</f>
        <v/>
      </c>
      <c r="AE92" s="20">
        <f>IFERROR(INDEX($H$14:$H$93,MATCH($E92&amp;"#7",$X$14:$X$93,0)),"")</f>
        <v/>
      </c>
      <c r="AF92" s="20">
        <f>IFERROR(INDEX($H$14:$H$93,MATCH($E92&amp;"#8",$X$14:$X$93,0)),"")</f>
        <v/>
      </c>
      <c r="AG92" s="20">
        <f>IFERROR(INDEX($H$14:$H$93,MATCH($E92&amp;"#9",$X$14:$X$93,0)),"")</f>
        <v/>
      </c>
      <c r="AH92" s="20">
        <f>IFERROR(INDEX($H$14:$H$93,MATCH($E92&amp;"#10",$X$14:$X$93,0)),"")</f>
        <v/>
      </c>
      <c r="AI92" s="20">
        <f>IFERROR(INDEX($H$14:$H$93,MATCH($E92&amp;"#11",$X$14:$X$93,0)),"")</f>
        <v/>
      </c>
      <c r="AJ92" s="20">
        <f>IFERROR(INDEX($H$14:$H$93,MATCH($E92&amp;"#12",$X$14:$X$93,0)),"")</f>
        <v/>
      </c>
      <c r="AK92" s="20">
        <f>IFERROR(INDEX($H$14:$H$93,MATCH($E92&amp;"#13",$X$14:$X$93,0)),"")</f>
        <v/>
      </c>
      <c r="AL92" s="20">
        <f>IFERROR(INDEX($H$14:$H$93,MATCH($E92&amp;"#14",$X$14:$X$93,0)),"")</f>
        <v/>
      </c>
      <c r="AM92" s="20">
        <f>IFERROR(INDEX($H$14:$H$93,MATCH($E92&amp;"#15",$X$14:$X$93,0)),"")</f>
        <v/>
      </c>
      <c r="AN92" s="20">
        <f>IFERROR(INDEX($H$14:$H$93,MATCH($E92&amp;"#16",$X$14:$X$93,0)),"")</f>
        <v/>
      </c>
      <c r="AO92" s="20">
        <f>IFERROR(INDEX($H$14:$H$93,MATCH($E92&amp;"#17",$X$14:$X$93,0)),"")</f>
        <v/>
      </c>
      <c r="AP92" s="20">
        <f>IFERROR(INDEX($H$14:$H$93,MATCH($E92&amp;"#18",$X$14:$X$93,0)),"")</f>
        <v/>
      </c>
      <c r="AQ92" s="20">
        <f>IFERROR(INDEX($H$14:$H$93,MATCH($E92&amp;"#19",$X$14:$X$93,0)),"")</f>
        <v/>
      </c>
      <c r="AR92" s="20">
        <f>IFERROR(INDEX($H$14:$H$93,MATCH($E92&amp;"#20",$X$14:$X$93,0)),"")</f>
        <v/>
      </c>
      <c r="AT92" s="21">
        <f>$C92</f>
        <v/>
      </c>
      <c r="AU92" s="22">
        <f>IF(AND($H92&lt;&gt;"",$Y92&lt;&gt;"",$H92&lt;&gt;$Y92,IFERROR(VLOOKUP($H92,areaCercaPuntiClassificaSquadra,3,FALSE),-1)=IFERROR(VLOOKUP($Y92,areaCercaPuntiClassificaSquadra,3,FALSE),-2)),SUMIFS(Dati!$B$2:$B$761,Dati!$A$2:$A$761,$H92,Dati!$H$2:$H$761,$Y92)+SUMIFS(Dati!$I$2:$I$761,Dati!$H$2:$H$761,$H92,Dati!$A$2:$A$761,$Y92),"-")</f>
        <v/>
      </c>
      <c r="AV92" s="22">
        <f>IF(AND($H92&lt;&gt;"",$Z92&lt;&gt;"",$H92&lt;&gt;$Z92,IFERROR(VLOOKUP($H92,areaCercaPuntiClassificaSquadra,3,FALSE),-1)=IFERROR(VLOOKUP($Z92,areaCercaPuntiClassificaSquadra,3,FALSE),-2)),SUMIFS(Dati!$B$2:$B$761,Dati!$A$2:$A$761,$H92,Dati!$H$2:$H$761,$Z92)+SUMIFS(Dati!$I$2:$I$761,Dati!$H$2:$H$761,$H92,Dati!$A$2:$A$761,$Z92),"-")</f>
        <v/>
      </c>
      <c r="AW92" s="22">
        <f>IF(AND($H92&lt;&gt;"",$AA92&lt;&gt;"",$H92&lt;&gt;$AA92,IFERROR(VLOOKUP($H92,areaCercaPuntiClassificaSquadra,3,FALSE),-1)=IFERROR(VLOOKUP($AA92,areaCercaPuntiClassificaSquadra,3,FALSE),-2)),SUMIFS(Dati!$B$2:$B$761,Dati!$A$2:$A$761,$H92,Dati!$H$2:$H$761,$AA92)+SUMIFS(Dati!$I$2:$I$761,Dati!$H$2:$H$761,$H92,Dati!$A$2:$A$761,$AA92),"-")</f>
        <v/>
      </c>
      <c r="AX92" s="22">
        <f>IF(AND($H92&lt;&gt;"",$AB92&lt;&gt;"",$H92&lt;&gt;$AB92,IFERROR(VLOOKUP($H92,areaCercaPuntiClassificaSquadra,3,FALSE),-1)=IFERROR(VLOOKUP($AB92,areaCercaPuntiClassificaSquadra,3,FALSE),-2)),SUMIFS(Dati!$B$2:$B$761,Dati!$A$2:$A$761,$H92,Dati!$H$2:$H$761,$AB92)+SUMIFS(Dati!$I$2:$I$761,Dati!$H$2:$H$761,$H92,Dati!$A$2:$A$761,$AB92),"-")</f>
        <v/>
      </c>
      <c r="AY92" s="22">
        <f>IF(AND($H92&lt;&gt;"",$AC92&lt;&gt;"",$H92&lt;&gt;$AC92,IFERROR(VLOOKUP($H92,areaCercaPuntiClassificaSquadra,3,FALSE),-1)=IFERROR(VLOOKUP($AC92,areaCercaPuntiClassificaSquadra,3,FALSE),-2)),SUMIFS(Dati!$B$2:$B$761,Dati!$A$2:$A$761,$H92,Dati!$H$2:$H$761,$AC92)+SUMIFS(Dati!$I$2:$I$761,Dati!$H$2:$H$761,$H92,Dati!$A$2:$A$761,$AC92),"-")</f>
        <v/>
      </c>
      <c r="AZ92" s="22">
        <f>IF(AND($H92&lt;&gt;"",$AD92&lt;&gt;"",$H92&lt;&gt;$AD92,IFERROR(VLOOKUP($H92,areaCercaPuntiClassificaSquadra,3,FALSE),-1)=IFERROR(VLOOKUP($AD92,areaCercaPuntiClassificaSquadra,3,FALSE),-2)),SUMIFS(Dati!$B$2:$B$761,Dati!$A$2:$A$761,$H92,Dati!$H$2:$H$761,$AD92)+SUMIFS(Dati!$I$2:$I$761,Dati!$H$2:$H$761,$H92,Dati!$A$2:$A$761,$AD92),"-")</f>
        <v/>
      </c>
      <c r="BA92" s="22">
        <f>IF(AND($H92&lt;&gt;"",$AE92&lt;&gt;"",$H92&lt;&gt;$AE92,IFERROR(VLOOKUP($H92,areaCercaPuntiClassificaSquadra,3,FALSE),-1)=IFERROR(VLOOKUP($AE92,areaCercaPuntiClassificaSquadra,3,FALSE),-2)),SUMIFS(Dati!$B$2:$B$761,Dati!$A$2:$A$761,$H92,Dati!$H$2:$H$761,$AE92)+SUMIFS(Dati!$I$2:$I$761,Dati!$H$2:$H$761,$H92,Dati!$A$2:$A$761,$AE92),"-")</f>
        <v/>
      </c>
      <c r="BB92" s="22">
        <f>IF(AND($H92&lt;&gt;"",$AF92&lt;&gt;"",$H92&lt;&gt;$AF92,IFERROR(VLOOKUP($H92,areaCercaPuntiClassificaSquadra,3,FALSE),-1)=IFERROR(VLOOKUP($AF92,areaCercaPuntiClassificaSquadra,3,FALSE),-2)),SUMIFS(Dati!$B$2:$B$761,Dati!$A$2:$A$761,$H92,Dati!$H$2:$H$761,$AF92)+SUMIFS(Dati!$I$2:$I$761,Dati!$H$2:$H$761,$H92,Dati!$A$2:$A$761,$AF92),"-")</f>
        <v/>
      </c>
      <c r="BC92" s="22">
        <f>IF(AND($H92&lt;&gt;"",$AG92&lt;&gt;"",$H92&lt;&gt;$AG92,IFERROR(VLOOKUP($H92,areaCercaPuntiClassificaSquadra,3,FALSE),-1)=IFERROR(VLOOKUP($AG92,areaCercaPuntiClassificaSquadra,3,FALSE),-2)),SUMIFS(Dati!$B$2:$B$761,Dati!$A$2:$A$761,$H92,Dati!$H$2:$H$761,$AG92)+SUMIFS(Dati!$I$2:$I$761,Dati!$H$2:$H$761,$H92,Dati!$A$2:$A$761,$AG92),"-")</f>
        <v/>
      </c>
      <c r="BD92" s="22">
        <f>IF(AND($H92&lt;&gt;"",$AH92&lt;&gt;"",$H92&lt;&gt;$AH92,IFERROR(VLOOKUP($H92,areaCercaPuntiClassificaSquadra,3,FALSE),-1)=IFERROR(VLOOKUP($AH92,areaCercaPuntiClassificaSquadra,3,FALSE),-2)),SUMIFS(Dati!$B$2:$B$761,Dati!$A$2:$A$761,$H92,Dati!$H$2:$H$761,$AH92)+SUMIFS(Dati!$I$2:$I$761,Dati!$H$2:$H$761,$H92,Dati!$A$2:$A$761,$AH92),"-")</f>
        <v/>
      </c>
      <c r="BE92" s="22">
        <f>IF(AND($H92&lt;&gt;"",$AI92&lt;&gt;"",$H92&lt;&gt;$AI92,IFERROR(VLOOKUP($H92,areaCercaPuntiClassificaSquadra,3,FALSE),-1)=IFERROR(VLOOKUP($AI92,areaCercaPuntiClassificaSquadra,3,FALSE),-2)),SUMIFS(Dati!$B$2:$B$761,Dati!$A$2:$A$761,$H92,Dati!$H$2:$H$761,$AI92)+SUMIFS(Dati!$I$2:$I$761,Dati!$H$2:$H$761,$H92,Dati!$A$2:$A$761,$AI92),"-")</f>
        <v/>
      </c>
      <c r="BF92" s="22">
        <f>IF(AND($H92&lt;&gt;"",$AJ92&lt;&gt;"",$H92&lt;&gt;$AJ92,IFERROR(VLOOKUP($H92,areaCercaPuntiClassificaSquadra,3,FALSE),-1)=IFERROR(VLOOKUP($AJ92,areaCercaPuntiClassificaSquadra,3,FALSE),-2)),SUMIFS(Dati!$B$2:$B$761,Dati!$A$2:$A$761,$H92,Dati!$H$2:$H$761,$AJ92)+SUMIFS(Dati!$I$2:$I$761,Dati!$H$2:$H$761,$H92,Dati!$A$2:$A$761,$AJ92),"-")</f>
        <v/>
      </c>
      <c r="BG92" s="22">
        <f>IF(AND($H92&lt;&gt;"",$AK92&lt;&gt;"",$H92&lt;&gt;$AK92,IFERROR(VLOOKUP($H92,areaCercaPuntiClassificaSquadra,3,FALSE),-1)=IFERROR(VLOOKUP($AK92,areaCercaPuntiClassificaSquadra,3,FALSE),-2)),SUMIFS(Dati!$B$2:$B$761,Dati!$A$2:$A$761,$H92,Dati!$H$2:$H$761,$AK92)+SUMIFS(Dati!$I$2:$I$761,Dati!$H$2:$H$761,$H92,Dati!$A$2:$A$761,$AK92),"-")</f>
        <v/>
      </c>
      <c r="BH92" s="22">
        <f>IF(AND($H92&lt;&gt;"",$AL92&lt;&gt;"",$H92&lt;&gt;$AL92,IFERROR(VLOOKUP($H92,areaCercaPuntiClassificaSquadra,3,FALSE),-1)=IFERROR(VLOOKUP($AL92,areaCercaPuntiClassificaSquadra,3,FALSE),-2)),SUMIFS(Dati!$B$2:$B$761,Dati!$A$2:$A$761,$H92,Dati!$H$2:$H$761,$AL92)+SUMIFS(Dati!$I$2:$I$761,Dati!$H$2:$H$761,$H92,Dati!$A$2:$A$761,$AL92),"-")</f>
        <v/>
      </c>
      <c r="BI92" s="22">
        <f>IF(AND($H92&lt;&gt;"",$AM92&lt;&gt;"",$H92&lt;&gt;$AM92,IFERROR(VLOOKUP($H92,areaCercaPuntiClassificaSquadra,3,FALSE),-1)=IFERROR(VLOOKUP($AM92,areaCercaPuntiClassificaSquadra,3,FALSE),-2)),SUMIFS(Dati!$B$2:$B$761,Dati!$A$2:$A$761,$H92,Dati!$H$2:$H$761,$AM92)+SUMIFS(Dati!$I$2:$I$761,Dati!$H$2:$H$761,$H92,Dati!$A$2:$A$761,$AM92),"-")</f>
        <v/>
      </c>
      <c r="BJ92" s="22">
        <f>IF(AND($H92&lt;&gt;"",$AN92&lt;&gt;"",$H92&lt;&gt;$AN92,IFERROR(VLOOKUP($H92,areaCercaPuntiClassificaSquadra,3,FALSE),-1)=IFERROR(VLOOKUP($AN92,areaCercaPuntiClassificaSquadra,3,FALSE),-2)),SUMIFS(Dati!$B$2:$B$761,Dati!$A$2:$A$761,$H92,Dati!$H$2:$H$761,$AN92)+SUMIFS(Dati!$I$2:$I$761,Dati!$H$2:$H$761,$H92,Dati!$A$2:$A$761,$AN92),"-")</f>
        <v/>
      </c>
      <c r="BK92" s="22">
        <f>IF(AND($H92&lt;&gt;"",$AO92&lt;&gt;"",$H92&lt;&gt;$AO92,IFERROR(VLOOKUP($H92,areaCercaPuntiClassificaSquadra,3,FALSE),-1)=IFERROR(VLOOKUP($AO92,areaCercaPuntiClassificaSquadra,3,FALSE),-2)),SUMIFS(Dati!$B$2:$B$761,Dati!$A$2:$A$761,$H92,Dati!$H$2:$H$761,$AO92)+SUMIFS(Dati!$I$2:$I$761,Dati!$H$2:$H$761,$H92,Dati!$A$2:$A$761,$AO92),"-")</f>
        <v/>
      </c>
      <c r="BL92" s="22">
        <f>IF(AND($H92&lt;&gt;"",$AP92&lt;&gt;"",$H92&lt;&gt;$AP92,IFERROR(VLOOKUP($H92,areaCercaPuntiClassificaSquadra,3,FALSE),-1)=IFERROR(VLOOKUP($AP92,areaCercaPuntiClassificaSquadra,3,FALSE),-2)),SUMIFS(Dati!$B$2:$B$761,Dati!$A$2:$A$761,$H92,Dati!$H$2:$H$761,$AP92)+SUMIFS(Dati!$I$2:$I$761,Dati!$H$2:$H$761,$H92,Dati!$A$2:$A$761,$AP92),"-")</f>
        <v/>
      </c>
      <c r="BM92" s="22">
        <f>IF(AND($H92&lt;&gt;"",$AQ92&lt;&gt;"",$H92&lt;&gt;$AQ92,IFERROR(VLOOKUP($H92,areaCercaPuntiClassificaSquadra,3,FALSE),-1)=IFERROR(VLOOKUP($AQ92,areaCercaPuntiClassificaSquadra,3,FALSE),-2)),SUMIFS(Dati!$B$2:$B$761,Dati!$A$2:$A$761,$H92,Dati!$H$2:$H$761,$AQ92)+SUMIFS(Dati!$I$2:$I$761,Dati!$H$2:$H$761,$H92,Dati!$A$2:$A$761,$AQ92),"-")</f>
        <v/>
      </c>
      <c r="BN92" s="22">
        <f>IF(AND($H92&lt;&gt;"",$AR92&lt;&gt;"",$H92&lt;&gt;$AR92,IFERROR(VLOOKUP($H92,areaCercaPuntiClassificaSquadra,3,FALSE),-1)=IFERROR(VLOOKUP($AR92,areaCercaPuntiClassificaSquadra,3,FALSE),-2)),SUMIFS(Dati!$B$2:$B$761,Dati!$A$2:$A$761,$H92,Dati!$H$2:$H$761,$AR92)+SUMIFS(Dati!$I$2:$I$761,Dati!$H$2:$H$761,$H92,Dati!$A$2:$A$761,$AR92),"-")</f>
        <v/>
      </c>
      <c r="BP92" s="21">
        <f>$C92</f>
        <v/>
      </c>
      <c r="BQ92" s="22">
        <f>IF(AND($H92&lt;&gt;"",$Y92&lt;&gt;"",$H92&lt;&gt;$Y92,IFERROR(VLOOKUP($H92,areaCercaPuntiClassificaSquadra,3,FALSE),-1)=IFERROR(VLOOKUP($Y92,areaCercaPuntiClassificaSquadra,3,FALSE),-2)),SUMIFS(Dati!$D$2:$D$761,Dati!$A$2:$A$761,$H92,Dati!$H$2:$H$761,$Y92)+SUMIFS(Dati!$K$2:$K$761,Dati!$H$2:$H$761,$H92,Dati!$A$2:$A$761,$Y92)+SUMIFS(Dati!$C$2:$C$761,Dati!$A$2:$A$761,$H92,Dati!$H$2:$H$761,$Y92)+SUMIFS(Dati!$J$2:$J$761,Dati!$H$2:$H$761,$H92,Dati!$A$2:$A$761,$Y92),"-")</f>
        <v/>
      </c>
      <c r="BR92" s="22">
        <f>IF(AND($H92&lt;&gt;"",$Z92&lt;&gt;"",$H92&lt;&gt;$Z92,IFERROR(VLOOKUP($H92,areaCercaPuntiClassificaSquadra,3,FALSE),-1)=IFERROR(VLOOKUP($Z92,areaCercaPuntiClassificaSquadra,3,FALSE),-2)),SUMIFS(Dati!$D$2:$D$761,Dati!$A$2:$A$761,$H92,Dati!$H$2:$H$761,$Z92)+SUMIFS(Dati!$K$2:$K$761,Dati!$H$2:$H$761,$H92,Dati!$A$2:$A$761,$Z92)+SUMIFS(Dati!$C$2:$C$761,Dati!$A$2:$A$761,$H92,Dati!$H$2:$H$761,$Z92)+SUMIFS(Dati!$J$2:$J$761,Dati!$H$2:$H$761,$H92,Dati!$A$2:$A$761,$Z92),"-")</f>
        <v/>
      </c>
      <c r="BS92" s="22">
        <f>IF(AND($H92&lt;&gt;"",$AA92&lt;&gt;"",$H92&lt;&gt;$AA92,IFERROR(VLOOKUP($H92,areaCercaPuntiClassificaSquadra,3,FALSE),-1)=IFERROR(VLOOKUP($AA92,areaCercaPuntiClassificaSquadra,3,FALSE),-2)),SUMIFS(Dati!$D$2:$D$761,Dati!$A$2:$A$761,$H92,Dati!$H$2:$H$761,$AA92)+SUMIFS(Dati!$K$2:$K$761,Dati!$H$2:$H$761,$H92,Dati!$A$2:$A$761,$AA92)+SUMIFS(Dati!$C$2:$C$761,Dati!$A$2:$A$761,$H92,Dati!$H$2:$H$761,$AA92)+SUMIFS(Dati!$J$2:$J$761,Dati!$H$2:$H$761,$H92,Dati!$A$2:$A$761,$AA92),"-")</f>
        <v/>
      </c>
      <c r="BT92" s="22">
        <f>IF(AND($H92&lt;&gt;"",$AB92&lt;&gt;"",$H92&lt;&gt;$AB92,IFERROR(VLOOKUP($H92,areaCercaPuntiClassificaSquadra,3,FALSE),-1)=IFERROR(VLOOKUP($AB92,areaCercaPuntiClassificaSquadra,3,FALSE),-2)),SUMIFS(Dati!$D$2:$D$761,Dati!$A$2:$A$761,$H92,Dati!$H$2:$H$761,$AB92)+SUMIFS(Dati!$K$2:$K$761,Dati!$H$2:$H$761,$H92,Dati!$A$2:$A$761,$AB92)+SUMIFS(Dati!$C$2:$C$761,Dati!$A$2:$A$761,$H92,Dati!$H$2:$H$761,$AB92)+SUMIFS(Dati!$J$2:$J$761,Dati!$H$2:$H$761,$H92,Dati!$A$2:$A$761,$AB92),"-")</f>
        <v/>
      </c>
      <c r="BU92" s="22">
        <f>IF(AND($H92&lt;&gt;"",$AC92&lt;&gt;"",$H92&lt;&gt;$AC92,IFERROR(VLOOKUP($H92,areaCercaPuntiClassificaSquadra,3,FALSE),-1)=IFERROR(VLOOKUP($AC92,areaCercaPuntiClassificaSquadra,3,FALSE),-2)),SUMIFS(Dati!$D$2:$D$761,Dati!$A$2:$A$761,$H92,Dati!$H$2:$H$761,$AC92)+SUMIFS(Dati!$K$2:$K$761,Dati!$H$2:$H$761,$H92,Dati!$A$2:$A$761,$AC92)+SUMIFS(Dati!$C$2:$C$761,Dati!$A$2:$A$761,$H92,Dati!$H$2:$H$761,$AC92)+SUMIFS(Dati!$J$2:$J$761,Dati!$H$2:$H$761,$H92,Dati!$A$2:$A$761,$AC92),"-")</f>
        <v/>
      </c>
      <c r="BV92" s="22">
        <f>IF(AND($H92&lt;&gt;"",$AD92&lt;&gt;"",$H92&lt;&gt;$AD92,IFERROR(VLOOKUP($H92,areaCercaPuntiClassificaSquadra,3,FALSE),-1)=IFERROR(VLOOKUP($AD92,areaCercaPuntiClassificaSquadra,3,FALSE),-2)),SUMIFS(Dati!$D$2:$D$761,Dati!$A$2:$A$761,$H92,Dati!$H$2:$H$761,$AD92)+SUMIFS(Dati!$K$2:$K$761,Dati!$H$2:$H$761,$H92,Dati!$A$2:$A$761,$AD92)+SUMIFS(Dati!$C$2:$C$761,Dati!$A$2:$A$761,$H92,Dati!$H$2:$H$761,$AD92)+SUMIFS(Dati!$J$2:$J$761,Dati!$H$2:$H$761,$H92,Dati!$A$2:$A$761,$AD92),"-")</f>
        <v/>
      </c>
      <c r="BW92" s="22">
        <f>IF(AND($H92&lt;&gt;"",$AE92&lt;&gt;"",$H92&lt;&gt;$AE92,IFERROR(VLOOKUP($H92,areaCercaPuntiClassificaSquadra,3,FALSE),-1)=IFERROR(VLOOKUP($AE92,areaCercaPuntiClassificaSquadra,3,FALSE),-2)),SUMIFS(Dati!$D$2:$D$761,Dati!$A$2:$A$761,$H92,Dati!$H$2:$H$761,$AE92)+SUMIFS(Dati!$K$2:$K$761,Dati!$H$2:$H$761,$H92,Dati!$A$2:$A$761,$AE92)+SUMIFS(Dati!$C$2:$C$761,Dati!$A$2:$A$761,$H92,Dati!$H$2:$H$761,$AE92)+SUMIFS(Dati!$J$2:$J$761,Dati!$H$2:$H$761,$H92,Dati!$A$2:$A$761,$AE92),"-")</f>
        <v/>
      </c>
      <c r="BX92" s="22">
        <f>IF(AND($H92&lt;&gt;"",$AF92&lt;&gt;"",$H92&lt;&gt;$AF92,IFERROR(VLOOKUP($H92,areaCercaPuntiClassificaSquadra,3,FALSE),-1)=IFERROR(VLOOKUP($AF92,areaCercaPuntiClassificaSquadra,3,FALSE),-2)),SUMIFS(Dati!$D$2:$D$761,Dati!$A$2:$A$761,$H92,Dati!$H$2:$H$761,$AF92)+SUMIFS(Dati!$K$2:$K$761,Dati!$H$2:$H$761,$H92,Dati!$A$2:$A$761,$AF92)+SUMIFS(Dati!$C$2:$C$761,Dati!$A$2:$A$761,$H92,Dati!$H$2:$H$761,$AF92)+SUMIFS(Dati!$J$2:$J$761,Dati!$H$2:$H$761,$H92,Dati!$A$2:$A$761,$AF92),"-")</f>
        <v/>
      </c>
      <c r="BY92" s="22">
        <f>IF(AND($H92&lt;&gt;"",$AG92&lt;&gt;"",$H92&lt;&gt;$AG92,IFERROR(VLOOKUP($H92,areaCercaPuntiClassificaSquadra,3,FALSE),-1)=IFERROR(VLOOKUP($AG92,areaCercaPuntiClassificaSquadra,3,FALSE),-2)),SUMIFS(Dati!$D$2:$D$761,Dati!$A$2:$A$761,$H92,Dati!$H$2:$H$761,$AG92)+SUMIFS(Dati!$K$2:$K$761,Dati!$H$2:$H$761,$H92,Dati!$A$2:$A$761,$AG92)+SUMIFS(Dati!$C$2:$C$761,Dati!$A$2:$A$761,$H92,Dati!$H$2:$H$761,$AG92)+SUMIFS(Dati!$J$2:$J$761,Dati!$H$2:$H$761,$H92,Dati!$A$2:$A$761,$AG92),"-")</f>
        <v/>
      </c>
      <c r="BZ92" s="22">
        <f>IF(AND($H92&lt;&gt;"",$AH92&lt;&gt;"",$H92&lt;&gt;$AH92,IFERROR(VLOOKUP($H92,areaCercaPuntiClassificaSquadra,3,FALSE),-1)=IFERROR(VLOOKUP($AH92,areaCercaPuntiClassificaSquadra,3,FALSE),-2)),SUMIFS(Dati!$D$2:$D$761,Dati!$A$2:$A$761,$H92,Dati!$H$2:$H$761,$AH92)+SUMIFS(Dati!$K$2:$K$761,Dati!$H$2:$H$761,$H92,Dati!$A$2:$A$761,$AH92)+SUMIFS(Dati!$C$2:$C$761,Dati!$A$2:$A$761,$H92,Dati!$H$2:$H$761,$AH92)+SUMIFS(Dati!$J$2:$J$761,Dati!$H$2:$H$761,$H92,Dati!$A$2:$A$761,$AH92),"-")</f>
        <v/>
      </c>
      <c r="CA92" s="22">
        <f>IF(AND($H92&lt;&gt;"",$AI92&lt;&gt;"",$H92&lt;&gt;$AI92,IFERROR(VLOOKUP($H92,areaCercaPuntiClassificaSquadra,3,FALSE),-1)=IFERROR(VLOOKUP($AI92,areaCercaPuntiClassificaSquadra,3,FALSE),-2)),SUMIFS(Dati!$D$2:$D$761,Dati!$A$2:$A$761,$H92,Dati!$H$2:$H$761,$AI92)+SUMIFS(Dati!$K$2:$K$761,Dati!$H$2:$H$761,$H92,Dati!$A$2:$A$761,$AI92)+SUMIFS(Dati!$C$2:$C$761,Dati!$A$2:$A$761,$H92,Dati!$H$2:$H$761,$AI92)+SUMIFS(Dati!$J$2:$J$761,Dati!$H$2:$H$761,$H92,Dati!$A$2:$A$761,$AI92),"-")</f>
        <v/>
      </c>
      <c r="CB92" s="22">
        <f>IF(AND($H92&lt;&gt;"",$AJ92&lt;&gt;"",$H92&lt;&gt;$AJ92,IFERROR(VLOOKUP($H92,areaCercaPuntiClassificaSquadra,3,FALSE),-1)=IFERROR(VLOOKUP($AJ92,areaCercaPuntiClassificaSquadra,3,FALSE),-2)),SUMIFS(Dati!$D$2:$D$761,Dati!$A$2:$A$761,$H92,Dati!$H$2:$H$761,$AJ92)+SUMIFS(Dati!$K$2:$K$761,Dati!$H$2:$H$761,$H92,Dati!$A$2:$A$761,$AJ92)+SUMIFS(Dati!$C$2:$C$761,Dati!$A$2:$A$761,$H92,Dati!$H$2:$H$761,$AJ92)+SUMIFS(Dati!$J$2:$J$761,Dati!$H$2:$H$761,$H92,Dati!$A$2:$A$761,$AJ92),"-")</f>
        <v/>
      </c>
      <c r="CC92" s="22">
        <f>IF(AND($H92&lt;&gt;"",$AK92&lt;&gt;"",$H92&lt;&gt;$AK92,IFERROR(VLOOKUP($H92,areaCercaPuntiClassificaSquadra,3,FALSE),-1)=IFERROR(VLOOKUP($AK92,areaCercaPuntiClassificaSquadra,3,FALSE),-2)),SUMIFS(Dati!$D$2:$D$761,Dati!$A$2:$A$761,$H92,Dati!$H$2:$H$761,$AK92)+SUMIFS(Dati!$K$2:$K$761,Dati!$H$2:$H$761,$H92,Dati!$A$2:$A$761,$AK92)+SUMIFS(Dati!$C$2:$C$761,Dati!$A$2:$A$761,$H92,Dati!$H$2:$H$761,$AK92)+SUMIFS(Dati!$J$2:$J$761,Dati!$H$2:$H$761,$H92,Dati!$A$2:$A$761,$AK92),"-")</f>
        <v/>
      </c>
      <c r="CD92" s="22">
        <f>IF(AND($H92&lt;&gt;"",$AL92&lt;&gt;"",$H92&lt;&gt;$AL92,IFERROR(VLOOKUP($H92,areaCercaPuntiClassificaSquadra,3,FALSE),-1)=IFERROR(VLOOKUP($AL92,areaCercaPuntiClassificaSquadra,3,FALSE),-2)),SUMIFS(Dati!$D$2:$D$761,Dati!$A$2:$A$761,$H92,Dati!$H$2:$H$761,$AL92)+SUMIFS(Dati!$K$2:$K$761,Dati!$H$2:$H$761,$H92,Dati!$A$2:$A$761,$AL92)+SUMIFS(Dati!$C$2:$C$761,Dati!$A$2:$A$761,$H92,Dati!$H$2:$H$761,$AL92)+SUMIFS(Dati!$J$2:$J$761,Dati!$H$2:$H$761,$H92,Dati!$A$2:$A$761,$AL92),"-")</f>
        <v/>
      </c>
      <c r="CE92" s="22">
        <f>IF(AND($H92&lt;&gt;"",$AM92&lt;&gt;"",$H92&lt;&gt;$AM92,IFERROR(VLOOKUP($H92,areaCercaPuntiClassificaSquadra,3,FALSE),-1)=IFERROR(VLOOKUP($AM92,areaCercaPuntiClassificaSquadra,3,FALSE),-2)),SUMIFS(Dati!$D$2:$D$761,Dati!$A$2:$A$761,$H92,Dati!$H$2:$H$761,$AM92)+SUMIFS(Dati!$K$2:$K$761,Dati!$H$2:$H$761,$H92,Dati!$A$2:$A$761,$AM92)+SUMIFS(Dati!$C$2:$C$761,Dati!$A$2:$A$761,$H92,Dati!$H$2:$H$761,$AM92)+SUMIFS(Dati!$J$2:$J$761,Dati!$H$2:$H$761,$H92,Dati!$A$2:$A$761,$AM92),"-")</f>
        <v/>
      </c>
      <c r="CF92" s="22">
        <f>IF(AND($H92&lt;&gt;"",$AN92&lt;&gt;"",$H92&lt;&gt;$AN92,IFERROR(VLOOKUP($H92,areaCercaPuntiClassificaSquadra,3,FALSE),-1)=IFERROR(VLOOKUP($AN92,areaCercaPuntiClassificaSquadra,3,FALSE),-2)),SUMIFS(Dati!$D$2:$D$761,Dati!$A$2:$A$761,$H92,Dati!$H$2:$H$761,$AN92)+SUMIFS(Dati!$K$2:$K$761,Dati!$H$2:$H$761,$H92,Dati!$A$2:$A$761,$AN92)+SUMIFS(Dati!$C$2:$C$761,Dati!$A$2:$A$761,$H92,Dati!$H$2:$H$761,$AN92)+SUMIFS(Dati!$J$2:$J$761,Dati!$H$2:$H$761,$H92,Dati!$A$2:$A$761,$AN92),"-")</f>
        <v/>
      </c>
      <c r="CG92" s="22">
        <f>IF(AND($H92&lt;&gt;"",$AO92&lt;&gt;"",$H92&lt;&gt;$AO92,IFERROR(VLOOKUP($H92,areaCercaPuntiClassificaSquadra,3,FALSE),-1)=IFERROR(VLOOKUP($AO92,areaCercaPuntiClassificaSquadra,3,FALSE),-2)),SUMIFS(Dati!$D$2:$D$761,Dati!$A$2:$A$761,$H92,Dati!$H$2:$H$761,$AO92)+SUMIFS(Dati!$K$2:$K$761,Dati!$H$2:$H$761,$H92,Dati!$A$2:$A$761,$AO92)+SUMIFS(Dati!$C$2:$C$761,Dati!$A$2:$A$761,$H92,Dati!$H$2:$H$761,$AO92)+SUMIFS(Dati!$J$2:$J$761,Dati!$H$2:$H$761,$H92,Dati!$A$2:$A$761,$AO92),"-")</f>
        <v/>
      </c>
      <c r="CH92" s="22">
        <f>IF(AND($H92&lt;&gt;"",$AP92&lt;&gt;"",$H92&lt;&gt;$AP92,IFERROR(VLOOKUP($H92,areaCercaPuntiClassificaSquadra,3,FALSE),-1)=IFERROR(VLOOKUP($AP92,areaCercaPuntiClassificaSquadra,3,FALSE),-2)),SUMIFS(Dati!$D$2:$D$761,Dati!$A$2:$A$761,$H92,Dati!$H$2:$H$761,$AP92)+SUMIFS(Dati!$K$2:$K$761,Dati!$H$2:$H$761,$H92,Dati!$A$2:$A$761,$AP92)+SUMIFS(Dati!$C$2:$C$761,Dati!$A$2:$A$761,$H92,Dati!$H$2:$H$761,$AP92)+SUMIFS(Dati!$J$2:$J$761,Dati!$H$2:$H$761,$H92,Dati!$A$2:$A$761,$AP92),"-")</f>
        <v/>
      </c>
      <c r="CI92" s="22">
        <f>IF(AND($H92&lt;&gt;"",$AQ92&lt;&gt;"",$H92&lt;&gt;$AQ92,IFERROR(VLOOKUP($H92,areaCercaPuntiClassificaSquadra,3,FALSE),-1)=IFERROR(VLOOKUP($AQ92,areaCercaPuntiClassificaSquadra,3,FALSE),-2)),SUMIFS(Dati!$D$2:$D$761,Dati!$A$2:$A$761,$H92,Dati!$H$2:$H$761,$AQ92)+SUMIFS(Dati!$K$2:$K$761,Dati!$H$2:$H$761,$H92,Dati!$A$2:$A$761,$AQ92)+SUMIFS(Dati!$C$2:$C$761,Dati!$A$2:$A$761,$H92,Dati!$H$2:$H$761,$AQ92)+SUMIFS(Dati!$J$2:$J$761,Dati!$H$2:$H$761,$H92,Dati!$A$2:$A$761,$AQ92),"-")</f>
        <v/>
      </c>
      <c r="CJ92" s="22">
        <f>IF(AND($H92&lt;&gt;"",$AR92&lt;&gt;"",$H92&lt;&gt;$AR92,IFERROR(VLOOKUP($H92,areaCercaPuntiClassificaSquadra,3,FALSE),-1)=IFERROR(VLOOKUP($AR92,areaCercaPuntiClassificaSquadra,3,FALSE),-2)),SUMIFS(Dati!$D$2:$D$761,Dati!$A$2:$A$761,$H92,Dati!$H$2:$H$761,$AR92)+SUMIFS(Dati!$K$2:$K$761,Dati!$H$2:$H$761,$H92,Dati!$A$2:$A$761,$AR92)+SUMIFS(Dati!$C$2:$C$761,Dati!$A$2:$A$761,$H92,Dati!$H$2:$H$761,$AR92)+SUMIFS(Dati!$J$2:$J$761,Dati!$H$2:$H$761,$H92,Dati!$A$2:$A$761,$AR92),"-")</f>
        <v/>
      </c>
      <c r="CL92" s="21">
        <f>$C92</f>
        <v/>
      </c>
      <c r="CM92" s="22">
        <f>IF(AND($H92&lt;&gt;"",$Y92&lt;&gt;"",$H92&lt;&gt;$Y92,IFERROR(VLOOKUP($H92,areaCercaPuntiClassificaSquadra,3,FALSE),-1)=IFERROR(VLOOKUP($Y92,areaCercaPuntiClassificaSquadra,3,FALSE),-2)),SUMIFS(Dati!$E$2:$E$761,Dati!$A$2:$A$761,$H92,Dati!$H$2:$H$761,$Y92)+SUMIFS(Dati!$L$2:$L$761,Dati!$H$2:$H$761,$H92,Dati!$A$2:$A$761,$Y92),"-")</f>
        <v/>
      </c>
      <c r="CN92" s="22">
        <f>IF(AND($H92&lt;&gt;"",$Z92&lt;&gt;"",$H92&lt;&gt;$Z92,IFERROR(VLOOKUP($H92,areaCercaPuntiClassificaSquadra,3,FALSE),-1)=IFERROR(VLOOKUP($Z92,areaCercaPuntiClassificaSquadra,3,FALSE),-2)),SUMIFS(Dati!$E$2:$E$761,Dati!$A$2:$A$761,$H92,Dati!$H$2:$H$761,$Z92)+SUMIFS(Dati!$L$2:$L$761,Dati!$H$2:$H$761,$H92,Dati!$A$2:$A$761,$Z92),"-")</f>
        <v/>
      </c>
      <c r="CO92" s="22">
        <f>IF(AND($H92&lt;&gt;"",$AA92&lt;&gt;"",$H92&lt;&gt;$AA92,IFERROR(VLOOKUP($H92,areaCercaPuntiClassificaSquadra,3,FALSE),-1)=IFERROR(VLOOKUP($AA92,areaCercaPuntiClassificaSquadra,3,FALSE),-2)),SUMIFS(Dati!$E$2:$E$761,Dati!$A$2:$A$761,$H92,Dati!$H$2:$H$761,$AA92)+SUMIFS(Dati!$L$2:$L$761,Dati!$H$2:$H$761,$H92,Dati!$A$2:$A$761,$AA92),"-")</f>
        <v/>
      </c>
      <c r="CP92" s="22">
        <f>IF(AND($H92&lt;&gt;"",$AB92&lt;&gt;"",$H92&lt;&gt;$AB92,IFERROR(VLOOKUP($H92,areaCercaPuntiClassificaSquadra,3,FALSE),-1)=IFERROR(VLOOKUP($AB92,areaCercaPuntiClassificaSquadra,3,FALSE),-2)),SUMIFS(Dati!$E$2:$E$761,Dati!$A$2:$A$761,$H92,Dati!$H$2:$H$761,$AB92)+SUMIFS(Dati!$L$2:$L$761,Dati!$H$2:$H$761,$H92,Dati!$A$2:$A$761,$AB92),"-")</f>
        <v/>
      </c>
      <c r="CQ92" s="22">
        <f>IF(AND($H92&lt;&gt;"",$AC92&lt;&gt;"",$H92&lt;&gt;$AC92,IFERROR(VLOOKUP($H92,areaCercaPuntiClassificaSquadra,3,FALSE),-1)=IFERROR(VLOOKUP($AC92,areaCercaPuntiClassificaSquadra,3,FALSE),-2)),SUMIFS(Dati!$E$2:$E$761,Dati!$A$2:$A$761,$H92,Dati!$H$2:$H$761,$AC92)+SUMIFS(Dati!$L$2:$L$761,Dati!$H$2:$H$761,$H92,Dati!$A$2:$A$761,$AC92),"-")</f>
        <v/>
      </c>
      <c r="CR92" s="22">
        <f>IF(AND($H92&lt;&gt;"",$AD92&lt;&gt;"",$H92&lt;&gt;$AD92,IFERROR(VLOOKUP($H92,areaCercaPuntiClassificaSquadra,3,FALSE),-1)=IFERROR(VLOOKUP($AD92,areaCercaPuntiClassificaSquadra,3,FALSE),-2)),SUMIFS(Dati!$E$2:$E$761,Dati!$A$2:$A$761,$H92,Dati!$H$2:$H$761,$AD92)+SUMIFS(Dati!$L$2:$L$761,Dati!$H$2:$H$761,$H92,Dati!$A$2:$A$761,$AD92),"-")</f>
        <v/>
      </c>
      <c r="CS92" s="22">
        <f>IF(AND($H92&lt;&gt;"",$AE92&lt;&gt;"",$H92&lt;&gt;$AE92,IFERROR(VLOOKUP($H92,areaCercaPuntiClassificaSquadra,3,FALSE),-1)=IFERROR(VLOOKUP($AE92,areaCercaPuntiClassificaSquadra,3,FALSE),-2)),SUMIFS(Dati!$E$2:$E$761,Dati!$A$2:$A$761,$H92,Dati!$H$2:$H$761,$AE92)+SUMIFS(Dati!$L$2:$L$761,Dati!$H$2:$H$761,$H92,Dati!$A$2:$A$761,$AE92),"-")</f>
        <v/>
      </c>
      <c r="CT92" s="22">
        <f>IF(AND($H92&lt;&gt;"",$AF92&lt;&gt;"",$H92&lt;&gt;$AF92,IFERROR(VLOOKUP($H92,areaCercaPuntiClassificaSquadra,3,FALSE),-1)=IFERROR(VLOOKUP($AF92,areaCercaPuntiClassificaSquadra,3,FALSE),-2)),SUMIFS(Dati!$E$2:$E$761,Dati!$A$2:$A$761,$H92,Dati!$H$2:$H$761,$AF92)+SUMIFS(Dati!$L$2:$L$761,Dati!$H$2:$H$761,$H92,Dati!$A$2:$A$761,$AF92),"-")</f>
        <v/>
      </c>
      <c r="CU92" s="22">
        <f>IF(AND($H92&lt;&gt;"",$AG92&lt;&gt;"",$H92&lt;&gt;$AG92,IFERROR(VLOOKUP($H92,areaCercaPuntiClassificaSquadra,3,FALSE),-1)=IFERROR(VLOOKUP($AG92,areaCercaPuntiClassificaSquadra,3,FALSE),-2)),SUMIFS(Dati!$E$2:$E$761,Dati!$A$2:$A$761,$H92,Dati!$H$2:$H$761,$AG92)+SUMIFS(Dati!$L$2:$L$761,Dati!$H$2:$H$761,$H92,Dati!$A$2:$A$761,$AG92),"-")</f>
        <v/>
      </c>
      <c r="CV92" s="22">
        <f>IF(AND($H92&lt;&gt;"",$AH92&lt;&gt;"",$H92&lt;&gt;$AH92,IFERROR(VLOOKUP($H92,areaCercaPuntiClassificaSquadra,3,FALSE),-1)=IFERROR(VLOOKUP($AH92,areaCercaPuntiClassificaSquadra,3,FALSE),-2)),SUMIFS(Dati!$E$2:$E$761,Dati!$A$2:$A$761,$H92,Dati!$H$2:$H$761,$AH92)+SUMIFS(Dati!$L$2:$L$761,Dati!$H$2:$H$761,$H92,Dati!$A$2:$A$761,$AH92),"-")</f>
        <v/>
      </c>
      <c r="CW92" s="22">
        <f>IF(AND($H92&lt;&gt;"",$AI92&lt;&gt;"",$H92&lt;&gt;$AI92,IFERROR(VLOOKUP($H92,areaCercaPuntiClassificaSquadra,3,FALSE),-1)=IFERROR(VLOOKUP($AI92,areaCercaPuntiClassificaSquadra,3,FALSE),-2)),SUMIFS(Dati!$E$2:$E$761,Dati!$A$2:$A$761,$H92,Dati!$H$2:$H$761,$AI92)+SUMIFS(Dati!$L$2:$L$761,Dati!$H$2:$H$761,$H92,Dati!$A$2:$A$761,$AI92),"-")</f>
        <v/>
      </c>
      <c r="CX92" s="22">
        <f>IF(AND($H92&lt;&gt;"",$AJ92&lt;&gt;"",$H92&lt;&gt;$AJ92,IFERROR(VLOOKUP($H92,areaCercaPuntiClassificaSquadra,3,FALSE),-1)=IFERROR(VLOOKUP($AJ92,areaCercaPuntiClassificaSquadra,3,FALSE),-2)),SUMIFS(Dati!$E$2:$E$761,Dati!$A$2:$A$761,$H92,Dati!$H$2:$H$761,$AJ92)+SUMIFS(Dati!$L$2:$L$761,Dati!$H$2:$H$761,$H92,Dati!$A$2:$A$761,$AJ92),"-")</f>
        <v/>
      </c>
      <c r="CY92" s="22">
        <f>IF(AND($H92&lt;&gt;"",$AK92&lt;&gt;"",$H92&lt;&gt;$AK92,IFERROR(VLOOKUP($H92,areaCercaPuntiClassificaSquadra,3,FALSE),-1)=IFERROR(VLOOKUP($AK92,areaCercaPuntiClassificaSquadra,3,FALSE),-2)),SUMIFS(Dati!$E$2:$E$761,Dati!$A$2:$A$761,$H92,Dati!$H$2:$H$761,$AK92)+SUMIFS(Dati!$L$2:$L$761,Dati!$H$2:$H$761,$H92,Dati!$A$2:$A$761,$AK92),"-")</f>
        <v/>
      </c>
      <c r="CZ92" s="22">
        <f>IF(AND($H92&lt;&gt;"",$AL92&lt;&gt;"",$H92&lt;&gt;$AL92,IFERROR(VLOOKUP($H92,areaCercaPuntiClassificaSquadra,3,FALSE),-1)=IFERROR(VLOOKUP($AL92,areaCercaPuntiClassificaSquadra,3,FALSE),-2)),SUMIFS(Dati!$E$2:$E$761,Dati!$A$2:$A$761,$H92,Dati!$H$2:$H$761,$AL92)+SUMIFS(Dati!$L$2:$L$761,Dati!$H$2:$H$761,$H92,Dati!$A$2:$A$761,$AL92),"-")</f>
        <v/>
      </c>
      <c r="DA92" s="22">
        <f>IF(AND($H92&lt;&gt;"",$AM92&lt;&gt;"",$H92&lt;&gt;$AM92,IFERROR(VLOOKUP($H92,areaCercaPuntiClassificaSquadra,3,FALSE),-1)=IFERROR(VLOOKUP($AM92,areaCercaPuntiClassificaSquadra,3,FALSE),-2)),SUMIFS(Dati!$E$2:$E$761,Dati!$A$2:$A$761,$H92,Dati!$H$2:$H$761,$AM92)+SUMIFS(Dati!$L$2:$L$761,Dati!$H$2:$H$761,$H92,Dati!$A$2:$A$761,$AM92),"-")</f>
        <v/>
      </c>
      <c r="DB92" s="22">
        <f>IF(AND($H92&lt;&gt;"",$AN92&lt;&gt;"",$H92&lt;&gt;$AN92,IFERROR(VLOOKUP($H92,areaCercaPuntiClassificaSquadra,3,FALSE),-1)=IFERROR(VLOOKUP($AN92,areaCercaPuntiClassificaSquadra,3,FALSE),-2)),SUMIFS(Dati!$E$2:$E$761,Dati!$A$2:$A$761,$H92,Dati!$H$2:$H$761,$AN92)+SUMIFS(Dati!$L$2:$L$761,Dati!$H$2:$H$761,$H92,Dati!$A$2:$A$761,$AN92),"-")</f>
        <v/>
      </c>
      <c r="DC92" s="22">
        <f>IF(AND($H92&lt;&gt;"",$AO92&lt;&gt;"",$H92&lt;&gt;$AO92,IFERROR(VLOOKUP($H92,areaCercaPuntiClassificaSquadra,3,FALSE),-1)=IFERROR(VLOOKUP($AO92,areaCercaPuntiClassificaSquadra,3,FALSE),-2)),SUMIFS(Dati!$E$2:$E$761,Dati!$A$2:$A$761,$H92,Dati!$H$2:$H$761,$AO92)+SUMIFS(Dati!$L$2:$L$761,Dati!$H$2:$H$761,$H92,Dati!$A$2:$A$761,$AO92),"-")</f>
        <v/>
      </c>
      <c r="DD92" s="22">
        <f>IF(AND($H92&lt;&gt;"",$AP92&lt;&gt;"",$H92&lt;&gt;$AP92,IFERROR(VLOOKUP($H92,areaCercaPuntiClassificaSquadra,3,FALSE),-1)=IFERROR(VLOOKUP($AP92,areaCercaPuntiClassificaSquadra,3,FALSE),-2)),SUMIFS(Dati!$E$2:$E$761,Dati!$A$2:$A$761,$H92,Dati!$H$2:$H$761,$AP92)+SUMIFS(Dati!$L$2:$L$761,Dati!$H$2:$H$761,$H92,Dati!$A$2:$A$761,$AP92),"-")</f>
        <v/>
      </c>
      <c r="DE92" s="22">
        <f>IF(AND($H92&lt;&gt;"",$AQ92&lt;&gt;"",$H92&lt;&gt;$AQ92,IFERROR(VLOOKUP($H92,areaCercaPuntiClassificaSquadra,3,FALSE),-1)=IFERROR(VLOOKUP($AQ92,areaCercaPuntiClassificaSquadra,3,FALSE),-2)),SUMIFS(Dati!$E$2:$E$761,Dati!$A$2:$A$761,$H92,Dati!$H$2:$H$761,$AQ92)+SUMIFS(Dati!$L$2:$L$761,Dati!$H$2:$H$761,$H92,Dati!$A$2:$A$761,$AQ92),"-")</f>
        <v/>
      </c>
      <c r="DF92" s="22">
        <f>IF(AND($H92&lt;&gt;"",$AR92&lt;&gt;"",$H92&lt;&gt;$AR92,IFERROR(VLOOKUP($H92,areaCercaPuntiClassificaSquadra,3,FALSE),-1)=IFERROR(VLOOKUP($AR92,areaCercaPuntiClassificaSquadra,3,FALSE),-2)),SUMIFS(Dati!$E$2:$E$761,Dati!$A$2:$A$761,$H92,Dati!$H$2:$H$761,$AR92)+SUMIFS(Dati!$L$2:$L$761,Dati!$H$2:$H$761,$H92,Dati!$A$2:$A$761,$AR92),"-")</f>
        <v/>
      </c>
      <c r="DH92" s="21">
        <f>$C92</f>
        <v/>
      </c>
      <c r="DI92" s="22">
        <f>IF(AND($H92&lt;&gt;"",$Y92&lt;&gt;"",$H92&lt;&gt;$Y92,IFERROR(VLOOKUP($H92,areaCercaPuntiClassificaSquadra,3,FALSE),-1)=IFERROR(VLOOKUP($Y92,areaCercaPuntiClassificaSquadra,3,FALSE),-2)),SUMIFS(Dati!$F$2:$F$761,Dati!$A$2:$A$761,$H92,Dati!$H$2:$H$761,$Y92)+SUMIFS(Dati!$M$2:$M$761,Dati!$H$2:$H$761,$H92,Dati!$A$2:$A$761,$Y92),"-")</f>
        <v/>
      </c>
      <c r="DJ92" s="22">
        <f>IF(AND($H92&lt;&gt;"",$Z92&lt;&gt;"",$H92&lt;&gt;$Z92,IFERROR(VLOOKUP($H92,areaCercaPuntiClassificaSquadra,3,FALSE),-1)=IFERROR(VLOOKUP($Z92,areaCercaPuntiClassificaSquadra,3,FALSE),-2)),SUMIFS(Dati!$F$2:$F$761,Dati!$A$2:$A$761,$H92,Dati!$H$2:$H$761,$Z92)+SUMIFS(Dati!$M$2:$M$761,Dati!$H$2:$H$761,$H92,Dati!$A$2:$A$761,$Z92),"-")</f>
        <v/>
      </c>
      <c r="DK92" s="22">
        <f>IF(AND($H92&lt;&gt;"",$AA92&lt;&gt;"",$H92&lt;&gt;$AA92,IFERROR(VLOOKUP($H92,areaCercaPuntiClassificaSquadra,3,FALSE),-1)=IFERROR(VLOOKUP($AA92,areaCercaPuntiClassificaSquadra,3,FALSE),-2)),SUMIFS(Dati!$F$2:$F$761,Dati!$A$2:$A$761,$H92,Dati!$H$2:$H$761,$AA92)+SUMIFS(Dati!$M$2:$M$761,Dati!$H$2:$H$761,$H92,Dati!$A$2:$A$761,$AA92),"-")</f>
        <v/>
      </c>
      <c r="DL92" s="22">
        <f>IF(AND($H92&lt;&gt;"",$AB92&lt;&gt;"",$H92&lt;&gt;$AB92,IFERROR(VLOOKUP($H92,areaCercaPuntiClassificaSquadra,3,FALSE),-1)=IFERROR(VLOOKUP($AB92,areaCercaPuntiClassificaSquadra,3,FALSE),-2)),SUMIFS(Dati!$F$2:$F$761,Dati!$A$2:$A$761,$H92,Dati!$H$2:$H$761,$AB92)+SUMIFS(Dati!$M$2:$M$761,Dati!$H$2:$H$761,$H92,Dati!$A$2:$A$761,$AB92),"-")</f>
        <v/>
      </c>
      <c r="DM92" s="22">
        <f>IF(AND($H92&lt;&gt;"",$AC92&lt;&gt;"",$H92&lt;&gt;$AC92,IFERROR(VLOOKUP($H92,areaCercaPuntiClassificaSquadra,3,FALSE),-1)=IFERROR(VLOOKUP($AC92,areaCercaPuntiClassificaSquadra,3,FALSE),-2)),SUMIFS(Dati!$F$2:$F$761,Dati!$A$2:$A$761,$H92,Dati!$H$2:$H$761,$AC92)+SUMIFS(Dati!$M$2:$M$761,Dati!$H$2:$H$761,$H92,Dati!$A$2:$A$761,$AC92),"-")</f>
        <v/>
      </c>
      <c r="DN92" s="22">
        <f>IF(AND($H92&lt;&gt;"",$AD92&lt;&gt;"",$H92&lt;&gt;$AD92,IFERROR(VLOOKUP($H92,areaCercaPuntiClassificaSquadra,3,FALSE),-1)=IFERROR(VLOOKUP($AD92,areaCercaPuntiClassificaSquadra,3,FALSE),-2)),SUMIFS(Dati!$F$2:$F$761,Dati!$A$2:$A$761,$H92,Dati!$H$2:$H$761,$AD92)+SUMIFS(Dati!$M$2:$M$761,Dati!$H$2:$H$761,$H92,Dati!$A$2:$A$761,$AD92),"-")</f>
        <v/>
      </c>
      <c r="DO92" s="22">
        <f>IF(AND($H92&lt;&gt;"",$AE92&lt;&gt;"",$H92&lt;&gt;$AE92,IFERROR(VLOOKUP($H92,areaCercaPuntiClassificaSquadra,3,FALSE),-1)=IFERROR(VLOOKUP($AE92,areaCercaPuntiClassificaSquadra,3,FALSE),-2)),SUMIFS(Dati!$F$2:$F$761,Dati!$A$2:$A$761,$H92,Dati!$H$2:$H$761,$AE92)+SUMIFS(Dati!$M$2:$M$761,Dati!$H$2:$H$761,$H92,Dati!$A$2:$A$761,$AE92),"-")</f>
        <v/>
      </c>
      <c r="DP92" s="22">
        <f>IF(AND($H92&lt;&gt;"",$AF92&lt;&gt;"",$H92&lt;&gt;$AF92,IFERROR(VLOOKUP($H92,areaCercaPuntiClassificaSquadra,3,FALSE),-1)=IFERROR(VLOOKUP($AF92,areaCercaPuntiClassificaSquadra,3,FALSE),-2)),SUMIFS(Dati!$F$2:$F$761,Dati!$A$2:$A$761,$H92,Dati!$H$2:$H$761,$AF92)+SUMIFS(Dati!$M$2:$M$761,Dati!$H$2:$H$761,$H92,Dati!$A$2:$A$761,$AF92),"-")</f>
        <v/>
      </c>
      <c r="DQ92" s="22">
        <f>IF(AND($H92&lt;&gt;"",$AG92&lt;&gt;"",$H92&lt;&gt;$AG92,IFERROR(VLOOKUP($H92,areaCercaPuntiClassificaSquadra,3,FALSE),-1)=IFERROR(VLOOKUP($AG92,areaCercaPuntiClassificaSquadra,3,FALSE),-2)),SUMIFS(Dati!$F$2:$F$761,Dati!$A$2:$A$761,$H92,Dati!$H$2:$H$761,$AG92)+SUMIFS(Dati!$M$2:$M$761,Dati!$H$2:$H$761,$H92,Dati!$A$2:$A$761,$AG92),"-")</f>
        <v/>
      </c>
      <c r="DR92" s="22">
        <f>IF(AND($H92&lt;&gt;"",$AH92&lt;&gt;"",$H92&lt;&gt;$AH92,IFERROR(VLOOKUP($H92,areaCercaPuntiClassificaSquadra,3,FALSE),-1)=IFERROR(VLOOKUP($AH92,areaCercaPuntiClassificaSquadra,3,FALSE),-2)),SUMIFS(Dati!$F$2:$F$761,Dati!$A$2:$A$761,$H92,Dati!$H$2:$H$761,$AH92)+SUMIFS(Dati!$M$2:$M$761,Dati!$H$2:$H$761,$H92,Dati!$A$2:$A$761,$AH92),"-")</f>
        <v/>
      </c>
      <c r="DS92" s="22">
        <f>IF(AND($H92&lt;&gt;"",$AI92&lt;&gt;"",$H92&lt;&gt;$AI92,IFERROR(VLOOKUP($H92,areaCercaPuntiClassificaSquadra,3,FALSE),-1)=IFERROR(VLOOKUP($AI92,areaCercaPuntiClassificaSquadra,3,FALSE),-2)),SUMIFS(Dati!$F$2:$F$761,Dati!$A$2:$A$761,$H92,Dati!$H$2:$H$761,$AI92)+SUMIFS(Dati!$M$2:$M$761,Dati!$H$2:$H$761,$H92,Dati!$A$2:$A$761,$AI92),"-")</f>
        <v/>
      </c>
      <c r="DT92" s="22">
        <f>IF(AND($H92&lt;&gt;"",$AJ92&lt;&gt;"",$H92&lt;&gt;$AJ92,IFERROR(VLOOKUP($H92,areaCercaPuntiClassificaSquadra,3,FALSE),-1)=IFERROR(VLOOKUP($AJ92,areaCercaPuntiClassificaSquadra,3,FALSE),-2)),SUMIFS(Dati!$F$2:$F$761,Dati!$A$2:$A$761,$H92,Dati!$H$2:$H$761,$AJ92)+SUMIFS(Dati!$M$2:$M$761,Dati!$H$2:$H$761,$H92,Dati!$A$2:$A$761,$AJ92),"-")</f>
        <v/>
      </c>
      <c r="DU92" s="22">
        <f>IF(AND($H92&lt;&gt;"",$AK92&lt;&gt;"",$H92&lt;&gt;$AK92,IFERROR(VLOOKUP($H92,areaCercaPuntiClassificaSquadra,3,FALSE),-1)=IFERROR(VLOOKUP($AK92,areaCercaPuntiClassificaSquadra,3,FALSE),-2)),SUMIFS(Dati!$F$2:$F$761,Dati!$A$2:$A$761,$H92,Dati!$H$2:$H$761,$AK92)+SUMIFS(Dati!$M$2:$M$761,Dati!$H$2:$H$761,$H92,Dati!$A$2:$A$761,$AK92),"-")</f>
        <v/>
      </c>
      <c r="DV92" s="22">
        <f>IF(AND($H92&lt;&gt;"",$AL92&lt;&gt;"",$H92&lt;&gt;$AL92,IFERROR(VLOOKUP($H92,areaCercaPuntiClassificaSquadra,3,FALSE),-1)=IFERROR(VLOOKUP($AL92,areaCercaPuntiClassificaSquadra,3,FALSE),-2)),SUMIFS(Dati!$F$2:$F$761,Dati!$A$2:$A$761,$H92,Dati!$H$2:$H$761,$AL92)+SUMIFS(Dati!$M$2:$M$761,Dati!$H$2:$H$761,$H92,Dati!$A$2:$A$761,$AL92),"-")</f>
        <v/>
      </c>
      <c r="DW92" s="22">
        <f>IF(AND($H92&lt;&gt;"",$AM92&lt;&gt;"",$H92&lt;&gt;$AM92,IFERROR(VLOOKUP($H92,areaCercaPuntiClassificaSquadra,3,FALSE),-1)=IFERROR(VLOOKUP($AM92,areaCercaPuntiClassificaSquadra,3,FALSE),-2)),SUMIFS(Dati!$F$2:$F$761,Dati!$A$2:$A$761,$H92,Dati!$H$2:$H$761,$AM92)+SUMIFS(Dati!$M$2:$M$761,Dati!$H$2:$H$761,$H92,Dati!$A$2:$A$761,$AM92),"-")</f>
        <v/>
      </c>
      <c r="DX92" s="22">
        <f>IF(AND($H92&lt;&gt;"",$AN92&lt;&gt;"",$H92&lt;&gt;$AN92,IFERROR(VLOOKUP($H92,areaCercaPuntiClassificaSquadra,3,FALSE),-1)=IFERROR(VLOOKUP($AN92,areaCercaPuntiClassificaSquadra,3,FALSE),-2)),SUMIFS(Dati!$F$2:$F$761,Dati!$A$2:$A$761,$H92,Dati!$H$2:$H$761,$AN92)+SUMIFS(Dati!$M$2:$M$761,Dati!$H$2:$H$761,$H92,Dati!$A$2:$A$761,$AN92),"-")</f>
        <v/>
      </c>
      <c r="DY92" s="22">
        <f>IF(AND($H92&lt;&gt;"",$AO92&lt;&gt;"",$H92&lt;&gt;$AO92,IFERROR(VLOOKUP($H92,areaCercaPuntiClassificaSquadra,3,FALSE),-1)=IFERROR(VLOOKUP($AO92,areaCercaPuntiClassificaSquadra,3,FALSE),-2)),SUMIFS(Dati!$F$2:$F$761,Dati!$A$2:$A$761,$H92,Dati!$H$2:$H$761,$AO92)+SUMIFS(Dati!$M$2:$M$761,Dati!$H$2:$H$761,$H92,Dati!$A$2:$A$761,$AO92),"-")</f>
        <v/>
      </c>
      <c r="DZ92" s="22">
        <f>IF(AND($H92&lt;&gt;"",$AP92&lt;&gt;"",$H92&lt;&gt;$AP92,IFERROR(VLOOKUP($H92,areaCercaPuntiClassificaSquadra,3,FALSE),-1)=IFERROR(VLOOKUP($AP92,areaCercaPuntiClassificaSquadra,3,FALSE),-2)),SUMIFS(Dati!$F$2:$F$761,Dati!$A$2:$A$761,$H92,Dati!$H$2:$H$761,$AP92)+SUMIFS(Dati!$M$2:$M$761,Dati!$H$2:$H$761,$H92,Dati!$A$2:$A$761,$AP92),"-")</f>
        <v/>
      </c>
      <c r="EA92" s="22">
        <f>IF(AND($H92&lt;&gt;"",$AQ92&lt;&gt;"",$H92&lt;&gt;$AQ92,IFERROR(VLOOKUP($H92,areaCercaPuntiClassificaSquadra,3,FALSE),-1)=IFERROR(VLOOKUP($AQ92,areaCercaPuntiClassificaSquadra,3,FALSE),-2)),SUMIFS(Dati!$F$2:$F$761,Dati!$A$2:$A$761,$H92,Dati!$H$2:$H$761,$AQ92)+SUMIFS(Dati!$M$2:$M$761,Dati!$H$2:$H$761,$H92,Dati!$A$2:$A$761,$AQ92),"-")</f>
        <v/>
      </c>
      <c r="EB92" s="22">
        <f>IF(AND($H92&lt;&gt;"",$AR92&lt;&gt;"",$H92&lt;&gt;$AR92,IFERROR(VLOOKUP($H92,areaCercaPuntiClassificaSquadra,3,FALSE),-1)=IFERROR(VLOOKUP($AR92,areaCercaPuntiClassificaSquadra,3,FALSE),-2)),SUMIFS(Dati!$F$2:$F$761,Dati!$A$2:$A$761,$H92,Dati!$H$2:$H$761,$AR92)+SUMIFS(Dati!$M$2:$M$761,Dati!$H$2:$H$761,$H92,Dati!$A$2:$A$761,$AR92),"-")</f>
        <v/>
      </c>
      <c r="ED92" s="22">
        <f>IF($C92="","",SUM(AU92:BN92))</f>
        <v/>
      </c>
    </row>
    <row r="93">
      <c r="B93" s="12" t="inlineStr">
        <is>
          <t>D20</t>
        </is>
      </c>
      <c r="C93" s="13" t="inlineStr">
        <is>
          <t>Otarie Onorevoli-Otarieopoli OU</t>
        </is>
      </c>
      <c r="D93" s="14" t="n"/>
      <c r="E93" s="27" t="inlineStr">
        <is>
          <t>D</t>
        </is>
      </c>
      <c r="G93" s="28">
        <f>IF($C93="","",$E93&amp;(COUNTIFS(I$14:I$93,"&gt;"&amp;I93,E$14:E$93,"="&amp;E93,C$14:C$93,"&lt;&gt;")+COUNTIFS(I$14:I$93,"="&amp;I93,H$14:H$93,"&lt;="&amp;H93,E$14:E$93,"="&amp;E93,C$14:C$93,"&lt;&gt;")))</f>
        <v/>
      </c>
      <c r="H93" s="17">
        <f>IF($C93="","",IFERROR(LEFT($C93,FIND("-",$C93)-1),$C93))</f>
        <v/>
      </c>
      <c r="I93" s="12">
        <f>TEXT(1000000000+J93,"|0000000000|")&amp;TEXT(SUM(AU93:BN93),"0000000000|")&amp;IF(SUM(DI93:EB93)=0,"0000000000|",TEXT(ROUND(SUM(CM93:DF93)/SUM(DI93:EB93),4)*100000,"0000000000|"))&amp;IF(P93=0,"0000000000|",TEXT(ROUND(O93/P93,4)*100000,"0000000000|"))</f>
        <v/>
      </c>
      <c r="J93" s="28">
        <f>L93*constPuntiVittoria+M93*constPuntiSconfitta+N93*constPuntiForfait+IF(D93="",0,D93)</f>
        <v/>
      </c>
      <c r="K93" s="12">
        <f>SUM(L93:N93)</f>
        <v/>
      </c>
      <c r="L93" s="12">
        <f>IF($H93="",0,SUMIF(Dati!$A$2:$A$761,$H93,Dati!$B$2:$B$761)+SUMIF(Dati!$H$2:$H$761,$H93,Dati!$I$2:$I$761))</f>
        <v/>
      </c>
      <c r="M93" s="12">
        <f>IF($H93="",0,SUMIF(Dati!$A$2:$A$761,$H93,Dati!$D$2:$D$761)+SUMIF(Dati!$H$2:$H$761,$H93,Dati!$K$2:$K$761))</f>
        <v/>
      </c>
      <c r="N93" s="12">
        <f>IF($H93="",0,SUMIF(Dati!$A$2:$A$761,$H93,Dati!$C$2:$C$761)+SUMIF(Dati!$H$2:$H$761,$H93,Dati!$J$2:$J$761))</f>
        <v/>
      </c>
      <c r="O93" s="12">
        <f>IF($H93="",0,SUMIF(Dati!$A$2:$A$761,$H93,Dati!$E$2:$E$761)+SUMIF(Dati!$H$2:$H$761,$H93,Dati!$L$2:$L$761))</f>
        <v/>
      </c>
      <c r="P93" s="12">
        <f>IF($H93="",0,SUMIF(Dati!$A$2:$A$761,$H93,Dati!$F$2:$F$761)+SUMIF(Dati!$H$2:$H$761,$H93,Dati!$M$2:$M$761))</f>
        <v/>
      </c>
      <c r="Q93" s="12">
        <f>IF($H93="",0,SUMIF(Dati!$A$2:$A$761,$H93,Dati!$G$2:$G$761)+SUMIF(Dati!$H$2:$H$761,$H93,Dati!$N$2:$N$761))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IF(COUNTIFS($E$14:$E$93,$E93,$J$14:$J$93,$J93,$C$14:$C$93,"&lt;&gt;")&lt;=1,"-",SUM(AU93:BN93)&amp;"-"&amp;SUM(BQ93:CJ93))</f>
        <v/>
      </c>
      <c r="V93" s="18">
        <f>IF(COUNTIFS($E$14:$E$93,$E93,$J$14:$J$93,$J93,$C$14:$C$93,"&lt;&gt;",$ED$14:$ED$93,$ED93)&lt;=1,"-",IF(SUM(DI93:EB93)=0,0,ROUND(SUM(CM93:DF93)/SUM(DI93:EB93),3)))</f>
        <v/>
      </c>
      <c r="W93" s="18">
        <f>IF(COUNTIFS($E$14:$E$93,$E93,$J$14:$J$93,$J93,$C$14:$C$93,"&lt;&gt;",$ED$14:$ED$93,$ED93,$V$14:$V$93,$V93)&lt;=1,"-",IF(P93=0,0,ROUND(O93/P93,3)))</f>
        <v/>
      </c>
      <c r="X93" s="19">
        <f>IF($C93="","",$E93&amp;"#"&amp;COUNTIFS($E$14:$E93,$E93,$C$14:$C93,"&lt;&gt;"))</f>
        <v/>
      </c>
      <c r="Y93" s="20">
        <f>IFERROR(INDEX($H$14:$H$93,MATCH($E93&amp;"#1",$X$14:$X$93,0)),"")</f>
        <v/>
      </c>
      <c r="Z93" s="20">
        <f>IFERROR(INDEX($H$14:$H$93,MATCH($E93&amp;"#2",$X$14:$X$93,0)),"")</f>
        <v/>
      </c>
      <c r="AA93" s="20">
        <f>IFERROR(INDEX($H$14:$H$93,MATCH($E93&amp;"#3",$X$14:$X$93,0)),"")</f>
        <v/>
      </c>
      <c r="AB93" s="20">
        <f>IFERROR(INDEX($H$14:$H$93,MATCH($E93&amp;"#4",$X$14:$X$93,0)),"")</f>
        <v/>
      </c>
      <c r="AC93" s="20">
        <f>IFERROR(INDEX($H$14:$H$93,MATCH($E93&amp;"#5",$X$14:$X$93,0)),"")</f>
        <v/>
      </c>
      <c r="AD93" s="20">
        <f>IFERROR(INDEX($H$14:$H$93,MATCH($E93&amp;"#6",$X$14:$X$93,0)),"")</f>
        <v/>
      </c>
      <c r="AE93" s="20">
        <f>IFERROR(INDEX($H$14:$H$93,MATCH($E93&amp;"#7",$X$14:$X$93,0)),"")</f>
        <v/>
      </c>
      <c r="AF93" s="20">
        <f>IFERROR(INDEX($H$14:$H$93,MATCH($E93&amp;"#8",$X$14:$X$93,0)),"")</f>
        <v/>
      </c>
      <c r="AG93" s="20">
        <f>IFERROR(INDEX($H$14:$H$93,MATCH($E93&amp;"#9",$X$14:$X$93,0)),"")</f>
        <v/>
      </c>
      <c r="AH93" s="20">
        <f>IFERROR(INDEX($H$14:$H$93,MATCH($E93&amp;"#10",$X$14:$X$93,0)),"")</f>
        <v/>
      </c>
      <c r="AI93" s="20">
        <f>IFERROR(INDEX($H$14:$H$93,MATCH($E93&amp;"#11",$X$14:$X$93,0)),"")</f>
        <v/>
      </c>
      <c r="AJ93" s="20">
        <f>IFERROR(INDEX($H$14:$H$93,MATCH($E93&amp;"#12",$X$14:$X$93,0)),"")</f>
        <v/>
      </c>
      <c r="AK93" s="20">
        <f>IFERROR(INDEX($H$14:$H$93,MATCH($E93&amp;"#13",$X$14:$X$93,0)),"")</f>
        <v/>
      </c>
      <c r="AL93" s="20">
        <f>IFERROR(INDEX($H$14:$H$93,MATCH($E93&amp;"#14",$X$14:$X$93,0)),"")</f>
        <v/>
      </c>
      <c r="AM93" s="20">
        <f>IFERROR(INDEX($H$14:$H$93,MATCH($E93&amp;"#15",$X$14:$X$93,0)),"")</f>
        <v/>
      </c>
      <c r="AN93" s="20">
        <f>IFERROR(INDEX($H$14:$H$93,MATCH($E93&amp;"#16",$X$14:$X$93,0)),"")</f>
        <v/>
      </c>
      <c r="AO93" s="20">
        <f>IFERROR(INDEX($H$14:$H$93,MATCH($E93&amp;"#17",$X$14:$X$93,0)),"")</f>
        <v/>
      </c>
      <c r="AP93" s="20">
        <f>IFERROR(INDEX($H$14:$H$93,MATCH($E93&amp;"#18",$X$14:$X$93,0)),"")</f>
        <v/>
      </c>
      <c r="AQ93" s="20">
        <f>IFERROR(INDEX($H$14:$H$93,MATCH($E93&amp;"#19",$X$14:$X$93,0)),"")</f>
        <v/>
      </c>
      <c r="AR93" s="20">
        <f>IFERROR(INDEX($H$14:$H$93,MATCH($E93&amp;"#20",$X$14:$X$93,0)),"")</f>
        <v/>
      </c>
      <c r="AT93" s="21">
        <f>$C93</f>
        <v/>
      </c>
      <c r="AU93" s="22">
        <f>IF(AND($H93&lt;&gt;"",$Y93&lt;&gt;"",$H93&lt;&gt;$Y93,IFERROR(VLOOKUP($H93,areaCercaPuntiClassificaSquadra,3,FALSE),-1)=IFERROR(VLOOKUP($Y93,areaCercaPuntiClassificaSquadra,3,FALSE),-2)),SUMIFS(Dati!$B$2:$B$761,Dati!$A$2:$A$761,$H93,Dati!$H$2:$H$761,$Y93)+SUMIFS(Dati!$I$2:$I$761,Dati!$H$2:$H$761,$H93,Dati!$A$2:$A$761,$Y93),"-")</f>
        <v/>
      </c>
      <c r="AV93" s="22">
        <f>IF(AND($H93&lt;&gt;"",$Z93&lt;&gt;"",$H93&lt;&gt;$Z93,IFERROR(VLOOKUP($H93,areaCercaPuntiClassificaSquadra,3,FALSE),-1)=IFERROR(VLOOKUP($Z93,areaCercaPuntiClassificaSquadra,3,FALSE),-2)),SUMIFS(Dati!$B$2:$B$761,Dati!$A$2:$A$761,$H93,Dati!$H$2:$H$761,$Z93)+SUMIFS(Dati!$I$2:$I$761,Dati!$H$2:$H$761,$H93,Dati!$A$2:$A$761,$Z93),"-")</f>
        <v/>
      </c>
      <c r="AW93" s="22">
        <f>IF(AND($H93&lt;&gt;"",$AA93&lt;&gt;"",$H93&lt;&gt;$AA93,IFERROR(VLOOKUP($H93,areaCercaPuntiClassificaSquadra,3,FALSE),-1)=IFERROR(VLOOKUP($AA93,areaCercaPuntiClassificaSquadra,3,FALSE),-2)),SUMIFS(Dati!$B$2:$B$761,Dati!$A$2:$A$761,$H93,Dati!$H$2:$H$761,$AA93)+SUMIFS(Dati!$I$2:$I$761,Dati!$H$2:$H$761,$H93,Dati!$A$2:$A$761,$AA93),"-")</f>
        <v/>
      </c>
      <c r="AX93" s="22">
        <f>IF(AND($H93&lt;&gt;"",$AB93&lt;&gt;"",$H93&lt;&gt;$AB93,IFERROR(VLOOKUP($H93,areaCercaPuntiClassificaSquadra,3,FALSE),-1)=IFERROR(VLOOKUP($AB93,areaCercaPuntiClassificaSquadra,3,FALSE),-2)),SUMIFS(Dati!$B$2:$B$761,Dati!$A$2:$A$761,$H93,Dati!$H$2:$H$761,$AB93)+SUMIFS(Dati!$I$2:$I$761,Dati!$H$2:$H$761,$H93,Dati!$A$2:$A$761,$AB93),"-")</f>
        <v/>
      </c>
      <c r="AY93" s="22">
        <f>IF(AND($H93&lt;&gt;"",$AC93&lt;&gt;"",$H93&lt;&gt;$AC93,IFERROR(VLOOKUP($H93,areaCercaPuntiClassificaSquadra,3,FALSE),-1)=IFERROR(VLOOKUP($AC93,areaCercaPuntiClassificaSquadra,3,FALSE),-2)),SUMIFS(Dati!$B$2:$B$761,Dati!$A$2:$A$761,$H93,Dati!$H$2:$H$761,$AC93)+SUMIFS(Dati!$I$2:$I$761,Dati!$H$2:$H$761,$H93,Dati!$A$2:$A$761,$AC93),"-")</f>
        <v/>
      </c>
      <c r="AZ93" s="22">
        <f>IF(AND($H93&lt;&gt;"",$AD93&lt;&gt;"",$H93&lt;&gt;$AD93,IFERROR(VLOOKUP($H93,areaCercaPuntiClassificaSquadra,3,FALSE),-1)=IFERROR(VLOOKUP($AD93,areaCercaPuntiClassificaSquadra,3,FALSE),-2)),SUMIFS(Dati!$B$2:$B$761,Dati!$A$2:$A$761,$H93,Dati!$H$2:$H$761,$AD93)+SUMIFS(Dati!$I$2:$I$761,Dati!$H$2:$H$761,$H93,Dati!$A$2:$A$761,$AD93),"-")</f>
        <v/>
      </c>
      <c r="BA93" s="22">
        <f>IF(AND($H93&lt;&gt;"",$AE93&lt;&gt;"",$H93&lt;&gt;$AE93,IFERROR(VLOOKUP($H93,areaCercaPuntiClassificaSquadra,3,FALSE),-1)=IFERROR(VLOOKUP($AE93,areaCercaPuntiClassificaSquadra,3,FALSE),-2)),SUMIFS(Dati!$B$2:$B$761,Dati!$A$2:$A$761,$H93,Dati!$H$2:$H$761,$AE93)+SUMIFS(Dati!$I$2:$I$761,Dati!$H$2:$H$761,$H93,Dati!$A$2:$A$761,$AE93),"-")</f>
        <v/>
      </c>
      <c r="BB93" s="22">
        <f>IF(AND($H93&lt;&gt;"",$AF93&lt;&gt;"",$H93&lt;&gt;$AF93,IFERROR(VLOOKUP($H93,areaCercaPuntiClassificaSquadra,3,FALSE),-1)=IFERROR(VLOOKUP($AF93,areaCercaPuntiClassificaSquadra,3,FALSE),-2)),SUMIFS(Dati!$B$2:$B$761,Dati!$A$2:$A$761,$H93,Dati!$H$2:$H$761,$AF93)+SUMIFS(Dati!$I$2:$I$761,Dati!$H$2:$H$761,$H93,Dati!$A$2:$A$761,$AF93),"-")</f>
        <v/>
      </c>
      <c r="BC93" s="22">
        <f>IF(AND($H93&lt;&gt;"",$AG93&lt;&gt;"",$H93&lt;&gt;$AG93,IFERROR(VLOOKUP($H93,areaCercaPuntiClassificaSquadra,3,FALSE),-1)=IFERROR(VLOOKUP($AG93,areaCercaPuntiClassificaSquadra,3,FALSE),-2)),SUMIFS(Dati!$B$2:$B$761,Dati!$A$2:$A$761,$H93,Dati!$H$2:$H$761,$AG93)+SUMIFS(Dati!$I$2:$I$761,Dati!$H$2:$H$761,$H93,Dati!$A$2:$A$761,$AG93),"-")</f>
        <v/>
      </c>
      <c r="BD93" s="22">
        <f>IF(AND($H93&lt;&gt;"",$AH93&lt;&gt;"",$H93&lt;&gt;$AH93,IFERROR(VLOOKUP($H93,areaCercaPuntiClassificaSquadra,3,FALSE),-1)=IFERROR(VLOOKUP($AH93,areaCercaPuntiClassificaSquadra,3,FALSE),-2)),SUMIFS(Dati!$B$2:$B$761,Dati!$A$2:$A$761,$H93,Dati!$H$2:$H$761,$AH93)+SUMIFS(Dati!$I$2:$I$761,Dati!$H$2:$H$761,$H93,Dati!$A$2:$A$761,$AH93),"-")</f>
        <v/>
      </c>
      <c r="BE93" s="22">
        <f>IF(AND($H93&lt;&gt;"",$AI93&lt;&gt;"",$H93&lt;&gt;$AI93,IFERROR(VLOOKUP($H93,areaCercaPuntiClassificaSquadra,3,FALSE),-1)=IFERROR(VLOOKUP($AI93,areaCercaPuntiClassificaSquadra,3,FALSE),-2)),SUMIFS(Dati!$B$2:$B$761,Dati!$A$2:$A$761,$H93,Dati!$H$2:$H$761,$AI93)+SUMIFS(Dati!$I$2:$I$761,Dati!$H$2:$H$761,$H93,Dati!$A$2:$A$761,$AI93),"-")</f>
        <v/>
      </c>
      <c r="BF93" s="22">
        <f>IF(AND($H93&lt;&gt;"",$AJ93&lt;&gt;"",$H93&lt;&gt;$AJ93,IFERROR(VLOOKUP($H93,areaCercaPuntiClassificaSquadra,3,FALSE),-1)=IFERROR(VLOOKUP($AJ93,areaCercaPuntiClassificaSquadra,3,FALSE),-2)),SUMIFS(Dati!$B$2:$B$761,Dati!$A$2:$A$761,$H93,Dati!$H$2:$H$761,$AJ93)+SUMIFS(Dati!$I$2:$I$761,Dati!$H$2:$H$761,$H93,Dati!$A$2:$A$761,$AJ93),"-")</f>
        <v/>
      </c>
      <c r="BG93" s="22">
        <f>IF(AND($H93&lt;&gt;"",$AK93&lt;&gt;"",$H93&lt;&gt;$AK93,IFERROR(VLOOKUP($H93,areaCercaPuntiClassificaSquadra,3,FALSE),-1)=IFERROR(VLOOKUP($AK93,areaCercaPuntiClassificaSquadra,3,FALSE),-2)),SUMIFS(Dati!$B$2:$B$761,Dati!$A$2:$A$761,$H93,Dati!$H$2:$H$761,$AK93)+SUMIFS(Dati!$I$2:$I$761,Dati!$H$2:$H$761,$H93,Dati!$A$2:$A$761,$AK93),"-")</f>
        <v/>
      </c>
      <c r="BH93" s="22">
        <f>IF(AND($H93&lt;&gt;"",$AL93&lt;&gt;"",$H93&lt;&gt;$AL93,IFERROR(VLOOKUP($H93,areaCercaPuntiClassificaSquadra,3,FALSE),-1)=IFERROR(VLOOKUP($AL93,areaCercaPuntiClassificaSquadra,3,FALSE),-2)),SUMIFS(Dati!$B$2:$B$761,Dati!$A$2:$A$761,$H93,Dati!$H$2:$H$761,$AL93)+SUMIFS(Dati!$I$2:$I$761,Dati!$H$2:$H$761,$H93,Dati!$A$2:$A$761,$AL93),"-")</f>
        <v/>
      </c>
      <c r="BI93" s="22">
        <f>IF(AND($H93&lt;&gt;"",$AM93&lt;&gt;"",$H93&lt;&gt;$AM93,IFERROR(VLOOKUP($H93,areaCercaPuntiClassificaSquadra,3,FALSE),-1)=IFERROR(VLOOKUP($AM93,areaCercaPuntiClassificaSquadra,3,FALSE),-2)),SUMIFS(Dati!$B$2:$B$761,Dati!$A$2:$A$761,$H93,Dati!$H$2:$H$761,$AM93)+SUMIFS(Dati!$I$2:$I$761,Dati!$H$2:$H$761,$H93,Dati!$A$2:$A$761,$AM93),"-")</f>
        <v/>
      </c>
      <c r="BJ93" s="22">
        <f>IF(AND($H93&lt;&gt;"",$AN93&lt;&gt;"",$H93&lt;&gt;$AN93,IFERROR(VLOOKUP($H93,areaCercaPuntiClassificaSquadra,3,FALSE),-1)=IFERROR(VLOOKUP($AN93,areaCercaPuntiClassificaSquadra,3,FALSE),-2)),SUMIFS(Dati!$B$2:$B$761,Dati!$A$2:$A$761,$H93,Dati!$H$2:$H$761,$AN93)+SUMIFS(Dati!$I$2:$I$761,Dati!$H$2:$H$761,$H93,Dati!$A$2:$A$761,$AN93),"-")</f>
        <v/>
      </c>
      <c r="BK93" s="22">
        <f>IF(AND($H93&lt;&gt;"",$AO93&lt;&gt;"",$H93&lt;&gt;$AO93,IFERROR(VLOOKUP($H93,areaCercaPuntiClassificaSquadra,3,FALSE),-1)=IFERROR(VLOOKUP($AO93,areaCercaPuntiClassificaSquadra,3,FALSE),-2)),SUMIFS(Dati!$B$2:$B$761,Dati!$A$2:$A$761,$H93,Dati!$H$2:$H$761,$AO93)+SUMIFS(Dati!$I$2:$I$761,Dati!$H$2:$H$761,$H93,Dati!$A$2:$A$761,$AO93),"-")</f>
        <v/>
      </c>
      <c r="BL93" s="22">
        <f>IF(AND($H93&lt;&gt;"",$AP93&lt;&gt;"",$H93&lt;&gt;$AP93,IFERROR(VLOOKUP($H93,areaCercaPuntiClassificaSquadra,3,FALSE),-1)=IFERROR(VLOOKUP($AP93,areaCercaPuntiClassificaSquadra,3,FALSE),-2)),SUMIFS(Dati!$B$2:$B$761,Dati!$A$2:$A$761,$H93,Dati!$H$2:$H$761,$AP93)+SUMIFS(Dati!$I$2:$I$761,Dati!$H$2:$H$761,$H93,Dati!$A$2:$A$761,$AP93),"-")</f>
        <v/>
      </c>
      <c r="BM93" s="22">
        <f>IF(AND($H93&lt;&gt;"",$AQ93&lt;&gt;"",$H93&lt;&gt;$AQ93,IFERROR(VLOOKUP($H93,areaCercaPuntiClassificaSquadra,3,FALSE),-1)=IFERROR(VLOOKUP($AQ93,areaCercaPuntiClassificaSquadra,3,FALSE),-2)),SUMIFS(Dati!$B$2:$B$761,Dati!$A$2:$A$761,$H93,Dati!$H$2:$H$761,$AQ93)+SUMIFS(Dati!$I$2:$I$761,Dati!$H$2:$H$761,$H93,Dati!$A$2:$A$761,$AQ93),"-")</f>
        <v/>
      </c>
      <c r="BN93" s="22">
        <f>IF(AND($H93&lt;&gt;"",$AR93&lt;&gt;"",$H93&lt;&gt;$AR93,IFERROR(VLOOKUP($H93,areaCercaPuntiClassificaSquadra,3,FALSE),-1)=IFERROR(VLOOKUP($AR93,areaCercaPuntiClassificaSquadra,3,FALSE),-2)),SUMIFS(Dati!$B$2:$B$761,Dati!$A$2:$A$761,$H93,Dati!$H$2:$H$761,$AR93)+SUMIFS(Dati!$I$2:$I$761,Dati!$H$2:$H$761,$H93,Dati!$A$2:$A$761,$AR93),"-")</f>
        <v/>
      </c>
      <c r="BP93" s="21">
        <f>$C93</f>
        <v/>
      </c>
      <c r="BQ93" s="22">
        <f>IF(AND($H93&lt;&gt;"",$Y93&lt;&gt;"",$H93&lt;&gt;$Y93,IFERROR(VLOOKUP($H93,areaCercaPuntiClassificaSquadra,3,FALSE),-1)=IFERROR(VLOOKUP($Y93,areaCercaPuntiClassificaSquadra,3,FALSE),-2)),SUMIFS(Dati!$D$2:$D$761,Dati!$A$2:$A$761,$H93,Dati!$H$2:$H$761,$Y93)+SUMIFS(Dati!$K$2:$K$761,Dati!$H$2:$H$761,$H93,Dati!$A$2:$A$761,$Y93)+SUMIFS(Dati!$C$2:$C$761,Dati!$A$2:$A$761,$H93,Dati!$H$2:$H$761,$Y93)+SUMIFS(Dati!$J$2:$J$761,Dati!$H$2:$H$761,$H93,Dati!$A$2:$A$761,$Y93),"-")</f>
        <v/>
      </c>
      <c r="BR93" s="22">
        <f>IF(AND($H93&lt;&gt;"",$Z93&lt;&gt;"",$H93&lt;&gt;$Z93,IFERROR(VLOOKUP($H93,areaCercaPuntiClassificaSquadra,3,FALSE),-1)=IFERROR(VLOOKUP($Z93,areaCercaPuntiClassificaSquadra,3,FALSE),-2)),SUMIFS(Dati!$D$2:$D$761,Dati!$A$2:$A$761,$H93,Dati!$H$2:$H$761,$Z93)+SUMIFS(Dati!$K$2:$K$761,Dati!$H$2:$H$761,$H93,Dati!$A$2:$A$761,$Z93)+SUMIFS(Dati!$C$2:$C$761,Dati!$A$2:$A$761,$H93,Dati!$H$2:$H$761,$Z93)+SUMIFS(Dati!$J$2:$J$761,Dati!$H$2:$H$761,$H93,Dati!$A$2:$A$761,$Z93),"-")</f>
        <v/>
      </c>
      <c r="BS93" s="22">
        <f>IF(AND($H93&lt;&gt;"",$AA93&lt;&gt;"",$H93&lt;&gt;$AA93,IFERROR(VLOOKUP($H93,areaCercaPuntiClassificaSquadra,3,FALSE),-1)=IFERROR(VLOOKUP($AA93,areaCercaPuntiClassificaSquadra,3,FALSE),-2)),SUMIFS(Dati!$D$2:$D$761,Dati!$A$2:$A$761,$H93,Dati!$H$2:$H$761,$AA93)+SUMIFS(Dati!$K$2:$K$761,Dati!$H$2:$H$761,$H93,Dati!$A$2:$A$761,$AA93)+SUMIFS(Dati!$C$2:$C$761,Dati!$A$2:$A$761,$H93,Dati!$H$2:$H$761,$AA93)+SUMIFS(Dati!$J$2:$J$761,Dati!$H$2:$H$761,$H93,Dati!$A$2:$A$761,$AA93),"-")</f>
        <v/>
      </c>
      <c r="BT93" s="22">
        <f>IF(AND($H93&lt;&gt;"",$AB93&lt;&gt;"",$H93&lt;&gt;$AB93,IFERROR(VLOOKUP($H93,areaCercaPuntiClassificaSquadra,3,FALSE),-1)=IFERROR(VLOOKUP($AB93,areaCercaPuntiClassificaSquadra,3,FALSE),-2)),SUMIFS(Dati!$D$2:$D$761,Dati!$A$2:$A$761,$H93,Dati!$H$2:$H$761,$AB93)+SUMIFS(Dati!$K$2:$K$761,Dati!$H$2:$H$761,$H93,Dati!$A$2:$A$761,$AB93)+SUMIFS(Dati!$C$2:$C$761,Dati!$A$2:$A$761,$H93,Dati!$H$2:$H$761,$AB93)+SUMIFS(Dati!$J$2:$J$761,Dati!$H$2:$H$761,$H93,Dati!$A$2:$A$761,$AB93),"-")</f>
        <v/>
      </c>
      <c r="BU93" s="22">
        <f>IF(AND($H93&lt;&gt;"",$AC93&lt;&gt;"",$H93&lt;&gt;$AC93,IFERROR(VLOOKUP($H93,areaCercaPuntiClassificaSquadra,3,FALSE),-1)=IFERROR(VLOOKUP($AC93,areaCercaPuntiClassificaSquadra,3,FALSE),-2)),SUMIFS(Dati!$D$2:$D$761,Dati!$A$2:$A$761,$H93,Dati!$H$2:$H$761,$AC93)+SUMIFS(Dati!$K$2:$K$761,Dati!$H$2:$H$761,$H93,Dati!$A$2:$A$761,$AC93)+SUMIFS(Dati!$C$2:$C$761,Dati!$A$2:$A$761,$H93,Dati!$H$2:$H$761,$AC93)+SUMIFS(Dati!$J$2:$J$761,Dati!$H$2:$H$761,$H93,Dati!$A$2:$A$761,$AC93),"-")</f>
        <v/>
      </c>
      <c r="BV93" s="22">
        <f>IF(AND($H93&lt;&gt;"",$AD93&lt;&gt;"",$H93&lt;&gt;$AD93,IFERROR(VLOOKUP($H93,areaCercaPuntiClassificaSquadra,3,FALSE),-1)=IFERROR(VLOOKUP($AD93,areaCercaPuntiClassificaSquadra,3,FALSE),-2)),SUMIFS(Dati!$D$2:$D$761,Dati!$A$2:$A$761,$H93,Dati!$H$2:$H$761,$AD93)+SUMIFS(Dati!$K$2:$K$761,Dati!$H$2:$H$761,$H93,Dati!$A$2:$A$761,$AD93)+SUMIFS(Dati!$C$2:$C$761,Dati!$A$2:$A$761,$H93,Dati!$H$2:$H$761,$AD93)+SUMIFS(Dati!$J$2:$J$761,Dati!$H$2:$H$761,$H93,Dati!$A$2:$A$761,$AD93),"-")</f>
        <v/>
      </c>
      <c r="BW93" s="22">
        <f>IF(AND($H93&lt;&gt;"",$AE93&lt;&gt;"",$H93&lt;&gt;$AE93,IFERROR(VLOOKUP($H93,areaCercaPuntiClassificaSquadra,3,FALSE),-1)=IFERROR(VLOOKUP($AE93,areaCercaPuntiClassificaSquadra,3,FALSE),-2)),SUMIFS(Dati!$D$2:$D$761,Dati!$A$2:$A$761,$H93,Dati!$H$2:$H$761,$AE93)+SUMIFS(Dati!$K$2:$K$761,Dati!$H$2:$H$761,$H93,Dati!$A$2:$A$761,$AE93)+SUMIFS(Dati!$C$2:$C$761,Dati!$A$2:$A$761,$H93,Dati!$H$2:$H$761,$AE93)+SUMIFS(Dati!$J$2:$J$761,Dati!$H$2:$H$761,$H93,Dati!$A$2:$A$761,$AE93),"-")</f>
        <v/>
      </c>
      <c r="BX93" s="22">
        <f>IF(AND($H93&lt;&gt;"",$AF93&lt;&gt;"",$H93&lt;&gt;$AF93,IFERROR(VLOOKUP($H93,areaCercaPuntiClassificaSquadra,3,FALSE),-1)=IFERROR(VLOOKUP($AF93,areaCercaPuntiClassificaSquadra,3,FALSE),-2)),SUMIFS(Dati!$D$2:$D$761,Dati!$A$2:$A$761,$H93,Dati!$H$2:$H$761,$AF93)+SUMIFS(Dati!$K$2:$K$761,Dati!$H$2:$H$761,$H93,Dati!$A$2:$A$761,$AF93)+SUMIFS(Dati!$C$2:$C$761,Dati!$A$2:$A$761,$H93,Dati!$H$2:$H$761,$AF93)+SUMIFS(Dati!$J$2:$J$761,Dati!$H$2:$H$761,$H93,Dati!$A$2:$A$761,$AF93),"-")</f>
        <v/>
      </c>
      <c r="BY93" s="22">
        <f>IF(AND($H93&lt;&gt;"",$AG93&lt;&gt;"",$H93&lt;&gt;$AG93,IFERROR(VLOOKUP($H93,areaCercaPuntiClassificaSquadra,3,FALSE),-1)=IFERROR(VLOOKUP($AG93,areaCercaPuntiClassificaSquadra,3,FALSE),-2)),SUMIFS(Dati!$D$2:$D$761,Dati!$A$2:$A$761,$H93,Dati!$H$2:$H$761,$AG93)+SUMIFS(Dati!$K$2:$K$761,Dati!$H$2:$H$761,$H93,Dati!$A$2:$A$761,$AG93)+SUMIFS(Dati!$C$2:$C$761,Dati!$A$2:$A$761,$H93,Dati!$H$2:$H$761,$AG93)+SUMIFS(Dati!$J$2:$J$761,Dati!$H$2:$H$761,$H93,Dati!$A$2:$A$761,$AG93),"-")</f>
        <v/>
      </c>
      <c r="BZ93" s="22">
        <f>IF(AND($H93&lt;&gt;"",$AH93&lt;&gt;"",$H93&lt;&gt;$AH93,IFERROR(VLOOKUP($H93,areaCercaPuntiClassificaSquadra,3,FALSE),-1)=IFERROR(VLOOKUP($AH93,areaCercaPuntiClassificaSquadra,3,FALSE),-2)),SUMIFS(Dati!$D$2:$D$761,Dati!$A$2:$A$761,$H93,Dati!$H$2:$H$761,$AH93)+SUMIFS(Dati!$K$2:$K$761,Dati!$H$2:$H$761,$H93,Dati!$A$2:$A$761,$AH93)+SUMIFS(Dati!$C$2:$C$761,Dati!$A$2:$A$761,$H93,Dati!$H$2:$H$761,$AH93)+SUMIFS(Dati!$J$2:$J$761,Dati!$H$2:$H$761,$H93,Dati!$A$2:$A$761,$AH93),"-")</f>
        <v/>
      </c>
      <c r="CA93" s="22">
        <f>IF(AND($H93&lt;&gt;"",$AI93&lt;&gt;"",$H93&lt;&gt;$AI93,IFERROR(VLOOKUP($H93,areaCercaPuntiClassificaSquadra,3,FALSE),-1)=IFERROR(VLOOKUP($AI93,areaCercaPuntiClassificaSquadra,3,FALSE),-2)),SUMIFS(Dati!$D$2:$D$761,Dati!$A$2:$A$761,$H93,Dati!$H$2:$H$761,$AI93)+SUMIFS(Dati!$K$2:$K$761,Dati!$H$2:$H$761,$H93,Dati!$A$2:$A$761,$AI93)+SUMIFS(Dati!$C$2:$C$761,Dati!$A$2:$A$761,$H93,Dati!$H$2:$H$761,$AI93)+SUMIFS(Dati!$J$2:$J$761,Dati!$H$2:$H$761,$H93,Dati!$A$2:$A$761,$AI93),"-")</f>
        <v/>
      </c>
      <c r="CB93" s="22">
        <f>IF(AND($H93&lt;&gt;"",$AJ93&lt;&gt;"",$H93&lt;&gt;$AJ93,IFERROR(VLOOKUP($H93,areaCercaPuntiClassificaSquadra,3,FALSE),-1)=IFERROR(VLOOKUP($AJ93,areaCercaPuntiClassificaSquadra,3,FALSE),-2)),SUMIFS(Dati!$D$2:$D$761,Dati!$A$2:$A$761,$H93,Dati!$H$2:$H$761,$AJ93)+SUMIFS(Dati!$K$2:$K$761,Dati!$H$2:$H$761,$H93,Dati!$A$2:$A$761,$AJ93)+SUMIFS(Dati!$C$2:$C$761,Dati!$A$2:$A$761,$H93,Dati!$H$2:$H$761,$AJ93)+SUMIFS(Dati!$J$2:$J$761,Dati!$H$2:$H$761,$H93,Dati!$A$2:$A$761,$AJ93),"-")</f>
        <v/>
      </c>
      <c r="CC93" s="22">
        <f>IF(AND($H93&lt;&gt;"",$AK93&lt;&gt;"",$H93&lt;&gt;$AK93,IFERROR(VLOOKUP($H93,areaCercaPuntiClassificaSquadra,3,FALSE),-1)=IFERROR(VLOOKUP($AK93,areaCercaPuntiClassificaSquadra,3,FALSE),-2)),SUMIFS(Dati!$D$2:$D$761,Dati!$A$2:$A$761,$H93,Dati!$H$2:$H$761,$AK93)+SUMIFS(Dati!$K$2:$K$761,Dati!$H$2:$H$761,$H93,Dati!$A$2:$A$761,$AK93)+SUMIFS(Dati!$C$2:$C$761,Dati!$A$2:$A$761,$H93,Dati!$H$2:$H$761,$AK93)+SUMIFS(Dati!$J$2:$J$761,Dati!$H$2:$H$761,$H93,Dati!$A$2:$A$761,$AK93),"-")</f>
        <v/>
      </c>
      <c r="CD93" s="22">
        <f>IF(AND($H93&lt;&gt;"",$AL93&lt;&gt;"",$H93&lt;&gt;$AL93,IFERROR(VLOOKUP($H93,areaCercaPuntiClassificaSquadra,3,FALSE),-1)=IFERROR(VLOOKUP($AL93,areaCercaPuntiClassificaSquadra,3,FALSE),-2)),SUMIFS(Dati!$D$2:$D$761,Dati!$A$2:$A$761,$H93,Dati!$H$2:$H$761,$AL93)+SUMIFS(Dati!$K$2:$K$761,Dati!$H$2:$H$761,$H93,Dati!$A$2:$A$761,$AL93)+SUMIFS(Dati!$C$2:$C$761,Dati!$A$2:$A$761,$H93,Dati!$H$2:$H$761,$AL93)+SUMIFS(Dati!$J$2:$J$761,Dati!$H$2:$H$761,$H93,Dati!$A$2:$A$761,$AL93),"-")</f>
        <v/>
      </c>
      <c r="CE93" s="22">
        <f>IF(AND($H93&lt;&gt;"",$AM93&lt;&gt;"",$H93&lt;&gt;$AM93,IFERROR(VLOOKUP($H93,areaCercaPuntiClassificaSquadra,3,FALSE),-1)=IFERROR(VLOOKUP($AM93,areaCercaPuntiClassificaSquadra,3,FALSE),-2)),SUMIFS(Dati!$D$2:$D$761,Dati!$A$2:$A$761,$H93,Dati!$H$2:$H$761,$AM93)+SUMIFS(Dati!$K$2:$K$761,Dati!$H$2:$H$761,$H93,Dati!$A$2:$A$761,$AM93)+SUMIFS(Dati!$C$2:$C$761,Dati!$A$2:$A$761,$H93,Dati!$H$2:$H$761,$AM93)+SUMIFS(Dati!$J$2:$J$761,Dati!$H$2:$H$761,$H93,Dati!$A$2:$A$761,$AM93),"-")</f>
        <v/>
      </c>
      <c r="CF93" s="22">
        <f>IF(AND($H93&lt;&gt;"",$AN93&lt;&gt;"",$H93&lt;&gt;$AN93,IFERROR(VLOOKUP($H93,areaCercaPuntiClassificaSquadra,3,FALSE),-1)=IFERROR(VLOOKUP($AN93,areaCercaPuntiClassificaSquadra,3,FALSE),-2)),SUMIFS(Dati!$D$2:$D$761,Dati!$A$2:$A$761,$H93,Dati!$H$2:$H$761,$AN93)+SUMIFS(Dati!$K$2:$K$761,Dati!$H$2:$H$761,$H93,Dati!$A$2:$A$761,$AN93)+SUMIFS(Dati!$C$2:$C$761,Dati!$A$2:$A$761,$H93,Dati!$H$2:$H$761,$AN93)+SUMIFS(Dati!$J$2:$J$761,Dati!$H$2:$H$761,$H93,Dati!$A$2:$A$761,$AN93),"-")</f>
        <v/>
      </c>
      <c r="CG93" s="22">
        <f>IF(AND($H93&lt;&gt;"",$AO93&lt;&gt;"",$H93&lt;&gt;$AO93,IFERROR(VLOOKUP($H93,areaCercaPuntiClassificaSquadra,3,FALSE),-1)=IFERROR(VLOOKUP($AO93,areaCercaPuntiClassificaSquadra,3,FALSE),-2)),SUMIFS(Dati!$D$2:$D$761,Dati!$A$2:$A$761,$H93,Dati!$H$2:$H$761,$AO93)+SUMIFS(Dati!$K$2:$K$761,Dati!$H$2:$H$761,$H93,Dati!$A$2:$A$761,$AO93)+SUMIFS(Dati!$C$2:$C$761,Dati!$A$2:$A$761,$H93,Dati!$H$2:$H$761,$AO93)+SUMIFS(Dati!$J$2:$J$761,Dati!$H$2:$H$761,$H93,Dati!$A$2:$A$761,$AO93),"-")</f>
        <v/>
      </c>
      <c r="CH93" s="22">
        <f>IF(AND($H93&lt;&gt;"",$AP93&lt;&gt;"",$H93&lt;&gt;$AP93,IFERROR(VLOOKUP($H93,areaCercaPuntiClassificaSquadra,3,FALSE),-1)=IFERROR(VLOOKUP($AP93,areaCercaPuntiClassificaSquadra,3,FALSE),-2)),SUMIFS(Dati!$D$2:$D$761,Dati!$A$2:$A$761,$H93,Dati!$H$2:$H$761,$AP93)+SUMIFS(Dati!$K$2:$K$761,Dati!$H$2:$H$761,$H93,Dati!$A$2:$A$761,$AP93)+SUMIFS(Dati!$C$2:$C$761,Dati!$A$2:$A$761,$H93,Dati!$H$2:$H$761,$AP93)+SUMIFS(Dati!$J$2:$J$761,Dati!$H$2:$H$761,$H93,Dati!$A$2:$A$761,$AP93),"-")</f>
        <v/>
      </c>
      <c r="CI93" s="22">
        <f>IF(AND($H93&lt;&gt;"",$AQ93&lt;&gt;"",$H93&lt;&gt;$AQ93,IFERROR(VLOOKUP($H93,areaCercaPuntiClassificaSquadra,3,FALSE),-1)=IFERROR(VLOOKUP($AQ93,areaCercaPuntiClassificaSquadra,3,FALSE),-2)),SUMIFS(Dati!$D$2:$D$761,Dati!$A$2:$A$761,$H93,Dati!$H$2:$H$761,$AQ93)+SUMIFS(Dati!$K$2:$K$761,Dati!$H$2:$H$761,$H93,Dati!$A$2:$A$761,$AQ93)+SUMIFS(Dati!$C$2:$C$761,Dati!$A$2:$A$761,$H93,Dati!$H$2:$H$761,$AQ93)+SUMIFS(Dati!$J$2:$J$761,Dati!$H$2:$H$761,$H93,Dati!$A$2:$A$761,$AQ93),"-")</f>
        <v/>
      </c>
      <c r="CJ93" s="22">
        <f>IF(AND($H93&lt;&gt;"",$AR93&lt;&gt;"",$H93&lt;&gt;$AR93,IFERROR(VLOOKUP($H93,areaCercaPuntiClassificaSquadra,3,FALSE),-1)=IFERROR(VLOOKUP($AR93,areaCercaPuntiClassificaSquadra,3,FALSE),-2)),SUMIFS(Dati!$D$2:$D$761,Dati!$A$2:$A$761,$H93,Dati!$H$2:$H$761,$AR93)+SUMIFS(Dati!$K$2:$K$761,Dati!$H$2:$H$761,$H93,Dati!$A$2:$A$761,$AR93)+SUMIFS(Dati!$C$2:$C$761,Dati!$A$2:$A$761,$H93,Dati!$H$2:$H$761,$AR93)+SUMIFS(Dati!$J$2:$J$761,Dati!$H$2:$H$761,$H93,Dati!$A$2:$A$761,$AR93),"-")</f>
        <v/>
      </c>
      <c r="CL93" s="21">
        <f>$C93</f>
        <v/>
      </c>
      <c r="CM93" s="22">
        <f>IF(AND($H93&lt;&gt;"",$Y93&lt;&gt;"",$H93&lt;&gt;$Y93,IFERROR(VLOOKUP($H93,areaCercaPuntiClassificaSquadra,3,FALSE),-1)=IFERROR(VLOOKUP($Y93,areaCercaPuntiClassificaSquadra,3,FALSE),-2)),SUMIFS(Dati!$E$2:$E$761,Dati!$A$2:$A$761,$H93,Dati!$H$2:$H$761,$Y93)+SUMIFS(Dati!$L$2:$L$761,Dati!$H$2:$H$761,$H93,Dati!$A$2:$A$761,$Y93),"-")</f>
        <v/>
      </c>
      <c r="CN93" s="22">
        <f>IF(AND($H93&lt;&gt;"",$Z93&lt;&gt;"",$H93&lt;&gt;$Z93,IFERROR(VLOOKUP($H93,areaCercaPuntiClassificaSquadra,3,FALSE),-1)=IFERROR(VLOOKUP($Z93,areaCercaPuntiClassificaSquadra,3,FALSE),-2)),SUMIFS(Dati!$E$2:$E$761,Dati!$A$2:$A$761,$H93,Dati!$H$2:$H$761,$Z93)+SUMIFS(Dati!$L$2:$L$761,Dati!$H$2:$H$761,$H93,Dati!$A$2:$A$761,$Z93),"-")</f>
        <v/>
      </c>
      <c r="CO93" s="22">
        <f>IF(AND($H93&lt;&gt;"",$AA93&lt;&gt;"",$H93&lt;&gt;$AA93,IFERROR(VLOOKUP($H93,areaCercaPuntiClassificaSquadra,3,FALSE),-1)=IFERROR(VLOOKUP($AA93,areaCercaPuntiClassificaSquadra,3,FALSE),-2)),SUMIFS(Dati!$E$2:$E$761,Dati!$A$2:$A$761,$H93,Dati!$H$2:$H$761,$AA93)+SUMIFS(Dati!$L$2:$L$761,Dati!$H$2:$H$761,$H93,Dati!$A$2:$A$761,$AA93),"-")</f>
        <v/>
      </c>
      <c r="CP93" s="22">
        <f>IF(AND($H93&lt;&gt;"",$AB93&lt;&gt;"",$H93&lt;&gt;$AB93,IFERROR(VLOOKUP($H93,areaCercaPuntiClassificaSquadra,3,FALSE),-1)=IFERROR(VLOOKUP($AB93,areaCercaPuntiClassificaSquadra,3,FALSE),-2)),SUMIFS(Dati!$E$2:$E$761,Dati!$A$2:$A$761,$H93,Dati!$H$2:$H$761,$AB93)+SUMIFS(Dati!$L$2:$L$761,Dati!$H$2:$H$761,$H93,Dati!$A$2:$A$761,$AB93),"-")</f>
        <v/>
      </c>
      <c r="CQ93" s="22">
        <f>IF(AND($H93&lt;&gt;"",$AC93&lt;&gt;"",$H93&lt;&gt;$AC93,IFERROR(VLOOKUP($H93,areaCercaPuntiClassificaSquadra,3,FALSE),-1)=IFERROR(VLOOKUP($AC93,areaCercaPuntiClassificaSquadra,3,FALSE),-2)),SUMIFS(Dati!$E$2:$E$761,Dati!$A$2:$A$761,$H93,Dati!$H$2:$H$761,$AC93)+SUMIFS(Dati!$L$2:$L$761,Dati!$H$2:$H$761,$H93,Dati!$A$2:$A$761,$AC93),"-")</f>
        <v/>
      </c>
      <c r="CR93" s="22">
        <f>IF(AND($H93&lt;&gt;"",$AD93&lt;&gt;"",$H93&lt;&gt;$AD93,IFERROR(VLOOKUP($H93,areaCercaPuntiClassificaSquadra,3,FALSE),-1)=IFERROR(VLOOKUP($AD93,areaCercaPuntiClassificaSquadra,3,FALSE),-2)),SUMIFS(Dati!$E$2:$E$761,Dati!$A$2:$A$761,$H93,Dati!$H$2:$H$761,$AD93)+SUMIFS(Dati!$L$2:$L$761,Dati!$H$2:$H$761,$H93,Dati!$A$2:$A$761,$AD93),"-")</f>
        <v/>
      </c>
      <c r="CS93" s="22">
        <f>IF(AND($H93&lt;&gt;"",$AE93&lt;&gt;"",$H93&lt;&gt;$AE93,IFERROR(VLOOKUP($H93,areaCercaPuntiClassificaSquadra,3,FALSE),-1)=IFERROR(VLOOKUP($AE93,areaCercaPuntiClassificaSquadra,3,FALSE),-2)),SUMIFS(Dati!$E$2:$E$761,Dati!$A$2:$A$761,$H93,Dati!$H$2:$H$761,$AE93)+SUMIFS(Dati!$L$2:$L$761,Dati!$H$2:$H$761,$H93,Dati!$A$2:$A$761,$AE93),"-")</f>
        <v/>
      </c>
      <c r="CT93" s="22">
        <f>IF(AND($H93&lt;&gt;"",$AF93&lt;&gt;"",$H93&lt;&gt;$AF93,IFERROR(VLOOKUP($H93,areaCercaPuntiClassificaSquadra,3,FALSE),-1)=IFERROR(VLOOKUP($AF93,areaCercaPuntiClassificaSquadra,3,FALSE),-2)),SUMIFS(Dati!$E$2:$E$761,Dati!$A$2:$A$761,$H93,Dati!$H$2:$H$761,$AF93)+SUMIFS(Dati!$L$2:$L$761,Dati!$H$2:$H$761,$H93,Dati!$A$2:$A$761,$AF93),"-")</f>
        <v/>
      </c>
      <c r="CU93" s="22">
        <f>IF(AND($H93&lt;&gt;"",$AG93&lt;&gt;"",$H93&lt;&gt;$AG93,IFERROR(VLOOKUP($H93,areaCercaPuntiClassificaSquadra,3,FALSE),-1)=IFERROR(VLOOKUP($AG93,areaCercaPuntiClassificaSquadra,3,FALSE),-2)),SUMIFS(Dati!$E$2:$E$761,Dati!$A$2:$A$761,$H93,Dati!$H$2:$H$761,$AG93)+SUMIFS(Dati!$L$2:$L$761,Dati!$H$2:$H$761,$H93,Dati!$A$2:$A$761,$AG93),"-")</f>
        <v/>
      </c>
      <c r="CV93" s="22">
        <f>IF(AND($H93&lt;&gt;"",$AH93&lt;&gt;"",$H93&lt;&gt;$AH93,IFERROR(VLOOKUP($H93,areaCercaPuntiClassificaSquadra,3,FALSE),-1)=IFERROR(VLOOKUP($AH93,areaCercaPuntiClassificaSquadra,3,FALSE),-2)),SUMIFS(Dati!$E$2:$E$761,Dati!$A$2:$A$761,$H93,Dati!$H$2:$H$761,$AH93)+SUMIFS(Dati!$L$2:$L$761,Dati!$H$2:$H$761,$H93,Dati!$A$2:$A$761,$AH93),"-")</f>
        <v/>
      </c>
      <c r="CW93" s="22">
        <f>IF(AND($H93&lt;&gt;"",$AI93&lt;&gt;"",$H93&lt;&gt;$AI93,IFERROR(VLOOKUP($H93,areaCercaPuntiClassificaSquadra,3,FALSE),-1)=IFERROR(VLOOKUP($AI93,areaCercaPuntiClassificaSquadra,3,FALSE),-2)),SUMIFS(Dati!$E$2:$E$761,Dati!$A$2:$A$761,$H93,Dati!$H$2:$H$761,$AI93)+SUMIFS(Dati!$L$2:$L$761,Dati!$H$2:$H$761,$H93,Dati!$A$2:$A$761,$AI93),"-")</f>
        <v/>
      </c>
      <c r="CX93" s="22">
        <f>IF(AND($H93&lt;&gt;"",$AJ93&lt;&gt;"",$H93&lt;&gt;$AJ93,IFERROR(VLOOKUP($H93,areaCercaPuntiClassificaSquadra,3,FALSE),-1)=IFERROR(VLOOKUP($AJ93,areaCercaPuntiClassificaSquadra,3,FALSE),-2)),SUMIFS(Dati!$E$2:$E$761,Dati!$A$2:$A$761,$H93,Dati!$H$2:$H$761,$AJ93)+SUMIFS(Dati!$L$2:$L$761,Dati!$H$2:$H$761,$H93,Dati!$A$2:$A$761,$AJ93),"-")</f>
        <v/>
      </c>
      <c r="CY93" s="22">
        <f>IF(AND($H93&lt;&gt;"",$AK93&lt;&gt;"",$H93&lt;&gt;$AK93,IFERROR(VLOOKUP($H93,areaCercaPuntiClassificaSquadra,3,FALSE),-1)=IFERROR(VLOOKUP($AK93,areaCercaPuntiClassificaSquadra,3,FALSE),-2)),SUMIFS(Dati!$E$2:$E$761,Dati!$A$2:$A$761,$H93,Dati!$H$2:$H$761,$AK93)+SUMIFS(Dati!$L$2:$L$761,Dati!$H$2:$H$761,$H93,Dati!$A$2:$A$761,$AK93),"-")</f>
        <v/>
      </c>
      <c r="CZ93" s="22">
        <f>IF(AND($H93&lt;&gt;"",$AL93&lt;&gt;"",$H93&lt;&gt;$AL93,IFERROR(VLOOKUP($H93,areaCercaPuntiClassificaSquadra,3,FALSE),-1)=IFERROR(VLOOKUP($AL93,areaCercaPuntiClassificaSquadra,3,FALSE),-2)),SUMIFS(Dati!$E$2:$E$761,Dati!$A$2:$A$761,$H93,Dati!$H$2:$H$761,$AL93)+SUMIFS(Dati!$L$2:$L$761,Dati!$H$2:$H$761,$H93,Dati!$A$2:$A$761,$AL93),"-")</f>
        <v/>
      </c>
      <c r="DA93" s="22">
        <f>IF(AND($H93&lt;&gt;"",$AM93&lt;&gt;"",$H93&lt;&gt;$AM93,IFERROR(VLOOKUP($H93,areaCercaPuntiClassificaSquadra,3,FALSE),-1)=IFERROR(VLOOKUP($AM93,areaCercaPuntiClassificaSquadra,3,FALSE),-2)),SUMIFS(Dati!$E$2:$E$761,Dati!$A$2:$A$761,$H93,Dati!$H$2:$H$761,$AM93)+SUMIFS(Dati!$L$2:$L$761,Dati!$H$2:$H$761,$H93,Dati!$A$2:$A$761,$AM93),"-")</f>
        <v/>
      </c>
      <c r="DB93" s="22">
        <f>IF(AND($H93&lt;&gt;"",$AN93&lt;&gt;"",$H93&lt;&gt;$AN93,IFERROR(VLOOKUP($H93,areaCercaPuntiClassificaSquadra,3,FALSE),-1)=IFERROR(VLOOKUP($AN93,areaCercaPuntiClassificaSquadra,3,FALSE),-2)),SUMIFS(Dati!$E$2:$E$761,Dati!$A$2:$A$761,$H93,Dati!$H$2:$H$761,$AN93)+SUMIFS(Dati!$L$2:$L$761,Dati!$H$2:$H$761,$H93,Dati!$A$2:$A$761,$AN93),"-")</f>
        <v/>
      </c>
      <c r="DC93" s="22">
        <f>IF(AND($H93&lt;&gt;"",$AO93&lt;&gt;"",$H93&lt;&gt;$AO93,IFERROR(VLOOKUP($H93,areaCercaPuntiClassificaSquadra,3,FALSE),-1)=IFERROR(VLOOKUP($AO93,areaCercaPuntiClassificaSquadra,3,FALSE),-2)),SUMIFS(Dati!$E$2:$E$761,Dati!$A$2:$A$761,$H93,Dati!$H$2:$H$761,$AO93)+SUMIFS(Dati!$L$2:$L$761,Dati!$H$2:$H$761,$H93,Dati!$A$2:$A$761,$AO93),"-")</f>
        <v/>
      </c>
      <c r="DD93" s="22">
        <f>IF(AND($H93&lt;&gt;"",$AP93&lt;&gt;"",$H93&lt;&gt;$AP93,IFERROR(VLOOKUP($H93,areaCercaPuntiClassificaSquadra,3,FALSE),-1)=IFERROR(VLOOKUP($AP93,areaCercaPuntiClassificaSquadra,3,FALSE),-2)),SUMIFS(Dati!$E$2:$E$761,Dati!$A$2:$A$761,$H93,Dati!$H$2:$H$761,$AP93)+SUMIFS(Dati!$L$2:$L$761,Dati!$H$2:$H$761,$H93,Dati!$A$2:$A$761,$AP93),"-")</f>
        <v/>
      </c>
      <c r="DE93" s="22">
        <f>IF(AND($H93&lt;&gt;"",$AQ93&lt;&gt;"",$H93&lt;&gt;$AQ93,IFERROR(VLOOKUP($H93,areaCercaPuntiClassificaSquadra,3,FALSE),-1)=IFERROR(VLOOKUP($AQ93,areaCercaPuntiClassificaSquadra,3,FALSE),-2)),SUMIFS(Dati!$E$2:$E$761,Dati!$A$2:$A$761,$H93,Dati!$H$2:$H$761,$AQ93)+SUMIFS(Dati!$L$2:$L$761,Dati!$H$2:$H$761,$H93,Dati!$A$2:$A$761,$AQ93),"-")</f>
        <v/>
      </c>
      <c r="DF93" s="22">
        <f>IF(AND($H93&lt;&gt;"",$AR93&lt;&gt;"",$H93&lt;&gt;$AR93,IFERROR(VLOOKUP($H93,areaCercaPuntiClassificaSquadra,3,FALSE),-1)=IFERROR(VLOOKUP($AR93,areaCercaPuntiClassificaSquadra,3,FALSE),-2)),SUMIFS(Dati!$E$2:$E$761,Dati!$A$2:$A$761,$H93,Dati!$H$2:$H$761,$AR93)+SUMIFS(Dati!$L$2:$L$761,Dati!$H$2:$H$761,$H93,Dati!$A$2:$A$761,$AR93),"-")</f>
        <v/>
      </c>
      <c r="DH93" s="21">
        <f>$C93</f>
        <v/>
      </c>
      <c r="DI93" s="22">
        <f>IF(AND($H93&lt;&gt;"",$Y93&lt;&gt;"",$H93&lt;&gt;$Y93,IFERROR(VLOOKUP($H93,areaCercaPuntiClassificaSquadra,3,FALSE),-1)=IFERROR(VLOOKUP($Y93,areaCercaPuntiClassificaSquadra,3,FALSE),-2)),SUMIFS(Dati!$F$2:$F$761,Dati!$A$2:$A$761,$H93,Dati!$H$2:$H$761,$Y93)+SUMIFS(Dati!$M$2:$M$761,Dati!$H$2:$H$761,$H93,Dati!$A$2:$A$761,$Y93),"-")</f>
        <v/>
      </c>
      <c r="DJ93" s="22">
        <f>IF(AND($H93&lt;&gt;"",$Z93&lt;&gt;"",$H93&lt;&gt;$Z93,IFERROR(VLOOKUP($H93,areaCercaPuntiClassificaSquadra,3,FALSE),-1)=IFERROR(VLOOKUP($Z93,areaCercaPuntiClassificaSquadra,3,FALSE),-2)),SUMIFS(Dati!$F$2:$F$761,Dati!$A$2:$A$761,$H93,Dati!$H$2:$H$761,$Z93)+SUMIFS(Dati!$M$2:$M$761,Dati!$H$2:$H$761,$H93,Dati!$A$2:$A$761,$Z93),"-")</f>
        <v/>
      </c>
      <c r="DK93" s="22">
        <f>IF(AND($H93&lt;&gt;"",$AA93&lt;&gt;"",$H93&lt;&gt;$AA93,IFERROR(VLOOKUP($H93,areaCercaPuntiClassificaSquadra,3,FALSE),-1)=IFERROR(VLOOKUP($AA93,areaCercaPuntiClassificaSquadra,3,FALSE),-2)),SUMIFS(Dati!$F$2:$F$761,Dati!$A$2:$A$761,$H93,Dati!$H$2:$H$761,$AA93)+SUMIFS(Dati!$M$2:$M$761,Dati!$H$2:$H$761,$H93,Dati!$A$2:$A$761,$AA93),"-")</f>
        <v/>
      </c>
      <c r="DL93" s="22">
        <f>IF(AND($H93&lt;&gt;"",$AB93&lt;&gt;"",$H93&lt;&gt;$AB93,IFERROR(VLOOKUP($H93,areaCercaPuntiClassificaSquadra,3,FALSE),-1)=IFERROR(VLOOKUP($AB93,areaCercaPuntiClassificaSquadra,3,FALSE),-2)),SUMIFS(Dati!$F$2:$F$761,Dati!$A$2:$A$761,$H93,Dati!$H$2:$H$761,$AB93)+SUMIFS(Dati!$M$2:$M$761,Dati!$H$2:$H$761,$H93,Dati!$A$2:$A$761,$AB93),"-")</f>
        <v/>
      </c>
      <c r="DM93" s="22">
        <f>IF(AND($H93&lt;&gt;"",$AC93&lt;&gt;"",$H93&lt;&gt;$AC93,IFERROR(VLOOKUP($H93,areaCercaPuntiClassificaSquadra,3,FALSE),-1)=IFERROR(VLOOKUP($AC93,areaCercaPuntiClassificaSquadra,3,FALSE),-2)),SUMIFS(Dati!$F$2:$F$761,Dati!$A$2:$A$761,$H93,Dati!$H$2:$H$761,$AC93)+SUMIFS(Dati!$M$2:$M$761,Dati!$H$2:$H$761,$H93,Dati!$A$2:$A$761,$AC93),"-")</f>
        <v/>
      </c>
      <c r="DN93" s="22">
        <f>IF(AND($H93&lt;&gt;"",$AD93&lt;&gt;"",$H93&lt;&gt;$AD93,IFERROR(VLOOKUP($H93,areaCercaPuntiClassificaSquadra,3,FALSE),-1)=IFERROR(VLOOKUP($AD93,areaCercaPuntiClassificaSquadra,3,FALSE),-2)),SUMIFS(Dati!$F$2:$F$761,Dati!$A$2:$A$761,$H93,Dati!$H$2:$H$761,$AD93)+SUMIFS(Dati!$M$2:$M$761,Dati!$H$2:$H$761,$H93,Dati!$A$2:$A$761,$AD93),"-")</f>
        <v/>
      </c>
      <c r="DO93" s="22">
        <f>IF(AND($H93&lt;&gt;"",$AE93&lt;&gt;"",$H93&lt;&gt;$AE93,IFERROR(VLOOKUP($H93,areaCercaPuntiClassificaSquadra,3,FALSE),-1)=IFERROR(VLOOKUP($AE93,areaCercaPuntiClassificaSquadra,3,FALSE),-2)),SUMIFS(Dati!$F$2:$F$761,Dati!$A$2:$A$761,$H93,Dati!$H$2:$H$761,$AE93)+SUMIFS(Dati!$M$2:$M$761,Dati!$H$2:$H$761,$H93,Dati!$A$2:$A$761,$AE93),"-")</f>
        <v/>
      </c>
      <c r="DP93" s="22">
        <f>IF(AND($H93&lt;&gt;"",$AF93&lt;&gt;"",$H93&lt;&gt;$AF93,IFERROR(VLOOKUP($H93,areaCercaPuntiClassificaSquadra,3,FALSE),-1)=IFERROR(VLOOKUP($AF93,areaCercaPuntiClassificaSquadra,3,FALSE),-2)),SUMIFS(Dati!$F$2:$F$761,Dati!$A$2:$A$761,$H93,Dati!$H$2:$H$761,$AF93)+SUMIFS(Dati!$M$2:$M$761,Dati!$H$2:$H$761,$H93,Dati!$A$2:$A$761,$AF93),"-")</f>
        <v/>
      </c>
      <c r="DQ93" s="22">
        <f>IF(AND($H93&lt;&gt;"",$AG93&lt;&gt;"",$H93&lt;&gt;$AG93,IFERROR(VLOOKUP($H93,areaCercaPuntiClassificaSquadra,3,FALSE),-1)=IFERROR(VLOOKUP($AG93,areaCercaPuntiClassificaSquadra,3,FALSE),-2)),SUMIFS(Dati!$F$2:$F$761,Dati!$A$2:$A$761,$H93,Dati!$H$2:$H$761,$AG93)+SUMIFS(Dati!$M$2:$M$761,Dati!$H$2:$H$761,$H93,Dati!$A$2:$A$761,$AG93),"-")</f>
        <v/>
      </c>
      <c r="DR93" s="22">
        <f>IF(AND($H93&lt;&gt;"",$AH93&lt;&gt;"",$H93&lt;&gt;$AH93,IFERROR(VLOOKUP($H93,areaCercaPuntiClassificaSquadra,3,FALSE),-1)=IFERROR(VLOOKUP($AH93,areaCercaPuntiClassificaSquadra,3,FALSE),-2)),SUMIFS(Dati!$F$2:$F$761,Dati!$A$2:$A$761,$H93,Dati!$H$2:$H$761,$AH93)+SUMIFS(Dati!$M$2:$M$761,Dati!$H$2:$H$761,$H93,Dati!$A$2:$A$761,$AH93),"-")</f>
        <v/>
      </c>
      <c r="DS93" s="22">
        <f>IF(AND($H93&lt;&gt;"",$AI93&lt;&gt;"",$H93&lt;&gt;$AI93,IFERROR(VLOOKUP($H93,areaCercaPuntiClassificaSquadra,3,FALSE),-1)=IFERROR(VLOOKUP($AI93,areaCercaPuntiClassificaSquadra,3,FALSE),-2)),SUMIFS(Dati!$F$2:$F$761,Dati!$A$2:$A$761,$H93,Dati!$H$2:$H$761,$AI93)+SUMIFS(Dati!$M$2:$M$761,Dati!$H$2:$H$761,$H93,Dati!$A$2:$A$761,$AI93),"-")</f>
        <v/>
      </c>
      <c r="DT93" s="22">
        <f>IF(AND($H93&lt;&gt;"",$AJ93&lt;&gt;"",$H93&lt;&gt;$AJ93,IFERROR(VLOOKUP($H93,areaCercaPuntiClassificaSquadra,3,FALSE),-1)=IFERROR(VLOOKUP($AJ93,areaCercaPuntiClassificaSquadra,3,FALSE),-2)),SUMIFS(Dati!$F$2:$F$761,Dati!$A$2:$A$761,$H93,Dati!$H$2:$H$761,$AJ93)+SUMIFS(Dati!$M$2:$M$761,Dati!$H$2:$H$761,$H93,Dati!$A$2:$A$761,$AJ93),"-")</f>
        <v/>
      </c>
      <c r="DU93" s="22">
        <f>IF(AND($H93&lt;&gt;"",$AK93&lt;&gt;"",$H93&lt;&gt;$AK93,IFERROR(VLOOKUP($H93,areaCercaPuntiClassificaSquadra,3,FALSE),-1)=IFERROR(VLOOKUP($AK93,areaCercaPuntiClassificaSquadra,3,FALSE),-2)),SUMIFS(Dati!$F$2:$F$761,Dati!$A$2:$A$761,$H93,Dati!$H$2:$H$761,$AK93)+SUMIFS(Dati!$M$2:$M$761,Dati!$H$2:$H$761,$H93,Dati!$A$2:$A$761,$AK93),"-")</f>
        <v/>
      </c>
      <c r="DV93" s="22">
        <f>IF(AND($H93&lt;&gt;"",$AL93&lt;&gt;"",$H93&lt;&gt;$AL93,IFERROR(VLOOKUP($H93,areaCercaPuntiClassificaSquadra,3,FALSE),-1)=IFERROR(VLOOKUP($AL93,areaCercaPuntiClassificaSquadra,3,FALSE),-2)),SUMIFS(Dati!$F$2:$F$761,Dati!$A$2:$A$761,$H93,Dati!$H$2:$H$761,$AL93)+SUMIFS(Dati!$M$2:$M$761,Dati!$H$2:$H$761,$H93,Dati!$A$2:$A$761,$AL93),"-")</f>
        <v/>
      </c>
      <c r="DW93" s="22">
        <f>IF(AND($H93&lt;&gt;"",$AM93&lt;&gt;"",$H93&lt;&gt;$AM93,IFERROR(VLOOKUP($H93,areaCercaPuntiClassificaSquadra,3,FALSE),-1)=IFERROR(VLOOKUP($AM93,areaCercaPuntiClassificaSquadra,3,FALSE),-2)),SUMIFS(Dati!$F$2:$F$761,Dati!$A$2:$A$761,$H93,Dati!$H$2:$H$761,$AM93)+SUMIFS(Dati!$M$2:$M$761,Dati!$H$2:$H$761,$H93,Dati!$A$2:$A$761,$AM93),"-")</f>
        <v/>
      </c>
      <c r="DX93" s="22">
        <f>IF(AND($H93&lt;&gt;"",$AN93&lt;&gt;"",$H93&lt;&gt;$AN93,IFERROR(VLOOKUP($H93,areaCercaPuntiClassificaSquadra,3,FALSE),-1)=IFERROR(VLOOKUP($AN93,areaCercaPuntiClassificaSquadra,3,FALSE),-2)),SUMIFS(Dati!$F$2:$F$761,Dati!$A$2:$A$761,$H93,Dati!$H$2:$H$761,$AN93)+SUMIFS(Dati!$M$2:$M$761,Dati!$H$2:$H$761,$H93,Dati!$A$2:$A$761,$AN93),"-")</f>
        <v/>
      </c>
      <c r="DY93" s="22">
        <f>IF(AND($H93&lt;&gt;"",$AO93&lt;&gt;"",$H93&lt;&gt;$AO93,IFERROR(VLOOKUP($H93,areaCercaPuntiClassificaSquadra,3,FALSE),-1)=IFERROR(VLOOKUP($AO93,areaCercaPuntiClassificaSquadra,3,FALSE),-2)),SUMIFS(Dati!$F$2:$F$761,Dati!$A$2:$A$761,$H93,Dati!$H$2:$H$761,$AO93)+SUMIFS(Dati!$M$2:$M$761,Dati!$H$2:$H$761,$H93,Dati!$A$2:$A$761,$AO93),"-")</f>
        <v/>
      </c>
      <c r="DZ93" s="22">
        <f>IF(AND($H93&lt;&gt;"",$AP93&lt;&gt;"",$H93&lt;&gt;$AP93,IFERROR(VLOOKUP($H93,areaCercaPuntiClassificaSquadra,3,FALSE),-1)=IFERROR(VLOOKUP($AP93,areaCercaPuntiClassificaSquadra,3,FALSE),-2)),SUMIFS(Dati!$F$2:$F$761,Dati!$A$2:$A$761,$H93,Dati!$H$2:$H$761,$AP93)+SUMIFS(Dati!$M$2:$M$761,Dati!$H$2:$H$761,$H93,Dati!$A$2:$A$761,$AP93),"-")</f>
        <v/>
      </c>
      <c r="EA93" s="22">
        <f>IF(AND($H93&lt;&gt;"",$AQ93&lt;&gt;"",$H93&lt;&gt;$AQ93,IFERROR(VLOOKUP($H93,areaCercaPuntiClassificaSquadra,3,FALSE),-1)=IFERROR(VLOOKUP($AQ93,areaCercaPuntiClassificaSquadra,3,FALSE),-2)),SUMIFS(Dati!$F$2:$F$761,Dati!$A$2:$A$761,$H93,Dati!$H$2:$H$761,$AQ93)+SUMIFS(Dati!$M$2:$M$761,Dati!$H$2:$H$761,$H93,Dati!$A$2:$A$761,$AQ93),"-")</f>
        <v/>
      </c>
      <c r="EB93" s="22">
        <f>IF(AND($H93&lt;&gt;"",$AR93&lt;&gt;"",$H93&lt;&gt;$AR93,IFERROR(VLOOKUP($H93,areaCercaPuntiClassificaSquadra,3,FALSE),-1)=IFERROR(VLOOKUP($AR93,areaCercaPuntiClassificaSquadra,3,FALSE),-2)),SUMIFS(Dati!$F$2:$F$761,Dati!$A$2:$A$761,$H93,Dati!$H$2:$H$761,$AR93)+SUMIFS(Dati!$M$2:$M$761,Dati!$H$2:$H$761,$H93,Dati!$A$2:$A$761,$AR93),"-")</f>
        <v/>
      </c>
      <c r="ED93" s="22">
        <f>IF($C93="","",SUM(AU93:BN93))</f>
        <v/>
      </c>
    </row>
    <row r="95" ht="20" customHeight="1">
      <c r="B95" s="41" t="inlineStr">
        <is>
          <t>CAMPI</t>
        </is>
      </c>
      <c r="C95" s="9" t="n"/>
      <c r="D95" s="10" t="n"/>
    </row>
    <row r="96">
      <c r="B96" s="43" t="inlineStr">
        <is>
          <t>#</t>
        </is>
      </c>
      <c r="C96" s="43" t="inlineStr">
        <is>
          <t>Nome Campo</t>
        </is>
      </c>
      <c r="D96" s="43" t="inlineStr">
        <is>
          <t>Link Mappa Campo</t>
        </is>
      </c>
    </row>
    <row r="97">
      <c r="B97" s="12" t="inlineStr">
        <is>
          <t>A01</t>
        </is>
      </c>
      <c r="C97" s="13" t="inlineStr">
        <is>
          <t>PalaAnaconde, Via dello Sport 1, Anacondeopoli AA</t>
        </is>
      </c>
      <c r="D97" s="44" t="inlineStr">
        <is>
          <t>https://maps.example.org/campo/a01</t>
        </is>
      </c>
    </row>
    <row r="98">
      <c r="B98" s="12" t="inlineStr">
        <is>
          <t>A02</t>
        </is>
      </c>
      <c r="C98" s="13" t="inlineStr">
        <is>
          <t>PalaBufali, Via dello Sport 2, Bufaliopoli BE</t>
        </is>
      </c>
      <c r="D98" s="44" t="inlineStr">
        <is>
          <t>https://maps.example.org/campo/a02</t>
        </is>
      </c>
    </row>
    <row r="99">
      <c r="B99" s="12" t="inlineStr">
        <is>
          <t>A03</t>
        </is>
      </c>
      <c r="C99" s="13" t="inlineStr">
        <is>
          <t>PalaCobra, Via dello Sport 3, Cobraopoli CI</t>
        </is>
      </c>
      <c r="D99" s="44" t="inlineStr">
        <is>
          <t>https://maps.example.org/campo/a03</t>
        </is>
      </c>
    </row>
    <row r="100">
      <c r="B100" s="12" t="inlineStr">
        <is>
          <t>A04</t>
        </is>
      </c>
      <c r="C100" s="13" t="inlineStr">
        <is>
          <t>PalaDingo, Via dello Sport 4, Dingoopoli DO</t>
        </is>
      </c>
      <c r="D100" s="44" t="inlineStr">
        <is>
          <t>https://maps.example.org/campo/a04</t>
        </is>
      </c>
    </row>
    <row r="101">
      <c r="B101" s="12" t="inlineStr">
        <is>
          <t>A05</t>
        </is>
      </c>
      <c r="C101" s="13" t="inlineStr">
        <is>
          <t>PalaErmellini, Via dello Sport 5, Ermelliniopoli EU</t>
        </is>
      </c>
      <c r="D101" s="44" t="inlineStr">
        <is>
          <t>https://maps.example.org/campo/a05</t>
        </is>
      </c>
    </row>
    <row r="102">
      <c r="B102" s="12" t="inlineStr">
        <is>
          <t>A06</t>
        </is>
      </c>
      <c r="C102" s="13" t="inlineStr">
        <is>
          <t>PalaFalchi, Via dello Sport 6, Falchiopoli FA</t>
        </is>
      </c>
      <c r="D102" s="44" t="inlineStr">
        <is>
          <t>https://maps.example.org/campo/a06</t>
        </is>
      </c>
    </row>
    <row r="103">
      <c r="B103" s="12" t="inlineStr">
        <is>
          <t>A07</t>
        </is>
      </c>
      <c r="C103" s="13" t="inlineStr">
        <is>
          <t>PalaGazzelle, Via dello Sport 7, Gazzelleopoli GE</t>
        </is>
      </c>
      <c r="D103" s="44" t="inlineStr">
        <is>
          <t>https://maps.example.org/campo/a07</t>
        </is>
      </c>
    </row>
    <row r="104">
      <c r="B104" s="12" t="inlineStr">
        <is>
          <t>A08</t>
        </is>
      </c>
      <c r="C104" s="13" t="inlineStr">
        <is>
          <t>PalaIbis, Via dello Sport 8, Ibisopoli II</t>
        </is>
      </c>
      <c r="D104" s="44" t="inlineStr">
        <is>
          <t>https://maps.example.org/campo/a08</t>
        </is>
      </c>
    </row>
    <row r="105">
      <c r="B105" s="12" t="inlineStr">
        <is>
          <t>A09</t>
        </is>
      </c>
      <c r="C105" s="13" t="inlineStr">
        <is>
          <t>PalaLupi, Via dello Sport 9, Lupiopoli LO</t>
        </is>
      </c>
      <c r="D105" s="44" t="inlineStr">
        <is>
          <t>https://maps.example.org/campo/a09</t>
        </is>
      </c>
    </row>
    <row r="106">
      <c r="B106" s="12" t="inlineStr">
        <is>
          <t>A10</t>
        </is>
      </c>
      <c r="C106" s="13" t="inlineStr">
        <is>
          <t>PalaMarmotte, Via dello Sport 10, Marmotteopoli MU</t>
        </is>
      </c>
      <c r="D106" s="44" t="inlineStr">
        <is>
          <t>https://maps.example.org/campo/a10</t>
        </is>
      </c>
    </row>
    <row r="107">
      <c r="B107" s="12" t="inlineStr">
        <is>
          <t>A11</t>
        </is>
      </c>
      <c r="C107" s="13" t="inlineStr">
        <is>
          <t>PalaNarvali, Via dello Sport 11, Narvaliopoli NA</t>
        </is>
      </c>
      <c r="D107" s="44" t="inlineStr">
        <is>
          <t>https://maps.example.org/campo/a11</t>
        </is>
      </c>
    </row>
    <row r="108">
      <c r="B108" s="12" t="inlineStr">
        <is>
          <t>A12</t>
        </is>
      </c>
      <c r="C108" s="13" t="inlineStr">
        <is>
          <t>PalaOrsi, Via dello Sport 12, Orsiopoli OE</t>
        </is>
      </c>
      <c r="D108" s="44" t="inlineStr">
        <is>
          <t>https://maps.example.org/campo/a12</t>
        </is>
      </c>
    </row>
    <row r="109">
      <c r="B109" s="12" t="inlineStr">
        <is>
          <t>A13</t>
        </is>
      </c>
      <c r="C109" s="13" t="inlineStr">
        <is>
          <t>PalaPantere, Via dello Sport 13, Pantereopoli PI</t>
        </is>
      </c>
      <c r="D109" s="44" t="inlineStr">
        <is>
          <t>https://maps.example.org/campo/a13</t>
        </is>
      </c>
    </row>
    <row r="110">
      <c r="B110" s="12" t="inlineStr">
        <is>
          <t>A14</t>
        </is>
      </c>
      <c r="C110" s="13" t="inlineStr">
        <is>
          <t>PalaRinoceronti, Via dello Sport 14, Rinocerontiopoli RO</t>
        </is>
      </c>
      <c r="D110" s="44" t="inlineStr">
        <is>
          <t>https://maps.example.org/campo/a14</t>
        </is>
      </c>
    </row>
    <row r="111">
      <c r="B111" s="12" t="inlineStr">
        <is>
          <t>A15</t>
        </is>
      </c>
      <c r="C111" s="13" t="inlineStr">
        <is>
          <t>PalaSquali, Via dello Sport 15, Squaliopoli SU</t>
        </is>
      </c>
      <c r="D111" s="44" t="inlineStr">
        <is>
          <t>https://maps.example.org/campo/a15</t>
        </is>
      </c>
    </row>
    <row r="112">
      <c r="B112" s="12" t="inlineStr">
        <is>
          <t>A16</t>
        </is>
      </c>
      <c r="C112" s="13" t="inlineStr">
        <is>
          <t>PalaTigri, Via dello Sport 16, Tigriopoli TA</t>
        </is>
      </c>
      <c r="D112" s="44" t="inlineStr">
        <is>
          <t>https://maps.example.org/campo/a16</t>
        </is>
      </c>
    </row>
    <row r="113">
      <c r="B113" s="12" t="inlineStr">
        <is>
          <t>A17</t>
        </is>
      </c>
      <c r="C113" s="13" t="inlineStr">
        <is>
          <t>PalaVolpi, Via dello Sport 17, Volpiopoli VE</t>
        </is>
      </c>
      <c r="D113" s="44" t="inlineStr">
        <is>
          <t>https://maps.example.org/campo/a17</t>
        </is>
      </c>
    </row>
    <row r="114">
      <c r="B114" s="12" t="inlineStr">
        <is>
          <t>A18</t>
        </is>
      </c>
      <c r="C114" s="13" t="inlineStr">
        <is>
          <t>PalaAquile, Via dello Sport 18, Aquileopoli AI</t>
        </is>
      </c>
      <c r="D114" s="44" t="inlineStr">
        <is>
          <t>https://maps.example.org/campo/a18</t>
        </is>
      </c>
    </row>
    <row r="115">
      <c r="B115" s="12" t="inlineStr">
        <is>
          <t>A19</t>
        </is>
      </c>
      <c r="C115" s="13" t="inlineStr">
        <is>
          <t>PalaBisonti, Via dello Sport 19, Bisontiopoli BO</t>
        </is>
      </c>
      <c r="D115" s="44" t="inlineStr">
        <is>
          <t>https://maps.example.org/campo/a19</t>
        </is>
      </c>
    </row>
    <row r="116">
      <c r="B116" s="12" t="inlineStr">
        <is>
          <t>A20</t>
        </is>
      </c>
      <c r="C116" s="13" t="inlineStr">
        <is>
          <t>PalaCondor, Via dello Sport 20, Condoropoli CU</t>
        </is>
      </c>
      <c r="D116" s="44" t="inlineStr">
        <is>
          <t>https://maps.example.org/campo/a20</t>
        </is>
      </c>
    </row>
    <row r="117">
      <c r="B117" s="12" t="inlineStr">
        <is>
          <t>B01</t>
        </is>
      </c>
      <c r="C117" s="13" t="inlineStr">
        <is>
          <t>PalaDelfini, Via dello Sport 4, Delfiniopoli DA</t>
        </is>
      </c>
      <c r="D117" s="44" t="inlineStr">
        <is>
          <t>https://maps.example.org/campo/b01</t>
        </is>
      </c>
    </row>
    <row r="118">
      <c r="B118" s="12" t="inlineStr">
        <is>
          <t>B02</t>
        </is>
      </c>
      <c r="C118" s="13" t="inlineStr">
        <is>
          <t>PalaElefanti, Via dello Sport 5, Elefantiopoli EE</t>
        </is>
      </c>
      <c r="D118" s="44" t="inlineStr">
        <is>
          <t>https://maps.example.org/campo/b02</t>
        </is>
      </c>
    </row>
    <row r="119">
      <c r="B119" s="12" t="inlineStr">
        <is>
          <t>B03</t>
        </is>
      </c>
      <c r="C119" s="13" t="inlineStr">
        <is>
          <t>PalaFenicotteri, Via dello Sport 6, Fenicotteriopoli FI</t>
        </is>
      </c>
      <c r="D119" s="44" t="inlineStr">
        <is>
          <t>https://maps.example.org/campo/b03</t>
        </is>
      </c>
    </row>
    <row r="120">
      <c r="B120" s="12" t="inlineStr">
        <is>
          <t>B04</t>
        </is>
      </c>
      <c r="C120" s="13" t="inlineStr">
        <is>
          <t>PalaGufi, Via dello Sport 7, Gufiopoli GO</t>
        </is>
      </c>
      <c r="D120" s="44" t="inlineStr">
        <is>
          <t>https://maps.example.org/campo/b04</t>
        </is>
      </c>
    </row>
    <row r="121">
      <c r="B121" s="12" t="inlineStr">
        <is>
          <t>B05</t>
        </is>
      </c>
      <c r="C121" s="13" t="inlineStr">
        <is>
          <t>PalaIene, Via dello Sport 8, Ieneopoli IU</t>
        </is>
      </c>
      <c r="D121" s="44" t="inlineStr">
        <is>
          <t>https://maps.example.org/campo/b05</t>
        </is>
      </c>
    </row>
    <row r="122">
      <c r="B122" s="12" t="inlineStr">
        <is>
          <t>B06</t>
        </is>
      </c>
      <c r="C122" s="13" t="inlineStr">
        <is>
          <t>PalaLeoni, Via dello Sport 9, Leoniopoli LA</t>
        </is>
      </c>
      <c r="D122" s="44" t="inlineStr">
        <is>
          <t>https://maps.example.org/campo/b06</t>
        </is>
      </c>
    </row>
    <row r="123">
      <c r="B123" s="12" t="inlineStr">
        <is>
          <t>B07</t>
        </is>
      </c>
      <c r="C123" s="13" t="inlineStr">
        <is>
          <t>PalaMufloni, Via dello Sport 10, Mufloniopoli ME</t>
        </is>
      </c>
      <c r="D123" s="44" t="inlineStr">
        <is>
          <t>https://maps.example.org/campo/b07</t>
        </is>
      </c>
    </row>
    <row r="124">
      <c r="B124" s="12" t="inlineStr">
        <is>
          <t>B08</t>
        </is>
      </c>
      <c r="C124" s="13" t="inlineStr">
        <is>
          <t>PalaNutrie, Via dello Sport 11, Nutrieopoli NI</t>
        </is>
      </c>
      <c r="D124" s="44" t="inlineStr">
        <is>
          <t>https://maps.example.org/campo/b08</t>
        </is>
      </c>
    </row>
    <row r="125">
      <c r="B125" s="12" t="inlineStr">
        <is>
          <t>B09</t>
        </is>
      </c>
      <c r="C125" s="13" t="inlineStr">
        <is>
          <t>PalaOcelot, Via dello Sport 12, Ocelotopoli OO</t>
        </is>
      </c>
      <c r="D125" s="44" t="inlineStr">
        <is>
          <t>https://maps.example.org/campo/b09</t>
        </is>
      </c>
    </row>
    <row r="126">
      <c r="B126" s="12" t="inlineStr">
        <is>
          <t>B10</t>
        </is>
      </c>
      <c r="C126" s="13" t="inlineStr">
        <is>
          <t>PalaPinguini, Via dello Sport 13, Pinguiniopoli PU</t>
        </is>
      </c>
      <c r="D126" s="44" t="inlineStr">
        <is>
          <t>https://maps.example.org/campo/b10</t>
        </is>
      </c>
    </row>
    <row r="127">
      <c r="B127" s="12" t="inlineStr">
        <is>
          <t>B11</t>
        </is>
      </c>
      <c r="C127" s="13" t="inlineStr">
        <is>
          <t>PalaRenne, Via dello Sport 14, Renneopoli RA</t>
        </is>
      </c>
      <c r="D127" s="44" t="inlineStr">
        <is>
          <t>https://maps.example.org/campo/b11</t>
        </is>
      </c>
    </row>
    <row r="128">
      <c r="B128" s="12" t="inlineStr">
        <is>
          <t>B12</t>
        </is>
      </c>
      <c r="C128" s="13" t="inlineStr">
        <is>
          <t>PalaSerpenti, Via dello Sport 15, Serpentiopoli SE</t>
        </is>
      </c>
      <c r="D128" s="44" t="inlineStr">
        <is>
          <t>https://maps.example.org/campo/b12</t>
        </is>
      </c>
    </row>
    <row r="129">
      <c r="B129" s="12" t="inlineStr">
        <is>
          <t>B13</t>
        </is>
      </c>
      <c r="C129" s="13" t="inlineStr">
        <is>
          <t>PalaTucani, Via dello Sport 16, Tucaniopoli TI</t>
        </is>
      </c>
      <c r="D129" s="44" t="inlineStr">
        <is>
          <t>https://maps.example.org/campo/b13</t>
        </is>
      </c>
    </row>
    <row r="130">
      <c r="B130" s="12" t="inlineStr">
        <is>
          <t>B14</t>
        </is>
      </c>
      <c r="C130" s="13" t="inlineStr">
        <is>
          <t>PalaVipere, Via dello Sport 17, Vipereopoli VO</t>
        </is>
      </c>
      <c r="D130" s="44" t="inlineStr">
        <is>
          <t>https://maps.example.org/campo/b14</t>
        </is>
      </c>
    </row>
    <row r="131">
      <c r="B131" s="12" t="inlineStr">
        <is>
          <t>B15</t>
        </is>
      </c>
      <c r="C131" s="13" t="inlineStr">
        <is>
          <t>PalaAlci, Via dello Sport 18, Alciopoli AU</t>
        </is>
      </c>
      <c r="D131" s="44" t="inlineStr">
        <is>
          <t>https://maps.example.org/campo/b15</t>
        </is>
      </c>
    </row>
    <row r="132">
      <c r="B132" s="12" t="inlineStr">
        <is>
          <t>B16</t>
        </is>
      </c>
      <c r="C132" s="13" t="inlineStr">
        <is>
          <t>PalaBarracuda, Via dello Sport 19, Barracudaopoli BA</t>
        </is>
      </c>
      <c r="D132" s="44" t="inlineStr">
        <is>
          <t>https://maps.example.org/campo/b16</t>
        </is>
      </c>
    </row>
    <row r="133">
      <c r="B133" s="12" t="inlineStr">
        <is>
          <t>B17</t>
        </is>
      </c>
      <c r="C133" s="13" t="inlineStr">
        <is>
          <t>PalaCavalli, Via dello Sport 20, Cavalliopoli CE</t>
        </is>
      </c>
      <c r="D133" s="44" t="inlineStr">
        <is>
          <t>https://maps.example.org/campo/b17</t>
        </is>
      </c>
    </row>
    <row r="134">
      <c r="B134" s="12" t="inlineStr">
        <is>
          <t>B18</t>
        </is>
      </c>
      <c r="C134" s="13" t="inlineStr">
        <is>
          <t>PalaDromedari, Via dello Sport 21, Dromedariopoli DI</t>
        </is>
      </c>
      <c r="D134" s="44" t="inlineStr">
        <is>
          <t>https://maps.example.org/campo/b18</t>
        </is>
      </c>
    </row>
    <row r="135">
      <c r="B135" s="12" t="inlineStr">
        <is>
          <t>B19</t>
        </is>
      </c>
      <c r="C135" s="13" t="inlineStr">
        <is>
          <t>PalaEchidne, Via dello Sport 22, Echidneopoli EO</t>
        </is>
      </c>
      <c r="D135" s="44" t="inlineStr">
        <is>
          <t>https://maps.example.org/campo/b19</t>
        </is>
      </c>
    </row>
    <row r="136">
      <c r="B136" s="12" t="inlineStr">
        <is>
          <t>B20</t>
        </is>
      </c>
      <c r="C136" s="13" t="inlineStr">
        <is>
          <t>PalaFoche, Via dello Sport 23, Focheopoli FU</t>
        </is>
      </c>
      <c r="D136" s="44" t="inlineStr">
        <is>
          <t>https://maps.example.org/campo/b20</t>
        </is>
      </c>
    </row>
    <row r="137">
      <c r="B137" s="12" t="inlineStr">
        <is>
          <t>C01</t>
        </is>
      </c>
      <c r="C137" s="13" t="inlineStr">
        <is>
          <t>PalaGheppi, Via dello Sport 7, Gheppiopoli GA</t>
        </is>
      </c>
      <c r="D137" s="44" t="inlineStr">
        <is>
          <t>https://maps.example.org/campo/c01</t>
        </is>
      </c>
    </row>
    <row r="138">
      <c r="B138" s="12" t="inlineStr">
        <is>
          <t>C02</t>
        </is>
      </c>
      <c r="C138" s="13" t="inlineStr">
        <is>
          <t>PalaIppopotami, Via dello Sport 8, Ippopotamiopoli IE</t>
        </is>
      </c>
      <c r="D138" s="44" t="inlineStr">
        <is>
          <t>https://maps.example.org/campo/c02</t>
        </is>
      </c>
    </row>
    <row r="139">
      <c r="B139" s="12" t="inlineStr">
        <is>
          <t>C03</t>
        </is>
      </c>
      <c r="C139" s="13" t="inlineStr">
        <is>
          <t>PalaLinci, Via dello Sport 9, Linciopoli LI</t>
        </is>
      </c>
      <c r="D139" s="44" t="inlineStr">
        <is>
          <t>https://maps.example.org/campo/c03</t>
        </is>
      </c>
    </row>
    <row r="140">
      <c r="B140" s="12" t="inlineStr">
        <is>
          <t>C04</t>
        </is>
      </c>
      <c r="C140" s="13" t="inlineStr">
        <is>
          <t>PalaManguste, Via dello Sport 10, Mangusteopoli MO</t>
        </is>
      </c>
      <c r="D140" s="44" t="inlineStr">
        <is>
          <t>https://maps.example.org/campo/c04</t>
        </is>
      </c>
    </row>
    <row r="141">
      <c r="B141" s="12" t="inlineStr">
        <is>
          <t>C05</t>
        </is>
      </c>
      <c r="C141" s="13" t="inlineStr">
        <is>
          <t>PalaNibbi, Via dello Sport 11, Nibbiopoli NU</t>
        </is>
      </c>
      <c r="D141" s="44" t="inlineStr">
        <is>
          <t>https://maps.example.org/campo/c05</t>
        </is>
      </c>
    </row>
    <row r="142">
      <c r="B142" s="12" t="inlineStr">
        <is>
          <t>C06</t>
        </is>
      </c>
      <c r="C142" s="13" t="inlineStr">
        <is>
          <t>PalaOrche, Via dello Sport 12, Orcheopoli OA</t>
        </is>
      </c>
      <c r="D142" s="44" t="inlineStr">
        <is>
          <t>https://maps.example.org/campo/c06</t>
        </is>
      </c>
    </row>
    <row r="143">
      <c r="B143" s="12" t="inlineStr">
        <is>
          <t>C07</t>
        </is>
      </c>
      <c r="C143" s="13" t="inlineStr">
        <is>
          <t>PalaPuma, Via dello Sport 13, Pumaopoli PE</t>
        </is>
      </c>
      <c r="D143" s="44" t="inlineStr">
        <is>
          <t>https://maps.example.org/campo/c07</t>
        </is>
      </c>
    </row>
    <row r="144">
      <c r="B144" s="12" t="inlineStr">
        <is>
          <t>C08</t>
        </is>
      </c>
      <c r="C144" s="13" t="inlineStr">
        <is>
          <t>PalaRicci, Via dello Sport 14, Ricciopoli RI</t>
        </is>
      </c>
      <c r="D144" s="44" t="inlineStr">
        <is>
          <t>https://maps.example.org/campo/c08</t>
        </is>
      </c>
    </row>
    <row r="145">
      <c r="B145" s="12" t="inlineStr">
        <is>
          <t>C09</t>
        </is>
      </c>
      <c r="C145" s="13" t="inlineStr">
        <is>
          <t>PalaScoiattoli, Via dello Sport 15, Scoiattoliopoli SO</t>
        </is>
      </c>
      <c r="D145" s="44" t="inlineStr">
        <is>
          <t>https://maps.example.org/campo/c09</t>
        </is>
      </c>
    </row>
    <row r="146">
      <c r="B146" s="12" t="inlineStr">
        <is>
          <t>C10</t>
        </is>
      </c>
      <c r="C146" s="13" t="inlineStr">
        <is>
          <t>PalaTassi, Via dello Sport 16, Tassiopoli TU</t>
        </is>
      </c>
      <c r="D146" s="44" t="inlineStr">
        <is>
          <t>https://maps.example.org/campo/c10</t>
        </is>
      </c>
    </row>
    <row r="147">
      <c r="B147" s="12" t="inlineStr">
        <is>
          <t>C11</t>
        </is>
      </c>
      <c r="C147" s="13" t="inlineStr">
        <is>
          <t>PalaVisoni, Via dello Sport 17, Visoniopoli VA</t>
        </is>
      </c>
      <c r="D147" s="44" t="inlineStr">
        <is>
          <t>https://maps.example.org/campo/c11</t>
        </is>
      </c>
    </row>
    <row r="148">
      <c r="B148" s="12" t="inlineStr">
        <is>
          <t>C12</t>
        </is>
      </c>
      <c r="C148" s="13" t="inlineStr">
        <is>
          <t>PalaApi, Via dello Sport 18, Apiopoli AE</t>
        </is>
      </c>
      <c r="D148" s="44" t="inlineStr">
        <is>
          <t>https://maps.example.org/campo/c12</t>
        </is>
      </c>
    </row>
    <row r="149">
      <c r="B149" s="12" t="inlineStr">
        <is>
          <t>C13</t>
        </is>
      </c>
      <c r="C149" s="13" t="inlineStr">
        <is>
          <t>PalaBradipi, Via dello Sport 19, Bradipiopoli BI</t>
        </is>
      </c>
      <c r="D149" s="44" t="inlineStr">
        <is>
          <t>https://maps.example.org/campo/c13</t>
        </is>
      </c>
    </row>
    <row r="150">
      <c r="B150" s="12" t="inlineStr">
        <is>
          <t>C14</t>
        </is>
      </c>
      <c r="C150" s="13" t="inlineStr">
        <is>
          <t>PalaCoccodrilli, Via dello Sport 20, Coccodrilliopoli CO</t>
        </is>
      </c>
      <c r="D150" s="44" t="inlineStr">
        <is>
          <t>https://maps.example.org/campo/c14</t>
        </is>
      </c>
    </row>
    <row r="151">
      <c r="B151" s="12" t="inlineStr">
        <is>
          <t>C15</t>
        </is>
      </c>
      <c r="C151" s="13" t="inlineStr">
        <is>
          <t>PalaDaini, Via dello Sport 21, Dainiopoli DU</t>
        </is>
      </c>
      <c r="D151" s="44" t="inlineStr">
        <is>
          <t>https://maps.example.org/campo/c15</t>
        </is>
      </c>
    </row>
    <row r="152">
      <c r="B152" s="12" t="inlineStr">
        <is>
          <t>C16</t>
        </is>
      </c>
      <c r="C152" s="13" t="inlineStr">
        <is>
          <t>PalaEgrette, Via dello Sport 22, Egretteopoli EA</t>
        </is>
      </c>
      <c r="D152" s="44" t="inlineStr">
        <is>
          <t>https://maps.example.org/campo/c16</t>
        </is>
      </c>
    </row>
    <row r="153">
      <c r="B153" s="12" t="inlineStr">
        <is>
          <t>C17</t>
        </is>
      </c>
      <c r="C153" s="13" t="inlineStr">
        <is>
          <t>PalaFormiche, Via dello Sport 23, Formicheopoli FE</t>
        </is>
      </c>
      <c r="D153" s="44" t="inlineStr">
        <is>
          <t>https://maps.example.org/campo/c17</t>
        </is>
      </c>
    </row>
    <row r="154">
      <c r="B154" s="12" t="inlineStr">
        <is>
          <t>C18</t>
        </is>
      </c>
      <c r="C154" s="13" t="inlineStr">
        <is>
          <t>PalaGiraffe, Via dello Sport 24, Giraffeopoli GI</t>
        </is>
      </c>
      <c r="D154" s="44" t="inlineStr">
        <is>
          <t>https://maps.example.org/campo/c18</t>
        </is>
      </c>
    </row>
    <row r="155">
      <c r="B155" s="12" t="inlineStr">
        <is>
          <t>C19</t>
        </is>
      </c>
      <c r="C155" s="13" t="inlineStr">
        <is>
          <t>PalaIguane, Via dello Sport 25, Iguaneopoli IO</t>
        </is>
      </c>
      <c r="D155" s="44" t="inlineStr">
        <is>
          <t>https://maps.example.org/campo/c19</t>
        </is>
      </c>
    </row>
    <row r="156">
      <c r="B156" s="12" t="inlineStr">
        <is>
          <t>C20</t>
        </is>
      </c>
      <c r="C156" s="13" t="inlineStr">
        <is>
          <t>PalaLepri, Via dello Sport 26, Lepriopoli LU</t>
        </is>
      </c>
      <c r="D156" s="44" t="inlineStr">
        <is>
          <t>https://maps.example.org/campo/c20</t>
        </is>
      </c>
    </row>
    <row r="157">
      <c r="B157" s="12" t="inlineStr">
        <is>
          <t>D01</t>
        </is>
      </c>
      <c r="C157" s="13" t="inlineStr">
        <is>
          <t>PalaMartore, Via dello Sport 10, Martoreopoli MA</t>
        </is>
      </c>
      <c r="D157" s="44" t="inlineStr">
        <is>
          <t>https://maps.example.org/campo/d01</t>
        </is>
      </c>
    </row>
    <row r="158">
      <c r="B158" s="12" t="inlineStr">
        <is>
          <t>D02</t>
        </is>
      </c>
      <c r="C158" s="13" t="inlineStr">
        <is>
          <t>PalaNasuti, Via dello Sport 11, Nasutiopoli NE</t>
        </is>
      </c>
      <c r="D158" s="44" t="inlineStr">
        <is>
          <t>https://maps.example.org/campo/d02</t>
        </is>
      </c>
    </row>
    <row r="159">
      <c r="B159" s="12" t="inlineStr">
        <is>
          <t>D03</t>
        </is>
      </c>
      <c r="C159" s="13" t="inlineStr">
        <is>
          <t>PalaOritteropi, Via dello Sport 12, Oritteropiopoli OI</t>
        </is>
      </c>
      <c r="D159" s="44" t="inlineStr">
        <is>
          <t>https://maps.example.org/campo/d03</t>
        </is>
      </c>
    </row>
    <row r="160">
      <c r="B160" s="12" t="inlineStr">
        <is>
          <t>D04</t>
        </is>
      </c>
      <c r="C160" s="13" t="inlineStr">
        <is>
          <t>PalaPellicani, Via dello Sport 13, Pellicaniopoli PO</t>
        </is>
      </c>
      <c r="D160" s="44" t="inlineStr">
        <is>
          <t>https://maps.example.org/campo/d04</t>
        </is>
      </c>
    </row>
    <row r="161">
      <c r="B161" s="12" t="inlineStr">
        <is>
          <t>D05</t>
        </is>
      </c>
      <c r="C161" s="13" t="inlineStr">
        <is>
          <t>PalaRondini, Via dello Sport 14, Rondiniopoli RU</t>
        </is>
      </c>
      <c r="D161" s="44" t="inlineStr">
        <is>
          <t>https://maps.example.org/campo/d05</t>
        </is>
      </c>
    </row>
    <row r="162">
      <c r="B162" s="12" t="inlineStr">
        <is>
          <t>D06</t>
        </is>
      </c>
      <c r="C162" s="13" t="inlineStr">
        <is>
          <t>PalaSciacalli, Via dello Sport 15, Sciacalliopoli SA</t>
        </is>
      </c>
      <c r="D162" s="44" t="inlineStr">
        <is>
          <t>https://maps.example.org/campo/d06</t>
        </is>
      </c>
    </row>
    <row r="163">
      <c r="B163" s="12" t="inlineStr">
        <is>
          <t>D07</t>
        </is>
      </c>
      <c r="C163" s="13" t="inlineStr">
        <is>
          <t>PalaTartarughe, Via dello Sport 16, Tartarugheopoli TE</t>
        </is>
      </c>
      <c r="D163" s="44" t="inlineStr">
        <is>
          <t>https://maps.example.org/campo/d07</t>
        </is>
      </c>
    </row>
    <row r="164">
      <c r="B164" s="12" t="inlineStr">
        <is>
          <t>D08</t>
        </is>
      </c>
      <c r="C164" s="13" t="inlineStr">
        <is>
          <t>PalaVombati, Via dello Sport 17, Vombatiopoli VI</t>
        </is>
      </c>
      <c r="D164" s="44" t="inlineStr">
        <is>
          <t>https://maps.example.org/campo/d08</t>
        </is>
      </c>
    </row>
    <row r="165">
      <c r="B165" s="12" t="inlineStr">
        <is>
          <t>D09</t>
        </is>
      </c>
      <c r="C165" s="13" t="inlineStr">
        <is>
          <t>PalaAntilopi, Via dello Sport 18, Antilopiopoli AO</t>
        </is>
      </c>
      <c r="D165" s="44" t="inlineStr">
        <is>
          <t>https://maps.example.org/campo/d09</t>
        </is>
      </c>
    </row>
    <row r="166">
      <c r="B166" s="12" t="inlineStr">
        <is>
          <t>D10</t>
        </is>
      </c>
      <c r="C166" s="13" t="inlineStr">
        <is>
          <t>PalaBarbagianni, Via dello Sport 19, Barbagianniopoli BU</t>
        </is>
      </c>
      <c r="D166" s="44" t="inlineStr">
        <is>
          <t>https://maps.example.org/campo/d10</t>
        </is>
      </c>
    </row>
    <row r="167">
      <c r="B167" s="12" t="inlineStr">
        <is>
          <t>D11</t>
        </is>
      </c>
      <c r="C167" s="13" t="inlineStr">
        <is>
          <t>PalaCinghiali, Via dello Sport 20, Cinghialiopoli CA</t>
        </is>
      </c>
      <c r="D167" s="44" t="inlineStr">
        <is>
          <t>https://maps.example.org/campo/d11</t>
        </is>
      </c>
    </row>
    <row r="168">
      <c r="B168" s="12" t="inlineStr">
        <is>
          <t>D12</t>
        </is>
      </c>
      <c r="C168" s="13" t="inlineStr">
        <is>
          <t>PalaDugonghi, Via dello Sport 21, Dugonghiopoli DE</t>
        </is>
      </c>
      <c r="D168" s="44" t="inlineStr">
        <is>
          <t>https://maps.example.org/campo/d12</t>
        </is>
      </c>
    </row>
    <row r="169">
      <c r="B169" s="12" t="inlineStr">
        <is>
          <t>D13</t>
        </is>
      </c>
      <c r="C169" s="13" t="inlineStr">
        <is>
          <t>PalaEdredoni, Via dello Sport 22, Edredoniopoli EI</t>
        </is>
      </c>
      <c r="D169" s="44" t="inlineStr">
        <is>
          <t>https://maps.example.org/campo/d13</t>
        </is>
      </c>
    </row>
    <row r="170">
      <c r="B170" s="12" t="inlineStr">
        <is>
          <t>D14</t>
        </is>
      </c>
      <c r="C170" s="13" t="inlineStr">
        <is>
          <t>PalaFagiani, Via dello Sport 23, Fagianiopoli FO</t>
        </is>
      </c>
      <c r="D170" s="44" t="inlineStr">
        <is>
          <t>https://maps.example.org/campo/d14</t>
        </is>
      </c>
    </row>
    <row r="171">
      <c r="B171" s="12" t="inlineStr">
        <is>
          <t>D15</t>
        </is>
      </c>
      <c r="C171" s="13" t="inlineStr">
        <is>
          <t>PalaGorilla, Via dello Sport 24, Gorillaopoli GU</t>
        </is>
      </c>
      <c r="D171" s="44" t="inlineStr">
        <is>
          <t>https://maps.example.org/campo/d15</t>
        </is>
      </c>
    </row>
    <row r="172">
      <c r="B172" s="12" t="inlineStr">
        <is>
          <t>D16</t>
        </is>
      </c>
      <c r="C172" s="13" t="inlineStr">
        <is>
          <t>PalaIstrici, Via dello Sport 25, Istriciopoli IA</t>
        </is>
      </c>
      <c r="D172" s="44" t="inlineStr">
        <is>
          <t>https://maps.example.org/campo/d16</t>
        </is>
      </c>
    </row>
    <row r="173">
      <c r="B173" s="12" t="inlineStr">
        <is>
          <t>D17</t>
        </is>
      </c>
      <c r="C173" s="13" t="inlineStr">
        <is>
          <t>PalaLontre, Via dello Sport 26, Lontreopoli LE</t>
        </is>
      </c>
      <c r="D173" s="44" t="inlineStr">
        <is>
          <t>https://maps.example.org/campo/d17</t>
        </is>
      </c>
    </row>
    <row r="174">
      <c r="B174" s="12" t="inlineStr">
        <is>
          <t>D18</t>
        </is>
      </c>
      <c r="C174" s="13" t="inlineStr">
        <is>
          <t>PalaMacachi, Via dello Sport 27, Macachiopoli MI</t>
        </is>
      </c>
      <c r="D174" s="44" t="inlineStr">
        <is>
          <t>https://maps.example.org/campo/d18</t>
        </is>
      </c>
    </row>
    <row r="175">
      <c r="B175" s="12" t="inlineStr">
        <is>
          <t>D19</t>
        </is>
      </c>
      <c r="C175" s="13" t="inlineStr">
        <is>
          <t>PalaNandu, Via dello Sport 28, Nanduopoli NO</t>
        </is>
      </c>
      <c r="D175" s="44" t="inlineStr">
        <is>
          <t>https://maps.example.org/campo/d19</t>
        </is>
      </c>
    </row>
    <row r="176">
      <c r="B176" s="12" t="inlineStr">
        <is>
          <t>D20</t>
        </is>
      </c>
      <c r="C176" s="13" t="inlineStr">
        <is>
          <t>PalaOtarie, Via dello Sport 29, Otarieopoli OU</t>
        </is>
      </c>
      <c r="D176" s="44" t="inlineStr">
        <is>
          <t>https://maps.example.org/campo/d20</t>
        </is>
      </c>
    </row>
    <row r="177">
      <c r="B177" s="45" t="inlineStr">
        <is>
          <t>PO1</t>
        </is>
      </c>
      <c r="C177" s="46" t="inlineStr">
        <is>
          <t>PalaCentrale, Viale dello Sport 1, Mediopoli MD</t>
        </is>
      </c>
      <c r="D177" s="47" t="inlineStr">
        <is>
          <t>https://maps.example.org/campo/po1</t>
        </is>
      </c>
    </row>
    <row r="178">
      <c r="B178" s="45" t="inlineStr">
        <is>
          <t>PO2</t>
        </is>
      </c>
      <c r="C178" s="46" t="inlineStr">
        <is>
          <t>PalaMagnifico, Viale dello Sport 2, Mediopoli MD</t>
        </is>
      </c>
      <c r="D178" s="47" t="inlineStr">
        <is>
          <t>https://maps.example.org/campo/po2</t>
        </is>
      </c>
    </row>
    <row r="179">
      <c r="B179" s="45" t="inlineStr">
        <is>
          <t>PO3</t>
        </is>
      </c>
      <c r="C179" s="46" t="inlineStr">
        <is>
          <t>PalaCapitale, Viale dello Sport 3, Mediopoli MD</t>
        </is>
      </c>
      <c r="D179" s="47" t="inlineStr">
        <is>
          <t>https://maps.example.org/campo/po3</t>
        </is>
      </c>
    </row>
    <row r="180">
      <c r="B180" s="45" t="inlineStr">
        <is>
          <t>PO4</t>
        </is>
      </c>
      <c r="C180" s="46" t="inlineStr">
        <is>
          <t>PalaDelta, Viale dello Sport 4, Finalopoli FN</t>
        </is>
      </c>
      <c r="D180" s="47" t="inlineStr">
        <is>
          <t>https://maps.example.org/campo/po4</t>
        </is>
      </c>
    </row>
    <row r="181">
      <c r="B181" s="45" t="inlineStr">
        <is>
          <t>PO5</t>
        </is>
      </c>
      <c r="C181" s="46" t="inlineStr">
        <is>
          <t>PalaEuropa, Viale dello Sport 5, Finalopoli FN</t>
        </is>
      </c>
      <c r="D181" s="47" t="inlineStr">
        <is>
          <t>https://maps.example.org/campo/po5</t>
        </is>
      </c>
    </row>
    <row r="182">
      <c r="B182" s="45" t="inlineStr">
        <is>
          <t>PO6</t>
        </is>
      </c>
      <c r="C182" s="46" t="inlineStr">
        <is>
          <t>PalaFenice, Viale dello Sport 6, Finalopoli FN</t>
        </is>
      </c>
      <c r="D182" s="47" t="inlineStr">
        <is>
          <t>https://maps.example.org/campo/po6</t>
        </is>
      </c>
    </row>
    <row r="183">
      <c r="B183" s="45" t="inlineStr">
        <is>
          <t>PO7</t>
        </is>
      </c>
      <c r="C183" s="46" t="inlineStr">
        <is>
          <t>PalaGlobo, Viale dello Sport 7, Finalopoli FN</t>
        </is>
      </c>
      <c r="D183" s="47" t="inlineStr">
        <is>
          <t>https://maps.example.org/campo/po7</t>
        </is>
      </c>
    </row>
    <row r="184">
      <c r="B184" s="45" t="inlineStr">
        <is>
          <t>PO8</t>
        </is>
      </c>
      <c r="C184" s="46" t="inlineStr">
        <is>
          <t>PalaFinale, Viale dello Sport 8, Finalopoli FN</t>
        </is>
      </c>
      <c r="D184" s="47" t="inlineStr">
        <is>
          <t>https://maps.example.org/campo/po8</t>
        </is>
      </c>
    </row>
    <row r="185">
      <c r="B185" s="48" t="inlineStr">
        <is>
          <t>TBD</t>
        </is>
      </c>
      <c r="C185" s="49" t="inlineStr">
        <is>
          <t>DA DEFINIRE</t>
        </is>
      </c>
      <c r="D185" s="50" t="n"/>
    </row>
    <row r="187">
      <c r="C187" s="51" t="inlineStr">
        <is>
          <t>Sfondo azzurro: campi neutri (codici PO1-PO8), non appartenenti ad alcuna squadra, usati per la fase a eliminazione diretta.</t>
        </is>
      </c>
    </row>
    <row r="188">
      <c r="C188" s="51" t="inlineStr">
        <is>
          <t>Sfondo verde: campo ancora da definire (codice TBD).</t>
        </is>
      </c>
    </row>
  </sheetData>
  <mergeCells count="18">
    <mergeCell ref="CM12:DF12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  <mergeCell ref="B95:D95"/>
  </mergeCells>
  <dataValidations count="1">
    <dataValidation sqref="E14:E93" showDropDown="0" showInputMessage="0" showErrorMessage="0" allowBlank="1" errorTitle="Girone non valido" error="Usare una delle lettere elencate nel parametro Gironi." type="list">
      <formula1>"A,B,C,D"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IF(C10="","",IFERROR(VLOOKUP(C10,areaNomiBreviSquadre,7,FALSE),""))</f>
        <v/>
      </c>
      <c r="C10" s="62" t="inlineStr">
        <is>
          <t>A01</t>
        </is>
      </c>
      <c r="D10" s="61">
        <f>IF(E10="","",IFERROR(VLOOKUP(E10,areaNomiBreviSquadre,7,FALSE),""))</f>
        <v/>
      </c>
      <c r="E10" s="62" t="inlineStr">
        <is>
          <t>A20</t>
        </is>
      </c>
      <c r="F10" s="63" t="n">
        <v>46313.39583333334</v>
      </c>
      <c r="G10" s="9" t="n"/>
      <c r="H10" s="9" t="n"/>
      <c r="I10" s="10" t="n"/>
      <c r="J10" s="65" t="n">
        <v>56</v>
      </c>
      <c r="K10" s="66" t="inlineStr">
        <is>
          <t>-</t>
        </is>
      </c>
      <c r="L10" s="65" t="n">
        <v>73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A01</t>
        </is>
      </c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IF(C13="","",IFERROR(VLOOKUP(C13,areaNomiBreviSquadre,7,FALSE),""))</f>
        <v/>
      </c>
      <c r="C13" s="62" t="inlineStr">
        <is>
          <t>A03</t>
        </is>
      </c>
      <c r="D13" s="61">
        <f>IF(E13="","",IFERROR(VLOOKUP(E13,areaNomiBreviSquadre,7,FALSE),""))</f>
        <v/>
      </c>
      <c r="E13" s="62" t="inlineStr">
        <is>
          <t>A18</t>
        </is>
      </c>
      <c r="F13" s="63" t="n">
        <v>46313.45833333334</v>
      </c>
      <c r="G13" s="9" t="n"/>
      <c r="H13" s="9" t="n"/>
      <c r="I13" s="10" t="n"/>
      <c r="J13" s="65" t="n">
        <v>56</v>
      </c>
      <c r="K13" s="66" t="inlineStr">
        <is>
          <t>-</t>
        </is>
      </c>
      <c r="L13" s="65" t="n">
        <v>41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A01</t>
        </is>
      </c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IF(C16="","",IFERROR(VLOOKUP(C16,areaNomiBreviSquadre,7,FALSE),""))</f>
        <v/>
      </c>
      <c r="C16" s="62" t="inlineStr">
        <is>
          <t>A17</t>
        </is>
      </c>
      <c r="D16" s="61">
        <f>IF(E16="","",IFERROR(VLOOKUP(E16,areaNomiBreviSquadre,7,FALSE),""))</f>
        <v/>
      </c>
      <c r="E16" s="62" t="inlineStr">
        <is>
          <t>A04</t>
        </is>
      </c>
      <c r="F16" s="63" t="n">
        <v>46313.60416666666</v>
      </c>
      <c r="G16" s="9" t="n"/>
      <c r="H16" s="9" t="n"/>
      <c r="I16" s="10" t="n"/>
      <c r="J16" s="65" t="n">
        <v>92</v>
      </c>
      <c r="K16" s="66" t="inlineStr">
        <is>
          <t>-</t>
        </is>
      </c>
      <c r="L16" s="65" t="n">
        <v>75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A01</t>
        </is>
      </c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IF(C19="","",IFERROR(VLOOKUP(C19,areaNomiBreviSquadre,7,FALSE),""))</f>
        <v/>
      </c>
      <c r="C19" s="62" t="inlineStr">
        <is>
          <t>A05</t>
        </is>
      </c>
      <c r="D19" s="61">
        <f>IF(E19="","",IFERROR(VLOOKUP(E19,areaNomiBreviSquadre,7,FALSE),""))</f>
        <v/>
      </c>
      <c r="E19" s="62" t="inlineStr">
        <is>
          <t>A16</t>
        </is>
      </c>
      <c r="F19" s="63" t="n">
        <v>46313.66666666666</v>
      </c>
      <c r="G19" s="9" t="n"/>
      <c r="H19" s="9" t="n"/>
      <c r="I19" s="10" t="n"/>
      <c r="J19" s="65" t="n">
        <v>24</v>
      </c>
      <c r="K19" s="66" t="inlineStr">
        <is>
          <t>-</t>
        </is>
      </c>
      <c r="L19" s="65" t="n">
        <v>48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A01</t>
        </is>
      </c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IF(C22="","",IFERROR(VLOOKUP(C22,areaNomiBreviSquadre,7,FALSE),""))</f>
        <v/>
      </c>
      <c r="C22" s="62" t="inlineStr">
        <is>
          <t>A15</t>
        </is>
      </c>
      <c r="D22" s="61">
        <f>IF(E22="","",IFERROR(VLOOKUP(E22,areaNomiBreviSquadre,7,FALSE),""))</f>
        <v/>
      </c>
      <c r="E22" s="62" t="inlineStr">
        <is>
          <t>A06</t>
        </is>
      </c>
      <c r="F22" s="63" t="n">
        <v>46313.72916666666</v>
      </c>
      <c r="G22" s="9" t="n"/>
      <c r="H22" s="9" t="n"/>
      <c r="I22" s="10" t="n"/>
      <c r="J22" s="65" t="n">
        <v>60</v>
      </c>
      <c r="K22" s="66" t="inlineStr">
        <is>
          <t>-</t>
        </is>
      </c>
      <c r="L22" s="65" t="n">
        <v>85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A01</t>
        </is>
      </c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IF(C25="","",IFERROR(VLOOKUP(C25,areaNomiBreviSquadre,7,FALSE),""))</f>
        <v/>
      </c>
      <c r="C25" s="62" t="inlineStr">
        <is>
          <t>A19</t>
        </is>
      </c>
      <c r="D25" s="61">
        <f>IF(E25="","",IFERROR(VLOOKUP(E25,areaNomiBreviSquadre,7,FALSE),""))</f>
        <v/>
      </c>
      <c r="E25" s="62" t="inlineStr">
        <is>
          <t>A02</t>
        </is>
      </c>
      <c r="F25" s="63" t="n">
        <v>46313.39583333334</v>
      </c>
      <c r="G25" s="9" t="n"/>
      <c r="H25" s="9" t="n"/>
      <c r="I25" s="10" t="n"/>
      <c r="J25" s="65" t="n">
        <v>80</v>
      </c>
      <c r="K25" s="66" t="inlineStr">
        <is>
          <t>-</t>
        </is>
      </c>
      <c r="L25" s="65" t="n">
        <v>81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A02</t>
        </is>
      </c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IF(C28="","",IFERROR(VLOOKUP(C28,areaNomiBreviSquadre,7,FALSE),""))</f>
        <v/>
      </c>
      <c r="C28" s="62" t="inlineStr">
        <is>
          <t>A07</t>
        </is>
      </c>
      <c r="D28" s="61">
        <f>IF(E28="","",IFERROR(VLOOKUP(E28,areaNomiBreviSquadre,7,FALSE),""))</f>
        <v/>
      </c>
      <c r="E28" s="62" t="inlineStr">
        <is>
          <t>A14</t>
        </is>
      </c>
      <c r="F28" s="63" t="n">
        <v>46313.45833333334</v>
      </c>
      <c r="G28" s="9" t="n"/>
      <c r="H28" s="9" t="n"/>
      <c r="I28" s="10" t="n"/>
      <c r="J28" s="65" t="n">
        <v>60</v>
      </c>
      <c r="K28" s="66" t="inlineStr">
        <is>
          <t>-</t>
        </is>
      </c>
      <c r="L28" s="65" t="n">
        <v>41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A02</t>
        </is>
      </c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IF(C31="","",IFERROR(VLOOKUP(C31,areaNomiBreviSquadre,7,FALSE),""))</f>
        <v/>
      </c>
      <c r="C31" s="62" t="inlineStr">
        <is>
          <t>A13</t>
        </is>
      </c>
      <c r="D31" s="61">
        <f>IF(E31="","",IFERROR(VLOOKUP(E31,areaNomiBreviSquadre,7,FALSE),""))</f>
        <v/>
      </c>
      <c r="E31" s="62" t="inlineStr">
        <is>
          <t>A08</t>
        </is>
      </c>
      <c r="F31" s="63" t="n">
        <v>46313.60416666666</v>
      </c>
      <c r="G31" s="9" t="n"/>
      <c r="H31" s="9" t="n"/>
      <c r="I31" s="10" t="n"/>
      <c r="J31" s="65" t="n">
        <v>66</v>
      </c>
      <c r="K31" s="66" t="inlineStr">
        <is>
          <t>-</t>
        </is>
      </c>
      <c r="L31" s="65" t="n">
        <v>78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A02</t>
        </is>
      </c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IF(C34="","",IFERROR(VLOOKUP(C34,areaNomiBreviSquadre,7,FALSE),""))</f>
        <v/>
      </c>
      <c r="C34" s="62" t="inlineStr">
        <is>
          <t>A09</t>
        </is>
      </c>
      <c r="D34" s="61">
        <f>IF(E34="","",IFERROR(VLOOKUP(E34,areaNomiBreviSquadre,7,FALSE),""))</f>
        <v/>
      </c>
      <c r="E34" s="62" t="inlineStr">
        <is>
          <t>A12</t>
        </is>
      </c>
      <c r="F34" s="63" t="n">
        <v>46313.66666666666</v>
      </c>
      <c r="G34" s="9" t="n"/>
      <c r="H34" s="9" t="n"/>
      <c r="I34" s="10" t="n"/>
      <c r="J34" s="65" t="n">
        <v>65</v>
      </c>
      <c r="K34" s="66" t="inlineStr">
        <is>
          <t>-</t>
        </is>
      </c>
      <c r="L34" s="65" t="n">
        <v>44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A02</t>
        </is>
      </c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IF(C37="","",IFERROR(VLOOKUP(C37,areaNomiBreviSquadre,7,FALSE),""))</f>
        <v/>
      </c>
      <c r="C37" s="62" t="inlineStr">
        <is>
          <t>A11</t>
        </is>
      </c>
      <c r="D37" s="61">
        <f>IF(E37="","",IFERROR(VLOOKUP(E37,areaNomiBreviSquadre,7,FALSE),""))</f>
        <v/>
      </c>
      <c r="E37" s="62" t="inlineStr">
        <is>
          <t>A10</t>
        </is>
      </c>
      <c r="F37" s="63" t="n">
        <v>46313.72916666666</v>
      </c>
      <c r="G37" s="9" t="n"/>
      <c r="H37" s="9" t="n"/>
      <c r="I37" s="10" t="n"/>
      <c r="J37" s="65" t="n">
        <v>68</v>
      </c>
      <c r="K37" s="66" t="inlineStr">
        <is>
          <t>-</t>
        </is>
      </c>
      <c r="L37" s="65" t="n">
        <v>76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A02</t>
        </is>
      </c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IF(C42="","",IFERROR(VLOOKUP(C42,areaNomiBreviSquadre,7,FALSE),""))</f>
        <v/>
      </c>
      <c r="C42" s="62" t="inlineStr">
        <is>
          <t>A03</t>
        </is>
      </c>
      <c r="D42" s="61">
        <f>IF(E42="","",IFERROR(VLOOKUP(E42,areaNomiBreviSquadre,7,FALSE),""))</f>
        <v/>
      </c>
      <c r="E42" s="62" t="inlineStr">
        <is>
          <t>A01</t>
        </is>
      </c>
      <c r="F42" s="63" t="n">
        <v>46320.39583333334</v>
      </c>
      <c r="G42" s="9" t="n"/>
      <c r="H42" s="9" t="n"/>
      <c r="I42" s="10" t="n"/>
      <c r="J42" s="65" t="n">
        <v>52</v>
      </c>
      <c r="K42" s="66" t="inlineStr">
        <is>
          <t>-</t>
        </is>
      </c>
      <c r="L42" s="65" t="n">
        <v>34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A03</t>
        </is>
      </c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IF(C45="","",IFERROR(VLOOKUP(C45,areaNomiBreviSquadre,7,FALSE),""))</f>
        <v/>
      </c>
      <c r="C45" s="62" t="inlineStr">
        <is>
          <t>A20</t>
        </is>
      </c>
      <c r="D45" s="61">
        <f>IF(E45="","",IFERROR(VLOOKUP(E45,areaNomiBreviSquadre,7,FALSE),""))</f>
        <v/>
      </c>
      <c r="E45" s="62" t="inlineStr">
        <is>
          <t>A02</t>
        </is>
      </c>
      <c r="F45" s="63" t="n">
        <v>46320.45833333334</v>
      </c>
      <c r="G45" s="9" t="n"/>
      <c r="H45" s="9" t="n"/>
      <c r="I45" s="10" t="n"/>
      <c r="J45" s="65" t="n">
        <v>47</v>
      </c>
      <c r="K45" s="66" t="inlineStr">
        <is>
          <t>-</t>
        </is>
      </c>
      <c r="L45" s="65" t="n">
        <v>22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A03</t>
        </is>
      </c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IF(C48="","",IFERROR(VLOOKUP(C48,areaNomiBreviSquadre,7,FALSE),""))</f>
        <v/>
      </c>
      <c r="C48" s="62" t="inlineStr">
        <is>
          <t>A05</t>
        </is>
      </c>
      <c r="D48" s="61">
        <f>IF(E48="","",IFERROR(VLOOKUP(E48,areaNomiBreviSquadre,7,FALSE),""))</f>
        <v/>
      </c>
      <c r="E48" s="62" t="inlineStr">
        <is>
          <t>A18</t>
        </is>
      </c>
      <c r="F48" s="63" t="n">
        <v>46320.60416666666</v>
      </c>
      <c r="G48" s="9" t="n"/>
      <c r="H48" s="9" t="n"/>
      <c r="I48" s="10" t="n"/>
      <c r="J48" s="65" t="n">
        <v>71</v>
      </c>
      <c r="K48" s="66" t="inlineStr">
        <is>
          <t>-</t>
        </is>
      </c>
      <c r="L48" s="65" t="n">
        <v>53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A03</t>
        </is>
      </c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IF(C51="","",IFERROR(VLOOKUP(C51,areaNomiBreviSquadre,7,FALSE),""))</f>
        <v/>
      </c>
      <c r="C51" s="62" t="inlineStr">
        <is>
          <t>A17</t>
        </is>
      </c>
      <c r="D51" s="61">
        <f>IF(E51="","",IFERROR(VLOOKUP(E51,areaNomiBreviSquadre,7,FALSE),""))</f>
        <v/>
      </c>
      <c r="E51" s="62" t="inlineStr">
        <is>
          <t>A06</t>
        </is>
      </c>
      <c r="F51" s="63" t="n">
        <v>46320.66666666666</v>
      </c>
      <c r="G51" s="9" t="n"/>
      <c r="H51" s="9" t="n"/>
      <c r="I51" s="10" t="n"/>
      <c r="J51" s="65" t="n">
        <v>63</v>
      </c>
      <c r="K51" s="66" t="inlineStr">
        <is>
          <t>-</t>
        </is>
      </c>
      <c r="L51" s="65" t="n">
        <v>88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A03</t>
        </is>
      </c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IF(C54="","",IFERROR(VLOOKUP(C54,areaNomiBreviSquadre,7,FALSE),""))</f>
        <v/>
      </c>
      <c r="C54" s="62" t="inlineStr">
        <is>
          <t>A07</t>
        </is>
      </c>
      <c r="D54" s="61">
        <f>IF(E54="","",IFERROR(VLOOKUP(E54,areaNomiBreviSquadre,7,FALSE),""))</f>
        <v/>
      </c>
      <c r="E54" s="62" t="inlineStr">
        <is>
          <t>A16</t>
        </is>
      </c>
      <c r="F54" s="63" t="n">
        <v>46320.72916666666</v>
      </c>
      <c r="G54" s="9" t="n"/>
      <c r="H54" s="9" t="n"/>
      <c r="I54" s="10" t="n"/>
      <c r="J54" s="65" t="n">
        <v>32</v>
      </c>
      <c r="K54" s="66" t="inlineStr">
        <is>
          <t>-</t>
        </is>
      </c>
      <c r="L54" s="65" t="n">
        <v>42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A03</t>
        </is>
      </c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IF(C57="","",IFERROR(VLOOKUP(C57,areaNomiBreviSquadre,7,FALSE),""))</f>
        <v/>
      </c>
      <c r="C57" s="62" t="inlineStr">
        <is>
          <t>A19</t>
        </is>
      </c>
      <c r="D57" s="61">
        <f>IF(E57="","",IFERROR(VLOOKUP(E57,areaNomiBreviSquadre,7,FALSE),""))</f>
        <v/>
      </c>
      <c r="E57" s="62" t="inlineStr">
        <is>
          <t>A04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23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A04</t>
        </is>
      </c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IF(C60="","",IFERROR(VLOOKUP(C60,areaNomiBreviSquadre,7,FALSE),""))</f>
        <v/>
      </c>
      <c r="C60" s="62" t="inlineStr">
        <is>
          <t>A15</t>
        </is>
      </c>
      <c r="D60" s="61">
        <f>IF(E60="","",IFERROR(VLOOKUP(E60,areaNomiBreviSquadre,7,FALSE),""))</f>
        <v/>
      </c>
      <c r="E60" s="62" t="inlineStr">
        <is>
          <t>A08</t>
        </is>
      </c>
      <c r="F60" s="63" t="n">
        <v>46320.45833333334</v>
      </c>
      <c r="G60" s="9" t="n"/>
      <c r="H60" s="9" t="n"/>
      <c r="I60" s="10" t="n"/>
      <c r="J60" s="65" t="n">
        <v>45</v>
      </c>
      <c r="K60" s="66" t="inlineStr">
        <is>
          <t>-</t>
        </is>
      </c>
      <c r="L60" s="65" t="n">
        <v>30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A04</t>
        </is>
      </c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IF(C63="","",IFERROR(VLOOKUP(C63,areaNomiBreviSquadre,7,FALSE),""))</f>
        <v/>
      </c>
      <c r="C63" s="62" t="inlineStr">
        <is>
          <t>A09</t>
        </is>
      </c>
      <c r="D63" s="61">
        <f>IF(E63="","",IFERROR(VLOOKUP(E63,areaNomiBreviSquadre,7,FALSE),""))</f>
        <v/>
      </c>
      <c r="E63" s="62" t="inlineStr">
        <is>
          <t>A14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38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A04</t>
        </is>
      </c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IF(C66="","",IFERROR(VLOOKUP(C66,areaNomiBreviSquadre,7,FALSE),""))</f>
        <v/>
      </c>
      <c r="C66" s="62" t="inlineStr">
        <is>
          <t>A13</t>
        </is>
      </c>
      <c r="D66" s="61">
        <f>IF(E66="","",IFERROR(VLOOKUP(E66,areaNomiBreviSquadre,7,FALSE),""))</f>
        <v/>
      </c>
      <c r="E66" s="62" t="inlineStr">
        <is>
          <t>A10</t>
        </is>
      </c>
      <c r="F66" s="63" t="n">
        <v>46320.66666666666</v>
      </c>
      <c r="G66" s="9" t="n"/>
      <c r="H66" s="9" t="n"/>
      <c r="I66" s="10" t="n"/>
      <c r="J66" s="65" t="n">
        <v>24</v>
      </c>
      <c r="K66" s="66" t="inlineStr">
        <is>
          <t>-</t>
        </is>
      </c>
      <c r="L66" s="65" t="n">
        <v>42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A04</t>
        </is>
      </c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IF(C69="","",IFERROR(VLOOKUP(C69,areaNomiBreviSquadre,7,FALSE),""))</f>
        <v/>
      </c>
      <c r="C69" s="62" t="inlineStr">
        <is>
          <t>A11</t>
        </is>
      </c>
      <c r="D69" s="61">
        <f>IF(E69="","",IFERROR(VLOOKUP(E69,areaNomiBreviSquadre,7,FALSE),""))</f>
        <v/>
      </c>
      <c r="E69" s="62" t="inlineStr">
        <is>
          <t>A12</t>
        </is>
      </c>
      <c r="F69" s="63" t="n">
        <v>46320.72916666666</v>
      </c>
      <c r="G69" s="9" t="n"/>
      <c r="H69" s="9" t="n"/>
      <c r="I69" s="10" t="n"/>
      <c r="J69" s="65" t="n">
        <v>61</v>
      </c>
      <c r="K69" s="66" t="inlineStr">
        <is>
          <t>-</t>
        </is>
      </c>
      <c r="L69" s="65" t="n">
        <v>83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A04</t>
        </is>
      </c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IF(C74="","",IFERROR(VLOOKUP(C74,areaNomiBreviSquadre,7,FALSE),""))</f>
        <v/>
      </c>
      <c r="C74" s="62" t="inlineStr">
        <is>
          <t>A05</t>
        </is>
      </c>
      <c r="D74" s="61">
        <f>IF(E74="","",IFERROR(VLOOKUP(E74,areaNomiBreviSquadre,7,FALSE),""))</f>
        <v/>
      </c>
      <c r="E74" s="62" t="inlineStr">
        <is>
          <t>A01</t>
        </is>
      </c>
      <c r="F74" s="63" t="n">
        <v>46327.39583333334</v>
      </c>
      <c r="G74" s="9" t="n"/>
      <c r="H74" s="9" t="n"/>
      <c r="I74" s="10" t="n"/>
      <c r="J74" s="65" t="n">
        <v>32</v>
      </c>
      <c r="K74" s="66" t="inlineStr">
        <is>
          <t>-</t>
        </is>
      </c>
      <c r="L74" s="65" t="n">
        <v>46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A05</t>
        </is>
      </c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IF(C77="","",IFERROR(VLOOKUP(C77,areaNomiBreviSquadre,7,FALSE),""))</f>
        <v/>
      </c>
      <c r="C77" s="62" t="inlineStr">
        <is>
          <t>A03</t>
        </is>
      </c>
      <c r="D77" s="61">
        <f>IF(E77="","",IFERROR(VLOOKUP(E77,areaNomiBreviSquadre,7,FALSE),""))</f>
        <v/>
      </c>
      <c r="E77" s="62" t="inlineStr">
        <is>
          <t>A20</t>
        </is>
      </c>
      <c r="F77" s="63" t="n">
        <v>46327.45833333334</v>
      </c>
      <c r="G77" s="9" t="n"/>
      <c r="H77" s="9" t="n"/>
      <c r="I77" s="10" t="n"/>
      <c r="J77" s="65" t="n">
        <v>39</v>
      </c>
      <c r="K77" s="66" t="inlineStr">
        <is>
          <t>-</t>
        </is>
      </c>
      <c r="L77" s="65" t="n">
        <v>49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A05</t>
        </is>
      </c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IF(C80="","",IFERROR(VLOOKUP(C80,areaNomiBreviSquadre,7,FALSE),""))</f>
        <v/>
      </c>
      <c r="C80" s="62" t="inlineStr">
        <is>
          <t>A02</t>
        </is>
      </c>
      <c r="D80" s="61">
        <f>IF(E80="","",IFERROR(VLOOKUP(E80,areaNomiBreviSquadre,7,FALSE),""))</f>
        <v/>
      </c>
      <c r="E80" s="62" t="inlineStr">
        <is>
          <t>A04</t>
        </is>
      </c>
      <c r="F80" s="63" t="n">
        <v>46327.60416666666</v>
      </c>
      <c r="G80" s="9" t="n"/>
      <c r="H80" s="9" t="n"/>
      <c r="I80" s="10" t="n"/>
      <c r="J80" s="65" t="n">
        <v>66</v>
      </c>
      <c r="K80" s="66" t="inlineStr">
        <is>
          <t>-</t>
        </is>
      </c>
      <c r="L80" s="65" t="n">
        <v>63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A05</t>
        </is>
      </c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IF(C83="","",IFERROR(VLOOKUP(C83,areaNomiBreviSquadre,7,FALSE),""))</f>
        <v/>
      </c>
      <c r="C83" s="62" t="inlineStr">
        <is>
          <t>A07</t>
        </is>
      </c>
      <c r="D83" s="61">
        <f>IF(E83="","",IFERROR(VLOOKUP(E83,areaNomiBreviSquadre,7,FALSE),""))</f>
        <v/>
      </c>
      <c r="E83" s="62" t="inlineStr">
        <is>
          <t>A18</t>
        </is>
      </c>
      <c r="F83" s="63" t="n">
        <v>46327.66666666666</v>
      </c>
      <c r="G83" s="9" t="n"/>
      <c r="H83" s="9" t="n"/>
      <c r="I83" s="10" t="n"/>
      <c r="J83" s="65" t="n">
        <v>61</v>
      </c>
      <c r="K83" s="66" t="inlineStr">
        <is>
          <t>-</t>
        </is>
      </c>
      <c r="L83" s="65" t="n">
        <v>76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A05</t>
        </is>
      </c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IF(C86="","",IFERROR(VLOOKUP(C86,areaNomiBreviSquadre,7,FALSE),""))</f>
        <v/>
      </c>
      <c r="C86" s="62" t="inlineStr">
        <is>
          <t>A17</t>
        </is>
      </c>
      <c r="D86" s="61">
        <f>IF(E86="","",IFERROR(VLOOKUP(E86,areaNomiBreviSquadre,7,FALSE),""))</f>
        <v/>
      </c>
      <c r="E86" s="62" t="inlineStr">
        <is>
          <t>A08</t>
        </is>
      </c>
      <c r="F86" s="63" t="n">
        <v>46327.72916666666</v>
      </c>
      <c r="G86" s="9" t="n"/>
      <c r="H86" s="9" t="n"/>
      <c r="I86" s="10" t="n"/>
      <c r="J86" s="65" t="n">
        <v>47</v>
      </c>
      <c r="K86" s="66" t="inlineStr">
        <is>
          <t>-</t>
        </is>
      </c>
      <c r="L86" s="65" t="n">
        <v>68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A05</t>
        </is>
      </c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IF(C89="","",IFERROR(VLOOKUP(C89,areaNomiBreviSquadre,7,FALSE),""))</f>
        <v/>
      </c>
      <c r="C89" s="62" t="inlineStr">
        <is>
          <t>A19</t>
        </is>
      </c>
      <c r="D89" s="61">
        <f>IF(E89="","",IFERROR(VLOOKUP(E89,areaNomiBreviSquadre,7,FALSE),""))</f>
        <v/>
      </c>
      <c r="E89" s="62" t="inlineStr">
        <is>
          <t>A06</t>
        </is>
      </c>
      <c r="F89" s="63" t="n">
        <v>46327.39583333334</v>
      </c>
      <c r="G89" s="9" t="n"/>
      <c r="H89" s="9" t="n"/>
      <c r="I89" s="10" t="n"/>
      <c r="J89" s="65" t="n">
        <v>29</v>
      </c>
      <c r="K89" s="66" t="inlineStr">
        <is>
          <t>-</t>
        </is>
      </c>
      <c r="L89" s="65" t="n">
        <v>42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A06</t>
        </is>
      </c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IF(C92="","",IFERROR(VLOOKUP(C92,areaNomiBreviSquadre,7,FALSE),""))</f>
        <v/>
      </c>
      <c r="C92" s="62" t="inlineStr">
        <is>
          <t>A09</t>
        </is>
      </c>
      <c r="D92" s="61">
        <f>IF(E92="","",IFERROR(VLOOKUP(E92,areaNomiBreviSquadre,7,FALSE),""))</f>
        <v/>
      </c>
      <c r="E92" s="62" t="inlineStr">
        <is>
          <t>A16</t>
        </is>
      </c>
      <c r="F92" s="63" t="n">
        <v>46327.45833333334</v>
      </c>
      <c r="G92" s="9" t="n"/>
      <c r="H92" s="9" t="n"/>
      <c r="I92" s="10" t="n"/>
      <c r="J92" s="65" t="n">
        <v>69</v>
      </c>
      <c r="K92" s="66" t="inlineStr">
        <is>
          <t>-</t>
        </is>
      </c>
      <c r="L92" s="65" t="n">
        <v>91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A06</t>
        </is>
      </c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IF(C95="","",IFERROR(VLOOKUP(C95,areaNomiBreviSquadre,7,FALSE),""))</f>
        <v/>
      </c>
      <c r="C95" s="62" t="inlineStr">
        <is>
          <t>A15</t>
        </is>
      </c>
      <c r="D95" s="61">
        <f>IF(E95="","",IFERROR(VLOOKUP(E95,areaNomiBreviSquadre,7,FALSE),""))</f>
        <v/>
      </c>
      <c r="E95" s="62" t="inlineStr">
        <is>
          <t>A10</t>
        </is>
      </c>
      <c r="F95" s="63" t="n">
        <v>46327.60416666666</v>
      </c>
      <c r="G95" s="9" t="n"/>
      <c r="H95" s="9" t="n"/>
      <c r="I95" s="10" t="n"/>
      <c r="J95" s="65" t="n">
        <v>65</v>
      </c>
      <c r="K95" s="66" t="inlineStr">
        <is>
          <t>-</t>
        </is>
      </c>
      <c r="L95" s="65" t="n">
        <v>79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A06</t>
        </is>
      </c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IF(C98="","",IFERROR(VLOOKUP(C98,areaNomiBreviSquadre,7,FALSE),""))</f>
        <v/>
      </c>
      <c r="C98" s="62" t="inlineStr">
        <is>
          <t>A11</t>
        </is>
      </c>
      <c r="D98" s="61">
        <f>IF(E98="","",IFERROR(VLOOKUP(E98,areaNomiBreviSquadre,7,FALSE),""))</f>
        <v/>
      </c>
      <c r="E98" s="62" t="inlineStr">
        <is>
          <t>A14</t>
        </is>
      </c>
      <c r="F98" s="63" t="n">
        <v>46327.66666666666</v>
      </c>
      <c r="G98" s="9" t="n"/>
      <c r="H98" s="9" t="n"/>
      <c r="I98" s="10" t="n"/>
      <c r="J98" s="65" t="n">
        <v>50</v>
      </c>
      <c r="K98" s="66" t="inlineStr">
        <is>
          <t>-</t>
        </is>
      </c>
      <c r="L98" s="65" t="n">
        <v>63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A06</t>
        </is>
      </c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IF(C101="","",IFERROR(VLOOKUP(C101,areaNomiBreviSquadre,7,FALSE),""))</f>
        <v/>
      </c>
      <c r="C101" s="62" t="inlineStr">
        <is>
          <t>A13</t>
        </is>
      </c>
      <c r="D101" s="61">
        <f>IF(E101="","",IFERROR(VLOOKUP(E101,areaNomiBreviSquadre,7,FALSE),""))</f>
        <v/>
      </c>
      <c r="E101" s="62" t="inlineStr">
        <is>
          <t>A12</t>
        </is>
      </c>
      <c r="F101" s="63" t="n">
        <v>46327.72916666666</v>
      </c>
      <c r="G101" s="9" t="n"/>
      <c r="H101" s="9" t="n"/>
      <c r="I101" s="10" t="n"/>
      <c r="J101" s="65" t="n">
        <v>30</v>
      </c>
      <c r="K101" s="66" t="inlineStr">
        <is>
          <t>-</t>
        </is>
      </c>
      <c r="L101" s="65" t="n">
        <v>58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A06</t>
        </is>
      </c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IF(C106="","",IFERROR(VLOOKUP(C106,areaNomiBreviSquadre,7,FALSE),""))</f>
        <v/>
      </c>
      <c r="C106" s="62" t="inlineStr">
        <is>
          <t>A07</t>
        </is>
      </c>
      <c r="D106" s="61">
        <f>IF(E106="","",IFERROR(VLOOKUP(E106,areaNomiBreviSquadre,7,FALSE),""))</f>
        <v/>
      </c>
      <c r="E106" s="62" t="inlineStr">
        <is>
          <t>A01</t>
        </is>
      </c>
      <c r="F106" s="63" t="n">
        <v>46334.39583333334</v>
      </c>
      <c r="G106" s="9" t="n"/>
      <c r="H106" s="9" t="n"/>
      <c r="I106" s="10" t="n"/>
      <c r="J106" s="65" t="n">
        <v>46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A07</t>
        </is>
      </c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IF(C109="","",IFERROR(VLOOKUP(C109,areaNomiBreviSquadre,7,FALSE),""))</f>
        <v/>
      </c>
      <c r="C109" s="62" t="inlineStr">
        <is>
          <t>A20</t>
        </is>
      </c>
      <c r="D109" s="61">
        <f>IF(E109="","",IFERROR(VLOOKUP(E109,areaNomiBreviSquadre,7,FALSE),""))</f>
        <v/>
      </c>
      <c r="E109" s="62" t="inlineStr">
        <is>
          <t>A04</t>
        </is>
      </c>
      <c r="F109" s="63" t="n">
        <v>46334.45833333334</v>
      </c>
      <c r="G109" s="9" t="n"/>
      <c r="H109" s="9" t="n"/>
      <c r="I109" s="10" t="n"/>
      <c r="J109" s="65" t="n">
        <v>60</v>
      </c>
      <c r="K109" s="66" t="inlineStr">
        <is>
          <t>-</t>
        </is>
      </c>
      <c r="L109" s="65" t="n">
        <v>59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A07</t>
        </is>
      </c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IF(C112="","",IFERROR(VLOOKUP(C112,areaNomiBreviSquadre,7,FALSE),""))</f>
        <v/>
      </c>
      <c r="C112" s="62" t="inlineStr">
        <is>
          <t>A05</t>
        </is>
      </c>
      <c r="D112" s="61">
        <f>IF(E112="","",IFERROR(VLOOKUP(E112,areaNomiBreviSquadre,7,FALSE),""))</f>
        <v/>
      </c>
      <c r="E112" s="62" t="inlineStr">
        <is>
          <t>A03</t>
        </is>
      </c>
      <c r="F112" s="63" t="n">
        <v>46334.60416666666</v>
      </c>
      <c r="G112" s="9" t="n"/>
      <c r="H112" s="9" t="n"/>
      <c r="I112" s="10" t="n"/>
      <c r="J112" s="65" t="n">
        <v>34</v>
      </c>
      <c r="K112" s="66" t="inlineStr">
        <is>
          <t>-</t>
        </is>
      </c>
      <c r="L112" s="65" t="n">
        <v>51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A07</t>
        </is>
      </c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IF(C115="","",IFERROR(VLOOKUP(C115,areaNomiBreviSquadre,7,FALSE),""))</f>
        <v/>
      </c>
      <c r="C115" s="62" t="inlineStr">
        <is>
          <t>A02</t>
        </is>
      </c>
      <c r="D115" s="61">
        <f>IF(E115="","",IFERROR(VLOOKUP(E115,areaNomiBreviSquadre,7,FALSE),""))</f>
        <v/>
      </c>
      <c r="E115" s="62" t="inlineStr">
        <is>
          <t>A06</t>
        </is>
      </c>
      <c r="F115" s="63" t="n">
        <v>46334.66666666666</v>
      </c>
      <c r="G115" s="9" t="n"/>
      <c r="H115" s="9" t="n"/>
      <c r="I115" s="10" t="n"/>
      <c r="J115" s="65" t="n">
        <v>58</v>
      </c>
      <c r="K115" s="66" t="inlineStr">
        <is>
          <t>-</t>
        </is>
      </c>
      <c r="L115" s="65" t="n">
        <v>77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A07</t>
        </is>
      </c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IF(C118="","",IFERROR(VLOOKUP(C118,areaNomiBreviSquadre,7,FALSE),""))</f>
        <v/>
      </c>
      <c r="C118" s="62" t="inlineStr">
        <is>
          <t>A09</t>
        </is>
      </c>
      <c r="D118" s="61">
        <f>IF(E118="","",IFERROR(VLOOKUP(E118,areaNomiBreviSquadre,7,FALSE),""))</f>
        <v/>
      </c>
      <c r="E118" s="62" t="inlineStr">
        <is>
          <t>A18</t>
        </is>
      </c>
      <c r="F118" s="63" t="n">
        <v>46334.72916666666</v>
      </c>
      <c r="G118" s="9" t="n"/>
      <c r="H118" s="9" t="n"/>
      <c r="I118" s="10" t="n"/>
      <c r="J118" s="65" t="n">
        <v>65</v>
      </c>
      <c r="K118" s="66" t="inlineStr">
        <is>
          <t>-</t>
        </is>
      </c>
      <c r="L118" s="65" t="n">
        <v>43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A07</t>
        </is>
      </c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IF(C121="","",IFERROR(VLOOKUP(C121,areaNomiBreviSquadre,7,FALSE),""))</f>
        <v/>
      </c>
      <c r="C121" s="62" t="inlineStr">
        <is>
          <t>A19</t>
        </is>
      </c>
      <c r="D121" s="61">
        <f>IF(E121="","",IFERROR(VLOOKUP(E121,areaNomiBreviSquadre,7,FALSE),""))</f>
        <v/>
      </c>
      <c r="E121" s="62" t="inlineStr">
        <is>
          <t>A08</t>
        </is>
      </c>
      <c r="F121" s="63" t="n">
        <v>46334.39583333334</v>
      </c>
      <c r="G121" s="9" t="n"/>
      <c r="H121" s="9" t="n"/>
      <c r="I121" s="10" t="n"/>
      <c r="J121" s="65" t="n">
        <v>65</v>
      </c>
      <c r="K121" s="66" t="inlineStr">
        <is>
          <t>-</t>
        </is>
      </c>
      <c r="L121" s="65" t="n">
        <v>68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A08</t>
        </is>
      </c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IF(C124="","",IFERROR(VLOOKUP(C124,areaNomiBreviSquadre,7,FALSE),""))</f>
        <v/>
      </c>
      <c r="C124" s="62" t="inlineStr">
        <is>
          <t>A17</t>
        </is>
      </c>
      <c r="D124" s="61">
        <f>IF(E124="","",IFERROR(VLOOKUP(E124,areaNomiBreviSquadre,7,FALSE),""))</f>
        <v/>
      </c>
      <c r="E124" s="62" t="inlineStr">
        <is>
          <t>A10</t>
        </is>
      </c>
      <c r="F124" s="63" t="n">
        <v>46334.45833333334</v>
      </c>
      <c r="G124" s="9" t="n"/>
      <c r="H124" s="9" t="n"/>
      <c r="I124" s="10" t="n"/>
      <c r="J124" s="65" t="n">
        <v>43</v>
      </c>
      <c r="K124" s="66" t="inlineStr">
        <is>
          <t>-</t>
        </is>
      </c>
      <c r="L124" s="65" t="n">
        <v>44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A08</t>
        </is>
      </c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IF(C127="","",IFERROR(VLOOKUP(C127,areaNomiBreviSquadre,7,FALSE),""))</f>
        <v/>
      </c>
      <c r="C127" s="62" t="inlineStr">
        <is>
          <t>A11</t>
        </is>
      </c>
      <c r="D127" s="61">
        <f>IF(E127="","",IFERROR(VLOOKUP(E127,areaNomiBreviSquadre,7,FALSE),""))</f>
        <v/>
      </c>
      <c r="E127" s="62" t="inlineStr">
        <is>
          <t>A16</t>
        </is>
      </c>
      <c r="F127" s="63" t="n">
        <v>46334.60416666666</v>
      </c>
      <c r="G127" s="9" t="n"/>
      <c r="H127" s="9" t="n"/>
      <c r="I127" s="10" t="n"/>
      <c r="J127" s="65" t="n">
        <v>60</v>
      </c>
      <c r="K127" s="66" t="inlineStr">
        <is>
          <t>-</t>
        </is>
      </c>
      <c r="L127" s="65" t="n">
        <v>83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A08</t>
        </is>
      </c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IF(C130="","",IFERROR(VLOOKUP(C130,areaNomiBreviSquadre,7,FALSE),""))</f>
        <v/>
      </c>
      <c r="C130" s="62" t="inlineStr">
        <is>
          <t>A15</t>
        </is>
      </c>
      <c r="D130" s="61">
        <f>IF(E130="","",IFERROR(VLOOKUP(E130,areaNomiBreviSquadre,7,FALSE),""))</f>
        <v/>
      </c>
      <c r="E130" s="62" t="inlineStr">
        <is>
          <t>A12</t>
        </is>
      </c>
      <c r="F130" s="63" t="n">
        <v>46334.66666666666</v>
      </c>
      <c r="G130" s="9" t="n"/>
      <c r="H130" s="9" t="n"/>
      <c r="I130" s="10" t="n"/>
      <c r="J130" s="65" t="n">
        <v>63</v>
      </c>
      <c r="K130" s="66" t="inlineStr">
        <is>
          <t>-</t>
        </is>
      </c>
      <c r="L130" s="65" t="n">
        <v>66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A08</t>
        </is>
      </c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IF(C133="","",IFERROR(VLOOKUP(C133,areaNomiBreviSquadre,7,FALSE),""))</f>
        <v/>
      </c>
      <c r="C133" s="62" t="inlineStr">
        <is>
          <t>A13</t>
        </is>
      </c>
      <c r="D133" s="61">
        <f>IF(E133="","",IFERROR(VLOOKUP(E133,areaNomiBreviSquadre,7,FALSE),""))</f>
        <v/>
      </c>
      <c r="E133" s="62" t="inlineStr">
        <is>
          <t>A14</t>
        </is>
      </c>
      <c r="F133" s="63" t="n">
        <v>46334.72916666666</v>
      </c>
      <c r="G133" s="9" t="n"/>
      <c r="H133" s="9" t="n"/>
      <c r="I133" s="10" t="n"/>
      <c r="J133" s="65" t="n">
        <v>85</v>
      </c>
      <c r="K133" s="66" t="inlineStr">
        <is>
          <t>-</t>
        </is>
      </c>
      <c r="L133" s="65" t="n">
        <v>58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A08</t>
        </is>
      </c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IF(C138="","",IFERROR(VLOOKUP(C138,areaNomiBreviSquadre,7,FALSE),""))</f>
        <v/>
      </c>
      <c r="C138" s="62" t="inlineStr">
        <is>
          <t>A09</t>
        </is>
      </c>
      <c r="D138" s="61">
        <f>IF(E138="","",IFERROR(VLOOKUP(E138,areaNomiBreviSquadre,7,FALSE),""))</f>
        <v/>
      </c>
      <c r="E138" s="62" t="inlineStr">
        <is>
          <t>A01</t>
        </is>
      </c>
      <c r="F138" s="63" t="n">
        <v>46341.39583333334</v>
      </c>
      <c r="G138" s="9" t="n"/>
      <c r="H138" s="9" t="n"/>
      <c r="I138" s="10" t="n"/>
      <c r="J138" s="65" t="n">
        <v>61</v>
      </c>
      <c r="K138" s="66" t="inlineStr">
        <is>
          <t>-</t>
        </is>
      </c>
      <c r="L138" s="65" t="n">
        <v>54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A09</t>
        </is>
      </c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IF(C141="","",IFERROR(VLOOKUP(C141,areaNomiBreviSquadre,7,FALSE),""))</f>
        <v/>
      </c>
      <c r="C141" s="62" t="inlineStr">
        <is>
          <t>A05</t>
        </is>
      </c>
      <c r="D141" s="61">
        <f>IF(E141="","",IFERROR(VLOOKUP(E141,areaNomiBreviSquadre,7,FALSE),""))</f>
        <v/>
      </c>
      <c r="E141" s="62" t="inlineStr">
        <is>
          <t>A20</t>
        </is>
      </c>
      <c r="F141" s="63" t="n">
        <v>46341.45833333334</v>
      </c>
      <c r="G141" s="9" t="n"/>
      <c r="H141" s="9" t="n"/>
      <c r="I141" s="10" t="n"/>
      <c r="J141" s="65" t="n">
        <v>66</v>
      </c>
      <c r="K141" s="66" t="inlineStr">
        <is>
          <t>-</t>
        </is>
      </c>
      <c r="L141" s="65" t="n">
        <v>73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A09</t>
        </is>
      </c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IF(C144="","",IFERROR(VLOOKUP(C144,areaNomiBreviSquadre,7,FALSE),""))</f>
        <v/>
      </c>
      <c r="C144" s="62" t="inlineStr">
        <is>
          <t>A04</t>
        </is>
      </c>
      <c r="D144" s="61">
        <f>IF(E144="","",IFERROR(VLOOKUP(E144,areaNomiBreviSquadre,7,FALSE),""))</f>
        <v/>
      </c>
      <c r="E144" s="62" t="inlineStr">
        <is>
          <t>A06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80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A09</t>
        </is>
      </c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IF(C147="","",IFERROR(VLOOKUP(C147,areaNomiBreviSquadre,7,FALSE),""))</f>
        <v/>
      </c>
      <c r="C147" s="62" t="inlineStr">
        <is>
          <t>A07</t>
        </is>
      </c>
      <c r="D147" s="61">
        <f>IF(E147="","",IFERROR(VLOOKUP(E147,areaNomiBreviSquadre,7,FALSE),""))</f>
        <v/>
      </c>
      <c r="E147" s="62" t="inlineStr">
        <is>
          <t>A03</t>
        </is>
      </c>
      <c r="F147" s="63" t="n">
        <v>46341.66666666666</v>
      </c>
      <c r="G147" s="9" t="n"/>
      <c r="H147" s="9" t="n"/>
      <c r="I147" s="10" t="n"/>
      <c r="J147" s="65" t="n">
        <v>19</v>
      </c>
      <c r="K147" s="66" t="inlineStr">
        <is>
          <t>-</t>
        </is>
      </c>
      <c r="L147" s="65" t="n">
        <v>41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A09</t>
        </is>
      </c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IF(C150="","",IFERROR(VLOOKUP(C150,areaNomiBreviSquadre,7,FALSE),""))</f>
        <v/>
      </c>
      <c r="C150" s="62" t="inlineStr">
        <is>
          <t>A02</t>
        </is>
      </c>
      <c r="D150" s="61">
        <f>IF(E150="","",IFERROR(VLOOKUP(E150,areaNomiBreviSquadre,7,FALSE),""))</f>
        <v/>
      </c>
      <c r="E150" s="62" t="inlineStr">
        <is>
          <t>A08</t>
        </is>
      </c>
      <c r="F150" s="63" t="n">
        <v>46341.72916666666</v>
      </c>
      <c r="G150" s="9" t="n"/>
      <c r="H150" s="9" t="n"/>
      <c r="I150" s="10" t="n"/>
      <c r="J150" s="65" t="n">
        <v>40</v>
      </c>
      <c r="K150" s="66" t="inlineStr">
        <is>
          <t>-</t>
        </is>
      </c>
      <c r="L150" s="65" t="n">
        <v>0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A09</t>
        </is>
      </c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IF(C153="","",IFERROR(VLOOKUP(C153,areaNomiBreviSquadre,7,FALSE),""))</f>
        <v/>
      </c>
      <c r="C153" s="62" t="inlineStr">
        <is>
          <t>A19</t>
        </is>
      </c>
      <c r="D153" s="61">
        <f>IF(E153="","",IFERROR(VLOOKUP(E153,areaNomiBreviSquadre,7,FALSE),""))</f>
        <v/>
      </c>
      <c r="E153" s="62" t="inlineStr">
        <is>
          <t>A10</t>
        </is>
      </c>
      <c r="F153" s="63" t="n">
        <v>46341.39583333334</v>
      </c>
      <c r="G153" s="9" t="n"/>
      <c r="H153" s="9" t="n"/>
      <c r="I153" s="10" t="n"/>
      <c r="J153" s="65" t="n">
        <v>87</v>
      </c>
      <c r="K153" s="66" t="inlineStr">
        <is>
          <t>-</t>
        </is>
      </c>
      <c r="L153" s="65" t="n">
        <v>78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A10</t>
        </is>
      </c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IF(C156="","",IFERROR(VLOOKUP(C156,areaNomiBreviSquadre,7,FALSE),""))</f>
        <v/>
      </c>
      <c r="C156" s="62" t="inlineStr">
        <is>
          <t>A11</t>
        </is>
      </c>
      <c r="D156" s="61">
        <f>IF(E156="","",IFERROR(VLOOKUP(E156,areaNomiBreviSquadre,7,FALSE),""))</f>
        <v/>
      </c>
      <c r="E156" s="62" t="inlineStr">
        <is>
          <t>A18</t>
        </is>
      </c>
      <c r="F156" s="63" t="n">
        <v>46341.45833333334</v>
      </c>
      <c r="G156" s="9" t="n"/>
      <c r="H156" s="9" t="n"/>
      <c r="I156" s="10" t="n"/>
      <c r="J156" s="65" t="n">
        <v>90</v>
      </c>
      <c r="K156" s="66" t="inlineStr">
        <is>
          <t>-</t>
        </is>
      </c>
      <c r="L156" s="65" t="n">
        <v>78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A10</t>
        </is>
      </c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IF(C159="","",IFERROR(VLOOKUP(C159,areaNomiBreviSquadre,7,FALSE),""))</f>
        <v/>
      </c>
      <c r="C159" s="62" t="inlineStr">
        <is>
          <t>A17</t>
        </is>
      </c>
      <c r="D159" s="61">
        <f>IF(E159="","",IFERROR(VLOOKUP(E159,areaNomiBreviSquadre,7,FALSE),""))</f>
        <v/>
      </c>
      <c r="E159" s="62" t="inlineStr">
        <is>
          <t>A12</t>
        </is>
      </c>
      <c r="F159" s="63" t="n">
        <v>46341.60416666666</v>
      </c>
      <c r="G159" s="9" t="n"/>
      <c r="H159" s="9" t="n"/>
      <c r="I159" s="10" t="n"/>
      <c r="J159" s="65" t="n">
        <v>59</v>
      </c>
      <c r="K159" s="66" t="inlineStr">
        <is>
          <t>-</t>
        </is>
      </c>
      <c r="L159" s="65" t="n">
        <v>41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A10</t>
        </is>
      </c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IF(C162="","",IFERROR(VLOOKUP(C162,areaNomiBreviSquadre,7,FALSE),""))</f>
        <v/>
      </c>
      <c r="C162" s="62" t="inlineStr">
        <is>
          <t>A13</t>
        </is>
      </c>
      <c r="D162" s="61">
        <f>IF(E162="","",IFERROR(VLOOKUP(E162,areaNomiBreviSquadre,7,FALSE),""))</f>
        <v/>
      </c>
      <c r="E162" s="62" t="inlineStr">
        <is>
          <t>A16</t>
        </is>
      </c>
      <c r="F162" s="63" t="n">
        <v>46341.66666666666</v>
      </c>
      <c r="G162" s="9" t="n"/>
      <c r="H162" s="9" t="n"/>
      <c r="I162" s="10" t="n"/>
      <c r="J162" s="65" t="n">
        <v>77</v>
      </c>
      <c r="K162" s="66" t="inlineStr">
        <is>
          <t>-</t>
        </is>
      </c>
      <c r="L162" s="65" t="n">
        <v>57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A10</t>
        </is>
      </c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IF(C165="","",IFERROR(VLOOKUP(C165,areaNomiBreviSquadre,7,FALSE),""))</f>
        <v/>
      </c>
      <c r="C165" s="62" t="inlineStr">
        <is>
          <t>A15</t>
        </is>
      </c>
      <c r="D165" s="61">
        <f>IF(E165="","",IFERROR(VLOOKUP(E165,areaNomiBreviSquadre,7,FALSE),""))</f>
        <v/>
      </c>
      <c r="E165" s="62" t="inlineStr">
        <is>
          <t>A14</t>
        </is>
      </c>
      <c r="F165" s="63" t="n">
        <v>46341.72916666666</v>
      </c>
      <c r="G165" s="9" t="n"/>
      <c r="H165" s="9" t="n"/>
      <c r="I165" s="10" t="n"/>
      <c r="J165" s="65" t="n">
        <v>83</v>
      </c>
      <c r="K165" s="66" t="inlineStr">
        <is>
          <t>-</t>
        </is>
      </c>
      <c r="L165" s="65" t="n">
        <v>78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A10</t>
        </is>
      </c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IF(C170="","",IFERROR(VLOOKUP(C170,areaNomiBreviSquadre,7,FALSE),""))</f>
        <v/>
      </c>
      <c r="C170" s="62" t="inlineStr">
        <is>
          <t>A11</t>
        </is>
      </c>
      <c r="D170" s="61">
        <f>IF(E170="","",IFERROR(VLOOKUP(E170,areaNomiBreviSquadre,7,FALSE),""))</f>
        <v/>
      </c>
      <c r="E170" s="62" t="inlineStr">
        <is>
          <t>A01</t>
        </is>
      </c>
      <c r="F170" s="63" t="n">
        <v>46348.39583333334</v>
      </c>
      <c r="G170" s="9" t="n"/>
      <c r="H170" s="9" t="n"/>
      <c r="I170" s="10" t="n"/>
      <c r="J170" s="65" t="n">
        <v>26</v>
      </c>
      <c r="K170" s="66" t="inlineStr">
        <is>
          <t>-</t>
        </is>
      </c>
      <c r="L170" s="65" t="n">
        <v>39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A11</t>
        </is>
      </c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IF(C173="","",IFERROR(VLOOKUP(C173,areaNomiBreviSquadre,7,FALSE),""))</f>
        <v/>
      </c>
      <c r="C173" s="62" t="inlineStr">
        <is>
          <t>A20</t>
        </is>
      </c>
      <c r="D173" s="61">
        <f>IF(E173="","",IFERROR(VLOOKUP(E173,areaNomiBreviSquadre,7,FALSE),""))</f>
        <v/>
      </c>
      <c r="E173" s="62" t="inlineStr">
        <is>
          <t>A06</t>
        </is>
      </c>
      <c r="F173" s="63" t="n">
        <v>46348.45833333334</v>
      </c>
      <c r="G173" s="9" t="n"/>
      <c r="H173" s="9" t="n"/>
      <c r="I173" s="10" t="n"/>
      <c r="J173" s="65" t="n">
        <v>60</v>
      </c>
      <c r="K173" s="66" t="inlineStr">
        <is>
          <t>-</t>
        </is>
      </c>
      <c r="L173" s="65" t="n">
        <v>44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A11</t>
        </is>
      </c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IF(C176="","",IFERROR(VLOOKUP(C176,areaNomiBreviSquadre,7,FALSE),""))</f>
        <v/>
      </c>
      <c r="C176" s="62" t="inlineStr">
        <is>
          <t>A07</t>
        </is>
      </c>
      <c r="D176" s="61">
        <f>IF(E176="","",IFERROR(VLOOKUP(E176,areaNomiBreviSquadre,7,FALSE),""))</f>
        <v/>
      </c>
      <c r="E176" s="62" t="inlineStr">
        <is>
          <t>A05</t>
        </is>
      </c>
      <c r="F176" s="63" t="n">
        <v>46348.60416666666</v>
      </c>
      <c r="G176" s="9" t="n"/>
      <c r="H176" s="9" t="n"/>
      <c r="I176" s="10" t="n"/>
      <c r="J176" s="65" t="n">
        <v>44</v>
      </c>
      <c r="K176" s="66" t="inlineStr">
        <is>
          <t>-</t>
        </is>
      </c>
      <c r="L176" s="65" t="n">
        <v>61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A11</t>
        </is>
      </c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IF(C179="","",IFERROR(VLOOKUP(C179,areaNomiBreviSquadre,7,FALSE),""))</f>
        <v/>
      </c>
      <c r="C179" s="62" t="inlineStr">
        <is>
          <t>A04</t>
        </is>
      </c>
      <c r="D179" s="61">
        <f>IF(E179="","",IFERROR(VLOOKUP(E179,areaNomiBreviSquadre,7,FALSE),""))</f>
        <v/>
      </c>
      <c r="E179" s="62" t="inlineStr">
        <is>
          <t>A08</t>
        </is>
      </c>
      <c r="F179" s="63" t="n">
        <v>46348.66666666666</v>
      </c>
      <c r="G179" s="9" t="n"/>
      <c r="H179" s="9" t="n"/>
      <c r="I179" s="10" t="n"/>
      <c r="J179" s="65" t="n">
        <v>26</v>
      </c>
      <c r="K179" s="66" t="inlineStr">
        <is>
          <t>-</t>
        </is>
      </c>
      <c r="L179" s="65" t="n">
        <v>45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A11</t>
        </is>
      </c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IF(C182="","",IFERROR(VLOOKUP(C182,areaNomiBreviSquadre,7,FALSE),""))</f>
        <v/>
      </c>
      <c r="C182" s="62" t="inlineStr">
        <is>
          <t>A09</t>
        </is>
      </c>
      <c r="D182" s="61">
        <f>IF(E182="","",IFERROR(VLOOKUP(E182,areaNomiBreviSquadre,7,FALSE),""))</f>
        <v/>
      </c>
      <c r="E182" s="62" t="inlineStr">
        <is>
          <t>A03</t>
        </is>
      </c>
      <c r="F182" s="63" t="n">
        <v>46348.72916666666</v>
      </c>
      <c r="G182" s="9" t="n"/>
      <c r="H182" s="9" t="n"/>
      <c r="I182" s="10" t="n"/>
      <c r="J182" s="65" t="n">
        <v>42</v>
      </c>
      <c r="K182" s="66" t="inlineStr">
        <is>
          <t>-</t>
        </is>
      </c>
      <c r="L182" s="65" t="n">
        <v>44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A11</t>
        </is>
      </c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IF(C185="","",IFERROR(VLOOKUP(C185,areaNomiBreviSquadre,7,FALSE),""))</f>
        <v/>
      </c>
      <c r="C185" s="62" t="inlineStr">
        <is>
          <t>A19</t>
        </is>
      </c>
      <c r="D185" s="61">
        <f>IF(E185="","",IFERROR(VLOOKUP(E185,areaNomiBreviSquadre,7,FALSE),""))</f>
        <v/>
      </c>
      <c r="E185" s="62" t="inlineStr">
        <is>
          <t>A12</t>
        </is>
      </c>
      <c r="F185" s="63" t="n">
        <v>46348.39583333334</v>
      </c>
      <c r="G185" s="9" t="n"/>
      <c r="H185" s="9" t="n"/>
      <c r="I185" s="10" t="n"/>
      <c r="J185" s="65" t="n">
        <v>43</v>
      </c>
      <c r="K185" s="66" t="inlineStr">
        <is>
          <t>-</t>
        </is>
      </c>
      <c r="L185" s="65" t="n">
        <v>44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A12</t>
        </is>
      </c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IF(C188="","",IFERROR(VLOOKUP(C188,areaNomiBreviSquadre,7,FALSE),""))</f>
        <v/>
      </c>
      <c r="C188" s="62" t="inlineStr">
        <is>
          <t>A02</t>
        </is>
      </c>
      <c r="D188" s="61">
        <f>IF(E188="","",IFERROR(VLOOKUP(E188,areaNomiBreviSquadre,7,FALSE),""))</f>
        <v/>
      </c>
      <c r="E188" s="62" t="inlineStr">
        <is>
          <t>A10</t>
        </is>
      </c>
      <c r="F188" s="63" t="n">
        <v>46348.45833333334</v>
      </c>
      <c r="G188" s="9" t="n"/>
      <c r="H188" s="9" t="n"/>
      <c r="I188" s="10" t="n"/>
      <c r="J188" s="65" t="n">
        <v>40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A12</t>
        </is>
      </c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IF(C191="","",IFERROR(VLOOKUP(C191,areaNomiBreviSquadre,7,FALSE),""))</f>
        <v/>
      </c>
      <c r="C191" s="62" t="inlineStr">
        <is>
          <t>A13</t>
        </is>
      </c>
      <c r="D191" s="61">
        <f>IF(E191="","",IFERROR(VLOOKUP(E191,areaNomiBreviSquadre,7,FALSE),""))</f>
        <v/>
      </c>
      <c r="E191" s="62" t="inlineStr">
        <is>
          <t>A18</t>
        </is>
      </c>
      <c r="F191" s="63" t="n">
        <v>46348.60416666666</v>
      </c>
      <c r="G191" s="9" t="n"/>
      <c r="H191" s="9" t="n"/>
      <c r="I191" s="10" t="n"/>
      <c r="J191" s="65" t="n">
        <v>49</v>
      </c>
      <c r="K191" s="66" t="inlineStr">
        <is>
          <t>-</t>
        </is>
      </c>
      <c r="L191" s="65" t="n">
        <v>24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A12</t>
        </is>
      </c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IF(C194="","",IFERROR(VLOOKUP(C194,areaNomiBreviSquadre,7,FALSE),""))</f>
        <v/>
      </c>
      <c r="C194" s="62" t="inlineStr">
        <is>
          <t>A17</t>
        </is>
      </c>
      <c r="D194" s="61">
        <f>IF(E194="","",IFERROR(VLOOKUP(E194,areaNomiBreviSquadre,7,FALSE),""))</f>
        <v/>
      </c>
      <c r="E194" s="62" t="inlineStr">
        <is>
          <t>A14</t>
        </is>
      </c>
      <c r="F194" s="63" t="n">
        <v>46348.66666666666</v>
      </c>
      <c r="G194" s="9" t="n"/>
      <c r="H194" s="9" t="n"/>
      <c r="I194" s="10" t="n"/>
      <c r="J194" s="65" t="n">
        <v>61</v>
      </c>
      <c r="K194" s="66" t="inlineStr">
        <is>
          <t>-</t>
        </is>
      </c>
      <c r="L194" s="65" t="n">
        <v>78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A12</t>
        </is>
      </c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IF(C197="","",IFERROR(VLOOKUP(C197,areaNomiBreviSquadre,7,FALSE),""))</f>
        <v/>
      </c>
      <c r="C197" s="62" t="inlineStr">
        <is>
          <t>A15</t>
        </is>
      </c>
      <c r="D197" s="61">
        <f>IF(E197="","",IFERROR(VLOOKUP(E197,areaNomiBreviSquadre,7,FALSE),""))</f>
        <v/>
      </c>
      <c r="E197" s="62" t="inlineStr">
        <is>
          <t>A16</t>
        </is>
      </c>
      <c r="F197" s="63" t="n">
        <v>46348.72916666666</v>
      </c>
      <c r="G197" s="9" t="n"/>
      <c r="H197" s="9" t="n"/>
      <c r="I197" s="10" t="n"/>
      <c r="J197" s="65" t="n">
        <v>85</v>
      </c>
      <c r="K197" s="66" t="inlineStr">
        <is>
          <t>-</t>
        </is>
      </c>
      <c r="L197" s="65" t="n">
        <v>89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A12</t>
        </is>
      </c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IF(C202="","",IFERROR(VLOOKUP(C202,areaNomiBreviSquadre,7,FALSE),""))</f>
        <v/>
      </c>
      <c r="C202" s="62" t="inlineStr">
        <is>
          <t>A13</t>
        </is>
      </c>
      <c r="D202" s="61">
        <f>IF(E202="","",IFERROR(VLOOKUP(E202,areaNomiBreviSquadre,7,FALSE),""))</f>
        <v/>
      </c>
      <c r="E202" s="62" t="inlineStr">
        <is>
          <t>A01</t>
        </is>
      </c>
      <c r="F202" s="63" t="n">
        <v>46355.39583333334</v>
      </c>
      <c r="G202" s="9" t="n"/>
      <c r="H202" s="9" t="n"/>
      <c r="I202" s="10" t="n"/>
      <c r="J202" s="65" t="n">
        <v>49</v>
      </c>
      <c r="K202" s="66" t="inlineStr">
        <is>
          <t>-</t>
        </is>
      </c>
      <c r="L202" s="65" t="n">
        <v>60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A13</t>
        </is>
      </c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IF(C205="","",IFERROR(VLOOKUP(C205,areaNomiBreviSquadre,7,FALSE),""))</f>
        <v/>
      </c>
      <c r="C205" s="62" t="inlineStr">
        <is>
          <t>A07</t>
        </is>
      </c>
      <c r="D205" s="61">
        <f>IF(E205="","",IFERROR(VLOOKUP(E205,areaNomiBreviSquadre,7,FALSE),""))</f>
        <v/>
      </c>
      <c r="E205" s="62" t="inlineStr">
        <is>
          <t>A20</t>
        </is>
      </c>
      <c r="F205" s="63" t="n">
        <v>46355.45833333334</v>
      </c>
      <c r="G205" s="9" t="n"/>
      <c r="H205" s="9" t="n"/>
      <c r="I205" s="10" t="n"/>
      <c r="J205" s="65" t="n">
        <v>38</v>
      </c>
      <c r="K205" s="66" t="inlineStr">
        <is>
          <t>-</t>
        </is>
      </c>
      <c r="L205" s="65" t="n">
        <v>29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A13</t>
        </is>
      </c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IF(C208="","",IFERROR(VLOOKUP(C208,areaNomiBreviSquadre,7,FALSE),""))</f>
        <v/>
      </c>
      <c r="C208" s="62" t="inlineStr">
        <is>
          <t>A06</t>
        </is>
      </c>
      <c r="D208" s="61">
        <f>IF(E208="","",IFERROR(VLOOKUP(E208,areaNomiBreviSquadre,7,FALSE),""))</f>
        <v/>
      </c>
      <c r="E208" s="62" t="inlineStr">
        <is>
          <t>A08</t>
        </is>
      </c>
      <c r="F208" s="63" t="n">
        <v>46355.60416666666</v>
      </c>
      <c r="G208" s="9" t="n"/>
      <c r="H208" s="9" t="n"/>
      <c r="I208" s="10" t="n"/>
      <c r="J208" s="65" t="n">
        <v>61</v>
      </c>
      <c r="K208" s="66" t="inlineStr">
        <is>
          <t>-</t>
        </is>
      </c>
      <c r="L208" s="65" t="n">
        <v>74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A13</t>
        </is>
      </c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IF(C211="","",IFERROR(VLOOKUP(C211,areaNomiBreviSquadre,7,FALSE),""))</f>
        <v/>
      </c>
      <c r="C211" s="62" t="inlineStr">
        <is>
          <t>A09</t>
        </is>
      </c>
      <c r="D211" s="61">
        <f>IF(E211="","",IFERROR(VLOOKUP(E211,areaNomiBreviSquadre,7,FALSE),""))</f>
        <v/>
      </c>
      <c r="E211" s="62" t="inlineStr">
        <is>
          <t>A05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61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A13</t>
        </is>
      </c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IF(C214="","",IFERROR(VLOOKUP(C214,areaNomiBreviSquadre,7,FALSE),""))</f>
        <v/>
      </c>
      <c r="C214" s="62" t="inlineStr">
        <is>
          <t>A04</t>
        </is>
      </c>
      <c r="D214" s="61">
        <f>IF(E214="","",IFERROR(VLOOKUP(E214,areaNomiBreviSquadre,7,FALSE),""))</f>
        <v/>
      </c>
      <c r="E214" s="62" t="inlineStr">
        <is>
          <t>A10</t>
        </is>
      </c>
      <c r="F214" s="63" t="n">
        <v>46355.72916666666</v>
      </c>
      <c r="G214" s="9" t="n"/>
      <c r="H214" s="9" t="n"/>
      <c r="I214" s="10" t="n"/>
      <c r="J214" s="65" t="n">
        <v>54</v>
      </c>
      <c r="K214" s="66" t="inlineStr">
        <is>
          <t>-</t>
        </is>
      </c>
      <c r="L214" s="65" t="n">
        <v>74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A13</t>
        </is>
      </c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IF(C217="","",IFERROR(VLOOKUP(C217,areaNomiBreviSquadre,7,FALSE),""))</f>
        <v/>
      </c>
      <c r="C217" s="62" t="inlineStr">
        <is>
          <t>A19</t>
        </is>
      </c>
      <c r="D217" s="61">
        <f>IF(E217="","",IFERROR(VLOOKUP(E217,areaNomiBreviSquadre,7,FALSE),""))</f>
        <v/>
      </c>
      <c r="E217" s="62" t="inlineStr">
        <is>
          <t>A14</t>
        </is>
      </c>
      <c r="F217" s="63" t="n">
        <v>46355.39583333334</v>
      </c>
      <c r="G217" s="9" t="n"/>
      <c r="H217" s="9" t="n"/>
      <c r="I217" s="10" t="n"/>
      <c r="J217" s="65" t="n">
        <v>65</v>
      </c>
      <c r="K217" s="66" t="inlineStr">
        <is>
          <t>-</t>
        </is>
      </c>
      <c r="L217" s="65" t="n">
        <v>53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A14</t>
        </is>
      </c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IF(C220="","",IFERROR(VLOOKUP(C220,areaNomiBreviSquadre,7,FALSE),""))</f>
        <v/>
      </c>
      <c r="C220" s="62" t="inlineStr">
        <is>
          <t>A11</t>
        </is>
      </c>
      <c r="D220" s="61">
        <f>IF(E220="","",IFERROR(VLOOKUP(E220,areaNomiBreviSquadre,7,FALSE),""))</f>
        <v/>
      </c>
      <c r="E220" s="62" t="inlineStr">
        <is>
          <t>A03</t>
        </is>
      </c>
      <c r="F220" s="63" t="n">
        <v>46355.45833333334</v>
      </c>
      <c r="G220" s="9" t="n"/>
      <c r="H220" s="9" t="n"/>
      <c r="I220" s="10" t="n"/>
      <c r="J220" s="65" t="n">
        <v>80</v>
      </c>
      <c r="K220" s="66" t="inlineStr">
        <is>
          <t>-</t>
        </is>
      </c>
      <c r="L220" s="65" t="n">
        <v>52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A14</t>
        </is>
      </c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IF(C223="","",IFERROR(VLOOKUP(C223,areaNomiBreviSquadre,7,FALSE),""))</f>
        <v/>
      </c>
      <c r="C223" s="62" t="inlineStr">
        <is>
          <t>A02</t>
        </is>
      </c>
      <c r="D223" s="61">
        <f>IF(E223="","",IFERROR(VLOOKUP(E223,areaNomiBreviSquadre,7,FALSE),""))</f>
        <v/>
      </c>
      <c r="E223" s="62" t="inlineStr">
        <is>
          <t>A12</t>
        </is>
      </c>
      <c r="F223" s="63" t="n">
        <v>46355.60416666666</v>
      </c>
      <c r="G223" s="9" t="n"/>
      <c r="H223" s="9" t="n"/>
      <c r="I223" s="10" t="n"/>
      <c r="J223" s="65" t="n">
        <v>63</v>
      </c>
      <c r="K223" s="66" t="inlineStr">
        <is>
          <t>-</t>
        </is>
      </c>
      <c r="L223" s="65" t="n">
        <v>68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A14</t>
        </is>
      </c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IF(C226="","",IFERROR(VLOOKUP(C226,areaNomiBreviSquadre,7,FALSE),""))</f>
        <v/>
      </c>
      <c r="C226" s="62" t="inlineStr">
        <is>
          <t>A15</t>
        </is>
      </c>
      <c r="D226" s="61">
        <f>IF(E226="","",IFERROR(VLOOKUP(E226,areaNomiBreviSquadre,7,FALSE),""))</f>
        <v/>
      </c>
      <c r="E226" s="62" t="inlineStr">
        <is>
          <t>A18</t>
        </is>
      </c>
      <c r="F226" s="63" t="n">
        <v>46355.66666666666</v>
      </c>
      <c r="G226" s="9" t="n"/>
      <c r="H226" s="9" t="n"/>
      <c r="I226" s="10" t="n"/>
      <c r="J226" s="65" t="n">
        <v>79</v>
      </c>
      <c r="K226" s="66" t="inlineStr">
        <is>
          <t>-</t>
        </is>
      </c>
      <c r="L226" s="65" t="n">
        <v>70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A14</t>
        </is>
      </c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IF(C229="","",IFERROR(VLOOKUP(C229,areaNomiBreviSquadre,7,FALSE),""))</f>
        <v/>
      </c>
      <c r="C229" s="62" t="inlineStr">
        <is>
          <t>A17</t>
        </is>
      </c>
      <c r="D229" s="61">
        <f>IF(E229="","",IFERROR(VLOOKUP(E229,areaNomiBreviSquadre,7,FALSE),""))</f>
        <v/>
      </c>
      <c r="E229" s="62" t="inlineStr">
        <is>
          <t>A16</t>
        </is>
      </c>
      <c r="F229" s="63" t="n">
        <v>46355.72916666666</v>
      </c>
      <c r="G229" s="9" t="n"/>
      <c r="H229" s="9" t="n"/>
      <c r="I229" s="10" t="n"/>
      <c r="J229" s="65" t="n">
        <v>62</v>
      </c>
      <c r="K229" s="66" t="inlineStr">
        <is>
          <t>-</t>
        </is>
      </c>
      <c r="L229" s="65" t="n">
        <v>48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A14</t>
        </is>
      </c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IF(C234="","",IFERROR(VLOOKUP(C234,areaNomiBreviSquadre,7,FALSE),""))</f>
        <v/>
      </c>
      <c r="C234" s="62" t="inlineStr">
        <is>
          <t>A15</t>
        </is>
      </c>
      <c r="D234" s="61">
        <f>IF(E234="","",IFERROR(VLOOKUP(E234,areaNomiBreviSquadre,7,FALSE),""))</f>
        <v/>
      </c>
      <c r="E234" s="62" t="inlineStr">
        <is>
          <t>A01</t>
        </is>
      </c>
      <c r="F234" s="63" t="n">
        <v>46362.39583333334</v>
      </c>
      <c r="G234" s="9" t="n"/>
      <c r="H234" s="9" t="n"/>
      <c r="I234" s="10" t="n"/>
      <c r="J234" s="65" t="n">
        <v>78</v>
      </c>
      <c r="K234" s="66" t="inlineStr">
        <is>
          <t>-</t>
        </is>
      </c>
      <c r="L234" s="65" t="n">
        <v>71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A15</t>
        </is>
      </c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IF(C237="","",IFERROR(VLOOKUP(C237,areaNomiBreviSquadre,7,FALSE),""))</f>
        <v/>
      </c>
      <c r="C237" s="62" t="inlineStr">
        <is>
          <t>A20</t>
        </is>
      </c>
      <c r="D237" s="61">
        <f>IF(E237="","",IFERROR(VLOOKUP(E237,areaNomiBreviSquadre,7,FALSE),""))</f>
        <v/>
      </c>
      <c r="E237" s="62" t="inlineStr">
        <is>
          <t>A08</t>
        </is>
      </c>
      <c r="F237" s="63" t="n">
        <v>46362.45833333334</v>
      </c>
      <c r="G237" s="9" t="n"/>
      <c r="H237" s="9" t="n"/>
      <c r="I237" s="10" t="n"/>
      <c r="J237" s="65" t="n">
        <v>86</v>
      </c>
      <c r="K237" s="66" t="inlineStr">
        <is>
          <t>-</t>
        </is>
      </c>
      <c r="L237" s="65" t="n">
        <v>69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A15</t>
        </is>
      </c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IF(C240="","",IFERROR(VLOOKUP(C240,areaNomiBreviSquadre,7,FALSE),""))</f>
        <v/>
      </c>
      <c r="C240" s="62" t="inlineStr">
        <is>
          <t>A09</t>
        </is>
      </c>
      <c r="D240" s="61">
        <f>IF(E240="","",IFERROR(VLOOKUP(E240,areaNomiBreviSquadre,7,FALSE),""))</f>
        <v/>
      </c>
      <c r="E240" s="62" t="inlineStr">
        <is>
          <t>A07</t>
        </is>
      </c>
      <c r="F240" s="63" t="n">
        <v>46362.60416666666</v>
      </c>
      <c r="G240" s="9" t="n"/>
      <c r="H240" s="9" t="n"/>
      <c r="I240" s="10" t="n"/>
      <c r="J240" s="65" t="n">
        <v>73</v>
      </c>
      <c r="K240" s="66" t="inlineStr">
        <is>
          <t>-</t>
        </is>
      </c>
      <c r="L240" s="65" t="n">
        <v>52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A15</t>
        </is>
      </c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IF(C243="","",IFERROR(VLOOKUP(C243,areaNomiBreviSquadre,7,FALSE),""))</f>
        <v/>
      </c>
      <c r="C243" s="62" t="inlineStr">
        <is>
          <t>A06</t>
        </is>
      </c>
      <c r="D243" s="61">
        <f>IF(E243="","",IFERROR(VLOOKUP(E243,areaNomiBreviSquadre,7,FALSE),""))</f>
        <v/>
      </c>
      <c r="E243" s="62" t="inlineStr">
        <is>
          <t>A10</t>
        </is>
      </c>
      <c r="F243" s="63" t="n">
        <v>46362.66666666666</v>
      </c>
      <c r="G243" s="9" t="n"/>
      <c r="H243" s="9" t="n"/>
      <c r="I243" s="10" t="n"/>
      <c r="J243" s="65" t="n">
        <v>36</v>
      </c>
      <c r="K243" s="66" t="inlineStr">
        <is>
          <t>-</t>
        </is>
      </c>
      <c r="L243" s="65" t="n">
        <v>42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A15</t>
        </is>
      </c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IF(C246="","",IFERROR(VLOOKUP(C246,areaNomiBreviSquadre,7,FALSE),""))</f>
        <v/>
      </c>
      <c r="C246" s="62" t="inlineStr">
        <is>
          <t>A11</t>
        </is>
      </c>
      <c r="D246" s="61">
        <f>IF(E246="","",IFERROR(VLOOKUP(E246,areaNomiBreviSquadre,7,FALSE),""))</f>
        <v/>
      </c>
      <c r="E246" s="62" t="inlineStr">
        <is>
          <t>A05</t>
        </is>
      </c>
      <c r="F246" s="63" t="n">
        <v>46362.72916666666</v>
      </c>
      <c r="G246" s="9" t="n"/>
      <c r="H246" s="9" t="n"/>
      <c r="I246" s="10" t="n"/>
      <c r="J246" s="65" t="n">
        <v>62</v>
      </c>
      <c r="K246" s="66" t="inlineStr">
        <is>
          <t>-</t>
        </is>
      </c>
      <c r="L246" s="65" t="n">
        <v>56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A15</t>
        </is>
      </c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IF(C249="","",IFERROR(VLOOKUP(C249,areaNomiBreviSquadre,7,FALSE),""))</f>
        <v/>
      </c>
      <c r="C249" s="62" t="inlineStr">
        <is>
          <t>A19</t>
        </is>
      </c>
      <c r="D249" s="61">
        <f>IF(E249="","",IFERROR(VLOOKUP(E249,areaNomiBreviSquadre,7,FALSE),""))</f>
        <v/>
      </c>
      <c r="E249" s="62" t="inlineStr">
        <is>
          <t>A16</t>
        </is>
      </c>
      <c r="F249" s="63" t="n">
        <v>46362.39583333334</v>
      </c>
      <c r="G249" s="9" t="n"/>
      <c r="H249" s="9" t="n"/>
      <c r="I249" s="10" t="n"/>
      <c r="J249" s="65" t="n">
        <v>91</v>
      </c>
      <c r="K249" s="66" t="inlineStr">
        <is>
          <t>-</t>
        </is>
      </c>
      <c r="L249" s="65" t="n">
        <v>75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A16</t>
        </is>
      </c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IF(C252="","",IFERROR(VLOOKUP(C252,areaNomiBreviSquadre,7,FALSE),""))</f>
        <v/>
      </c>
      <c r="C252" s="62" t="inlineStr">
        <is>
          <t>A04</t>
        </is>
      </c>
      <c r="D252" s="61">
        <f>IF(E252="","",IFERROR(VLOOKUP(E252,areaNomiBreviSquadre,7,FALSE),""))</f>
        <v/>
      </c>
      <c r="E252" s="62" t="inlineStr">
        <is>
          <t>A12</t>
        </is>
      </c>
      <c r="F252" s="63" t="n">
        <v>46362.45833333334</v>
      </c>
      <c r="G252" s="9" t="n"/>
      <c r="H252" s="9" t="n"/>
      <c r="I252" s="10" t="n"/>
      <c r="J252" s="65" t="n">
        <v>46</v>
      </c>
      <c r="K252" s="66" t="inlineStr">
        <is>
          <t>-</t>
        </is>
      </c>
      <c r="L252" s="65" t="n">
        <v>20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A16</t>
        </is>
      </c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IF(C255="","",IFERROR(VLOOKUP(C255,areaNomiBreviSquadre,7,FALSE),""))</f>
        <v/>
      </c>
      <c r="C255" s="62" t="inlineStr">
        <is>
          <t>A13</t>
        </is>
      </c>
      <c r="D255" s="61">
        <f>IF(E255="","",IFERROR(VLOOKUP(E255,areaNomiBreviSquadre,7,FALSE),""))</f>
        <v/>
      </c>
      <c r="E255" s="62" t="inlineStr">
        <is>
          <t>A03</t>
        </is>
      </c>
      <c r="F255" s="63" t="n">
        <v>46362.60416666666</v>
      </c>
      <c r="G255" s="9" t="n"/>
      <c r="H255" s="9" t="n"/>
      <c r="I255" s="10" t="n"/>
      <c r="J255" s="65" t="n">
        <v>86</v>
      </c>
      <c r="K255" s="66" t="inlineStr">
        <is>
          <t>-</t>
        </is>
      </c>
      <c r="L255" s="65" t="n">
        <v>84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A16</t>
        </is>
      </c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IF(C258="","",IFERROR(VLOOKUP(C258,areaNomiBreviSquadre,7,FALSE),""))</f>
        <v/>
      </c>
      <c r="C258" s="62" t="inlineStr">
        <is>
          <t>A02</t>
        </is>
      </c>
      <c r="D258" s="61">
        <f>IF(E258="","",IFERROR(VLOOKUP(E258,areaNomiBreviSquadre,7,FALSE),""))</f>
        <v/>
      </c>
      <c r="E258" s="62" t="inlineStr">
        <is>
          <t>A14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81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A16</t>
        </is>
      </c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IF(C261="","",IFERROR(VLOOKUP(C261,areaNomiBreviSquadre,7,FALSE),""))</f>
        <v/>
      </c>
      <c r="C261" s="62" t="inlineStr">
        <is>
          <t>A17</t>
        </is>
      </c>
      <c r="D261" s="61">
        <f>IF(E261="","",IFERROR(VLOOKUP(E261,areaNomiBreviSquadre,7,FALSE),""))</f>
        <v/>
      </c>
      <c r="E261" s="62" t="inlineStr">
        <is>
          <t>A18</t>
        </is>
      </c>
      <c r="F261" s="63" t="n">
        <v>46362.72916666666</v>
      </c>
      <c r="G261" s="9" t="n"/>
      <c r="H261" s="9" t="n"/>
      <c r="I261" s="10" t="n"/>
      <c r="J261" s="65" t="n">
        <v>71</v>
      </c>
      <c r="K261" s="66" t="inlineStr">
        <is>
          <t>-</t>
        </is>
      </c>
      <c r="L261" s="65" t="n">
        <v>53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A16</t>
        </is>
      </c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IF(C266="","",IFERROR(VLOOKUP(C266,areaNomiBreviSquadre,7,FALSE),""))</f>
        <v/>
      </c>
      <c r="C266" s="62" t="inlineStr">
        <is>
          <t>A17</t>
        </is>
      </c>
      <c r="D266" s="61">
        <f>IF(E266="","",IFERROR(VLOOKUP(E266,areaNomiBreviSquadre,7,FALSE),""))</f>
        <v/>
      </c>
      <c r="E266" s="62" t="inlineStr">
        <is>
          <t>A01</t>
        </is>
      </c>
      <c r="F266" s="63" t="n">
        <v>46369.39583333334</v>
      </c>
      <c r="G266" s="9" t="n"/>
      <c r="H266" s="9" t="n"/>
      <c r="I266" s="10" t="n"/>
      <c r="J266" s="65" t="n">
        <v>76</v>
      </c>
      <c r="K266" s="66" t="inlineStr">
        <is>
          <t>-</t>
        </is>
      </c>
      <c r="L266" s="65" t="n">
        <v>75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A17</t>
        </is>
      </c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IF(C269="","",IFERROR(VLOOKUP(C269,areaNomiBreviSquadre,7,FALSE),""))</f>
        <v/>
      </c>
      <c r="C269" s="62" t="inlineStr">
        <is>
          <t>A09</t>
        </is>
      </c>
      <c r="D269" s="61">
        <f>IF(E269="","",IFERROR(VLOOKUP(E269,areaNomiBreviSquadre,7,FALSE),""))</f>
        <v/>
      </c>
      <c r="E269" s="62" t="inlineStr">
        <is>
          <t>A20</t>
        </is>
      </c>
      <c r="F269" s="63" t="n">
        <v>46369.45833333334</v>
      </c>
      <c r="G269" s="9" t="n"/>
      <c r="H269" s="9" t="n"/>
      <c r="I269" s="10" t="n"/>
      <c r="J269" s="65" t="n">
        <v>87</v>
      </c>
      <c r="K269" s="66" t="inlineStr">
        <is>
          <t>-</t>
        </is>
      </c>
      <c r="L269" s="65" t="n">
        <v>74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A17</t>
        </is>
      </c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IF(C272="","",IFERROR(VLOOKUP(C272,areaNomiBreviSquadre,7,FALSE),""))</f>
        <v/>
      </c>
      <c r="C272" s="62" t="inlineStr">
        <is>
          <t>A08</t>
        </is>
      </c>
      <c r="D272" s="61">
        <f>IF(E272="","",IFERROR(VLOOKUP(E272,areaNomiBreviSquadre,7,FALSE),""))</f>
        <v/>
      </c>
      <c r="E272" s="62" t="inlineStr">
        <is>
          <t>A10</t>
        </is>
      </c>
      <c r="F272" s="63" t="n">
        <v>46369.60416666666</v>
      </c>
      <c r="G272" s="9" t="n"/>
      <c r="H272" s="9" t="n"/>
      <c r="I272" s="10" t="n"/>
      <c r="J272" s="65" t="n">
        <v>87</v>
      </c>
      <c r="K272" s="66" t="inlineStr">
        <is>
          <t>-</t>
        </is>
      </c>
      <c r="L272" s="65" t="n">
        <v>65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A17</t>
        </is>
      </c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IF(C275="","",IFERROR(VLOOKUP(C275,areaNomiBreviSquadre,7,FALSE),""))</f>
        <v/>
      </c>
      <c r="C275" s="62" t="inlineStr">
        <is>
          <t>A11</t>
        </is>
      </c>
      <c r="D275" s="61">
        <f>IF(E275="","",IFERROR(VLOOKUP(E275,areaNomiBreviSquadre,7,FALSE),""))</f>
        <v/>
      </c>
      <c r="E275" s="62" t="inlineStr">
        <is>
          <t>A07</t>
        </is>
      </c>
      <c r="F275" s="63" t="n">
        <v>46369.66666666666</v>
      </c>
      <c r="G275" s="9" t="n"/>
      <c r="H275" s="9" t="n"/>
      <c r="I275" s="10" t="n"/>
      <c r="J275" s="65" t="n">
        <v>79</v>
      </c>
      <c r="K275" s="66" t="inlineStr">
        <is>
          <t>-</t>
        </is>
      </c>
      <c r="L275" s="65" t="n">
        <v>89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A17</t>
        </is>
      </c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IF(C278="","",IFERROR(VLOOKUP(C278,areaNomiBreviSquadre,7,FALSE),""))</f>
        <v/>
      </c>
      <c r="C278" s="62" t="inlineStr">
        <is>
          <t>A06</t>
        </is>
      </c>
      <c r="D278" s="61">
        <f>IF(E278="","",IFERROR(VLOOKUP(E278,areaNomiBreviSquadre,7,FALSE),""))</f>
        <v/>
      </c>
      <c r="E278" s="62" t="inlineStr">
        <is>
          <t>A12</t>
        </is>
      </c>
      <c r="F278" s="63" t="n">
        <v>46369.72916666666</v>
      </c>
      <c r="G278" s="9" t="n"/>
      <c r="H278" s="9" t="n"/>
      <c r="I278" s="10" t="n"/>
      <c r="J278" s="65" t="n">
        <v>60</v>
      </c>
      <c r="K278" s="66" t="inlineStr">
        <is>
          <t>-</t>
        </is>
      </c>
      <c r="L278" s="65" t="n">
        <v>52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A17</t>
        </is>
      </c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IF(C281="","",IFERROR(VLOOKUP(C281,areaNomiBreviSquadre,7,FALSE),""))</f>
        <v/>
      </c>
      <c r="C281" s="62" t="inlineStr">
        <is>
          <t>A19</t>
        </is>
      </c>
      <c r="D281" s="61">
        <f>IF(E281="","",IFERROR(VLOOKUP(E281,areaNomiBreviSquadre,7,FALSE),""))</f>
        <v/>
      </c>
      <c r="E281" s="62" t="inlineStr">
        <is>
          <t>A18</t>
        </is>
      </c>
      <c r="F281" s="63" t="n">
        <v>46369.39583333334</v>
      </c>
      <c r="G281" s="9" t="n"/>
      <c r="H281" s="9" t="n"/>
      <c r="I281" s="10" t="n"/>
      <c r="J281" s="65" t="n">
        <v>67</v>
      </c>
      <c r="K281" s="66" t="inlineStr">
        <is>
          <t>-</t>
        </is>
      </c>
      <c r="L281" s="65" t="n">
        <v>59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A18</t>
        </is>
      </c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IF(C284="","",IFERROR(VLOOKUP(C284,areaNomiBreviSquadre,7,FALSE),""))</f>
        <v/>
      </c>
      <c r="C284" s="62" t="inlineStr">
        <is>
          <t>A13</t>
        </is>
      </c>
      <c r="D284" s="61">
        <f>IF(E284="","",IFERROR(VLOOKUP(E284,areaNomiBreviSquadre,7,FALSE),""))</f>
        <v/>
      </c>
      <c r="E284" s="62" t="inlineStr">
        <is>
          <t>A05</t>
        </is>
      </c>
      <c r="F284" s="63" t="n">
        <v>46369.45833333334</v>
      </c>
      <c r="G284" s="9" t="n"/>
      <c r="H284" s="9" t="n"/>
      <c r="I284" s="10" t="n"/>
      <c r="J284" s="65" t="n">
        <v>40</v>
      </c>
      <c r="K284" s="66" t="inlineStr">
        <is>
          <t>-</t>
        </is>
      </c>
      <c r="L284" s="65" t="n">
        <v>26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A18</t>
        </is>
      </c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IF(C287="","",IFERROR(VLOOKUP(C287,areaNomiBreviSquadre,7,FALSE),""))</f>
        <v/>
      </c>
      <c r="C287" s="62" t="inlineStr">
        <is>
          <t>A04</t>
        </is>
      </c>
      <c r="D287" s="61">
        <f>IF(E287="","",IFERROR(VLOOKUP(E287,areaNomiBreviSquadre,7,FALSE),""))</f>
        <v/>
      </c>
      <c r="E287" s="62" t="inlineStr">
        <is>
          <t>A14</t>
        </is>
      </c>
      <c r="F287" s="63" t="n">
        <v>46369.60416666666</v>
      </c>
      <c r="G287" s="9" t="n"/>
      <c r="H287" s="9" t="n"/>
      <c r="I287" s="10" t="n"/>
      <c r="J287" s="65" t="n">
        <v>71</v>
      </c>
      <c r="K287" s="66" t="inlineStr">
        <is>
          <t>-</t>
        </is>
      </c>
      <c r="L287" s="65" t="n">
        <v>83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A18</t>
        </is>
      </c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IF(C290="","",IFERROR(VLOOKUP(C290,areaNomiBreviSquadre,7,FALSE),""))</f>
        <v/>
      </c>
      <c r="C290" s="62" t="inlineStr">
        <is>
          <t>A15</t>
        </is>
      </c>
      <c r="D290" s="61">
        <f>IF(E290="","",IFERROR(VLOOKUP(E290,areaNomiBreviSquadre,7,FALSE),""))</f>
        <v/>
      </c>
      <c r="E290" s="62" t="inlineStr">
        <is>
          <t>A03</t>
        </is>
      </c>
      <c r="F290" s="63" t="n">
        <v>46369.66666666666</v>
      </c>
      <c r="G290" s="9" t="n"/>
      <c r="H290" s="9" t="n"/>
      <c r="I290" s="10" t="n"/>
      <c r="J290" s="65" t="n">
        <v>82</v>
      </c>
      <c r="K290" s="66" t="inlineStr">
        <is>
          <t>-</t>
        </is>
      </c>
      <c r="L290" s="65" t="n">
        <v>58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A18</t>
        </is>
      </c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IF(C293="","",IFERROR(VLOOKUP(C293,areaNomiBreviSquadre,7,FALSE),""))</f>
        <v/>
      </c>
      <c r="C293" s="62" t="inlineStr">
        <is>
          <t>A02</t>
        </is>
      </c>
      <c r="D293" s="61">
        <f>IF(E293="","",IFERROR(VLOOKUP(E293,areaNomiBreviSquadre,7,FALSE),""))</f>
        <v/>
      </c>
      <c r="E293" s="62" t="inlineStr">
        <is>
          <t>A16</t>
        </is>
      </c>
      <c r="F293" s="63" t="n">
        <v>46369.72916666666</v>
      </c>
      <c r="G293" s="9" t="n"/>
      <c r="H293" s="9" t="n"/>
      <c r="I293" s="10" t="n"/>
      <c r="J293" s="65" t="n">
        <v>64</v>
      </c>
      <c r="K293" s="66" t="inlineStr">
        <is>
          <t>-</t>
        </is>
      </c>
      <c r="L293" s="65" t="n">
        <v>53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A18</t>
        </is>
      </c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IF(C298="","",IFERROR(VLOOKUP(C298,areaNomiBreviSquadre,7,FALSE),""))</f>
        <v/>
      </c>
      <c r="C298" s="62" t="inlineStr">
        <is>
          <t>A19</t>
        </is>
      </c>
      <c r="D298" s="61">
        <f>IF(E298="","",IFERROR(VLOOKUP(E298,areaNomiBreviSquadre,7,FALSE),""))</f>
        <v/>
      </c>
      <c r="E298" s="62" t="inlineStr">
        <is>
          <t>A01</t>
        </is>
      </c>
      <c r="F298" s="63" t="n">
        <v>46376.39583333334</v>
      </c>
      <c r="G298" s="9" t="n"/>
      <c r="H298" s="9" t="n"/>
      <c r="I298" s="10" t="n"/>
      <c r="J298" s="65" t="n">
        <v>53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A19</t>
        </is>
      </c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IF(C301="","",IFERROR(VLOOKUP(C301,areaNomiBreviSquadre,7,FALSE),""))</f>
        <v/>
      </c>
      <c r="C301" s="62" t="inlineStr">
        <is>
          <t>A11</t>
        </is>
      </c>
      <c r="D301" s="61">
        <f>IF(E301="","",IFERROR(VLOOKUP(E301,areaNomiBreviSquadre,7,FALSE),""))</f>
        <v/>
      </c>
      <c r="E301" s="62" t="inlineStr">
        <is>
          <t>A09</t>
        </is>
      </c>
      <c r="F301" s="63" t="n">
        <v>46376.45833333334</v>
      </c>
      <c r="G301" s="9" t="n"/>
      <c r="H301" s="9" t="n"/>
      <c r="I301" s="10" t="n"/>
      <c r="J301" s="65" t="n">
        <v>41</v>
      </c>
      <c r="K301" s="66" t="inlineStr">
        <is>
          <t>-</t>
        </is>
      </c>
      <c r="L301" s="65" t="n">
        <v>56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A19</t>
        </is>
      </c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IF(C304="","",IFERROR(VLOOKUP(C304,areaNomiBreviSquadre,7,FALSE),""))</f>
        <v/>
      </c>
      <c r="C304" s="62" t="inlineStr">
        <is>
          <t>A08</t>
        </is>
      </c>
      <c r="D304" s="61">
        <f>IF(E304="","",IFERROR(VLOOKUP(E304,areaNomiBreviSquadre,7,FALSE),""))</f>
        <v/>
      </c>
      <c r="E304" s="62" t="inlineStr">
        <is>
          <t>A12</t>
        </is>
      </c>
      <c r="F304" s="63" t="n">
        <v>46376.60416666666</v>
      </c>
      <c r="G304" s="9" t="n"/>
      <c r="H304" s="9" t="n"/>
      <c r="I304" s="10" t="n"/>
      <c r="J304" s="65" t="n">
        <v>38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A19</t>
        </is>
      </c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IF(C307="","",IFERROR(VLOOKUP(C307,areaNomiBreviSquadre,7,FALSE),""))</f>
        <v/>
      </c>
      <c r="C307" s="62" t="inlineStr">
        <is>
          <t>A13</t>
        </is>
      </c>
      <c r="D307" s="61">
        <f>IF(E307="","",IFERROR(VLOOKUP(E307,areaNomiBreviSquadre,7,FALSE),""))</f>
        <v/>
      </c>
      <c r="E307" s="62" t="inlineStr">
        <is>
          <t>A07</t>
        </is>
      </c>
      <c r="F307" s="63" t="n">
        <v>46376.66666666666</v>
      </c>
      <c r="G307" s="9" t="n"/>
      <c r="H307" s="9" t="n"/>
      <c r="I307" s="10" t="n"/>
      <c r="J307" s="65" t="n">
        <v>36</v>
      </c>
      <c r="K307" s="66" t="inlineStr">
        <is>
          <t>-</t>
        </is>
      </c>
      <c r="L307" s="65" t="n">
        <v>56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A19</t>
        </is>
      </c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IF(C310="","",IFERROR(VLOOKUP(C310,areaNomiBreviSquadre,7,FALSE),""))</f>
        <v/>
      </c>
      <c r="C310" s="62" t="inlineStr">
        <is>
          <t>A06</t>
        </is>
      </c>
      <c r="D310" s="61">
        <f>IF(E310="","",IFERROR(VLOOKUP(E310,areaNomiBreviSquadre,7,FALSE),""))</f>
        <v/>
      </c>
      <c r="E310" s="62" t="inlineStr">
        <is>
          <t>A14</t>
        </is>
      </c>
      <c r="F310" s="63" t="n">
        <v>46376.72916666666</v>
      </c>
      <c r="G310" s="9" t="n"/>
      <c r="H310" s="9" t="n"/>
      <c r="I310" s="10" t="n"/>
      <c r="J310" s="65" t="n">
        <v>34</v>
      </c>
      <c r="K310" s="66" t="inlineStr">
        <is>
          <t>-</t>
        </is>
      </c>
      <c r="L310" s="65" t="n">
        <v>55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A19</t>
        </is>
      </c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IF(C313="","",IFERROR(VLOOKUP(C313,areaNomiBreviSquadre,7,FALSE),""))</f>
        <v/>
      </c>
      <c r="C313" s="62" t="inlineStr">
        <is>
          <t>A20</t>
        </is>
      </c>
      <c r="D313" s="61">
        <f>IF(E313="","",IFERROR(VLOOKUP(E313,areaNomiBreviSquadre,7,FALSE),""))</f>
        <v/>
      </c>
      <c r="E313" s="62" t="inlineStr">
        <is>
          <t>A10</t>
        </is>
      </c>
      <c r="F313" s="63" t="n">
        <v>46376.39583333334</v>
      </c>
      <c r="G313" s="9" t="n"/>
      <c r="H313" s="9" t="n"/>
      <c r="I313" s="10" t="n"/>
      <c r="J313" s="65" t="n">
        <v>51</v>
      </c>
      <c r="K313" s="66" t="inlineStr">
        <is>
          <t>-</t>
        </is>
      </c>
      <c r="L313" s="65" t="n">
        <v>37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A20</t>
        </is>
      </c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IF(C316="","",IFERROR(VLOOKUP(C316,areaNomiBreviSquadre,7,FALSE),""))</f>
        <v/>
      </c>
      <c r="C316" s="62" t="inlineStr">
        <is>
          <t>A15</t>
        </is>
      </c>
      <c r="D316" s="61">
        <f>IF(E316="","",IFERROR(VLOOKUP(E316,areaNomiBreviSquadre,7,FALSE),""))</f>
        <v/>
      </c>
      <c r="E316" s="62" t="inlineStr">
        <is>
          <t>A05</t>
        </is>
      </c>
      <c r="F316" s="63" t="n">
        <v>46376.45833333334</v>
      </c>
      <c r="G316" s="9" t="n"/>
      <c r="H316" s="9" t="n"/>
      <c r="I316" s="10" t="n"/>
      <c r="J316" s="65" t="n">
        <v>35</v>
      </c>
      <c r="K316" s="66" t="inlineStr">
        <is>
          <t>-</t>
        </is>
      </c>
      <c r="L316" s="65" t="n">
        <v>54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A20</t>
        </is>
      </c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IF(C319="","",IFERROR(VLOOKUP(C319,areaNomiBreviSquadre,7,FALSE),""))</f>
        <v/>
      </c>
      <c r="C319" s="62" t="inlineStr">
        <is>
          <t>A04</t>
        </is>
      </c>
      <c r="D319" s="61">
        <f>IF(E319="","",IFERROR(VLOOKUP(E319,areaNomiBreviSquadre,7,FALSE),""))</f>
        <v/>
      </c>
      <c r="E319" s="62" t="inlineStr">
        <is>
          <t>A16</t>
        </is>
      </c>
      <c r="F319" s="63" t="n">
        <v>46376.60416666666</v>
      </c>
      <c r="G319" s="9" t="n"/>
      <c r="H319" s="9" t="n"/>
      <c r="I319" s="10" t="n"/>
      <c r="J319" s="65" t="n">
        <v>34</v>
      </c>
      <c r="K319" s="66" t="inlineStr">
        <is>
          <t>-</t>
        </is>
      </c>
      <c r="L319" s="65" t="n">
        <v>46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A20</t>
        </is>
      </c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IF(C322="","",IFERROR(VLOOKUP(C322,areaNomiBreviSquadre,7,FALSE),""))</f>
        <v/>
      </c>
      <c r="C322" s="62" t="inlineStr">
        <is>
          <t>A17</t>
        </is>
      </c>
      <c r="D322" s="61">
        <f>IF(E322="","",IFERROR(VLOOKUP(E322,areaNomiBreviSquadre,7,FALSE),""))</f>
        <v/>
      </c>
      <c r="E322" s="62" t="inlineStr">
        <is>
          <t>A03</t>
        </is>
      </c>
      <c r="F322" s="63" t="n">
        <v>46376.66666666666</v>
      </c>
      <c r="G322" s="9" t="n"/>
      <c r="H322" s="9" t="n"/>
      <c r="I322" s="10" t="n"/>
      <c r="J322" s="65" t="n">
        <v>85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A20</t>
        </is>
      </c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IF(C325="","",IFERROR(VLOOKUP(C325,areaNomiBreviSquadre,7,FALSE),""))</f>
        <v/>
      </c>
      <c r="C325" s="62" t="inlineStr">
        <is>
          <t>A02</t>
        </is>
      </c>
      <c r="D325" s="61">
        <f>IF(E325="","",IFERROR(VLOOKUP(E325,areaNomiBreviSquadre,7,FALSE),""))</f>
        <v/>
      </c>
      <c r="E325" s="62" t="inlineStr">
        <is>
          <t>A18</t>
        </is>
      </c>
      <c r="F325" s="63" t="n">
        <v>46376.72916666666</v>
      </c>
      <c r="G325" s="9" t="n"/>
      <c r="H325" s="9" t="n"/>
      <c r="I325" s="10" t="n"/>
      <c r="J325" s="65" t="n">
        <v>51</v>
      </c>
      <c r="K325" s="66" t="inlineStr">
        <is>
          <t>-</t>
        </is>
      </c>
      <c r="L325" s="65" t="n">
        <v>70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A20</t>
        </is>
      </c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IF(C330="","",IFERROR(VLOOKUP(C330,areaNomiBreviSquadre,7,FALSE),""))</f>
        <v/>
      </c>
      <c r="C330" s="62" t="inlineStr">
        <is>
          <t>A02</t>
        </is>
      </c>
      <c r="D330" s="61">
        <f>IF(E330="","",IFERROR(VLOOKUP(E330,areaNomiBreviSquadre,7,FALSE),""))</f>
        <v/>
      </c>
      <c r="E330" s="62" t="inlineStr">
        <is>
          <t>A01</t>
        </is>
      </c>
      <c r="F330" s="63" t="n">
        <v>46383.39583333334</v>
      </c>
      <c r="G330" s="9" t="n"/>
      <c r="H330" s="9" t="n"/>
      <c r="I330" s="10" t="n"/>
      <c r="J330" s="65" t="n">
        <v>50</v>
      </c>
      <c r="K330" s="66" t="inlineStr">
        <is>
          <t>-</t>
        </is>
      </c>
      <c r="L330" s="65" t="n">
        <v>54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A01</t>
        </is>
      </c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IF(C333="","",IFERROR(VLOOKUP(C333,areaNomiBreviSquadre,7,FALSE),""))</f>
        <v/>
      </c>
      <c r="C333" s="62" t="inlineStr">
        <is>
          <t>A11</t>
        </is>
      </c>
      <c r="D333" s="61">
        <f>IF(E333="","",IFERROR(VLOOKUP(E333,areaNomiBreviSquadre,7,FALSE),""))</f>
        <v/>
      </c>
      <c r="E333" s="62" t="inlineStr">
        <is>
          <t>A20</t>
        </is>
      </c>
      <c r="F333" s="63" t="n">
        <v>46383.45833333334</v>
      </c>
      <c r="G333" s="9" t="n"/>
      <c r="H333" s="9" t="n"/>
      <c r="I333" s="10" t="n"/>
      <c r="J333" s="65" t="n">
        <v>82</v>
      </c>
      <c r="K333" s="66" t="inlineStr">
        <is>
          <t>-</t>
        </is>
      </c>
      <c r="L333" s="65" t="n">
        <v>54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A01</t>
        </is>
      </c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IF(C336="","",IFERROR(VLOOKUP(C336,areaNomiBreviSquadre,7,FALSE),""))</f>
        <v/>
      </c>
      <c r="C336" s="62" t="inlineStr">
        <is>
          <t>A10</t>
        </is>
      </c>
      <c r="D336" s="61">
        <f>IF(E336="","",IFERROR(VLOOKUP(E336,areaNomiBreviSquadre,7,FALSE),""))</f>
        <v/>
      </c>
      <c r="E336" s="62" t="inlineStr">
        <is>
          <t>A12</t>
        </is>
      </c>
      <c r="F336" s="63" t="n">
        <v>46383.60416666666</v>
      </c>
      <c r="G336" s="9" t="n"/>
      <c r="H336" s="9" t="n"/>
      <c r="I336" s="10" t="n"/>
      <c r="J336" s="65" t="n">
        <v>55</v>
      </c>
      <c r="K336" s="66" t="inlineStr">
        <is>
          <t>-</t>
        </is>
      </c>
      <c r="L336" s="65" t="n">
        <v>34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A01</t>
        </is>
      </c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IF(C339="","",IFERROR(VLOOKUP(C339,areaNomiBreviSquadre,7,FALSE),""))</f>
        <v/>
      </c>
      <c r="C339" s="62" t="inlineStr">
        <is>
          <t>A13</t>
        </is>
      </c>
      <c r="D339" s="61">
        <f>IF(E339="","",IFERROR(VLOOKUP(E339,areaNomiBreviSquadre,7,FALSE),""))</f>
        <v/>
      </c>
      <c r="E339" s="62" t="inlineStr">
        <is>
          <t>A09</t>
        </is>
      </c>
      <c r="F339" s="63" t="n">
        <v>46383.66666666666</v>
      </c>
      <c r="G339" s="9" t="n"/>
      <c r="H339" s="9" t="n"/>
      <c r="I339" s="10" t="n"/>
      <c r="J339" s="65" t="n">
        <v>92</v>
      </c>
      <c r="K339" s="66" t="inlineStr">
        <is>
          <t>-</t>
        </is>
      </c>
      <c r="L339" s="65" t="n">
        <v>86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A01</t>
        </is>
      </c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IF(C342="","",IFERROR(VLOOKUP(C342,areaNomiBreviSquadre,7,FALSE),""))</f>
        <v/>
      </c>
      <c r="C342" s="62" t="inlineStr">
        <is>
          <t>A08</t>
        </is>
      </c>
      <c r="D342" s="61">
        <f>IF(E342="","",IFERROR(VLOOKUP(E342,areaNomiBreviSquadre,7,FALSE),""))</f>
        <v/>
      </c>
      <c r="E342" s="62" t="inlineStr">
        <is>
          <t>A14</t>
        </is>
      </c>
      <c r="F342" s="63" t="n">
        <v>46383.72916666666</v>
      </c>
      <c r="G342" s="9" t="n"/>
      <c r="H342" s="9" t="n"/>
      <c r="I342" s="10" t="n"/>
      <c r="J342" s="65" t="n">
        <v>88</v>
      </c>
      <c r="K342" s="66" t="inlineStr">
        <is>
          <t>-</t>
        </is>
      </c>
      <c r="L342" s="65" t="n">
        <v>70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A01</t>
        </is>
      </c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IF(C345="","",IFERROR(VLOOKUP(C345,areaNomiBreviSquadre,7,FALSE),""))</f>
        <v/>
      </c>
      <c r="C345" s="62" t="inlineStr">
        <is>
          <t>A19</t>
        </is>
      </c>
      <c r="D345" s="61">
        <f>IF(E345="","",IFERROR(VLOOKUP(E345,areaNomiBreviSquadre,7,FALSE),""))</f>
        <v/>
      </c>
      <c r="E345" s="62" t="inlineStr">
        <is>
          <t>A03</t>
        </is>
      </c>
      <c r="F345" s="63" t="n">
        <v>46383.39583333334</v>
      </c>
      <c r="G345" s="9" t="n"/>
      <c r="H345" s="9" t="n"/>
      <c r="I345" s="10" t="n"/>
      <c r="J345" s="65" t="n">
        <v>90</v>
      </c>
      <c r="K345" s="66" t="inlineStr">
        <is>
          <t>-</t>
        </is>
      </c>
      <c r="L345" s="65" t="n">
        <v>70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A03</t>
        </is>
      </c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IF(C348="","",IFERROR(VLOOKUP(C348,areaNomiBreviSquadre,7,FALSE),""))</f>
        <v/>
      </c>
      <c r="C348" s="62" t="inlineStr">
        <is>
          <t>A15</t>
        </is>
      </c>
      <c r="D348" s="61">
        <f>IF(E348="","",IFERROR(VLOOKUP(E348,areaNomiBreviSquadre,7,FALSE),""))</f>
        <v/>
      </c>
      <c r="E348" s="62" t="inlineStr">
        <is>
          <t>A07</t>
        </is>
      </c>
      <c r="F348" s="63" t="n">
        <v>46383.45833333334</v>
      </c>
      <c r="G348" s="9" t="n"/>
      <c r="H348" s="9" t="n"/>
      <c r="I348" s="10" t="n"/>
      <c r="J348" s="65" t="n">
        <v>16</v>
      </c>
      <c r="K348" s="66" t="inlineStr">
        <is>
          <t>-</t>
        </is>
      </c>
      <c r="L348" s="65" t="n">
        <v>42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A03</t>
        </is>
      </c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IF(C351="","",IFERROR(VLOOKUP(C351,areaNomiBreviSquadre,7,FALSE),""))</f>
        <v/>
      </c>
      <c r="C351" s="62" t="inlineStr">
        <is>
          <t>A06</t>
        </is>
      </c>
      <c r="D351" s="61">
        <f>IF(E351="","",IFERROR(VLOOKUP(E351,areaNomiBreviSquadre,7,FALSE),""))</f>
        <v/>
      </c>
      <c r="E351" s="62" t="inlineStr">
        <is>
          <t>A16</t>
        </is>
      </c>
      <c r="F351" s="63" t="n">
        <v>46383.60416666666</v>
      </c>
      <c r="G351" s="9" t="n"/>
      <c r="H351" s="9" t="n"/>
      <c r="I351" s="10" t="n"/>
      <c r="J351" s="65" t="n">
        <v>79</v>
      </c>
      <c r="K351" s="66" t="inlineStr">
        <is>
          <t>-</t>
        </is>
      </c>
      <c r="L351" s="65" t="n">
        <v>89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A03</t>
        </is>
      </c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IF(C354="","",IFERROR(VLOOKUP(C354,areaNomiBreviSquadre,7,FALSE),""))</f>
        <v/>
      </c>
      <c r="C354" s="62" t="inlineStr">
        <is>
          <t>A17</t>
        </is>
      </c>
      <c r="D354" s="61">
        <f>IF(E354="","",IFERROR(VLOOKUP(E354,areaNomiBreviSquadre,7,FALSE),""))</f>
        <v/>
      </c>
      <c r="E354" s="62" t="inlineStr">
        <is>
          <t>A05</t>
        </is>
      </c>
      <c r="F354" s="63" t="n">
        <v>46383.66666666666</v>
      </c>
      <c r="G354" s="9" t="n"/>
      <c r="H354" s="9" t="n"/>
      <c r="I354" s="10" t="n"/>
      <c r="J354" s="65" t="n">
        <v>78</v>
      </c>
      <c r="K354" s="66" t="inlineStr">
        <is>
          <t>-</t>
        </is>
      </c>
      <c r="L354" s="65" t="n">
        <v>68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A03</t>
        </is>
      </c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IF(C357="","",IFERROR(VLOOKUP(C357,areaNomiBreviSquadre,7,FALSE),""))</f>
        <v/>
      </c>
      <c r="C357" s="62" t="inlineStr">
        <is>
          <t>A04</t>
        </is>
      </c>
      <c r="D357" s="61">
        <f>IF(E357="","",IFERROR(VLOOKUP(E357,areaNomiBreviSquadre,7,FALSE),""))</f>
        <v/>
      </c>
      <c r="E357" s="62" t="inlineStr">
        <is>
          <t>A18</t>
        </is>
      </c>
      <c r="F357" s="63" t="n">
        <v>46383.72916666666</v>
      </c>
      <c r="G357" s="9" t="n"/>
      <c r="H357" s="9" t="n"/>
      <c r="I357" s="10" t="n"/>
      <c r="J357" s="65" t="n">
        <v>83</v>
      </c>
      <c r="K357" s="66" t="inlineStr">
        <is>
          <t>-</t>
        </is>
      </c>
      <c r="L357" s="65" t="n">
        <v>92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A03</t>
        </is>
      </c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IF(C362="","",IFERROR(VLOOKUP(C362,areaNomiBreviSquadre,7,FALSE),""))</f>
        <v/>
      </c>
      <c r="C362" s="62" t="inlineStr">
        <is>
          <t>A02</t>
        </is>
      </c>
      <c r="D362" s="61">
        <f>IF(E362="","",IFERROR(VLOOKUP(E362,areaNomiBreviSquadre,7,FALSE),""))</f>
        <v/>
      </c>
      <c r="E362" s="62" t="inlineStr">
        <is>
          <t>A03</t>
        </is>
      </c>
      <c r="F362" s="63" t="n">
        <v>46390.39583333334</v>
      </c>
      <c r="G362" s="9" t="n"/>
      <c r="H362" s="9" t="n"/>
      <c r="I362" s="10" t="n"/>
      <c r="J362" s="65" t="n">
        <v>52</v>
      </c>
      <c r="K362" s="66" t="inlineStr">
        <is>
          <t>-</t>
        </is>
      </c>
      <c r="L362" s="65" t="n">
        <v>61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A03</t>
        </is>
      </c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IF(C365="","",IFERROR(VLOOKUP(C365,areaNomiBreviSquadre,7,FALSE),""))</f>
        <v/>
      </c>
      <c r="C365" s="62" t="inlineStr">
        <is>
          <t>A20</t>
        </is>
      </c>
      <c r="D365" s="61">
        <f>IF(E365="","",IFERROR(VLOOKUP(E365,areaNomiBreviSquadre,7,FALSE),""))</f>
        <v/>
      </c>
      <c r="E365" s="62" t="inlineStr">
        <is>
          <t>A12</t>
        </is>
      </c>
      <c r="F365" s="63" t="n">
        <v>46390.45833333334</v>
      </c>
      <c r="G365" s="9" t="n"/>
      <c r="H365" s="9" t="n"/>
      <c r="I365" s="10" t="n"/>
      <c r="J365" s="65" t="n">
        <v>57</v>
      </c>
      <c r="K365" s="66" t="inlineStr">
        <is>
          <t>-</t>
        </is>
      </c>
      <c r="L365" s="65" t="n">
        <v>46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A03</t>
        </is>
      </c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IF(C368="","",IFERROR(VLOOKUP(C368,areaNomiBreviSquadre,7,FALSE),""))</f>
        <v/>
      </c>
      <c r="C368" s="62" t="inlineStr">
        <is>
          <t>A13</t>
        </is>
      </c>
      <c r="D368" s="61">
        <f>IF(E368="","",IFERROR(VLOOKUP(E368,areaNomiBreviSquadre,7,FALSE),""))</f>
        <v/>
      </c>
      <c r="E368" s="62" t="inlineStr">
        <is>
          <t>A11</t>
        </is>
      </c>
      <c r="F368" s="63" t="n">
        <v>46390.60416666666</v>
      </c>
      <c r="G368" s="9" t="n"/>
      <c r="H368" s="9" t="n"/>
      <c r="I368" s="10" t="n"/>
      <c r="J368" s="65" t="n">
        <v>32</v>
      </c>
      <c r="K368" s="66" t="inlineStr">
        <is>
          <t>-</t>
        </is>
      </c>
      <c r="L368" s="65" t="n">
        <v>60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A03</t>
        </is>
      </c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IF(C371="","",IFERROR(VLOOKUP(C371,areaNomiBreviSquadre,7,FALSE),""))</f>
        <v/>
      </c>
      <c r="C371" s="62" t="inlineStr">
        <is>
          <t>A10</t>
        </is>
      </c>
      <c r="D371" s="61">
        <f>IF(E371="","",IFERROR(VLOOKUP(E371,areaNomiBreviSquadre,7,FALSE),""))</f>
        <v/>
      </c>
      <c r="E371" s="62" t="inlineStr">
        <is>
          <t>A14</t>
        </is>
      </c>
      <c r="F371" s="63" t="n">
        <v>46390.66666666666</v>
      </c>
      <c r="G371" s="9" t="n"/>
      <c r="H371" s="9" t="n"/>
      <c r="I371" s="10" t="n"/>
      <c r="J371" s="65" t="n">
        <v>49</v>
      </c>
      <c r="K371" s="66" t="inlineStr">
        <is>
          <t>-</t>
        </is>
      </c>
      <c r="L371" s="65" t="n">
        <v>24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A03</t>
        </is>
      </c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IF(C374="","",IFERROR(VLOOKUP(C374,areaNomiBreviSquadre,7,FALSE),""))</f>
        <v/>
      </c>
      <c r="C374" s="62" t="inlineStr">
        <is>
          <t>A15</t>
        </is>
      </c>
      <c r="D374" s="61">
        <f>IF(E374="","",IFERROR(VLOOKUP(E374,areaNomiBreviSquadre,7,FALSE),""))</f>
        <v/>
      </c>
      <c r="E374" s="62" t="inlineStr">
        <is>
          <t>A09</t>
        </is>
      </c>
      <c r="F374" s="63" t="n">
        <v>46390.72916666666</v>
      </c>
      <c r="G374" s="9" t="n"/>
      <c r="H374" s="9" t="n"/>
      <c r="I374" s="10" t="n"/>
      <c r="J374" s="65" t="n">
        <v>77</v>
      </c>
      <c r="K374" s="66" t="inlineStr">
        <is>
          <t>-</t>
        </is>
      </c>
      <c r="L374" s="65" t="n">
        <v>63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A03</t>
        </is>
      </c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IF(C377="","",IFERROR(VLOOKUP(C377,areaNomiBreviSquadre,7,FALSE),""))</f>
        <v/>
      </c>
      <c r="C377" s="62" t="inlineStr">
        <is>
          <t>A04</t>
        </is>
      </c>
      <c r="D377" s="61">
        <f>IF(E377="","",IFERROR(VLOOKUP(E377,areaNomiBreviSquadre,7,FALSE),""))</f>
        <v/>
      </c>
      <c r="E377" s="62" t="inlineStr">
        <is>
          <t>A01</t>
        </is>
      </c>
      <c r="F377" s="63" t="n">
        <v>46390.39583333334</v>
      </c>
      <c r="G377" s="9" t="n"/>
      <c r="H377" s="9" t="n"/>
      <c r="I377" s="10" t="n"/>
      <c r="J377" s="65" t="n">
        <v>81</v>
      </c>
      <c r="K377" s="66" t="inlineStr">
        <is>
          <t>-</t>
        </is>
      </c>
      <c r="L377" s="65" t="n">
        <v>60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A04</t>
        </is>
      </c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IF(C380="","",IFERROR(VLOOKUP(C380,areaNomiBreviSquadre,7,FALSE),""))</f>
        <v/>
      </c>
      <c r="C380" s="62" t="inlineStr">
        <is>
          <t>A08</t>
        </is>
      </c>
      <c r="D380" s="61">
        <f>IF(E380="","",IFERROR(VLOOKUP(E380,areaNomiBreviSquadre,7,FALSE),""))</f>
        <v/>
      </c>
      <c r="E380" s="62" t="inlineStr">
        <is>
          <t>A16</t>
        </is>
      </c>
      <c r="F380" s="63" t="n">
        <v>46390.45833333334</v>
      </c>
      <c r="G380" s="9" t="n"/>
      <c r="H380" s="9" t="n"/>
      <c r="I380" s="10" t="n"/>
      <c r="J380" s="65" t="n">
        <v>36</v>
      </c>
      <c r="K380" s="66" t="inlineStr">
        <is>
          <t>-</t>
        </is>
      </c>
      <c r="L380" s="65" t="n">
        <v>53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A04</t>
        </is>
      </c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IF(C383="","",IFERROR(VLOOKUP(C383,areaNomiBreviSquadre,7,FALSE),""))</f>
        <v/>
      </c>
      <c r="C383" s="62" t="inlineStr">
        <is>
          <t>A17</t>
        </is>
      </c>
      <c r="D383" s="61">
        <f>IF(E383="","",IFERROR(VLOOKUP(E383,areaNomiBreviSquadre,7,FALSE),""))</f>
        <v/>
      </c>
      <c r="E383" s="62" t="inlineStr">
        <is>
          <t>A07</t>
        </is>
      </c>
      <c r="F383" s="63" t="n">
        <v>46390.60416666666</v>
      </c>
      <c r="G383" s="9" t="n"/>
      <c r="H383" s="9" t="n"/>
      <c r="I383" s="10" t="n"/>
      <c r="J383" s="65" t="n">
        <v>52</v>
      </c>
      <c r="K383" s="66" t="inlineStr">
        <is>
          <t>-</t>
        </is>
      </c>
      <c r="L383" s="65" t="n">
        <v>25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A04</t>
        </is>
      </c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IF(C386="","",IFERROR(VLOOKUP(C386,areaNomiBreviSquadre,7,FALSE),""))</f>
        <v/>
      </c>
      <c r="C386" s="62" t="inlineStr">
        <is>
          <t>A06</t>
        </is>
      </c>
      <c r="D386" s="61">
        <f>IF(E386="","",IFERROR(VLOOKUP(E386,areaNomiBreviSquadre,7,FALSE),""))</f>
        <v/>
      </c>
      <c r="E386" s="62" t="inlineStr">
        <is>
          <t>A18</t>
        </is>
      </c>
      <c r="F386" s="63" t="n">
        <v>46390.66666666666</v>
      </c>
      <c r="G386" s="9" t="n"/>
      <c r="H386" s="9" t="n"/>
      <c r="I386" s="10" t="n"/>
      <c r="J386" s="65" t="n">
        <v>74</v>
      </c>
      <c r="K386" s="66" t="inlineStr">
        <is>
          <t>-</t>
        </is>
      </c>
      <c r="L386" s="65" t="n">
        <v>54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A04</t>
        </is>
      </c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IF(C389="","",IFERROR(VLOOKUP(C389,areaNomiBreviSquadre,7,FALSE),""))</f>
        <v/>
      </c>
      <c r="C389" s="62" t="inlineStr">
        <is>
          <t>A19</t>
        </is>
      </c>
      <c r="D389" s="61">
        <f>IF(E389="","",IFERROR(VLOOKUP(E389,areaNomiBreviSquadre,7,FALSE),""))</f>
        <v/>
      </c>
      <c r="E389" s="62" t="inlineStr">
        <is>
          <t>A05</t>
        </is>
      </c>
      <c r="F389" s="63" t="n">
        <v>46390.72916666666</v>
      </c>
      <c r="G389" s="9" t="n"/>
      <c r="H389" s="9" t="n"/>
      <c r="I389" s="10" t="n"/>
      <c r="J389" s="65" t="n">
        <v>72</v>
      </c>
      <c r="K389" s="66" t="inlineStr">
        <is>
          <t>-</t>
        </is>
      </c>
      <c r="L389" s="65" t="n">
        <v>77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A04</t>
        </is>
      </c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IF(C394="","",IFERROR(VLOOKUP(C394,areaNomiBreviSquadre,7,FALSE),""))</f>
        <v/>
      </c>
      <c r="C394" s="62" t="inlineStr">
        <is>
          <t>A02</t>
        </is>
      </c>
      <c r="D394" s="61">
        <f>IF(E394="","",IFERROR(VLOOKUP(E394,areaNomiBreviSquadre,7,FALSE),""))</f>
        <v/>
      </c>
      <c r="E394" s="62" t="inlineStr">
        <is>
          <t>A05</t>
        </is>
      </c>
      <c r="F394" s="63" t="n">
        <v>46397.39583333334</v>
      </c>
      <c r="G394" s="9" t="n"/>
      <c r="H394" s="9" t="n"/>
      <c r="I394" s="10" t="n"/>
      <c r="J394" s="65" t="n">
        <v>49</v>
      </c>
      <c r="K394" s="66" t="inlineStr">
        <is>
          <t>-</t>
        </is>
      </c>
      <c r="L394" s="65" t="n">
        <v>56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A05</t>
        </is>
      </c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IF(C397="","",IFERROR(VLOOKUP(C397,areaNomiBreviSquadre,7,FALSE),""))</f>
        <v/>
      </c>
      <c r="C397" s="62" t="inlineStr">
        <is>
          <t>A13</t>
        </is>
      </c>
      <c r="D397" s="61">
        <f>IF(E397="","",IFERROR(VLOOKUP(E397,areaNomiBreviSquadre,7,FALSE),""))</f>
        <v/>
      </c>
      <c r="E397" s="62" t="inlineStr">
        <is>
          <t>A20</t>
        </is>
      </c>
      <c r="F397" s="63" t="n">
        <v>46397.45833333334</v>
      </c>
      <c r="G397" s="9" t="n"/>
      <c r="H397" s="9" t="n"/>
      <c r="I397" s="10" t="n"/>
      <c r="J397" s="65" t="n">
        <v>16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A05</t>
        </is>
      </c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IF(C400="","",IFERROR(VLOOKUP(C400,areaNomiBreviSquadre,7,FALSE),""))</f>
        <v/>
      </c>
      <c r="C400" s="62" t="inlineStr">
        <is>
          <t>A12</t>
        </is>
      </c>
      <c r="D400" s="61">
        <f>IF(E400="","",IFERROR(VLOOKUP(E400,areaNomiBreviSquadre,7,FALSE),""))</f>
        <v/>
      </c>
      <c r="E400" s="62" t="inlineStr">
        <is>
          <t>A14</t>
        </is>
      </c>
      <c r="F400" s="63" t="n">
        <v>46397.60416666666</v>
      </c>
      <c r="G400" s="9" t="n"/>
      <c r="H400" s="9" t="n"/>
      <c r="I400" s="10" t="n"/>
      <c r="J400" s="65" t="n">
        <v>73</v>
      </c>
      <c r="K400" s="66" t="inlineStr">
        <is>
          <t>-</t>
        </is>
      </c>
      <c r="L400" s="65" t="n">
        <v>83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A05</t>
        </is>
      </c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IF(C403="","",IFERROR(VLOOKUP(C403,areaNomiBreviSquadre,7,FALSE),""))</f>
        <v/>
      </c>
      <c r="C403" s="62" t="inlineStr">
        <is>
          <t>A15</t>
        </is>
      </c>
      <c r="D403" s="61">
        <f>IF(E403="","",IFERROR(VLOOKUP(E403,areaNomiBreviSquadre,7,FALSE),""))</f>
        <v/>
      </c>
      <c r="E403" s="62" t="inlineStr">
        <is>
          <t>A11</t>
        </is>
      </c>
      <c r="F403" s="63" t="n">
        <v>46397.66666666666</v>
      </c>
      <c r="G403" s="9" t="n"/>
      <c r="H403" s="9" t="n"/>
      <c r="I403" s="10" t="n"/>
      <c r="J403" s="65" t="n">
        <v>40</v>
      </c>
      <c r="K403" s="66" t="inlineStr">
        <is>
          <t>-</t>
        </is>
      </c>
      <c r="L403" s="65" t="n">
        <v>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A05</t>
        </is>
      </c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IF(C406="","",IFERROR(VLOOKUP(C406,areaNomiBreviSquadre,7,FALSE),""))</f>
        <v/>
      </c>
      <c r="C406" s="62" t="inlineStr">
        <is>
          <t>A10</t>
        </is>
      </c>
      <c r="D406" s="61">
        <f>IF(E406="","",IFERROR(VLOOKUP(E406,areaNomiBreviSquadre,7,FALSE),""))</f>
        <v/>
      </c>
      <c r="E406" s="62" t="inlineStr">
        <is>
          <t>A16</t>
        </is>
      </c>
      <c r="F406" s="63" t="n">
        <v>46397.72916666666</v>
      </c>
      <c r="G406" s="9" t="n"/>
      <c r="H406" s="9" t="n"/>
      <c r="I406" s="10" t="n"/>
      <c r="J406" s="65" t="n">
        <v>69</v>
      </c>
      <c r="K406" s="66" t="inlineStr">
        <is>
          <t>-</t>
        </is>
      </c>
      <c r="L406" s="65" t="n">
        <v>44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A05</t>
        </is>
      </c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IF(C409="","",IFERROR(VLOOKUP(C409,areaNomiBreviSquadre,7,FALSE),""))</f>
        <v/>
      </c>
      <c r="C409" s="62" t="inlineStr">
        <is>
          <t>A06</t>
        </is>
      </c>
      <c r="D409" s="61">
        <f>IF(E409="","",IFERROR(VLOOKUP(E409,areaNomiBreviSquadre,7,FALSE),""))</f>
        <v/>
      </c>
      <c r="E409" s="62" t="inlineStr">
        <is>
          <t>A01</t>
        </is>
      </c>
      <c r="F409" s="63" t="n">
        <v>46397.39583333334</v>
      </c>
      <c r="G409" s="9" t="n"/>
      <c r="H409" s="9" t="n"/>
      <c r="I409" s="10" t="n"/>
      <c r="J409" s="65" t="n">
        <v>53</v>
      </c>
      <c r="K409" s="66" t="inlineStr">
        <is>
          <t>-</t>
        </is>
      </c>
      <c r="L409" s="65" t="n">
        <v>29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A06</t>
        </is>
      </c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IF(C412="","",IFERROR(VLOOKUP(C412,areaNomiBreviSquadre,7,FALSE),""))</f>
        <v/>
      </c>
      <c r="C412" s="62" t="inlineStr">
        <is>
          <t>A17</t>
        </is>
      </c>
      <c r="D412" s="61">
        <f>IF(E412="","",IFERROR(VLOOKUP(E412,areaNomiBreviSquadre,7,FALSE),""))</f>
        <v/>
      </c>
      <c r="E412" s="62" t="inlineStr">
        <is>
          <t>A09</t>
        </is>
      </c>
      <c r="F412" s="63" t="n">
        <v>46397.45833333334</v>
      </c>
      <c r="G412" s="9" t="n"/>
      <c r="H412" s="9" t="n"/>
      <c r="I412" s="10" t="n"/>
      <c r="J412" s="65" t="n">
        <v>70</v>
      </c>
      <c r="K412" s="66" t="inlineStr">
        <is>
          <t>-</t>
        </is>
      </c>
      <c r="L412" s="65" t="n">
        <v>76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A06</t>
        </is>
      </c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IF(C415="","",IFERROR(VLOOKUP(C415,areaNomiBreviSquadre,7,FALSE),""))</f>
        <v/>
      </c>
      <c r="C415" s="62" t="inlineStr">
        <is>
          <t>A08</t>
        </is>
      </c>
      <c r="D415" s="61">
        <f>IF(E415="","",IFERROR(VLOOKUP(E415,areaNomiBreviSquadre,7,FALSE),""))</f>
        <v/>
      </c>
      <c r="E415" s="62" t="inlineStr">
        <is>
          <t>A18</t>
        </is>
      </c>
      <c r="F415" s="63" t="n">
        <v>46397.60416666666</v>
      </c>
      <c r="G415" s="9" t="n"/>
      <c r="H415" s="9" t="n"/>
      <c r="I415" s="10" t="n"/>
      <c r="J415" s="65" t="n">
        <v>87</v>
      </c>
      <c r="K415" s="66" t="inlineStr">
        <is>
          <t>-</t>
        </is>
      </c>
      <c r="L415" s="65" t="n">
        <v>92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A06</t>
        </is>
      </c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IF(C418="","",IFERROR(VLOOKUP(C418,areaNomiBreviSquadre,7,FALSE),""))</f>
        <v/>
      </c>
      <c r="C418" s="62" t="inlineStr">
        <is>
          <t>A19</t>
        </is>
      </c>
      <c r="D418" s="61">
        <f>IF(E418="","",IFERROR(VLOOKUP(E418,areaNomiBreviSquadre,7,FALSE),""))</f>
        <v/>
      </c>
      <c r="E418" s="62" t="inlineStr">
        <is>
          <t>A07</t>
        </is>
      </c>
      <c r="F418" s="63" t="n">
        <v>46397.66666666666</v>
      </c>
      <c r="G418" s="9" t="n"/>
      <c r="H418" s="9" t="n"/>
      <c r="I418" s="10" t="n"/>
      <c r="J418" s="65" t="n">
        <v>65</v>
      </c>
      <c r="K418" s="66" t="inlineStr">
        <is>
          <t>-</t>
        </is>
      </c>
      <c r="L418" s="65" t="n">
        <v>92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A06</t>
        </is>
      </c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IF(C421="","",IFERROR(VLOOKUP(C421,areaNomiBreviSquadre,7,FALSE),""))</f>
        <v/>
      </c>
      <c r="C421" s="62" t="inlineStr">
        <is>
          <t>A04</t>
        </is>
      </c>
      <c r="D421" s="61">
        <f>IF(E421="","",IFERROR(VLOOKUP(E421,areaNomiBreviSquadre,7,FALSE),""))</f>
        <v/>
      </c>
      <c r="E421" s="62" t="inlineStr">
        <is>
          <t>A03</t>
        </is>
      </c>
      <c r="F421" s="63" t="n">
        <v>46397.72916666666</v>
      </c>
      <c r="G421" s="9" t="n"/>
      <c r="H421" s="9" t="n"/>
      <c r="I421" s="10" t="n"/>
      <c r="J421" s="65" t="n">
        <v>41</v>
      </c>
      <c r="K421" s="66" t="inlineStr">
        <is>
          <t>-</t>
        </is>
      </c>
      <c r="L421" s="65" t="n">
        <v>69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A06</t>
        </is>
      </c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IF(C426="","",IFERROR(VLOOKUP(C426,areaNomiBreviSquadre,7,FALSE),""))</f>
        <v/>
      </c>
      <c r="C426" s="62" t="inlineStr">
        <is>
          <t>A02</t>
        </is>
      </c>
      <c r="D426" s="61">
        <f>IF(E426="","",IFERROR(VLOOKUP(E426,areaNomiBreviSquadre,7,FALSE),""))</f>
        <v/>
      </c>
      <c r="E426" s="62" t="inlineStr">
        <is>
          <t>A07</t>
        </is>
      </c>
      <c r="F426" s="63" t="n">
        <v>46404.39583333334</v>
      </c>
      <c r="G426" s="9" t="n"/>
      <c r="H426" s="9" t="n"/>
      <c r="I426" s="10" t="n"/>
      <c r="J426" s="65" t="n">
        <v>23</v>
      </c>
      <c r="K426" s="66" t="inlineStr">
        <is>
          <t>-</t>
        </is>
      </c>
      <c r="L426" s="65" t="n">
        <v>49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A07</t>
        </is>
      </c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IF(C429="","",IFERROR(VLOOKUP(C429,areaNomiBreviSquadre,7,FALSE),""))</f>
        <v/>
      </c>
      <c r="C429" s="62" t="inlineStr">
        <is>
          <t>A20</t>
        </is>
      </c>
      <c r="D429" s="61">
        <f>IF(E429="","",IFERROR(VLOOKUP(E429,areaNomiBreviSquadre,7,FALSE),""))</f>
        <v/>
      </c>
      <c r="E429" s="62" t="inlineStr">
        <is>
          <t>A14</t>
        </is>
      </c>
      <c r="F429" s="63" t="n">
        <v>46404.45833333334</v>
      </c>
      <c r="G429" s="9" t="n"/>
      <c r="H429" s="9" t="n"/>
      <c r="I429" s="10" t="n"/>
      <c r="J429" s="65" t="n">
        <v>47</v>
      </c>
      <c r="K429" s="66" t="inlineStr">
        <is>
          <t>-</t>
        </is>
      </c>
      <c r="L429" s="65" t="n">
        <v>72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A07</t>
        </is>
      </c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IF(C432="","",IFERROR(VLOOKUP(C432,areaNomiBreviSquadre,7,FALSE),""))</f>
        <v/>
      </c>
      <c r="C432" s="62" t="inlineStr">
        <is>
          <t>A15</t>
        </is>
      </c>
      <c r="D432" s="61">
        <f>IF(E432="","",IFERROR(VLOOKUP(E432,areaNomiBreviSquadre,7,FALSE),""))</f>
        <v/>
      </c>
      <c r="E432" s="62" t="inlineStr">
        <is>
          <t>A13</t>
        </is>
      </c>
      <c r="F432" s="63" t="n">
        <v>46404.60416666666</v>
      </c>
      <c r="G432" s="9" t="n"/>
      <c r="H432" s="9" t="n"/>
      <c r="I432" s="10" t="n"/>
      <c r="J432" s="65" t="n">
        <v>52</v>
      </c>
      <c r="K432" s="66" t="inlineStr">
        <is>
          <t>-</t>
        </is>
      </c>
      <c r="L432" s="65" t="n">
        <v>33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A07</t>
        </is>
      </c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IF(C435="","",IFERROR(VLOOKUP(C435,areaNomiBreviSquadre,7,FALSE),""))</f>
        <v/>
      </c>
      <c r="C435" s="62" t="inlineStr">
        <is>
          <t>A12</t>
        </is>
      </c>
      <c r="D435" s="61">
        <f>IF(E435="","",IFERROR(VLOOKUP(E435,areaNomiBreviSquadre,7,FALSE),""))</f>
        <v/>
      </c>
      <c r="E435" s="62" t="inlineStr">
        <is>
          <t>A16</t>
        </is>
      </c>
      <c r="F435" s="63" t="n">
        <v>46404.66666666666</v>
      </c>
      <c r="G435" s="9" t="n"/>
      <c r="H435" s="9" t="n"/>
      <c r="I435" s="10" t="n"/>
      <c r="J435" s="65" t="n">
        <v>25</v>
      </c>
      <c r="K435" s="66" t="inlineStr">
        <is>
          <t>-</t>
        </is>
      </c>
      <c r="L435" s="65" t="n">
        <v>41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A07</t>
        </is>
      </c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IF(C438="","",IFERROR(VLOOKUP(C438,areaNomiBreviSquadre,7,FALSE),""))</f>
        <v/>
      </c>
      <c r="C438" s="62" t="inlineStr">
        <is>
          <t>A17</t>
        </is>
      </c>
      <c r="D438" s="61">
        <f>IF(E438="","",IFERROR(VLOOKUP(E438,areaNomiBreviSquadre,7,FALSE),""))</f>
        <v/>
      </c>
      <c r="E438" s="62" t="inlineStr">
        <is>
          <t>A11</t>
        </is>
      </c>
      <c r="F438" s="63" t="n">
        <v>46404.72916666666</v>
      </c>
      <c r="G438" s="9" t="n"/>
      <c r="H438" s="9" t="n"/>
      <c r="I438" s="10" t="n"/>
      <c r="J438" s="65" t="n">
        <v>81</v>
      </c>
      <c r="K438" s="66" t="inlineStr">
        <is>
          <t>-</t>
        </is>
      </c>
      <c r="L438" s="65" t="n">
        <v>90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A07</t>
        </is>
      </c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IF(C441="","",IFERROR(VLOOKUP(C441,areaNomiBreviSquadre,7,FALSE),""))</f>
        <v/>
      </c>
      <c r="C441" s="62" t="inlineStr">
        <is>
          <t>A08</t>
        </is>
      </c>
      <c r="D441" s="61">
        <f>IF(E441="","",IFERROR(VLOOKUP(E441,areaNomiBreviSquadre,7,FALSE),""))</f>
        <v/>
      </c>
      <c r="E441" s="62" t="inlineStr">
        <is>
          <t>A01</t>
        </is>
      </c>
      <c r="F441" s="63" t="n">
        <v>46404.39583333334</v>
      </c>
      <c r="G441" s="9" t="n"/>
      <c r="H441" s="9" t="n"/>
      <c r="I441" s="10" t="n"/>
      <c r="J441" s="65" t="n">
        <v>68</v>
      </c>
      <c r="K441" s="66" t="inlineStr">
        <is>
          <t>-</t>
        </is>
      </c>
      <c r="L441" s="65" t="n">
        <v>53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A08</t>
        </is>
      </c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IF(C444="","",IFERROR(VLOOKUP(C444,areaNomiBreviSquadre,7,FALSE),""))</f>
        <v/>
      </c>
      <c r="C444" s="62" t="inlineStr">
        <is>
          <t>A10</t>
        </is>
      </c>
      <c r="D444" s="61">
        <f>IF(E444="","",IFERROR(VLOOKUP(E444,areaNomiBreviSquadre,7,FALSE),""))</f>
        <v/>
      </c>
      <c r="E444" s="62" t="inlineStr">
        <is>
          <t>A18</t>
        </is>
      </c>
      <c r="F444" s="63" t="n">
        <v>46404.45833333334</v>
      </c>
      <c r="G444" s="9" t="n"/>
      <c r="H444" s="9" t="n"/>
      <c r="I444" s="10" t="n"/>
      <c r="J444" s="65" t="n">
        <v>71</v>
      </c>
      <c r="K444" s="66" t="inlineStr">
        <is>
          <t>-</t>
        </is>
      </c>
      <c r="L444" s="65" t="n">
        <v>86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A08</t>
        </is>
      </c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IF(C447="","",IFERROR(VLOOKUP(C447,areaNomiBreviSquadre,7,FALSE),""))</f>
        <v/>
      </c>
      <c r="C447" s="62" t="inlineStr">
        <is>
          <t>A19</t>
        </is>
      </c>
      <c r="D447" s="61">
        <f>IF(E447="","",IFERROR(VLOOKUP(E447,areaNomiBreviSquadre,7,FALSE),""))</f>
        <v/>
      </c>
      <c r="E447" s="62" t="inlineStr">
        <is>
          <t>A09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55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A08</t>
        </is>
      </c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IF(C450="","",IFERROR(VLOOKUP(C450,areaNomiBreviSquadre,7,FALSE),""))</f>
        <v/>
      </c>
      <c r="C450" s="62" t="inlineStr">
        <is>
          <t>A06</t>
        </is>
      </c>
      <c r="D450" s="61">
        <f>IF(E450="","",IFERROR(VLOOKUP(E450,areaNomiBreviSquadre,7,FALSE),""))</f>
        <v/>
      </c>
      <c r="E450" s="62" t="inlineStr">
        <is>
          <t>A03</t>
        </is>
      </c>
      <c r="F450" s="63" t="n">
        <v>46404.66666666666</v>
      </c>
      <c r="G450" s="9" t="n"/>
      <c r="H450" s="9" t="n"/>
      <c r="I450" s="10" t="n"/>
      <c r="J450" s="65" t="n">
        <v>54</v>
      </c>
      <c r="K450" s="66" t="inlineStr">
        <is>
          <t>-</t>
        </is>
      </c>
      <c r="L450" s="65" t="n">
        <v>39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A08</t>
        </is>
      </c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IF(C453="","",IFERROR(VLOOKUP(C453,areaNomiBreviSquadre,7,FALSE),""))</f>
        <v/>
      </c>
      <c r="C453" s="62" t="inlineStr">
        <is>
          <t>A04</t>
        </is>
      </c>
      <c r="D453" s="61">
        <f>IF(E453="","",IFERROR(VLOOKUP(E453,areaNomiBreviSquadre,7,FALSE),""))</f>
        <v/>
      </c>
      <c r="E453" s="62" t="inlineStr">
        <is>
          <t>A05</t>
        </is>
      </c>
      <c r="F453" s="63" t="n">
        <v>46404.72916666666</v>
      </c>
      <c r="G453" s="9" t="n"/>
      <c r="H453" s="9" t="n"/>
      <c r="I453" s="10" t="n"/>
      <c r="J453" s="65" t="n">
        <v>32</v>
      </c>
      <c r="K453" s="66" t="inlineStr">
        <is>
          <t>-</t>
        </is>
      </c>
      <c r="L453" s="65" t="n">
        <v>44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A08</t>
        </is>
      </c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IF(C458="","",IFERROR(VLOOKUP(C458,areaNomiBreviSquadre,7,FALSE),""))</f>
        <v/>
      </c>
      <c r="C458" s="62" t="inlineStr">
        <is>
          <t>A02</t>
        </is>
      </c>
      <c r="D458" s="61">
        <f>IF(E458="","",IFERROR(VLOOKUP(E458,areaNomiBreviSquadre,7,FALSE),""))</f>
        <v/>
      </c>
      <c r="E458" s="62" t="inlineStr">
        <is>
          <t>A09</t>
        </is>
      </c>
      <c r="F458" s="63" t="n">
        <v>46411.39583333334</v>
      </c>
      <c r="G458" s="9" t="n"/>
      <c r="H458" s="9" t="n"/>
      <c r="I458" s="10" t="n"/>
      <c r="J458" s="65" t="n">
        <v>32</v>
      </c>
      <c r="K458" s="66" t="inlineStr">
        <is>
          <t>-</t>
        </is>
      </c>
      <c r="L458" s="65" t="n">
        <v>57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A09</t>
        </is>
      </c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IF(C461="","",IFERROR(VLOOKUP(C461,areaNomiBreviSquadre,7,FALSE),""))</f>
        <v/>
      </c>
      <c r="C461" s="62" t="inlineStr">
        <is>
          <t>A15</t>
        </is>
      </c>
      <c r="D461" s="61">
        <f>IF(E461="","",IFERROR(VLOOKUP(E461,areaNomiBreviSquadre,7,FALSE),""))</f>
        <v/>
      </c>
      <c r="E461" s="62" t="inlineStr">
        <is>
          <t>A20</t>
        </is>
      </c>
      <c r="F461" s="63" t="n">
        <v>46411.45833333334</v>
      </c>
      <c r="G461" s="9" t="n"/>
      <c r="H461" s="9" t="n"/>
      <c r="I461" s="10" t="n"/>
      <c r="J461" s="65" t="n">
        <v>53</v>
      </c>
      <c r="K461" s="66" t="inlineStr">
        <is>
          <t>-</t>
        </is>
      </c>
      <c r="L461" s="65" t="n">
        <v>35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A09</t>
        </is>
      </c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IF(C464="","",IFERROR(VLOOKUP(C464,areaNomiBreviSquadre,7,FALSE),""))</f>
        <v/>
      </c>
      <c r="C464" s="62" t="inlineStr">
        <is>
          <t>A14</t>
        </is>
      </c>
      <c r="D464" s="61">
        <f>IF(E464="","",IFERROR(VLOOKUP(E464,areaNomiBreviSquadre,7,FALSE),""))</f>
        <v/>
      </c>
      <c r="E464" s="62" t="inlineStr">
        <is>
          <t>A16</t>
        </is>
      </c>
      <c r="F464" s="63" t="n">
        <v>46411.60416666666</v>
      </c>
      <c r="G464" s="9" t="n"/>
      <c r="H464" s="9" t="n"/>
      <c r="I464" s="10" t="n"/>
      <c r="J464" s="65" t="n">
        <v>81</v>
      </c>
      <c r="K464" s="66" t="inlineStr">
        <is>
          <t>-</t>
        </is>
      </c>
      <c r="L464" s="65" t="n">
        <v>55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A09</t>
        </is>
      </c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IF(C467="","",IFERROR(VLOOKUP(C467,areaNomiBreviSquadre,7,FALSE),""))</f>
        <v/>
      </c>
      <c r="C467" s="62" t="inlineStr">
        <is>
          <t>A17</t>
        </is>
      </c>
      <c r="D467" s="61">
        <f>IF(E467="","",IFERROR(VLOOKUP(E467,areaNomiBreviSquadre,7,FALSE),""))</f>
        <v/>
      </c>
      <c r="E467" s="62" t="inlineStr">
        <is>
          <t>A13</t>
        </is>
      </c>
      <c r="F467" s="63" t="n">
        <v>46411.66666666666</v>
      </c>
      <c r="G467" s="9" t="n"/>
      <c r="H467" s="9" t="n"/>
      <c r="I467" s="10" t="n"/>
      <c r="J467" s="65" t="n">
        <v>54</v>
      </c>
      <c r="K467" s="66" t="inlineStr">
        <is>
          <t>-</t>
        </is>
      </c>
      <c r="L467" s="65" t="n">
        <v>37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A09</t>
        </is>
      </c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IF(C470="","",IFERROR(VLOOKUP(C470,areaNomiBreviSquadre,7,FALSE),""))</f>
        <v/>
      </c>
      <c r="C470" s="62" t="inlineStr">
        <is>
          <t>A12</t>
        </is>
      </c>
      <c r="D470" s="61">
        <f>IF(E470="","",IFERROR(VLOOKUP(E470,areaNomiBreviSquadre,7,FALSE),""))</f>
        <v/>
      </c>
      <c r="E470" s="62" t="inlineStr">
        <is>
          <t>A18</t>
        </is>
      </c>
      <c r="F470" s="63" t="n">
        <v>46411.72916666666</v>
      </c>
      <c r="G470" s="9" t="n"/>
      <c r="H470" s="9" t="n"/>
      <c r="I470" s="10" t="n"/>
      <c r="J470" s="65" t="n">
        <v>39</v>
      </c>
      <c r="K470" s="66" t="inlineStr">
        <is>
          <t>-</t>
        </is>
      </c>
      <c r="L470" s="65" t="n">
        <v>27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A09</t>
        </is>
      </c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IF(C473="","",IFERROR(VLOOKUP(C473,areaNomiBreviSquadre,7,FALSE),""))</f>
        <v/>
      </c>
      <c r="C473" s="62" t="inlineStr">
        <is>
          <t>A10</t>
        </is>
      </c>
      <c r="D473" s="61">
        <f>IF(E473="","",IFERROR(VLOOKUP(E473,areaNomiBreviSquadre,7,FALSE),""))</f>
        <v/>
      </c>
      <c r="E473" s="62" t="inlineStr">
        <is>
          <t>A01</t>
        </is>
      </c>
      <c r="F473" s="63" t="n">
        <v>46411.39583333334</v>
      </c>
      <c r="G473" s="9" t="n"/>
      <c r="H473" s="9" t="n"/>
      <c r="I473" s="10" t="n"/>
      <c r="J473" s="65" t="n">
        <v>52</v>
      </c>
      <c r="K473" s="66" t="inlineStr">
        <is>
          <t>-</t>
        </is>
      </c>
      <c r="L473" s="65" t="n">
        <v>56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A10</t>
        </is>
      </c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IF(C476="","",IFERROR(VLOOKUP(C476,areaNomiBreviSquadre,7,FALSE),""))</f>
        <v/>
      </c>
      <c r="C476" s="62" t="inlineStr">
        <is>
          <t>A19</t>
        </is>
      </c>
      <c r="D476" s="61">
        <f>IF(E476="","",IFERROR(VLOOKUP(E476,areaNomiBreviSquadre,7,FALSE),""))</f>
        <v/>
      </c>
      <c r="E476" s="62" t="inlineStr">
        <is>
          <t>A11</t>
        </is>
      </c>
      <c r="F476" s="63" t="n">
        <v>46411.45833333334</v>
      </c>
      <c r="G476" s="9" t="n"/>
      <c r="H476" s="9" t="n"/>
      <c r="I476" s="10" t="n"/>
      <c r="J476" s="65" t="n">
        <v>65</v>
      </c>
      <c r="K476" s="66" t="inlineStr">
        <is>
          <t>-</t>
        </is>
      </c>
      <c r="L476" s="65" t="n">
        <v>68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A10</t>
        </is>
      </c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IF(C479="","",IFERROR(VLOOKUP(C479,areaNomiBreviSquadre,7,FALSE),""))</f>
        <v/>
      </c>
      <c r="C479" s="62" t="inlineStr">
        <is>
          <t>A08</t>
        </is>
      </c>
      <c r="D479" s="61">
        <f>IF(E479="","",IFERROR(VLOOKUP(E479,areaNomiBreviSquadre,7,FALSE),""))</f>
        <v/>
      </c>
      <c r="E479" s="62" t="inlineStr">
        <is>
          <t>A03</t>
        </is>
      </c>
      <c r="F479" s="63" t="n">
        <v>46411.60416666666</v>
      </c>
      <c r="G479" s="9" t="n"/>
      <c r="H479" s="9" t="n"/>
      <c r="I479" s="10" t="n"/>
      <c r="J479" s="65" t="n">
        <v>62</v>
      </c>
      <c r="K479" s="66" t="inlineStr">
        <is>
          <t>-</t>
        </is>
      </c>
      <c r="L479" s="65" t="n">
        <v>67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A10</t>
        </is>
      </c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IF(C482="","",IFERROR(VLOOKUP(C482,areaNomiBreviSquadre,7,FALSE),""))</f>
        <v/>
      </c>
      <c r="C482" s="62" t="inlineStr">
        <is>
          <t>A04</t>
        </is>
      </c>
      <c r="D482" s="61">
        <f>IF(E482="","",IFERROR(VLOOKUP(E482,areaNomiBreviSquadre,7,FALSE),""))</f>
        <v/>
      </c>
      <c r="E482" s="62" t="inlineStr">
        <is>
          <t>A07</t>
        </is>
      </c>
      <c r="F482" s="63" t="n">
        <v>46411.66666666666</v>
      </c>
      <c r="G482" s="9" t="n"/>
      <c r="H482" s="9" t="n"/>
      <c r="I482" s="10" t="n"/>
      <c r="J482" s="65" t="n">
        <v>73</v>
      </c>
      <c r="K482" s="66" t="inlineStr">
        <is>
          <t>-</t>
        </is>
      </c>
      <c r="L482" s="65" t="n">
        <v>49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A10</t>
        </is>
      </c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IF(C485="","",IFERROR(VLOOKUP(C485,areaNomiBreviSquadre,7,FALSE),""))</f>
        <v/>
      </c>
      <c r="C485" s="62" t="inlineStr">
        <is>
          <t>A06</t>
        </is>
      </c>
      <c r="D485" s="61">
        <f>IF(E485="","",IFERROR(VLOOKUP(E485,areaNomiBreviSquadre,7,FALSE),""))</f>
        <v/>
      </c>
      <c r="E485" s="62" t="inlineStr">
        <is>
          <t>A05</t>
        </is>
      </c>
      <c r="F485" s="63" t="n">
        <v>46411.72916666666</v>
      </c>
      <c r="G485" s="9" t="n"/>
      <c r="H485" s="9" t="n"/>
      <c r="I485" s="10" t="n"/>
      <c r="J485" s="65" t="n">
        <v>71</v>
      </c>
      <c r="K485" s="66" t="inlineStr">
        <is>
          <t>-</t>
        </is>
      </c>
      <c r="L485" s="65" t="n">
        <v>92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A10</t>
        </is>
      </c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IF(C490="","",IFERROR(VLOOKUP(C490,areaNomiBreviSquadre,7,FALSE),""))</f>
        <v/>
      </c>
      <c r="C490" s="62" t="inlineStr">
        <is>
          <t>A02</t>
        </is>
      </c>
      <c r="D490" s="61">
        <f>IF(E490="","",IFERROR(VLOOKUP(E490,areaNomiBreviSquadre,7,FALSE),""))</f>
        <v/>
      </c>
      <c r="E490" s="62" t="inlineStr">
        <is>
          <t>A11</t>
        </is>
      </c>
      <c r="F490" s="63" t="n">
        <v>46418.39583333334</v>
      </c>
      <c r="G490" s="9" t="n"/>
      <c r="H490" s="9" t="n"/>
      <c r="I490" s="10" t="n"/>
      <c r="J490" s="65" t="n">
        <v>25</v>
      </c>
      <c r="K490" s="66" t="inlineStr">
        <is>
          <t>-</t>
        </is>
      </c>
      <c r="L490" s="65" t="n">
        <v>53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A11</t>
        </is>
      </c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IF(C493="","",IFERROR(VLOOKUP(C493,areaNomiBreviSquadre,7,FALSE),""))</f>
        <v/>
      </c>
      <c r="C493" s="62" t="inlineStr">
        <is>
          <t>A20</t>
        </is>
      </c>
      <c r="D493" s="61">
        <f>IF(E493="","",IFERROR(VLOOKUP(E493,areaNomiBreviSquadre,7,FALSE),""))</f>
        <v/>
      </c>
      <c r="E493" s="62" t="inlineStr">
        <is>
          <t>A16</t>
        </is>
      </c>
      <c r="F493" s="63" t="n">
        <v>46418.45833333334</v>
      </c>
      <c r="G493" s="9" t="n"/>
      <c r="H493" s="9" t="n"/>
      <c r="I493" s="10" t="n"/>
      <c r="J493" s="65" t="n">
        <v>77</v>
      </c>
      <c r="K493" s="66" t="inlineStr">
        <is>
          <t>-</t>
        </is>
      </c>
      <c r="L493" s="65" t="n">
        <v>59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A11</t>
        </is>
      </c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IF(C496="","",IFERROR(VLOOKUP(C496,areaNomiBreviSquadre,7,FALSE),""))</f>
        <v/>
      </c>
      <c r="C496" s="62" t="inlineStr">
        <is>
          <t>A17</t>
        </is>
      </c>
      <c r="D496" s="61">
        <f>IF(E496="","",IFERROR(VLOOKUP(E496,areaNomiBreviSquadre,7,FALSE),""))</f>
        <v/>
      </c>
      <c r="E496" s="62" t="inlineStr">
        <is>
          <t>A15</t>
        </is>
      </c>
      <c r="F496" s="63" t="n">
        <v>46418.60416666666</v>
      </c>
      <c r="G496" s="9" t="n"/>
      <c r="H496" s="9" t="n"/>
      <c r="I496" s="10" t="n"/>
      <c r="J496" s="65" t="n">
        <v>80</v>
      </c>
      <c r="K496" s="66" t="inlineStr">
        <is>
          <t>-</t>
        </is>
      </c>
      <c r="L496" s="65" t="n">
        <v>52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A11</t>
        </is>
      </c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IF(C499="","",IFERROR(VLOOKUP(C499,areaNomiBreviSquadre,7,FALSE),""))</f>
        <v/>
      </c>
      <c r="C499" s="62" t="inlineStr">
        <is>
          <t>A14</t>
        </is>
      </c>
      <c r="D499" s="61">
        <f>IF(E499="","",IFERROR(VLOOKUP(E499,areaNomiBreviSquadre,7,FALSE),""))</f>
        <v/>
      </c>
      <c r="E499" s="62" t="inlineStr">
        <is>
          <t>A18</t>
        </is>
      </c>
      <c r="F499" s="63" t="n">
        <v>46418.66666666666</v>
      </c>
      <c r="G499" s="9" t="n"/>
      <c r="H499" s="9" t="n"/>
      <c r="I499" s="10" t="n"/>
      <c r="J499" s="65" t="n">
        <v>48</v>
      </c>
      <c r="K499" s="66" t="inlineStr">
        <is>
          <t>-</t>
        </is>
      </c>
      <c r="L499" s="65" t="n">
        <v>64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A11</t>
        </is>
      </c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IF(C502="","",IFERROR(VLOOKUP(C502,areaNomiBreviSquadre,7,FALSE),""))</f>
        <v/>
      </c>
      <c r="C502" s="62" t="inlineStr">
        <is>
          <t>A19</t>
        </is>
      </c>
      <c r="D502" s="61">
        <f>IF(E502="","",IFERROR(VLOOKUP(E502,areaNomiBreviSquadre,7,FALSE),""))</f>
        <v/>
      </c>
      <c r="E502" s="62" t="inlineStr">
        <is>
          <t>A13</t>
        </is>
      </c>
      <c r="F502" s="63" t="n">
        <v>46418.72916666666</v>
      </c>
      <c r="G502" s="9" t="n"/>
      <c r="H502" s="9" t="n"/>
      <c r="I502" s="10" t="n"/>
      <c r="J502" s="65" t="n">
        <v>80</v>
      </c>
      <c r="K502" s="66" t="inlineStr">
        <is>
          <t>-</t>
        </is>
      </c>
      <c r="L502" s="65" t="n">
        <v>82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A11</t>
        </is>
      </c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IF(C505="","",IFERROR(VLOOKUP(C505,areaNomiBreviSquadre,7,FALSE),""))</f>
        <v/>
      </c>
      <c r="C505" s="62" t="inlineStr">
        <is>
          <t>A12</t>
        </is>
      </c>
      <c r="D505" s="61">
        <f>IF(E505="","",IFERROR(VLOOKUP(E505,areaNomiBreviSquadre,7,FALSE),""))</f>
        <v/>
      </c>
      <c r="E505" s="62" t="inlineStr">
        <is>
          <t>A01</t>
        </is>
      </c>
      <c r="F505" s="63" t="n">
        <v>46418.39583333334</v>
      </c>
      <c r="G505" s="9" t="n"/>
      <c r="H505" s="9" t="n"/>
      <c r="I505" s="10" t="n"/>
      <c r="J505" s="65" t="n">
        <v>0</v>
      </c>
      <c r="K505" s="66" t="inlineStr">
        <is>
          <t>-</t>
        </is>
      </c>
      <c r="L505" s="65" t="n">
        <v>40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A12</t>
        </is>
      </c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IF(C508="","",IFERROR(VLOOKUP(C508,areaNomiBreviSquadre,7,FALSE),""))</f>
        <v/>
      </c>
      <c r="C508" s="62" t="inlineStr">
        <is>
          <t>A10</t>
        </is>
      </c>
      <c r="D508" s="61">
        <f>IF(E508="","",IFERROR(VLOOKUP(E508,areaNomiBreviSquadre,7,FALSE),""))</f>
        <v/>
      </c>
      <c r="E508" s="62" t="inlineStr">
        <is>
          <t>A03</t>
        </is>
      </c>
      <c r="F508" s="63" t="n">
        <v>46418.45833333334</v>
      </c>
      <c r="G508" s="9" t="n"/>
      <c r="H508" s="9" t="n"/>
      <c r="I508" s="10" t="n"/>
      <c r="J508" s="65" t="n">
        <v>46</v>
      </c>
      <c r="K508" s="66" t="inlineStr">
        <is>
          <t>-</t>
        </is>
      </c>
      <c r="L508" s="65" t="n">
        <v>41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A12</t>
        </is>
      </c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IF(C511="","",IFERROR(VLOOKUP(C511,areaNomiBreviSquadre,7,FALSE),""))</f>
        <v/>
      </c>
      <c r="C511" s="62" t="inlineStr">
        <is>
          <t>A04</t>
        </is>
      </c>
      <c r="D511" s="61">
        <f>IF(E511="","",IFERROR(VLOOKUP(E511,areaNomiBreviSquadre,7,FALSE),""))</f>
        <v/>
      </c>
      <c r="E511" s="62" t="inlineStr">
        <is>
          <t>A09</t>
        </is>
      </c>
      <c r="F511" s="63" t="n">
        <v>46418.60416666666</v>
      </c>
      <c r="G511" s="9" t="n"/>
      <c r="H511" s="9" t="n"/>
      <c r="I511" s="10" t="n"/>
      <c r="J511" s="65" t="n">
        <v>43</v>
      </c>
      <c r="K511" s="66" t="inlineStr">
        <is>
          <t>-</t>
        </is>
      </c>
      <c r="L511" s="65" t="n">
        <v>70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A12</t>
        </is>
      </c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IF(C514="","",IFERROR(VLOOKUP(C514,areaNomiBreviSquadre,7,FALSE),""))</f>
        <v/>
      </c>
      <c r="C514" s="62" t="inlineStr">
        <is>
          <t>A08</t>
        </is>
      </c>
      <c r="D514" s="61">
        <f>IF(E514="","",IFERROR(VLOOKUP(E514,areaNomiBreviSquadre,7,FALSE),""))</f>
        <v/>
      </c>
      <c r="E514" s="62" t="inlineStr">
        <is>
          <t>A05</t>
        </is>
      </c>
      <c r="F514" s="63" t="n">
        <v>46418.66666666666</v>
      </c>
      <c r="G514" s="9" t="n"/>
      <c r="H514" s="9" t="n"/>
      <c r="I514" s="10" t="n"/>
      <c r="J514" s="65" t="n">
        <v>82</v>
      </c>
      <c r="K514" s="66" t="inlineStr">
        <is>
          <t>-</t>
        </is>
      </c>
      <c r="L514" s="65" t="n">
        <v>69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A12</t>
        </is>
      </c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IF(C517="","",IFERROR(VLOOKUP(C517,areaNomiBreviSquadre,7,FALSE),""))</f>
        <v/>
      </c>
      <c r="C517" s="62" t="inlineStr">
        <is>
          <t>A06</t>
        </is>
      </c>
      <c r="D517" s="61">
        <f>IF(E517="","",IFERROR(VLOOKUP(E517,areaNomiBreviSquadre,7,FALSE),""))</f>
        <v/>
      </c>
      <c r="E517" s="62" t="inlineStr">
        <is>
          <t>A07</t>
        </is>
      </c>
      <c r="F517" s="63" t="n">
        <v>46418.72916666666</v>
      </c>
      <c r="G517" s="9" t="n"/>
      <c r="H517" s="9" t="n"/>
      <c r="I517" s="10" t="n"/>
      <c r="J517" s="65" t="n">
        <v>89</v>
      </c>
      <c r="K517" s="66" t="inlineStr">
        <is>
          <t>-</t>
        </is>
      </c>
      <c r="L517" s="65" t="n">
        <v>86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A12</t>
        </is>
      </c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IF(C522="","",IFERROR(VLOOKUP(C522,areaNomiBreviSquadre,7,FALSE),""))</f>
        <v/>
      </c>
      <c r="C522" s="62" t="inlineStr">
        <is>
          <t>A02</t>
        </is>
      </c>
      <c r="D522" s="61">
        <f>IF(E522="","",IFERROR(VLOOKUP(E522,areaNomiBreviSquadre,7,FALSE),""))</f>
        <v/>
      </c>
      <c r="E522" s="62" t="inlineStr">
        <is>
          <t>A13</t>
        </is>
      </c>
      <c r="F522" s="63" t="n">
        <v>46425.39583333334</v>
      </c>
      <c r="G522" s="9" t="n"/>
      <c r="H522" s="9" t="n"/>
      <c r="I522" s="10" t="n"/>
      <c r="J522" s="65" t="n">
        <v>40</v>
      </c>
      <c r="K522" s="66" t="inlineStr">
        <is>
          <t>-</t>
        </is>
      </c>
      <c r="L522" s="65" t="n">
        <v>30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A13</t>
        </is>
      </c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IF(C525="","",IFERROR(VLOOKUP(C525,areaNomiBreviSquadre,7,FALSE),""))</f>
        <v/>
      </c>
      <c r="C525" s="62" t="inlineStr">
        <is>
          <t>A17</t>
        </is>
      </c>
      <c r="D525" s="61">
        <f>IF(E525="","",IFERROR(VLOOKUP(E525,areaNomiBreviSquadre,7,FALSE),""))</f>
        <v/>
      </c>
      <c r="E525" s="62" t="inlineStr">
        <is>
          <t>A20</t>
        </is>
      </c>
      <c r="F525" s="63" t="n">
        <v>46425.45833333334</v>
      </c>
      <c r="G525" s="9" t="n"/>
      <c r="H525" s="9" t="n"/>
      <c r="I525" s="10" t="n"/>
      <c r="J525" s="65" t="n">
        <v>49</v>
      </c>
      <c r="K525" s="66" t="inlineStr">
        <is>
          <t>-</t>
        </is>
      </c>
      <c r="L525" s="65" t="n">
        <v>42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A13</t>
        </is>
      </c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IF(C528="","",IFERROR(VLOOKUP(C528,areaNomiBreviSquadre,7,FALSE),""))</f>
        <v/>
      </c>
      <c r="C528" s="62" t="inlineStr">
        <is>
          <t>A16</t>
        </is>
      </c>
      <c r="D528" s="61">
        <f>IF(E528="","",IFERROR(VLOOKUP(E528,areaNomiBreviSquadre,7,FALSE),""))</f>
        <v/>
      </c>
      <c r="E528" s="62" t="inlineStr">
        <is>
          <t>A18</t>
        </is>
      </c>
      <c r="F528" s="63" t="n">
        <v>46425.60416666666</v>
      </c>
      <c r="G528" s="9" t="n"/>
      <c r="H528" s="9" t="n"/>
      <c r="I528" s="10" t="n"/>
      <c r="J528" s="65" t="n">
        <v>64</v>
      </c>
      <c r="K528" s="66" t="inlineStr">
        <is>
          <t>-</t>
        </is>
      </c>
      <c r="L528" s="65" t="n">
        <v>52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A13</t>
        </is>
      </c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IF(C531="","",IFERROR(VLOOKUP(C531,areaNomiBreviSquadre,7,FALSE),""))</f>
        <v/>
      </c>
      <c r="C531" s="62" t="inlineStr">
        <is>
          <t>A19</t>
        </is>
      </c>
      <c r="D531" s="61">
        <f>IF(E531="","",IFERROR(VLOOKUP(E531,areaNomiBreviSquadre,7,FALSE),""))</f>
        <v/>
      </c>
      <c r="E531" s="62" t="inlineStr">
        <is>
          <t>A15</t>
        </is>
      </c>
      <c r="F531" s="63" t="n">
        <v>46425.66666666666</v>
      </c>
      <c r="G531" s="9" t="n"/>
      <c r="H531" s="9" t="n"/>
      <c r="I531" s="10" t="n"/>
      <c r="J531" s="65" t="n">
        <v>71</v>
      </c>
      <c r="K531" s="66" t="inlineStr">
        <is>
          <t>-</t>
        </is>
      </c>
      <c r="L531" s="65" t="n">
        <v>73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A13</t>
        </is>
      </c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IF(C534="","",IFERROR(VLOOKUP(C534,areaNomiBreviSquadre,7,FALSE),""))</f>
        <v/>
      </c>
      <c r="C534" s="62" t="inlineStr">
        <is>
          <t>A12</t>
        </is>
      </c>
      <c r="D534" s="61">
        <f>IF(E534="","",IFERROR(VLOOKUP(E534,areaNomiBreviSquadre,7,FALSE),""))</f>
        <v/>
      </c>
      <c r="E534" s="62" t="inlineStr">
        <is>
          <t>A03</t>
        </is>
      </c>
      <c r="F534" s="63" t="n">
        <v>46425.72916666666</v>
      </c>
      <c r="G534" s="9" t="n"/>
      <c r="H534" s="9" t="n"/>
      <c r="I534" s="10" t="n"/>
      <c r="J534" s="65" t="n">
        <v>74</v>
      </c>
      <c r="K534" s="66" t="inlineStr">
        <is>
          <t>-</t>
        </is>
      </c>
      <c r="L534" s="65" t="n">
        <v>55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A13</t>
        </is>
      </c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IF(C537="","",IFERROR(VLOOKUP(C537,areaNomiBreviSquadre,7,FALSE),""))</f>
        <v/>
      </c>
      <c r="C537" s="62" t="inlineStr">
        <is>
          <t>A14</t>
        </is>
      </c>
      <c r="D537" s="61">
        <f>IF(E537="","",IFERROR(VLOOKUP(E537,areaNomiBreviSquadre,7,FALSE),""))</f>
        <v/>
      </c>
      <c r="E537" s="62" t="inlineStr">
        <is>
          <t>A01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45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A14</t>
        </is>
      </c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IF(C540="","",IFERROR(VLOOKUP(C540,areaNomiBreviSquadre,7,FALSE),""))</f>
        <v/>
      </c>
      <c r="C540" s="62" t="inlineStr">
        <is>
          <t>A04</t>
        </is>
      </c>
      <c r="D540" s="61">
        <f>IF(E540="","",IFERROR(VLOOKUP(E540,areaNomiBreviSquadre,7,FALSE),""))</f>
        <v/>
      </c>
      <c r="E540" s="62" t="inlineStr">
        <is>
          <t>A11</t>
        </is>
      </c>
      <c r="F540" s="63" t="n">
        <v>46425.45833333334</v>
      </c>
      <c r="G540" s="9" t="n"/>
      <c r="H540" s="9" t="n"/>
      <c r="I540" s="10" t="n"/>
      <c r="J540" s="65" t="n">
        <v>48</v>
      </c>
      <c r="K540" s="66" t="inlineStr">
        <is>
          <t>-</t>
        </is>
      </c>
      <c r="L540" s="65" t="n">
        <v>25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A14</t>
        </is>
      </c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IF(C543="","",IFERROR(VLOOKUP(C543,areaNomiBreviSquadre,7,FALSE),""))</f>
        <v/>
      </c>
      <c r="C543" s="62" t="inlineStr">
        <is>
          <t>A10</t>
        </is>
      </c>
      <c r="D543" s="61">
        <f>IF(E543="","",IFERROR(VLOOKUP(E543,areaNomiBreviSquadre,7,FALSE),""))</f>
        <v/>
      </c>
      <c r="E543" s="62" t="inlineStr">
        <is>
          <t>A05</t>
        </is>
      </c>
      <c r="F543" s="63" t="n">
        <v>46425.60416666666</v>
      </c>
      <c r="G543" s="9" t="n"/>
      <c r="H543" s="9" t="n"/>
      <c r="I543" s="10" t="n"/>
      <c r="J543" s="65" t="n">
        <v>76</v>
      </c>
      <c r="K543" s="66" t="inlineStr">
        <is>
          <t>-</t>
        </is>
      </c>
      <c r="L543" s="65" t="n">
        <v>86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A14</t>
        </is>
      </c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IF(C546="","",IFERROR(VLOOKUP(C546,areaNomiBreviSquadre,7,FALSE),""))</f>
        <v/>
      </c>
      <c r="C546" s="62" t="inlineStr">
        <is>
          <t>A06</t>
        </is>
      </c>
      <c r="D546" s="61">
        <f>IF(E546="","",IFERROR(VLOOKUP(E546,areaNomiBreviSquadre,7,FALSE),""))</f>
        <v/>
      </c>
      <c r="E546" s="62" t="inlineStr">
        <is>
          <t>A09</t>
        </is>
      </c>
      <c r="F546" s="63" t="n">
        <v>46425.66666666666</v>
      </c>
      <c r="G546" s="9" t="n"/>
      <c r="H546" s="9" t="n"/>
      <c r="I546" s="10" t="n"/>
      <c r="J546" s="65" t="n">
        <v>83</v>
      </c>
      <c r="K546" s="66" t="inlineStr">
        <is>
          <t>-</t>
        </is>
      </c>
      <c r="L546" s="65" t="n">
        <v>81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A14</t>
        </is>
      </c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IF(C549="","",IFERROR(VLOOKUP(C549,areaNomiBreviSquadre,7,FALSE),""))</f>
        <v/>
      </c>
      <c r="C549" s="62" t="inlineStr">
        <is>
          <t>A08</t>
        </is>
      </c>
      <c r="D549" s="61">
        <f>IF(E549="","",IFERROR(VLOOKUP(E549,areaNomiBreviSquadre,7,FALSE),""))</f>
        <v/>
      </c>
      <c r="E549" s="62" t="inlineStr">
        <is>
          <t>A07</t>
        </is>
      </c>
      <c r="F549" s="63" t="n">
        <v>46425.72916666666</v>
      </c>
      <c r="G549" s="9" t="n"/>
      <c r="H549" s="9" t="n"/>
      <c r="I549" s="10" t="n"/>
      <c r="J549" s="65" t="n">
        <v>38</v>
      </c>
      <c r="K549" s="66" t="inlineStr">
        <is>
          <t>-</t>
        </is>
      </c>
      <c r="L549" s="65" t="n">
        <v>19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A14</t>
        </is>
      </c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IF(C554="","",IFERROR(VLOOKUP(C554,areaNomiBreviSquadre,7,FALSE),""))</f>
        <v/>
      </c>
      <c r="C554" s="62" t="inlineStr">
        <is>
          <t>A02</t>
        </is>
      </c>
      <c r="D554" s="61">
        <f>IF(E554="","",IFERROR(VLOOKUP(E554,areaNomiBreviSquadre,7,FALSE),""))</f>
        <v/>
      </c>
      <c r="E554" s="62" t="inlineStr">
        <is>
          <t>A15</t>
        </is>
      </c>
      <c r="F554" s="63" t="n">
        <v>46432.39583333334</v>
      </c>
      <c r="G554" s="9" t="n"/>
      <c r="H554" s="9" t="n"/>
      <c r="I554" s="10" t="n"/>
      <c r="J554" s="65" t="n">
        <v>64</v>
      </c>
      <c r="K554" s="66" t="inlineStr">
        <is>
          <t>-</t>
        </is>
      </c>
      <c r="L554" s="65" t="n">
        <v>49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A15</t>
        </is>
      </c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IF(C557="","",IFERROR(VLOOKUP(C557,areaNomiBreviSquadre,7,FALSE),""))</f>
        <v/>
      </c>
      <c r="C557" s="62" t="inlineStr">
        <is>
          <t>A20</t>
        </is>
      </c>
      <c r="D557" s="61">
        <f>IF(E557="","",IFERROR(VLOOKUP(E557,areaNomiBreviSquadre,7,FALSE),""))</f>
        <v/>
      </c>
      <c r="E557" s="62" t="inlineStr">
        <is>
          <t>A18</t>
        </is>
      </c>
      <c r="F557" s="63" t="n">
        <v>46432.45833333334</v>
      </c>
      <c r="G557" s="9" t="n"/>
      <c r="H557" s="9" t="n"/>
      <c r="I557" s="10" t="n"/>
      <c r="J557" s="65" t="n">
        <v>62</v>
      </c>
      <c r="K557" s="66" t="inlineStr">
        <is>
          <t>-</t>
        </is>
      </c>
      <c r="L557" s="65" t="n">
        <v>34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A15</t>
        </is>
      </c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IF(C560="","",IFERROR(VLOOKUP(C560,areaNomiBreviSquadre,7,FALSE),""))</f>
        <v/>
      </c>
      <c r="C560" s="62" t="inlineStr">
        <is>
          <t>A19</t>
        </is>
      </c>
      <c r="D560" s="61">
        <f>IF(E560="","",IFERROR(VLOOKUP(E560,areaNomiBreviSquadre,7,FALSE),""))</f>
        <v/>
      </c>
      <c r="E560" s="62" t="inlineStr">
        <is>
          <t>A17</t>
        </is>
      </c>
      <c r="F560" s="63" t="n">
        <v>46432.60416666666</v>
      </c>
      <c r="G560" s="9" t="n"/>
      <c r="H560" s="9" t="n"/>
      <c r="I560" s="10" t="n"/>
      <c r="J560" s="65" t="n">
        <v>51</v>
      </c>
      <c r="K560" s="66" t="inlineStr">
        <is>
          <t>-</t>
        </is>
      </c>
      <c r="L560" s="65" t="n">
        <v>67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A15</t>
        </is>
      </c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IF(C563="","",IFERROR(VLOOKUP(C563,areaNomiBreviSquadre,7,FALSE),""))</f>
        <v/>
      </c>
      <c r="C563" s="62" t="inlineStr">
        <is>
          <t>A14</t>
        </is>
      </c>
      <c r="D563" s="61">
        <f>IF(E563="","",IFERROR(VLOOKUP(E563,areaNomiBreviSquadre,7,FALSE),""))</f>
        <v/>
      </c>
      <c r="E563" s="62" t="inlineStr">
        <is>
          <t>A03</t>
        </is>
      </c>
      <c r="F563" s="63" t="n">
        <v>46432.66666666666</v>
      </c>
      <c r="G563" s="9" t="n"/>
      <c r="H563" s="9" t="n"/>
      <c r="I563" s="10" t="n"/>
      <c r="J563" s="65" t="n">
        <v>58</v>
      </c>
      <c r="K563" s="66" t="inlineStr">
        <is>
          <t>-</t>
        </is>
      </c>
      <c r="L563" s="65" t="n">
        <v>67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A15</t>
        </is>
      </c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IF(C566="","",IFERROR(VLOOKUP(C566,areaNomiBreviSquadre,7,FALSE),""))</f>
        <v/>
      </c>
      <c r="C566" s="62" t="inlineStr">
        <is>
          <t>A04</t>
        </is>
      </c>
      <c r="D566" s="61">
        <f>IF(E566="","",IFERROR(VLOOKUP(E566,areaNomiBreviSquadre,7,FALSE),""))</f>
        <v/>
      </c>
      <c r="E566" s="62" t="inlineStr">
        <is>
          <t>A13</t>
        </is>
      </c>
      <c r="F566" s="63" t="n">
        <v>46432.72916666666</v>
      </c>
      <c r="G566" s="9" t="n"/>
      <c r="H566" s="9" t="n"/>
      <c r="I566" s="10" t="n"/>
      <c r="J566" s="65" t="n">
        <v>57</v>
      </c>
      <c r="K566" s="66" t="inlineStr">
        <is>
          <t>-</t>
        </is>
      </c>
      <c r="L566" s="65" t="n">
        <v>31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A15</t>
        </is>
      </c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IF(C569="","",IFERROR(VLOOKUP(C569,areaNomiBreviSquadre,7,FALSE),""))</f>
        <v/>
      </c>
      <c r="C569" s="62" t="inlineStr">
        <is>
          <t>A16</t>
        </is>
      </c>
      <c r="D569" s="61">
        <f>IF(E569="","",IFERROR(VLOOKUP(E569,areaNomiBreviSquadre,7,FALSE),""))</f>
        <v/>
      </c>
      <c r="E569" s="62" t="inlineStr">
        <is>
          <t>A01</t>
        </is>
      </c>
      <c r="F569" s="63" t="n">
        <v>46432.39583333334</v>
      </c>
      <c r="G569" s="9" t="n"/>
      <c r="H569" s="9" t="n"/>
      <c r="I569" s="10" t="n"/>
      <c r="J569" s="65" t="n">
        <v>56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A16</t>
        </is>
      </c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IF(C572="","",IFERROR(VLOOKUP(C572,areaNomiBreviSquadre,7,FALSE),""))</f>
        <v/>
      </c>
      <c r="C572" s="62" t="inlineStr">
        <is>
          <t>A12</t>
        </is>
      </c>
      <c r="D572" s="61">
        <f>IF(E572="","",IFERROR(VLOOKUP(E572,areaNomiBreviSquadre,7,FALSE),""))</f>
        <v/>
      </c>
      <c r="E572" s="62" t="inlineStr">
        <is>
          <t>A05</t>
        </is>
      </c>
      <c r="F572" s="63" t="n">
        <v>46432.45833333334</v>
      </c>
      <c r="G572" s="9" t="n"/>
      <c r="H572" s="9" t="n"/>
      <c r="I572" s="10" t="n"/>
      <c r="J572" s="65" t="n">
        <v>57</v>
      </c>
      <c r="K572" s="66" t="inlineStr">
        <is>
          <t>-</t>
        </is>
      </c>
      <c r="L572" s="65" t="n">
        <v>31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A16</t>
        </is>
      </c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IF(C575="","",IFERROR(VLOOKUP(C575,areaNomiBreviSquadre,7,FALSE),""))</f>
        <v/>
      </c>
      <c r="C575" s="62" t="inlineStr">
        <is>
          <t>A06</t>
        </is>
      </c>
      <c r="D575" s="61">
        <f>IF(E575="","",IFERROR(VLOOKUP(E575,areaNomiBreviSquadre,7,FALSE),""))</f>
        <v/>
      </c>
      <c r="E575" s="62" t="inlineStr">
        <is>
          <t>A11</t>
        </is>
      </c>
      <c r="F575" s="63" t="n">
        <v>46432.60416666666</v>
      </c>
      <c r="G575" s="9" t="n"/>
      <c r="H575" s="9" t="n"/>
      <c r="I575" s="10" t="n"/>
      <c r="J575" s="65" t="n">
        <v>41</v>
      </c>
      <c r="K575" s="66" t="inlineStr">
        <is>
          <t>-</t>
        </is>
      </c>
      <c r="L575" s="65" t="n">
        <v>19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A16</t>
        </is>
      </c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IF(C578="","",IFERROR(VLOOKUP(C578,areaNomiBreviSquadre,7,FALSE),""))</f>
        <v/>
      </c>
      <c r="C578" s="62" t="inlineStr">
        <is>
          <t>A10</t>
        </is>
      </c>
      <c r="D578" s="61">
        <f>IF(E578="","",IFERROR(VLOOKUP(E578,areaNomiBreviSquadre,7,FALSE),""))</f>
        <v/>
      </c>
      <c r="E578" s="62" t="inlineStr">
        <is>
          <t>A07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88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A16</t>
        </is>
      </c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IF(C581="","",IFERROR(VLOOKUP(C581,areaNomiBreviSquadre,7,FALSE),""))</f>
        <v/>
      </c>
      <c r="C581" s="62" t="inlineStr">
        <is>
          <t>A08</t>
        </is>
      </c>
      <c r="D581" s="61">
        <f>IF(E581="","",IFERROR(VLOOKUP(E581,areaNomiBreviSquadre,7,FALSE),""))</f>
        <v/>
      </c>
      <c r="E581" s="62" t="inlineStr">
        <is>
          <t>A09</t>
        </is>
      </c>
      <c r="F581" s="63" t="n">
        <v>46432.72916666666</v>
      </c>
      <c r="G581" s="9" t="n"/>
      <c r="H581" s="9" t="n"/>
      <c r="I581" s="10" t="n"/>
      <c r="J581" s="65" t="n">
        <v>58</v>
      </c>
      <c r="K581" s="66" t="inlineStr">
        <is>
          <t>-</t>
        </is>
      </c>
      <c r="L581" s="65" t="n">
        <v>77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A16</t>
        </is>
      </c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IF(C586="","",IFERROR(VLOOKUP(C586,areaNomiBreviSquadre,7,FALSE),""))</f>
        <v/>
      </c>
      <c r="C586" s="62" t="inlineStr">
        <is>
          <t>A02</t>
        </is>
      </c>
      <c r="D586" s="61">
        <f>IF(E586="","",IFERROR(VLOOKUP(E586,areaNomiBreviSquadre,7,FALSE),""))</f>
        <v/>
      </c>
      <c r="E586" s="62" t="inlineStr">
        <is>
          <t>A17</t>
        </is>
      </c>
      <c r="F586" s="63" t="n">
        <v>46439.39583333334</v>
      </c>
      <c r="G586" s="9" t="n"/>
      <c r="H586" s="9" t="n"/>
      <c r="I586" s="10" t="n"/>
      <c r="J586" s="65" t="n">
        <v>54</v>
      </c>
      <c r="K586" s="66" t="inlineStr">
        <is>
          <t>-</t>
        </is>
      </c>
      <c r="L586" s="65" t="n">
        <v>33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A17</t>
        </is>
      </c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IF(C589="","",IFERROR(VLOOKUP(C589,areaNomiBreviSquadre,7,FALSE),""))</f>
        <v/>
      </c>
      <c r="C589" s="62" t="inlineStr">
        <is>
          <t>A19</t>
        </is>
      </c>
      <c r="D589" s="61">
        <f>IF(E589="","",IFERROR(VLOOKUP(E589,areaNomiBreviSquadre,7,FALSE),""))</f>
        <v/>
      </c>
      <c r="E589" s="62" t="inlineStr">
        <is>
          <t>A20</t>
        </is>
      </c>
      <c r="F589" s="63" t="n">
        <v>46439.45833333334</v>
      </c>
      <c r="G589" s="9" t="n"/>
      <c r="H589" s="9" t="n"/>
      <c r="I589" s="10" t="n"/>
      <c r="J589" s="65" t="n">
        <v>35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A17</t>
        </is>
      </c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IF(C592="","",IFERROR(VLOOKUP(C592,areaNomiBreviSquadre,7,FALSE),""))</f>
        <v/>
      </c>
      <c r="C592" s="62" t="inlineStr">
        <is>
          <t>A16</t>
        </is>
      </c>
      <c r="D592" s="61">
        <f>IF(E592="","",IFERROR(VLOOKUP(E592,areaNomiBreviSquadre,7,FALSE),""))</f>
        <v/>
      </c>
      <c r="E592" s="62" t="inlineStr">
        <is>
          <t>A03</t>
        </is>
      </c>
      <c r="F592" s="63" t="n">
        <v>46439.60416666666</v>
      </c>
      <c r="G592" s="9" t="n"/>
      <c r="H592" s="9" t="n"/>
      <c r="I592" s="10" t="n"/>
      <c r="J592" s="65" t="n">
        <v>61</v>
      </c>
      <c r="K592" s="66" t="inlineStr">
        <is>
          <t>-</t>
        </is>
      </c>
      <c r="L592" s="65" t="n">
        <v>71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A17</t>
        </is>
      </c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IF(C595="","",IFERROR(VLOOKUP(C595,areaNomiBreviSquadre,7,FALSE),""))</f>
        <v/>
      </c>
      <c r="C595" s="62" t="inlineStr">
        <is>
          <t>A04</t>
        </is>
      </c>
      <c r="D595" s="61">
        <f>IF(E595="","",IFERROR(VLOOKUP(E595,areaNomiBreviSquadre,7,FALSE),""))</f>
        <v/>
      </c>
      <c r="E595" s="62" t="inlineStr">
        <is>
          <t>A15</t>
        </is>
      </c>
      <c r="F595" s="63" t="n">
        <v>46439.66666666666</v>
      </c>
      <c r="G595" s="9" t="n"/>
      <c r="H595" s="9" t="n"/>
      <c r="I595" s="10" t="n"/>
      <c r="J595" s="65" t="n">
        <v>66</v>
      </c>
      <c r="K595" s="66" t="inlineStr">
        <is>
          <t>-</t>
        </is>
      </c>
      <c r="L595" s="65" t="n">
        <v>57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A17</t>
        </is>
      </c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IF(C598="","",IFERROR(VLOOKUP(C598,areaNomiBreviSquadre,7,FALSE),""))</f>
        <v/>
      </c>
      <c r="C598" s="62" t="inlineStr">
        <is>
          <t>A14</t>
        </is>
      </c>
      <c r="D598" s="61">
        <f>IF(E598="","",IFERROR(VLOOKUP(E598,areaNomiBreviSquadre,7,FALSE),""))</f>
        <v/>
      </c>
      <c r="E598" s="62" t="inlineStr">
        <is>
          <t>A05</t>
        </is>
      </c>
      <c r="F598" s="63" t="n">
        <v>46439.72916666666</v>
      </c>
      <c r="G598" s="9" t="n"/>
      <c r="H598" s="9" t="n"/>
      <c r="I598" s="10" t="n"/>
      <c r="J598" s="65" t="n">
        <v>51</v>
      </c>
      <c r="K598" s="66" t="inlineStr">
        <is>
          <t>-</t>
        </is>
      </c>
      <c r="L598" s="65" t="n">
        <v>44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A17</t>
        </is>
      </c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IF(C601="","",IFERROR(VLOOKUP(C601,areaNomiBreviSquadre,7,FALSE),""))</f>
        <v/>
      </c>
      <c r="C601" s="62" t="inlineStr">
        <is>
          <t>A18</t>
        </is>
      </c>
      <c r="D601" s="61">
        <f>IF(E601="","",IFERROR(VLOOKUP(E601,areaNomiBreviSquadre,7,FALSE),""))</f>
        <v/>
      </c>
      <c r="E601" s="62" t="inlineStr">
        <is>
          <t>A01</t>
        </is>
      </c>
      <c r="F601" s="63" t="n">
        <v>46439.39583333334</v>
      </c>
      <c r="G601" s="9" t="n"/>
      <c r="H601" s="9" t="n"/>
      <c r="I601" s="10" t="n"/>
      <c r="J601" s="65" t="n">
        <v>48</v>
      </c>
      <c r="K601" s="66" t="inlineStr">
        <is>
          <t>-</t>
        </is>
      </c>
      <c r="L601" s="65" t="n">
        <v>42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A18</t>
        </is>
      </c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IF(C604="","",IFERROR(VLOOKUP(C604,areaNomiBreviSquadre,7,FALSE),""))</f>
        <v/>
      </c>
      <c r="C604" s="62" t="inlineStr">
        <is>
          <t>A06</t>
        </is>
      </c>
      <c r="D604" s="61">
        <f>IF(E604="","",IFERROR(VLOOKUP(E604,areaNomiBreviSquadre,7,FALSE),""))</f>
        <v/>
      </c>
      <c r="E604" s="62" t="inlineStr">
        <is>
          <t>A13</t>
        </is>
      </c>
      <c r="F604" s="63" t="n">
        <v>46439.45833333334</v>
      </c>
      <c r="G604" s="9" t="n"/>
      <c r="H604" s="9" t="n"/>
      <c r="I604" s="10" t="n"/>
      <c r="J604" s="65" t="n">
        <v>69</v>
      </c>
      <c r="K604" s="66" t="inlineStr">
        <is>
          <t>-</t>
        </is>
      </c>
      <c r="L604" s="65" t="n">
        <v>41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A18</t>
        </is>
      </c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IF(C607="","",IFERROR(VLOOKUP(C607,areaNomiBreviSquadre,7,FALSE),""))</f>
        <v/>
      </c>
      <c r="C607" s="62" t="inlineStr">
        <is>
          <t>A12</t>
        </is>
      </c>
      <c r="D607" s="61">
        <f>IF(E607="","",IFERROR(VLOOKUP(E607,areaNomiBreviSquadre,7,FALSE),""))</f>
        <v/>
      </c>
      <c r="E607" s="62" t="inlineStr">
        <is>
          <t>A07</t>
        </is>
      </c>
      <c r="F607" s="63" t="n">
        <v>46439.60416666666</v>
      </c>
      <c r="G607" s="9" t="n"/>
      <c r="H607" s="9" t="n"/>
      <c r="I607" s="10" t="n"/>
      <c r="J607" s="65" t="n">
        <v>80</v>
      </c>
      <c r="K607" s="66" t="inlineStr">
        <is>
          <t>-</t>
        </is>
      </c>
      <c r="L607" s="65" t="n">
        <v>52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A18</t>
        </is>
      </c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IF(C610="","",IFERROR(VLOOKUP(C610,areaNomiBreviSquadre,7,FALSE),""))</f>
        <v/>
      </c>
      <c r="C610" s="62" t="inlineStr">
        <is>
          <t>A08</t>
        </is>
      </c>
      <c r="D610" s="61">
        <f>IF(E610="","",IFERROR(VLOOKUP(E610,areaNomiBreviSquadre,7,FALSE),""))</f>
        <v/>
      </c>
      <c r="E610" s="62" t="inlineStr">
        <is>
          <t>A11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26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A18</t>
        </is>
      </c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IF(C613="","",IFERROR(VLOOKUP(C613,areaNomiBreviSquadre,7,FALSE),""))</f>
        <v/>
      </c>
      <c r="C613" s="62" t="inlineStr">
        <is>
          <t>A10</t>
        </is>
      </c>
      <c r="D613" s="61">
        <f>IF(E613="","",IFERROR(VLOOKUP(E613,areaNomiBreviSquadre,7,FALSE),""))</f>
        <v/>
      </c>
      <c r="E613" s="62" t="inlineStr">
        <is>
          <t>A09</t>
        </is>
      </c>
      <c r="F613" s="63" t="n">
        <v>46439.72916666666</v>
      </c>
      <c r="G613" s="9" t="n"/>
      <c r="H613" s="9" t="n"/>
      <c r="I613" s="10" t="n"/>
      <c r="J613" s="65" t="n">
        <v>68</v>
      </c>
      <c r="K613" s="66" t="inlineStr">
        <is>
          <t>-</t>
        </is>
      </c>
      <c r="L613" s="65" t="n">
        <v>89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A18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IF(C10="","",IFERROR(VLOOKUP(C10,areaNomiBreviSquadre,7,FALSE),""))</f>
        <v/>
      </c>
      <c r="C10" s="62" t="inlineStr">
        <is>
          <t>B01</t>
        </is>
      </c>
      <c r="D10" s="61">
        <f>IF(E10="","",IFERROR(VLOOKUP(E10,areaNomiBreviSquadre,7,FALSE),""))</f>
        <v/>
      </c>
      <c r="E10" s="62" t="inlineStr">
        <is>
          <t>B20</t>
        </is>
      </c>
      <c r="F10" s="63" t="n">
        <v>46313.39583333334</v>
      </c>
      <c r="G10" s="9" t="n"/>
      <c r="H10" s="9" t="n"/>
      <c r="I10" s="10" t="n"/>
      <c r="J10" s="65" t="n">
        <v>38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B01</t>
        </is>
      </c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IF(C13="","",IFERROR(VLOOKUP(C13,areaNomiBreviSquadre,7,FALSE),""))</f>
        <v/>
      </c>
      <c r="C13" s="62" t="inlineStr">
        <is>
          <t>B03</t>
        </is>
      </c>
      <c r="D13" s="61">
        <f>IF(E13="","",IFERROR(VLOOKUP(E13,areaNomiBreviSquadre,7,FALSE),""))</f>
        <v/>
      </c>
      <c r="E13" s="62" t="inlineStr">
        <is>
          <t>B18</t>
        </is>
      </c>
      <c r="F13" s="63" t="n">
        <v>46313.45833333334</v>
      </c>
      <c r="G13" s="9" t="n"/>
      <c r="H13" s="9" t="n"/>
      <c r="I13" s="10" t="n"/>
      <c r="J13" s="65" t="n">
        <v>86</v>
      </c>
      <c r="K13" s="66" t="inlineStr">
        <is>
          <t>-</t>
        </is>
      </c>
      <c r="L13" s="65" t="n">
        <v>72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B01</t>
        </is>
      </c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IF(C16="","",IFERROR(VLOOKUP(C16,areaNomiBreviSquadre,7,FALSE),""))</f>
        <v/>
      </c>
      <c r="C16" s="62" t="inlineStr">
        <is>
          <t>B17</t>
        </is>
      </c>
      <c r="D16" s="61">
        <f>IF(E16="","",IFERROR(VLOOKUP(E16,areaNomiBreviSquadre,7,FALSE),""))</f>
        <v/>
      </c>
      <c r="E16" s="62" t="inlineStr">
        <is>
          <t>B04</t>
        </is>
      </c>
      <c r="F16" s="63" t="n">
        <v>46313.60416666666</v>
      </c>
      <c r="G16" s="9" t="n"/>
      <c r="H16" s="9" t="n"/>
      <c r="I16" s="10" t="n"/>
      <c r="J16" s="65" t="n">
        <v>34</v>
      </c>
      <c r="K16" s="66" t="inlineStr">
        <is>
          <t>-</t>
        </is>
      </c>
      <c r="L16" s="65" t="n">
        <v>56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B01</t>
        </is>
      </c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IF(C19="","",IFERROR(VLOOKUP(C19,areaNomiBreviSquadre,7,FALSE),""))</f>
        <v/>
      </c>
      <c r="C19" s="62" t="inlineStr">
        <is>
          <t>B05</t>
        </is>
      </c>
      <c r="D19" s="61">
        <f>IF(E19="","",IFERROR(VLOOKUP(E19,areaNomiBreviSquadre,7,FALSE),""))</f>
        <v/>
      </c>
      <c r="E19" s="62" t="inlineStr">
        <is>
          <t>B16</t>
        </is>
      </c>
      <c r="F19" s="63" t="n">
        <v>46313.66666666666</v>
      </c>
      <c r="G19" s="9" t="n"/>
      <c r="H19" s="9" t="n"/>
      <c r="I19" s="10" t="n"/>
      <c r="J19" s="65" t="n">
        <v>90</v>
      </c>
      <c r="K19" s="66" t="inlineStr">
        <is>
          <t>-</t>
        </is>
      </c>
      <c r="L19" s="65" t="n">
        <v>71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B01</t>
        </is>
      </c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IF(C22="","",IFERROR(VLOOKUP(C22,areaNomiBreviSquadre,7,FALSE),""))</f>
        <v/>
      </c>
      <c r="C22" s="62" t="inlineStr">
        <is>
          <t>B15</t>
        </is>
      </c>
      <c r="D22" s="61">
        <f>IF(E22="","",IFERROR(VLOOKUP(E22,areaNomiBreviSquadre,7,FALSE),""))</f>
        <v/>
      </c>
      <c r="E22" s="62" t="inlineStr">
        <is>
          <t>B06</t>
        </is>
      </c>
      <c r="F22" s="63" t="n">
        <v>46313.72916666666</v>
      </c>
      <c r="G22" s="9" t="n"/>
      <c r="H22" s="9" t="n"/>
      <c r="I22" s="10" t="n"/>
      <c r="J22" s="65" t="n">
        <v>30</v>
      </c>
      <c r="K22" s="66" t="inlineStr">
        <is>
          <t>-</t>
        </is>
      </c>
      <c r="L22" s="65" t="n">
        <v>39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B01</t>
        </is>
      </c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IF(C25="","",IFERROR(VLOOKUP(C25,areaNomiBreviSquadre,7,FALSE),""))</f>
        <v/>
      </c>
      <c r="C25" s="62" t="inlineStr">
        <is>
          <t>B19</t>
        </is>
      </c>
      <c r="D25" s="61">
        <f>IF(E25="","",IFERROR(VLOOKUP(E25,areaNomiBreviSquadre,7,FALSE),""))</f>
        <v/>
      </c>
      <c r="E25" s="62" t="inlineStr">
        <is>
          <t>B02</t>
        </is>
      </c>
      <c r="F25" s="63" t="n">
        <v>46313.39583333334</v>
      </c>
      <c r="G25" s="9" t="n"/>
      <c r="H25" s="9" t="n"/>
      <c r="I25" s="10" t="n"/>
      <c r="J25" s="65" t="n">
        <v>32</v>
      </c>
      <c r="K25" s="66" t="inlineStr">
        <is>
          <t>-</t>
        </is>
      </c>
      <c r="L25" s="65" t="n">
        <v>53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B02</t>
        </is>
      </c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IF(C28="","",IFERROR(VLOOKUP(C28,areaNomiBreviSquadre,7,FALSE),""))</f>
        <v/>
      </c>
      <c r="C28" s="62" t="inlineStr">
        <is>
          <t>B07</t>
        </is>
      </c>
      <c r="D28" s="61">
        <f>IF(E28="","",IFERROR(VLOOKUP(E28,areaNomiBreviSquadre,7,FALSE),""))</f>
        <v/>
      </c>
      <c r="E28" s="62" t="inlineStr">
        <is>
          <t>B14</t>
        </is>
      </c>
      <c r="F28" s="63" t="n">
        <v>46313.45833333334</v>
      </c>
      <c r="G28" s="9" t="n"/>
      <c r="H28" s="9" t="n"/>
      <c r="I28" s="10" t="n"/>
      <c r="J28" s="65" t="n">
        <v>69</v>
      </c>
      <c r="K28" s="66" t="inlineStr">
        <is>
          <t>-</t>
        </is>
      </c>
      <c r="L28" s="65" t="n">
        <v>92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B02</t>
        </is>
      </c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IF(C31="","",IFERROR(VLOOKUP(C31,areaNomiBreviSquadre,7,FALSE),""))</f>
        <v/>
      </c>
      <c r="C31" s="62" t="inlineStr">
        <is>
          <t>B13</t>
        </is>
      </c>
      <c r="D31" s="61">
        <f>IF(E31="","",IFERROR(VLOOKUP(E31,areaNomiBreviSquadre,7,FALSE),""))</f>
        <v/>
      </c>
      <c r="E31" s="62" t="inlineStr">
        <is>
          <t>B08</t>
        </is>
      </c>
      <c r="F31" s="63" t="n">
        <v>46313.60416666666</v>
      </c>
      <c r="G31" s="9" t="n"/>
      <c r="H31" s="9" t="n"/>
      <c r="I31" s="10" t="n"/>
      <c r="J31" s="65" t="n">
        <v>38</v>
      </c>
      <c r="K31" s="66" t="inlineStr">
        <is>
          <t>-</t>
        </is>
      </c>
      <c r="L31" s="65" t="n">
        <v>53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B02</t>
        </is>
      </c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IF(C34="","",IFERROR(VLOOKUP(C34,areaNomiBreviSquadre,7,FALSE),""))</f>
        <v/>
      </c>
      <c r="C34" s="62" t="inlineStr">
        <is>
          <t>B09</t>
        </is>
      </c>
      <c r="D34" s="61">
        <f>IF(E34="","",IFERROR(VLOOKUP(E34,areaNomiBreviSquadre,7,FALSE),""))</f>
        <v/>
      </c>
      <c r="E34" s="62" t="inlineStr">
        <is>
          <t>B12</t>
        </is>
      </c>
      <c r="F34" s="63" t="n">
        <v>46313.66666666666</v>
      </c>
      <c r="G34" s="9" t="n"/>
      <c r="H34" s="9" t="n"/>
      <c r="I34" s="10" t="n"/>
      <c r="J34" s="65" t="n">
        <v>79</v>
      </c>
      <c r="K34" s="66" t="inlineStr">
        <is>
          <t>-</t>
        </is>
      </c>
      <c r="L34" s="65" t="n">
        <v>73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B02</t>
        </is>
      </c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IF(C37="","",IFERROR(VLOOKUP(C37,areaNomiBreviSquadre,7,FALSE),""))</f>
        <v/>
      </c>
      <c r="C37" s="62" t="inlineStr">
        <is>
          <t>B11</t>
        </is>
      </c>
      <c r="D37" s="61">
        <f>IF(E37="","",IFERROR(VLOOKUP(E37,areaNomiBreviSquadre,7,FALSE),""))</f>
        <v/>
      </c>
      <c r="E37" s="62" t="inlineStr">
        <is>
          <t>B10</t>
        </is>
      </c>
      <c r="F37" s="63" t="n">
        <v>46313.72916666666</v>
      </c>
      <c r="G37" s="9" t="n"/>
      <c r="H37" s="9" t="n"/>
      <c r="I37" s="10" t="n"/>
      <c r="J37" s="65" t="n">
        <v>57</v>
      </c>
      <c r="K37" s="66" t="inlineStr">
        <is>
          <t>-</t>
        </is>
      </c>
      <c r="L37" s="65" t="n">
        <v>65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B02</t>
        </is>
      </c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IF(C42="","",IFERROR(VLOOKUP(C42,areaNomiBreviSquadre,7,FALSE),""))</f>
        <v/>
      </c>
      <c r="C42" s="62" t="inlineStr">
        <is>
          <t>B03</t>
        </is>
      </c>
      <c r="D42" s="61">
        <f>IF(E42="","",IFERROR(VLOOKUP(E42,areaNomiBreviSquadre,7,FALSE),""))</f>
        <v/>
      </c>
      <c r="E42" s="62" t="inlineStr">
        <is>
          <t>B01</t>
        </is>
      </c>
      <c r="F42" s="63" t="n">
        <v>46320.39583333334</v>
      </c>
      <c r="G42" s="9" t="n"/>
      <c r="H42" s="9" t="n"/>
      <c r="I42" s="10" t="n"/>
      <c r="J42" s="65" t="n">
        <v>85</v>
      </c>
      <c r="K42" s="66" t="inlineStr">
        <is>
          <t>-</t>
        </is>
      </c>
      <c r="L42" s="65" t="n">
        <v>86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B03</t>
        </is>
      </c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IF(C45="","",IFERROR(VLOOKUP(C45,areaNomiBreviSquadre,7,FALSE),""))</f>
        <v/>
      </c>
      <c r="C45" s="62" t="inlineStr">
        <is>
          <t>B20</t>
        </is>
      </c>
      <c r="D45" s="61">
        <f>IF(E45="","",IFERROR(VLOOKUP(E45,areaNomiBreviSquadre,7,FALSE),""))</f>
        <v/>
      </c>
      <c r="E45" s="62" t="inlineStr">
        <is>
          <t>B02</t>
        </is>
      </c>
      <c r="F45" s="63" t="n">
        <v>46320.45833333334</v>
      </c>
      <c r="G45" s="9" t="n"/>
      <c r="H45" s="9" t="n"/>
      <c r="I45" s="10" t="n"/>
      <c r="J45" s="65" t="n">
        <v>51</v>
      </c>
      <c r="K45" s="66" t="inlineStr">
        <is>
          <t>-</t>
        </is>
      </c>
      <c r="L45" s="65" t="n">
        <v>49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B03</t>
        </is>
      </c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IF(C48="","",IFERROR(VLOOKUP(C48,areaNomiBreviSquadre,7,FALSE),""))</f>
        <v/>
      </c>
      <c r="C48" s="62" t="inlineStr">
        <is>
          <t>B05</t>
        </is>
      </c>
      <c r="D48" s="61">
        <f>IF(E48="","",IFERROR(VLOOKUP(E48,areaNomiBreviSquadre,7,FALSE),""))</f>
        <v/>
      </c>
      <c r="E48" s="62" t="inlineStr">
        <is>
          <t>B18</t>
        </is>
      </c>
      <c r="F48" s="63" t="n">
        <v>46320.60416666666</v>
      </c>
      <c r="G48" s="9" t="n"/>
      <c r="H48" s="9" t="n"/>
      <c r="I48" s="10" t="n"/>
      <c r="J48" s="65" t="n">
        <v>55</v>
      </c>
      <c r="K48" s="66" t="inlineStr">
        <is>
          <t>-</t>
        </is>
      </c>
      <c r="L48" s="65" t="n">
        <v>47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B03</t>
        </is>
      </c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IF(C51="","",IFERROR(VLOOKUP(C51,areaNomiBreviSquadre,7,FALSE),""))</f>
        <v/>
      </c>
      <c r="C51" s="62" t="inlineStr">
        <is>
          <t>B17</t>
        </is>
      </c>
      <c r="D51" s="61">
        <f>IF(E51="","",IFERROR(VLOOKUP(E51,areaNomiBreviSquadre,7,FALSE),""))</f>
        <v/>
      </c>
      <c r="E51" s="62" t="inlineStr">
        <is>
          <t>B06</t>
        </is>
      </c>
      <c r="F51" s="63" t="n">
        <v>46320.66666666666</v>
      </c>
      <c r="G51" s="9" t="n"/>
      <c r="H51" s="9" t="n"/>
      <c r="I51" s="10" t="n"/>
      <c r="J51" s="65" t="n">
        <v>44</v>
      </c>
      <c r="K51" s="66" t="inlineStr">
        <is>
          <t>-</t>
        </is>
      </c>
      <c r="L51" s="65" t="n">
        <v>21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B03</t>
        </is>
      </c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IF(C54="","",IFERROR(VLOOKUP(C54,areaNomiBreviSquadre,7,FALSE),""))</f>
        <v/>
      </c>
      <c r="C54" s="62" t="inlineStr">
        <is>
          <t>B07</t>
        </is>
      </c>
      <c r="D54" s="61">
        <f>IF(E54="","",IFERROR(VLOOKUP(E54,areaNomiBreviSquadre,7,FALSE),""))</f>
        <v/>
      </c>
      <c r="E54" s="62" t="inlineStr">
        <is>
          <t>B16</t>
        </is>
      </c>
      <c r="F54" s="63" t="n">
        <v>46320.72916666666</v>
      </c>
      <c r="G54" s="9" t="n"/>
      <c r="H54" s="9" t="n"/>
      <c r="I54" s="10" t="n"/>
      <c r="J54" s="65" t="n">
        <v>24</v>
      </c>
      <c r="K54" s="66" t="inlineStr">
        <is>
          <t>-</t>
        </is>
      </c>
      <c r="L54" s="65" t="n">
        <v>52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B03</t>
        </is>
      </c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IF(C57="","",IFERROR(VLOOKUP(C57,areaNomiBreviSquadre,7,FALSE),""))</f>
        <v/>
      </c>
      <c r="C57" s="62" t="inlineStr">
        <is>
          <t>B19</t>
        </is>
      </c>
      <c r="D57" s="61">
        <f>IF(E57="","",IFERROR(VLOOKUP(E57,areaNomiBreviSquadre,7,FALSE),""))</f>
        <v/>
      </c>
      <c r="E57" s="62" t="inlineStr">
        <is>
          <t>B04</t>
        </is>
      </c>
      <c r="F57" s="63" t="n">
        <v>46320.39583333334</v>
      </c>
      <c r="G57" s="9" t="n"/>
      <c r="H57" s="9" t="n"/>
      <c r="I57" s="10" t="n"/>
      <c r="J57" s="65" t="n">
        <v>54</v>
      </c>
      <c r="K57" s="66" t="inlineStr">
        <is>
          <t>-</t>
        </is>
      </c>
      <c r="L57" s="65" t="n">
        <v>42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B04</t>
        </is>
      </c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IF(C60="","",IFERROR(VLOOKUP(C60,areaNomiBreviSquadre,7,FALSE),""))</f>
        <v/>
      </c>
      <c r="C60" s="62" t="inlineStr">
        <is>
          <t>B15</t>
        </is>
      </c>
      <c r="D60" s="61">
        <f>IF(E60="","",IFERROR(VLOOKUP(E60,areaNomiBreviSquadre,7,FALSE),""))</f>
        <v/>
      </c>
      <c r="E60" s="62" t="inlineStr">
        <is>
          <t>B08</t>
        </is>
      </c>
      <c r="F60" s="63" t="n">
        <v>46320.45833333334</v>
      </c>
      <c r="G60" s="9" t="n"/>
      <c r="H60" s="9" t="n"/>
      <c r="I60" s="10" t="n"/>
      <c r="J60" s="65" t="n">
        <v>61</v>
      </c>
      <c r="K60" s="66" t="inlineStr">
        <is>
          <t>-</t>
        </is>
      </c>
      <c r="L60" s="65" t="n">
        <v>34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B04</t>
        </is>
      </c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IF(C63="","",IFERROR(VLOOKUP(C63,areaNomiBreviSquadre,7,FALSE),""))</f>
        <v/>
      </c>
      <c r="C63" s="62" t="inlineStr">
        <is>
          <t>B09</t>
        </is>
      </c>
      <c r="D63" s="61">
        <f>IF(E63="","",IFERROR(VLOOKUP(E63,areaNomiBreviSquadre,7,FALSE),""))</f>
        <v/>
      </c>
      <c r="E63" s="62" t="inlineStr">
        <is>
          <t>B14</t>
        </is>
      </c>
      <c r="F63" s="63" t="n">
        <v>46320.60416666666</v>
      </c>
      <c r="G63" s="9" t="n"/>
      <c r="H63" s="9" t="n"/>
      <c r="I63" s="10" t="n"/>
      <c r="J63" s="65" t="n">
        <v>56</v>
      </c>
      <c r="K63" s="66" t="inlineStr">
        <is>
          <t>-</t>
        </is>
      </c>
      <c r="L63" s="65" t="n">
        <v>53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B04</t>
        </is>
      </c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IF(C66="","",IFERROR(VLOOKUP(C66,areaNomiBreviSquadre,7,FALSE),""))</f>
        <v/>
      </c>
      <c r="C66" s="62" t="inlineStr">
        <is>
          <t>B13</t>
        </is>
      </c>
      <c r="D66" s="61">
        <f>IF(E66="","",IFERROR(VLOOKUP(E66,areaNomiBreviSquadre,7,FALSE),""))</f>
        <v/>
      </c>
      <c r="E66" s="62" t="inlineStr">
        <is>
          <t>B10</t>
        </is>
      </c>
      <c r="F66" s="63" t="n">
        <v>46320.66666666666</v>
      </c>
      <c r="G66" s="9" t="n"/>
      <c r="H66" s="9" t="n"/>
      <c r="I66" s="10" t="n"/>
      <c r="J66" s="65" t="n">
        <v>49</v>
      </c>
      <c r="K66" s="66" t="inlineStr">
        <is>
          <t>-</t>
        </is>
      </c>
      <c r="L66" s="65" t="n">
        <v>45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B04</t>
        </is>
      </c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IF(C69="","",IFERROR(VLOOKUP(C69,areaNomiBreviSquadre,7,FALSE),""))</f>
        <v/>
      </c>
      <c r="C69" s="62" t="inlineStr">
        <is>
          <t>B11</t>
        </is>
      </c>
      <c r="D69" s="61">
        <f>IF(E69="","",IFERROR(VLOOKUP(E69,areaNomiBreviSquadre,7,FALSE),""))</f>
        <v/>
      </c>
      <c r="E69" s="62" t="inlineStr">
        <is>
          <t>B12</t>
        </is>
      </c>
      <c r="F69" s="63" t="n">
        <v>46320.72916666666</v>
      </c>
      <c r="G69" s="9" t="n"/>
      <c r="H69" s="9" t="n"/>
      <c r="I69" s="10" t="n"/>
      <c r="J69" s="65" t="n">
        <v>59</v>
      </c>
      <c r="K69" s="66" t="inlineStr">
        <is>
          <t>-</t>
        </is>
      </c>
      <c r="L69" s="65" t="n">
        <v>54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B04</t>
        </is>
      </c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IF(C74="","",IFERROR(VLOOKUP(C74,areaNomiBreviSquadre,7,FALSE),""))</f>
        <v/>
      </c>
      <c r="C74" s="62" t="inlineStr">
        <is>
          <t>B05</t>
        </is>
      </c>
      <c r="D74" s="61">
        <f>IF(E74="","",IFERROR(VLOOKUP(E74,areaNomiBreviSquadre,7,FALSE),""))</f>
        <v/>
      </c>
      <c r="E74" s="62" t="inlineStr">
        <is>
          <t>B01</t>
        </is>
      </c>
      <c r="F74" s="63" t="n">
        <v>46327.39583333334</v>
      </c>
      <c r="G74" s="9" t="n"/>
      <c r="H74" s="9" t="n"/>
      <c r="I74" s="10" t="n"/>
      <c r="J74" s="65" t="n">
        <v>70</v>
      </c>
      <c r="K74" s="66" t="inlineStr">
        <is>
          <t>-</t>
        </is>
      </c>
      <c r="L74" s="65" t="n">
        <v>43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B05</t>
        </is>
      </c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IF(C77="","",IFERROR(VLOOKUP(C77,areaNomiBreviSquadre,7,FALSE),""))</f>
        <v/>
      </c>
      <c r="C77" s="62" t="inlineStr">
        <is>
          <t>B03</t>
        </is>
      </c>
      <c r="D77" s="61">
        <f>IF(E77="","",IFERROR(VLOOKUP(E77,areaNomiBreviSquadre,7,FALSE),""))</f>
        <v/>
      </c>
      <c r="E77" s="62" t="inlineStr">
        <is>
          <t>B20</t>
        </is>
      </c>
      <c r="F77" s="63" t="n">
        <v>46327.45833333334</v>
      </c>
      <c r="G77" s="9" t="n"/>
      <c r="H77" s="9" t="n"/>
      <c r="I77" s="10" t="n"/>
      <c r="J77" s="65" t="n">
        <v>65</v>
      </c>
      <c r="K77" s="66" t="inlineStr">
        <is>
          <t>-</t>
        </is>
      </c>
      <c r="L77" s="65" t="n">
        <v>80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B05</t>
        </is>
      </c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IF(C80="","",IFERROR(VLOOKUP(C80,areaNomiBreviSquadre,7,FALSE),""))</f>
        <v/>
      </c>
      <c r="C80" s="62" t="inlineStr">
        <is>
          <t>B02</t>
        </is>
      </c>
      <c r="D80" s="61">
        <f>IF(E80="","",IFERROR(VLOOKUP(E80,areaNomiBreviSquadre,7,FALSE),""))</f>
        <v/>
      </c>
      <c r="E80" s="62" t="inlineStr">
        <is>
          <t>B04</t>
        </is>
      </c>
      <c r="F80" s="63" t="n">
        <v>46327.60416666666</v>
      </c>
      <c r="G80" s="9" t="n"/>
      <c r="H80" s="9" t="n"/>
      <c r="I80" s="10" t="n"/>
      <c r="J80" s="65" t="n">
        <v>47</v>
      </c>
      <c r="K80" s="66" t="inlineStr">
        <is>
          <t>-</t>
        </is>
      </c>
      <c r="L80" s="65" t="n">
        <v>35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B05</t>
        </is>
      </c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IF(C83="","",IFERROR(VLOOKUP(C83,areaNomiBreviSquadre,7,FALSE),""))</f>
        <v/>
      </c>
      <c r="C83" s="62" t="inlineStr">
        <is>
          <t>B07</t>
        </is>
      </c>
      <c r="D83" s="61">
        <f>IF(E83="","",IFERROR(VLOOKUP(E83,areaNomiBreviSquadre,7,FALSE),""))</f>
        <v/>
      </c>
      <c r="E83" s="62" t="inlineStr">
        <is>
          <t>B18</t>
        </is>
      </c>
      <c r="F83" s="63" t="n">
        <v>46327.66666666666</v>
      </c>
      <c r="G83" s="9" t="n"/>
      <c r="H83" s="9" t="n"/>
      <c r="I83" s="10" t="n"/>
      <c r="J83" s="65" t="n">
        <v>51</v>
      </c>
      <c r="K83" s="66" t="inlineStr">
        <is>
          <t>-</t>
        </is>
      </c>
      <c r="L83" s="65" t="n">
        <v>50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B05</t>
        </is>
      </c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IF(C86="","",IFERROR(VLOOKUP(C86,areaNomiBreviSquadre,7,FALSE),""))</f>
        <v/>
      </c>
      <c r="C86" s="62" t="inlineStr">
        <is>
          <t>B17</t>
        </is>
      </c>
      <c r="D86" s="61">
        <f>IF(E86="","",IFERROR(VLOOKUP(E86,areaNomiBreviSquadre,7,FALSE),""))</f>
        <v/>
      </c>
      <c r="E86" s="62" t="inlineStr">
        <is>
          <t>B08</t>
        </is>
      </c>
      <c r="F86" s="63" t="n">
        <v>46327.72916666666</v>
      </c>
      <c r="G86" s="9" t="n"/>
      <c r="H86" s="9" t="n"/>
      <c r="I86" s="10" t="n"/>
      <c r="J86" s="65" t="n">
        <v>57</v>
      </c>
      <c r="K86" s="66" t="inlineStr">
        <is>
          <t>-</t>
        </is>
      </c>
      <c r="L86" s="65" t="n">
        <v>82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B05</t>
        </is>
      </c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IF(C89="","",IFERROR(VLOOKUP(C89,areaNomiBreviSquadre,7,FALSE),""))</f>
        <v/>
      </c>
      <c r="C89" s="62" t="inlineStr">
        <is>
          <t>B19</t>
        </is>
      </c>
      <c r="D89" s="61">
        <f>IF(E89="","",IFERROR(VLOOKUP(E89,areaNomiBreviSquadre,7,FALSE),""))</f>
        <v/>
      </c>
      <c r="E89" s="62" t="inlineStr">
        <is>
          <t>B06</t>
        </is>
      </c>
      <c r="F89" s="63" t="n">
        <v>46327.39583333334</v>
      </c>
      <c r="G89" s="9" t="n"/>
      <c r="H89" s="9" t="n"/>
      <c r="I89" s="10" t="n"/>
      <c r="J89" s="65" t="n">
        <v>75</v>
      </c>
      <c r="K89" s="66" t="inlineStr">
        <is>
          <t>-</t>
        </is>
      </c>
      <c r="L89" s="65" t="n">
        <v>82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B06</t>
        </is>
      </c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IF(C92="","",IFERROR(VLOOKUP(C92,areaNomiBreviSquadre,7,FALSE),""))</f>
        <v/>
      </c>
      <c r="C92" s="62" t="inlineStr">
        <is>
          <t>B09</t>
        </is>
      </c>
      <c r="D92" s="61">
        <f>IF(E92="","",IFERROR(VLOOKUP(E92,areaNomiBreviSquadre,7,FALSE),""))</f>
        <v/>
      </c>
      <c r="E92" s="62" t="inlineStr">
        <is>
          <t>B16</t>
        </is>
      </c>
      <c r="F92" s="63" t="n">
        <v>46327.45833333334</v>
      </c>
      <c r="G92" s="9" t="n"/>
      <c r="H92" s="9" t="n"/>
      <c r="I92" s="10" t="n"/>
      <c r="J92" s="65" t="n">
        <v>90</v>
      </c>
      <c r="K92" s="66" t="inlineStr">
        <is>
          <t>-</t>
        </is>
      </c>
      <c r="L92" s="65" t="n">
        <v>89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B06</t>
        </is>
      </c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IF(C95="","",IFERROR(VLOOKUP(C95,areaNomiBreviSquadre,7,FALSE),""))</f>
        <v/>
      </c>
      <c r="C95" s="62" t="inlineStr">
        <is>
          <t>B15</t>
        </is>
      </c>
      <c r="D95" s="61">
        <f>IF(E95="","",IFERROR(VLOOKUP(E95,areaNomiBreviSquadre,7,FALSE),""))</f>
        <v/>
      </c>
      <c r="E95" s="62" t="inlineStr">
        <is>
          <t>B10</t>
        </is>
      </c>
      <c r="F95" s="63" t="n">
        <v>46327.60416666666</v>
      </c>
      <c r="G95" s="9" t="n"/>
      <c r="H95" s="9" t="n"/>
      <c r="I95" s="10" t="n"/>
      <c r="J95" s="65" t="n">
        <v>25</v>
      </c>
      <c r="K95" s="66" t="inlineStr">
        <is>
          <t>-</t>
        </is>
      </c>
      <c r="L95" s="65" t="n">
        <v>45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B06</t>
        </is>
      </c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IF(C98="","",IFERROR(VLOOKUP(C98,areaNomiBreviSquadre,7,FALSE),""))</f>
        <v/>
      </c>
      <c r="C98" s="62" t="inlineStr">
        <is>
          <t>B11</t>
        </is>
      </c>
      <c r="D98" s="61">
        <f>IF(E98="","",IFERROR(VLOOKUP(E98,areaNomiBreviSquadre,7,FALSE),""))</f>
        <v/>
      </c>
      <c r="E98" s="62" t="inlineStr">
        <is>
          <t>B14</t>
        </is>
      </c>
      <c r="F98" s="63" t="n">
        <v>46327.66666666666</v>
      </c>
      <c r="G98" s="9" t="n"/>
      <c r="H98" s="9" t="n"/>
      <c r="I98" s="10" t="n"/>
      <c r="J98" s="65" t="n">
        <v>88</v>
      </c>
      <c r="K98" s="66" t="inlineStr">
        <is>
          <t>-</t>
        </is>
      </c>
      <c r="L98" s="65" t="n">
        <v>91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B06</t>
        </is>
      </c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IF(C101="","",IFERROR(VLOOKUP(C101,areaNomiBreviSquadre,7,FALSE),""))</f>
        <v/>
      </c>
      <c r="C101" s="62" t="inlineStr">
        <is>
          <t>B13</t>
        </is>
      </c>
      <c r="D101" s="61">
        <f>IF(E101="","",IFERROR(VLOOKUP(E101,areaNomiBreviSquadre,7,FALSE),""))</f>
        <v/>
      </c>
      <c r="E101" s="62" t="inlineStr">
        <is>
          <t>B12</t>
        </is>
      </c>
      <c r="F101" s="63" t="n">
        <v>46327.72916666666</v>
      </c>
      <c r="G101" s="9" t="n"/>
      <c r="H101" s="9" t="n"/>
      <c r="I101" s="10" t="n"/>
      <c r="J101" s="65" t="n">
        <v>68</v>
      </c>
      <c r="K101" s="66" t="inlineStr">
        <is>
          <t>-</t>
        </is>
      </c>
      <c r="L101" s="65" t="n">
        <v>48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B06</t>
        </is>
      </c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IF(C106="","",IFERROR(VLOOKUP(C106,areaNomiBreviSquadre,7,FALSE),""))</f>
        <v/>
      </c>
      <c r="C106" s="62" t="inlineStr">
        <is>
          <t>B07</t>
        </is>
      </c>
      <c r="D106" s="61">
        <f>IF(E106="","",IFERROR(VLOOKUP(E106,areaNomiBreviSquadre,7,FALSE),""))</f>
        <v/>
      </c>
      <c r="E106" s="62" t="inlineStr">
        <is>
          <t>B01</t>
        </is>
      </c>
      <c r="F106" s="63" t="n">
        <v>46334.39583333334</v>
      </c>
      <c r="G106" s="9" t="n"/>
      <c r="H106" s="9" t="n"/>
      <c r="I106" s="10" t="n"/>
      <c r="J106" s="65" t="n">
        <v>77</v>
      </c>
      <c r="K106" s="66" t="inlineStr">
        <is>
          <t>-</t>
        </is>
      </c>
      <c r="L106" s="65" t="n">
        <v>51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B07</t>
        </is>
      </c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IF(C109="","",IFERROR(VLOOKUP(C109,areaNomiBreviSquadre,7,FALSE),""))</f>
        <v/>
      </c>
      <c r="C109" s="62" t="inlineStr">
        <is>
          <t>B20</t>
        </is>
      </c>
      <c r="D109" s="61">
        <f>IF(E109="","",IFERROR(VLOOKUP(E109,areaNomiBreviSquadre,7,FALSE),""))</f>
        <v/>
      </c>
      <c r="E109" s="62" t="inlineStr">
        <is>
          <t>B04</t>
        </is>
      </c>
      <c r="F109" s="63" t="n">
        <v>46334.45833333334</v>
      </c>
      <c r="G109" s="9" t="n"/>
      <c r="H109" s="9" t="n"/>
      <c r="I109" s="10" t="n"/>
      <c r="J109" s="65" t="n">
        <v>80</v>
      </c>
      <c r="K109" s="66" t="inlineStr">
        <is>
          <t>-</t>
        </is>
      </c>
      <c r="L109" s="65" t="n">
        <v>69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B07</t>
        </is>
      </c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IF(C112="","",IFERROR(VLOOKUP(C112,areaNomiBreviSquadre,7,FALSE),""))</f>
        <v/>
      </c>
      <c r="C112" s="62" t="inlineStr">
        <is>
          <t>B05</t>
        </is>
      </c>
      <c r="D112" s="61">
        <f>IF(E112="","",IFERROR(VLOOKUP(E112,areaNomiBreviSquadre,7,FALSE),""))</f>
        <v/>
      </c>
      <c r="E112" s="62" t="inlineStr">
        <is>
          <t>B03</t>
        </is>
      </c>
      <c r="F112" s="63" t="n">
        <v>46334.60416666666</v>
      </c>
      <c r="G112" s="9" t="n"/>
      <c r="H112" s="9" t="n"/>
      <c r="I112" s="10" t="n"/>
      <c r="J112" s="65" t="n">
        <v>58</v>
      </c>
      <c r="K112" s="66" t="inlineStr">
        <is>
          <t>-</t>
        </is>
      </c>
      <c r="L112" s="65" t="n">
        <v>30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B07</t>
        </is>
      </c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IF(C115="","",IFERROR(VLOOKUP(C115,areaNomiBreviSquadre,7,FALSE),""))</f>
        <v/>
      </c>
      <c r="C115" s="62" t="inlineStr">
        <is>
          <t>B02</t>
        </is>
      </c>
      <c r="D115" s="61">
        <f>IF(E115="","",IFERROR(VLOOKUP(E115,areaNomiBreviSquadre,7,FALSE),""))</f>
        <v/>
      </c>
      <c r="E115" s="62" t="inlineStr">
        <is>
          <t>B06</t>
        </is>
      </c>
      <c r="F115" s="63" t="n">
        <v>46334.66666666666</v>
      </c>
      <c r="G115" s="9" t="n"/>
      <c r="H115" s="9" t="n"/>
      <c r="I115" s="10" t="n"/>
      <c r="J115" s="65" t="n">
        <v>29</v>
      </c>
      <c r="K115" s="66" t="inlineStr">
        <is>
          <t>-</t>
        </is>
      </c>
      <c r="L115" s="65" t="n">
        <v>56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B07</t>
        </is>
      </c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IF(C118="","",IFERROR(VLOOKUP(C118,areaNomiBreviSquadre,7,FALSE),""))</f>
        <v/>
      </c>
      <c r="C118" s="62" t="inlineStr">
        <is>
          <t>B09</t>
        </is>
      </c>
      <c r="D118" s="61">
        <f>IF(E118="","",IFERROR(VLOOKUP(E118,areaNomiBreviSquadre,7,FALSE),""))</f>
        <v/>
      </c>
      <c r="E118" s="62" t="inlineStr">
        <is>
          <t>B18</t>
        </is>
      </c>
      <c r="F118" s="63" t="n">
        <v>46334.72916666666</v>
      </c>
      <c r="G118" s="9" t="n"/>
      <c r="H118" s="9" t="n"/>
      <c r="I118" s="10" t="n"/>
      <c r="J118" s="65" t="n">
        <v>72</v>
      </c>
      <c r="K118" s="66" t="inlineStr">
        <is>
          <t>-</t>
        </is>
      </c>
      <c r="L118" s="65" t="n">
        <v>62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B07</t>
        </is>
      </c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IF(C121="","",IFERROR(VLOOKUP(C121,areaNomiBreviSquadre,7,FALSE),""))</f>
        <v/>
      </c>
      <c r="C121" s="62" t="inlineStr">
        <is>
          <t>B19</t>
        </is>
      </c>
      <c r="D121" s="61">
        <f>IF(E121="","",IFERROR(VLOOKUP(E121,areaNomiBreviSquadre,7,FALSE),""))</f>
        <v/>
      </c>
      <c r="E121" s="62" t="inlineStr">
        <is>
          <t>B08</t>
        </is>
      </c>
      <c r="F121" s="63" t="n">
        <v>46334.39583333334</v>
      </c>
      <c r="G121" s="9" t="n"/>
      <c r="H121" s="9" t="n"/>
      <c r="I121" s="10" t="n"/>
      <c r="J121" s="65" t="n">
        <v>74</v>
      </c>
      <c r="K121" s="66" t="inlineStr">
        <is>
          <t>-</t>
        </is>
      </c>
      <c r="L121" s="65" t="n">
        <v>55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B08</t>
        </is>
      </c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IF(C124="","",IFERROR(VLOOKUP(C124,areaNomiBreviSquadre,7,FALSE),""))</f>
        <v/>
      </c>
      <c r="C124" s="62" t="inlineStr">
        <is>
          <t>B17</t>
        </is>
      </c>
      <c r="D124" s="61">
        <f>IF(E124="","",IFERROR(VLOOKUP(E124,areaNomiBreviSquadre,7,FALSE),""))</f>
        <v/>
      </c>
      <c r="E124" s="62" t="inlineStr">
        <is>
          <t>B10</t>
        </is>
      </c>
      <c r="F124" s="63" t="n">
        <v>46334.45833333334</v>
      </c>
      <c r="G124" s="9" t="n"/>
      <c r="H124" s="9" t="n"/>
      <c r="I124" s="10" t="n"/>
      <c r="J124" s="65" t="n">
        <v>59</v>
      </c>
      <c r="K124" s="66" t="inlineStr">
        <is>
          <t>-</t>
        </is>
      </c>
      <c r="L124" s="65" t="n">
        <v>62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B08</t>
        </is>
      </c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IF(C127="","",IFERROR(VLOOKUP(C127,areaNomiBreviSquadre,7,FALSE),""))</f>
        <v/>
      </c>
      <c r="C127" s="62" t="inlineStr">
        <is>
          <t>B11</t>
        </is>
      </c>
      <c r="D127" s="61">
        <f>IF(E127="","",IFERROR(VLOOKUP(E127,areaNomiBreviSquadre,7,FALSE),""))</f>
        <v/>
      </c>
      <c r="E127" s="62" t="inlineStr">
        <is>
          <t>B16</t>
        </is>
      </c>
      <c r="F127" s="63" t="n">
        <v>46334.60416666666</v>
      </c>
      <c r="G127" s="9" t="n"/>
      <c r="H127" s="9" t="n"/>
      <c r="I127" s="10" t="n"/>
      <c r="J127" s="65" t="n">
        <v>70</v>
      </c>
      <c r="K127" s="66" t="inlineStr">
        <is>
          <t>-</t>
        </is>
      </c>
      <c r="L127" s="65" t="n">
        <v>49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B08</t>
        </is>
      </c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IF(C130="","",IFERROR(VLOOKUP(C130,areaNomiBreviSquadre,7,FALSE),""))</f>
        <v/>
      </c>
      <c r="C130" s="62" t="inlineStr">
        <is>
          <t>B15</t>
        </is>
      </c>
      <c r="D130" s="61">
        <f>IF(E130="","",IFERROR(VLOOKUP(E130,areaNomiBreviSquadre,7,FALSE),""))</f>
        <v/>
      </c>
      <c r="E130" s="62" t="inlineStr">
        <is>
          <t>B12</t>
        </is>
      </c>
      <c r="F130" s="63" t="n">
        <v>46334.66666666666</v>
      </c>
      <c r="G130" s="9" t="n"/>
      <c r="H130" s="9" t="n"/>
      <c r="I130" s="10" t="n"/>
      <c r="J130" s="65" t="n">
        <v>56</v>
      </c>
      <c r="K130" s="66" t="inlineStr">
        <is>
          <t>-</t>
        </is>
      </c>
      <c r="L130" s="65" t="n">
        <v>37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B08</t>
        </is>
      </c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IF(C133="","",IFERROR(VLOOKUP(C133,areaNomiBreviSquadre,7,FALSE),""))</f>
        <v/>
      </c>
      <c r="C133" s="62" t="inlineStr">
        <is>
          <t>B13</t>
        </is>
      </c>
      <c r="D133" s="61">
        <f>IF(E133="","",IFERROR(VLOOKUP(E133,areaNomiBreviSquadre,7,FALSE),""))</f>
        <v/>
      </c>
      <c r="E133" s="62" t="inlineStr">
        <is>
          <t>B14</t>
        </is>
      </c>
      <c r="F133" s="63" t="n">
        <v>46334.72916666666</v>
      </c>
      <c r="G133" s="9" t="n"/>
      <c r="H133" s="9" t="n"/>
      <c r="I133" s="10" t="n"/>
      <c r="J133" s="65" t="n">
        <v>43</v>
      </c>
      <c r="K133" s="66" t="inlineStr">
        <is>
          <t>-</t>
        </is>
      </c>
      <c r="L133" s="65" t="n">
        <v>22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B08</t>
        </is>
      </c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IF(C138="","",IFERROR(VLOOKUP(C138,areaNomiBreviSquadre,7,FALSE),""))</f>
        <v/>
      </c>
      <c r="C138" s="62" t="inlineStr">
        <is>
          <t>B09</t>
        </is>
      </c>
      <c r="D138" s="61">
        <f>IF(E138="","",IFERROR(VLOOKUP(E138,areaNomiBreviSquadre,7,FALSE),""))</f>
        <v/>
      </c>
      <c r="E138" s="62" t="inlineStr">
        <is>
          <t>B01</t>
        </is>
      </c>
      <c r="F138" s="63" t="n">
        <v>46341.39583333334</v>
      </c>
      <c r="G138" s="9" t="n"/>
      <c r="H138" s="9" t="n"/>
      <c r="I138" s="10" t="n"/>
      <c r="J138" s="65" t="n">
        <v>40</v>
      </c>
      <c r="K138" s="66" t="inlineStr">
        <is>
          <t>-</t>
        </is>
      </c>
      <c r="L138" s="65" t="n">
        <v>68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B09</t>
        </is>
      </c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IF(C141="","",IFERROR(VLOOKUP(C141,areaNomiBreviSquadre,7,FALSE),""))</f>
        <v/>
      </c>
      <c r="C141" s="62" t="inlineStr">
        <is>
          <t>B05</t>
        </is>
      </c>
      <c r="D141" s="61">
        <f>IF(E141="","",IFERROR(VLOOKUP(E141,areaNomiBreviSquadre,7,FALSE),""))</f>
        <v/>
      </c>
      <c r="E141" s="62" t="inlineStr">
        <is>
          <t>B20</t>
        </is>
      </c>
      <c r="F141" s="63" t="n">
        <v>46341.45833333334</v>
      </c>
      <c r="G141" s="9" t="n"/>
      <c r="H141" s="9" t="n"/>
      <c r="I141" s="10" t="n"/>
      <c r="J141" s="65" t="n">
        <v>63</v>
      </c>
      <c r="K141" s="66" t="inlineStr">
        <is>
          <t>-</t>
        </is>
      </c>
      <c r="L141" s="65" t="n">
        <v>84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B09</t>
        </is>
      </c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IF(C144="","",IFERROR(VLOOKUP(C144,areaNomiBreviSquadre,7,FALSE),""))</f>
        <v/>
      </c>
      <c r="C144" s="62" t="inlineStr">
        <is>
          <t>B04</t>
        </is>
      </c>
      <c r="D144" s="61">
        <f>IF(E144="","",IFERROR(VLOOKUP(E144,areaNomiBreviSquadre,7,FALSE),""))</f>
        <v/>
      </c>
      <c r="E144" s="62" t="inlineStr">
        <is>
          <t>B06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32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B09</t>
        </is>
      </c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IF(C147="","",IFERROR(VLOOKUP(C147,areaNomiBreviSquadre,7,FALSE),""))</f>
        <v/>
      </c>
      <c r="C147" s="62" t="inlineStr">
        <is>
          <t>B07</t>
        </is>
      </c>
      <c r="D147" s="61">
        <f>IF(E147="","",IFERROR(VLOOKUP(E147,areaNomiBreviSquadre,7,FALSE),""))</f>
        <v/>
      </c>
      <c r="E147" s="62" t="inlineStr">
        <is>
          <t>B03</t>
        </is>
      </c>
      <c r="F147" s="63" t="n">
        <v>46341.66666666666</v>
      </c>
      <c r="G147" s="9" t="n"/>
      <c r="H147" s="9" t="n"/>
      <c r="I147" s="10" t="n"/>
      <c r="J147" s="65" t="n">
        <v>36</v>
      </c>
      <c r="K147" s="66" t="inlineStr">
        <is>
          <t>-</t>
        </is>
      </c>
      <c r="L147" s="65" t="n">
        <v>53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B09</t>
        </is>
      </c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IF(C150="","",IFERROR(VLOOKUP(C150,areaNomiBreviSquadre,7,FALSE),""))</f>
        <v/>
      </c>
      <c r="C150" s="62" t="inlineStr">
        <is>
          <t>B02</t>
        </is>
      </c>
      <c r="D150" s="61">
        <f>IF(E150="","",IFERROR(VLOOKUP(E150,areaNomiBreviSquadre,7,FALSE),""))</f>
        <v/>
      </c>
      <c r="E150" s="62" t="inlineStr">
        <is>
          <t>B08</t>
        </is>
      </c>
      <c r="F150" s="63" t="n">
        <v>46341.72916666666</v>
      </c>
      <c r="G150" s="9" t="n"/>
      <c r="H150" s="9" t="n"/>
      <c r="I150" s="10" t="n"/>
      <c r="J150" s="65" t="n">
        <v>71</v>
      </c>
      <c r="K150" s="66" t="inlineStr">
        <is>
          <t>-</t>
        </is>
      </c>
      <c r="L150" s="65" t="n">
        <v>44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B09</t>
        </is>
      </c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IF(C153="","",IFERROR(VLOOKUP(C153,areaNomiBreviSquadre,7,FALSE),""))</f>
        <v/>
      </c>
      <c r="C153" s="62" t="inlineStr">
        <is>
          <t>B19</t>
        </is>
      </c>
      <c r="D153" s="61">
        <f>IF(E153="","",IFERROR(VLOOKUP(E153,areaNomiBreviSquadre,7,FALSE),""))</f>
        <v/>
      </c>
      <c r="E153" s="62" t="inlineStr">
        <is>
          <t>B10</t>
        </is>
      </c>
      <c r="F153" s="63" t="n">
        <v>46341.39583333334</v>
      </c>
      <c r="G153" s="9" t="n"/>
      <c r="H153" s="9" t="n"/>
      <c r="I153" s="10" t="n"/>
      <c r="J153" s="65" t="n">
        <v>70</v>
      </c>
      <c r="K153" s="66" t="inlineStr">
        <is>
          <t>-</t>
        </is>
      </c>
      <c r="L153" s="65" t="n">
        <v>86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B10</t>
        </is>
      </c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IF(C156="","",IFERROR(VLOOKUP(C156,areaNomiBreviSquadre,7,FALSE),""))</f>
        <v/>
      </c>
      <c r="C156" s="62" t="inlineStr">
        <is>
          <t>B11</t>
        </is>
      </c>
      <c r="D156" s="61">
        <f>IF(E156="","",IFERROR(VLOOKUP(E156,areaNomiBreviSquadre,7,FALSE),""))</f>
        <v/>
      </c>
      <c r="E156" s="62" t="inlineStr">
        <is>
          <t>B18</t>
        </is>
      </c>
      <c r="F156" s="63" t="n">
        <v>46341.45833333334</v>
      </c>
      <c r="G156" s="9" t="n"/>
      <c r="H156" s="9" t="n"/>
      <c r="I156" s="10" t="n"/>
      <c r="J156" s="65" t="n">
        <v>86</v>
      </c>
      <c r="K156" s="66" t="inlineStr">
        <is>
          <t>-</t>
        </is>
      </c>
      <c r="L156" s="65" t="n">
        <v>76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B10</t>
        </is>
      </c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IF(C159="","",IFERROR(VLOOKUP(C159,areaNomiBreviSquadre,7,FALSE),""))</f>
        <v/>
      </c>
      <c r="C159" s="62" t="inlineStr">
        <is>
          <t>B17</t>
        </is>
      </c>
      <c r="D159" s="61">
        <f>IF(E159="","",IFERROR(VLOOKUP(E159,areaNomiBreviSquadre,7,FALSE),""))</f>
        <v/>
      </c>
      <c r="E159" s="62" t="inlineStr">
        <is>
          <t>B12</t>
        </is>
      </c>
      <c r="F159" s="63" t="n">
        <v>46341.60416666666</v>
      </c>
      <c r="G159" s="9" t="n"/>
      <c r="H159" s="9" t="n"/>
      <c r="I159" s="10" t="n"/>
      <c r="J159" s="65" t="n">
        <v>75</v>
      </c>
      <c r="K159" s="66" t="inlineStr">
        <is>
          <t>-</t>
        </is>
      </c>
      <c r="L159" s="65" t="n">
        <v>49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B10</t>
        </is>
      </c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IF(C162="","",IFERROR(VLOOKUP(C162,areaNomiBreviSquadre,7,FALSE),""))</f>
        <v/>
      </c>
      <c r="C162" s="62" t="inlineStr">
        <is>
          <t>B13</t>
        </is>
      </c>
      <c r="D162" s="61">
        <f>IF(E162="","",IFERROR(VLOOKUP(E162,areaNomiBreviSquadre,7,FALSE),""))</f>
        <v/>
      </c>
      <c r="E162" s="62" t="inlineStr">
        <is>
          <t>B16</t>
        </is>
      </c>
      <c r="F162" s="63" t="n">
        <v>46341.66666666666</v>
      </c>
      <c r="G162" s="9" t="n"/>
      <c r="H162" s="9" t="n"/>
      <c r="I162" s="10" t="n"/>
      <c r="J162" s="65" t="n">
        <v>48</v>
      </c>
      <c r="K162" s="66" t="inlineStr">
        <is>
          <t>-</t>
        </is>
      </c>
      <c r="L162" s="65" t="n">
        <v>44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B10</t>
        </is>
      </c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IF(C165="","",IFERROR(VLOOKUP(C165,areaNomiBreviSquadre,7,FALSE),""))</f>
        <v/>
      </c>
      <c r="C165" s="62" t="inlineStr">
        <is>
          <t>B15</t>
        </is>
      </c>
      <c r="D165" s="61">
        <f>IF(E165="","",IFERROR(VLOOKUP(E165,areaNomiBreviSquadre,7,FALSE),""))</f>
        <v/>
      </c>
      <c r="E165" s="62" t="inlineStr">
        <is>
          <t>B14</t>
        </is>
      </c>
      <c r="F165" s="63" t="n">
        <v>46341.72916666666</v>
      </c>
      <c r="G165" s="9" t="n"/>
      <c r="H165" s="9" t="n"/>
      <c r="I165" s="10" t="n"/>
      <c r="J165" s="65" t="n">
        <v>13</v>
      </c>
      <c r="K165" s="66" t="inlineStr">
        <is>
          <t>-</t>
        </is>
      </c>
      <c r="L165" s="65" t="n">
        <v>38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B10</t>
        </is>
      </c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IF(C170="","",IFERROR(VLOOKUP(C170,areaNomiBreviSquadre,7,FALSE),""))</f>
        <v/>
      </c>
      <c r="C170" s="62" t="inlineStr">
        <is>
          <t>B11</t>
        </is>
      </c>
      <c r="D170" s="61">
        <f>IF(E170="","",IFERROR(VLOOKUP(E170,areaNomiBreviSquadre,7,FALSE),""))</f>
        <v/>
      </c>
      <c r="E170" s="62" t="inlineStr">
        <is>
          <t>B01</t>
        </is>
      </c>
      <c r="F170" s="63" t="n">
        <v>46348.39583333334</v>
      </c>
      <c r="G170" s="9" t="n"/>
      <c r="H170" s="9" t="n"/>
      <c r="I170" s="10" t="n"/>
      <c r="J170" s="65" t="n">
        <v>65</v>
      </c>
      <c r="K170" s="66" t="inlineStr">
        <is>
          <t>-</t>
        </is>
      </c>
      <c r="L170" s="65" t="n">
        <v>71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B11</t>
        </is>
      </c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IF(C173="","",IFERROR(VLOOKUP(C173,areaNomiBreviSquadre,7,FALSE),""))</f>
        <v/>
      </c>
      <c r="C173" s="62" t="inlineStr">
        <is>
          <t>B20</t>
        </is>
      </c>
      <c r="D173" s="61">
        <f>IF(E173="","",IFERROR(VLOOKUP(E173,areaNomiBreviSquadre,7,FALSE),""))</f>
        <v/>
      </c>
      <c r="E173" s="62" t="inlineStr">
        <is>
          <t>B06</t>
        </is>
      </c>
      <c r="F173" s="63" t="n">
        <v>46348.45833333334</v>
      </c>
      <c r="G173" s="9" t="n"/>
      <c r="H173" s="9" t="n"/>
      <c r="I173" s="10" t="n"/>
      <c r="J173" s="65" t="n">
        <v>63</v>
      </c>
      <c r="K173" s="66" t="inlineStr">
        <is>
          <t>-</t>
        </is>
      </c>
      <c r="L173" s="65" t="n">
        <v>42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B11</t>
        </is>
      </c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IF(C176="","",IFERROR(VLOOKUP(C176,areaNomiBreviSquadre,7,FALSE),""))</f>
        <v/>
      </c>
      <c r="C176" s="62" t="inlineStr">
        <is>
          <t>B07</t>
        </is>
      </c>
      <c r="D176" s="61">
        <f>IF(E176="","",IFERROR(VLOOKUP(E176,areaNomiBreviSquadre,7,FALSE),""))</f>
        <v/>
      </c>
      <c r="E176" s="62" t="inlineStr">
        <is>
          <t>B05</t>
        </is>
      </c>
      <c r="F176" s="63" t="n">
        <v>46348.60416666666</v>
      </c>
      <c r="G176" s="9" t="n"/>
      <c r="H176" s="9" t="n"/>
      <c r="I176" s="10" t="n"/>
      <c r="J176" s="65" t="n">
        <v>48</v>
      </c>
      <c r="K176" s="66" t="inlineStr">
        <is>
          <t>-</t>
        </is>
      </c>
      <c r="L176" s="65" t="n">
        <v>31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B11</t>
        </is>
      </c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IF(C179="","",IFERROR(VLOOKUP(C179,areaNomiBreviSquadre,7,FALSE),""))</f>
        <v/>
      </c>
      <c r="C179" s="62" t="inlineStr">
        <is>
          <t>B04</t>
        </is>
      </c>
      <c r="D179" s="61">
        <f>IF(E179="","",IFERROR(VLOOKUP(E179,areaNomiBreviSquadre,7,FALSE),""))</f>
        <v/>
      </c>
      <c r="E179" s="62" t="inlineStr">
        <is>
          <t>B08</t>
        </is>
      </c>
      <c r="F179" s="63" t="n">
        <v>46348.66666666666</v>
      </c>
      <c r="G179" s="9" t="n"/>
      <c r="H179" s="9" t="n"/>
      <c r="I179" s="10" t="n"/>
      <c r="J179" s="65" t="n">
        <v>84</v>
      </c>
      <c r="K179" s="66" t="inlineStr">
        <is>
          <t>-</t>
        </is>
      </c>
      <c r="L179" s="65" t="n">
        <v>85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B11</t>
        </is>
      </c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IF(C182="","",IFERROR(VLOOKUP(C182,areaNomiBreviSquadre,7,FALSE),""))</f>
        <v/>
      </c>
      <c r="C182" s="62" t="inlineStr">
        <is>
          <t>B09</t>
        </is>
      </c>
      <c r="D182" s="61">
        <f>IF(E182="","",IFERROR(VLOOKUP(E182,areaNomiBreviSquadre,7,FALSE),""))</f>
        <v/>
      </c>
      <c r="E182" s="62" t="inlineStr">
        <is>
          <t>B03</t>
        </is>
      </c>
      <c r="F182" s="63" t="n">
        <v>46348.72916666666</v>
      </c>
      <c r="G182" s="9" t="n"/>
      <c r="H182" s="9" t="n"/>
      <c r="I182" s="10" t="n"/>
      <c r="J182" s="65" t="n">
        <v>60</v>
      </c>
      <c r="K182" s="66" t="inlineStr">
        <is>
          <t>-</t>
        </is>
      </c>
      <c r="L182" s="65" t="n">
        <v>33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B11</t>
        </is>
      </c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IF(C185="","",IFERROR(VLOOKUP(C185,areaNomiBreviSquadre,7,FALSE),""))</f>
        <v/>
      </c>
      <c r="C185" s="62" t="inlineStr">
        <is>
          <t>B19</t>
        </is>
      </c>
      <c r="D185" s="61">
        <f>IF(E185="","",IFERROR(VLOOKUP(E185,areaNomiBreviSquadre,7,FALSE),""))</f>
        <v/>
      </c>
      <c r="E185" s="62" t="inlineStr">
        <is>
          <t>B12</t>
        </is>
      </c>
      <c r="F185" s="63" t="n">
        <v>46348.39583333334</v>
      </c>
      <c r="G185" s="9" t="n"/>
      <c r="H185" s="9" t="n"/>
      <c r="I185" s="10" t="n"/>
      <c r="J185" s="65" t="n">
        <v>60</v>
      </c>
      <c r="K185" s="66" t="inlineStr">
        <is>
          <t>-</t>
        </is>
      </c>
      <c r="L185" s="65" t="n">
        <v>58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B12</t>
        </is>
      </c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IF(C188="","",IFERROR(VLOOKUP(C188,areaNomiBreviSquadre,7,FALSE),""))</f>
        <v/>
      </c>
      <c r="C188" s="62" t="inlineStr">
        <is>
          <t>B02</t>
        </is>
      </c>
      <c r="D188" s="61">
        <f>IF(E188="","",IFERROR(VLOOKUP(E188,areaNomiBreviSquadre,7,FALSE),""))</f>
        <v/>
      </c>
      <c r="E188" s="62" t="inlineStr">
        <is>
          <t>B10</t>
        </is>
      </c>
      <c r="F188" s="63" t="n">
        <v>46348.45833333334</v>
      </c>
      <c r="G188" s="9" t="n"/>
      <c r="H188" s="9" t="n"/>
      <c r="I188" s="10" t="n"/>
      <c r="J188" s="65" t="n">
        <v>76</v>
      </c>
      <c r="K188" s="66" t="inlineStr">
        <is>
          <t>-</t>
        </is>
      </c>
      <c r="L188" s="65" t="n">
        <v>51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B12</t>
        </is>
      </c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IF(C191="","",IFERROR(VLOOKUP(C191,areaNomiBreviSquadre,7,FALSE),""))</f>
        <v/>
      </c>
      <c r="C191" s="62" t="inlineStr">
        <is>
          <t>B13</t>
        </is>
      </c>
      <c r="D191" s="61">
        <f>IF(E191="","",IFERROR(VLOOKUP(E191,areaNomiBreviSquadre,7,FALSE),""))</f>
        <v/>
      </c>
      <c r="E191" s="62" t="inlineStr">
        <is>
          <t>B18</t>
        </is>
      </c>
      <c r="F191" s="63" t="n">
        <v>46348.60416666666</v>
      </c>
      <c r="G191" s="9" t="n"/>
      <c r="H191" s="9" t="n"/>
      <c r="I191" s="10" t="n"/>
      <c r="J191" s="65" t="n">
        <v>85</v>
      </c>
      <c r="K191" s="66" t="inlineStr">
        <is>
          <t>-</t>
        </is>
      </c>
      <c r="L191" s="65" t="n">
        <v>63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B12</t>
        </is>
      </c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IF(C194="","",IFERROR(VLOOKUP(C194,areaNomiBreviSquadre,7,FALSE),""))</f>
        <v/>
      </c>
      <c r="C194" s="62" t="inlineStr">
        <is>
          <t>B17</t>
        </is>
      </c>
      <c r="D194" s="61">
        <f>IF(E194="","",IFERROR(VLOOKUP(E194,areaNomiBreviSquadre,7,FALSE),""))</f>
        <v/>
      </c>
      <c r="E194" s="62" t="inlineStr">
        <is>
          <t>B14</t>
        </is>
      </c>
      <c r="F194" s="63" t="n">
        <v>46348.66666666666</v>
      </c>
      <c r="G194" s="9" t="n"/>
      <c r="H194" s="9" t="n"/>
      <c r="I194" s="10" t="n"/>
      <c r="J194" s="65" t="n">
        <v>56</v>
      </c>
      <c r="K194" s="66" t="inlineStr">
        <is>
          <t>-</t>
        </is>
      </c>
      <c r="L194" s="65" t="n">
        <v>68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B12</t>
        </is>
      </c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IF(C197="","",IFERROR(VLOOKUP(C197,areaNomiBreviSquadre,7,FALSE),""))</f>
        <v/>
      </c>
      <c r="C197" s="62" t="inlineStr">
        <is>
          <t>B15</t>
        </is>
      </c>
      <c r="D197" s="61">
        <f>IF(E197="","",IFERROR(VLOOKUP(E197,areaNomiBreviSquadre,7,FALSE),""))</f>
        <v/>
      </c>
      <c r="E197" s="62" t="inlineStr">
        <is>
          <t>B16</t>
        </is>
      </c>
      <c r="F197" s="63" t="n">
        <v>46348.72916666666</v>
      </c>
      <c r="G197" s="9" t="n"/>
      <c r="H197" s="9" t="n"/>
      <c r="I197" s="10" t="n"/>
      <c r="J197" s="65" t="n">
        <v>88</v>
      </c>
      <c r="K197" s="66" t="inlineStr">
        <is>
          <t>-</t>
        </is>
      </c>
      <c r="L197" s="65" t="n">
        <v>87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B12</t>
        </is>
      </c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IF(C202="","",IFERROR(VLOOKUP(C202,areaNomiBreviSquadre,7,FALSE),""))</f>
        <v/>
      </c>
      <c r="C202" s="62" t="inlineStr">
        <is>
          <t>B13</t>
        </is>
      </c>
      <c r="D202" s="61">
        <f>IF(E202="","",IFERROR(VLOOKUP(E202,areaNomiBreviSquadre,7,FALSE),""))</f>
        <v/>
      </c>
      <c r="E202" s="62" t="inlineStr">
        <is>
          <t>B01</t>
        </is>
      </c>
      <c r="F202" s="63" t="n">
        <v>46355.39583333334</v>
      </c>
      <c r="G202" s="9" t="n"/>
      <c r="H202" s="9" t="n"/>
      <c r="I202" s="10" t="n"/>
      <c r="J202" s="65" t="n">
        <v>39</v>
      </c>
      <c r="K202" s="66" t="inlineStr">
        <is>
          <t>-</t>
        </is>
      </c>
      <c r="L202" s="65" t="n">
        <v>33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B13</t>
        </is>
      </c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IF(C205="","",IFERROR(VLOOKUP(C205,areaNomiBreviSquadre,7,FALSE),""))</f>
        <v/>
      </c>
      <c r="C205" s="62" t="inlineStr">
        <is>
          <t>B07</t>
        </is>
      </c>
      <c r="D205" s="61">
        <f>IF(E205="","",IFERROR(VLOOKUP(E205,areaNomiBreviSquadre,7,FALSE),""))</f>
        <v/>
      </c>
      <c r="E205" s="62" t="inlineStr">
        <is>
          <t>B20</t>
        </is>
      </c>
      <c r="F205" s="63" t="n">
        <v>46355.45833333334</v>
      </c>
      <c r="G205" s="9" t="n"/>
      <c r="H205" s="9" t="n"/>
      <c r="I205" s="10" t="n"/>
      <c r="J205" s="65" t="n">
        <v>40</v>
      </c>
      <c r="K205" s="66" t="inlineStr">
        <is>
          <t>-</t>
        </is>
      </c>
      <c r="L205" s="65" t="n">
        <v>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B13</t>
        </is>
      </c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IF(C208="","",IFERROR(VLOOKUP(C208,areaNomiBreviSquadre,7,FALSE),""))</f>
        <v/>
      </c>
      <c r="C208" s="62" t="inlineStr">
        <is>
          <t>B06</t>
        </is>
      </c>
      <c r="D208" s="61">
        <f>IF(E208="","",IFERROR(VLOOKUP(E208,areaNomiBreviSquadre,7,FALSE),""))</f>
        <v/>
      </c>
      <c r="E208" s="62" t="inlineStr">
        <is>
          <t>B08</t>
        </is>
      </c>
      <c r="F208" s="63" t="n">
        <v>46355.60416666666</v>
      </c>
      <c r="G208" s="9" t="n"/>
      <c r="H208" s="9" t="n"/>
      <c r="I208" s="10" t="n"/>
      <c r="J208" s="65" t="n">
        <v>59</v>
      </c>
      <c r="K208" s="66" t="inlineStr">
        <is>
          <t>-</t>
        </is>
      </c>
      <c r="L208" s="65" t="n">
        <v>33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B13</t>
        </is>
      </c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IF(C211="","",IFERROR(VLOOKUP(C211,areaNomiBreviSquadre,7,FALSE),""))</f>
        <v/>
      </c>
      <c r="C211" s="62" t="inlineStr">
        <is>
          <t>B09</t>
        </is>
      </c>
      <c r="D211" s="61">
        <f>IF(E211="","",IFERROR(VLOOKUP(E211,areaNomiBreviSquadre,7,FALSE),""))</f>
        <v/>
      </c>
      <c r="E211" s="62" t="inlineStr">
        <is>
          <t>B05</t>
        </is>
      </c>
      <c r="F211" s="63" t="n">
        <v>46355.66666666666</v>
      </c>
      <c r="G211" s="9" t="n"/>
      <c r="H211" s="9" t="n"/>
      <c r="I211" s="10" t="n"/>
      <c r="J211" s="65" t="n">
        <v>41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B13</t>
        </is>
      </c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IF(C214="","",IFERROR(VLOOKUP(C214,areaNomiBreviSquadre,7,FALSE),""))</f>
        <v/>
      </c>
      <c r="C214" s="62" t="inlineStr">
        <is>
          <t>B04</t>
        </is>
      </c>
      <c r="D214" s="61">
        <f>IF(E214="","",IFERROR(VLOOKUP(E214,areaNomiBreviSquadre,7,FALSE),""))</f>
        <v/>
      </c>
      <c r="E214" s="62" t="inlineStr">
        <is>
          <t>B10</t>
        </is>
      </c>
      <c r="F214" s="63" t="n">
        <v>46355.72916666666</v>
      </c>
      <c r="G214" s="9" t="n"/>
      <c r="H214" s="9" t="n"/>
      <c r="I214" s="10" t="n"/>
      <c r="J214" s="65" t="n">
        <v>30</v>
      </c>
      <c r="K214" s="66" t="inlineStr">
        <is>
          <t>-</t>
        </is>
      </c>
      <c r="L214" s="65" t="n">
        <v>52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B13</t>
        </is>
      </c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IF(C217="","",IFERROR(VLOOKUP(C217,areaNomiBreviSquadre,7,FALSE),""))</f>
        <v/>
      </c>
      <c r="C217" s="62" t="inlineStr">
        <is>
          <t>B19</t>
        </is>
      </c>
      <c r="D217" s="61">
        <f>IF(E217="","",IFERROR(VLOOKUP(E217,areaNomiBreviSquadre,7,FALSE),""))</f>
        <v/>
      </c>
      <c r="E217" s="62" t="inlineStr">
        <is>
          <t>B14</t>
        </is>
      </c>
      <c r="F217" s="63" t="n">
        <v>46355.39583333334</v>
      </c>
      <c r="G217" s="9" t="n"/>
      <c r="H217" s="9" t="n"/>
      <c r="I217" s="10" t="n"/>
      <c r="J217" s="65" t="n">
        <v>39</v>
      </c>
      <c r="K217" s="66" t="inlineStr">
        <is>
          <t>-</t>
        </is>
      </c>
      <c r="L217" s="65" t="n">
        <v>61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B14</t>
        </is>
      </c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IF(C220="","",IFERROR(VLOOKUP(C220,areaNomiBreviSquadre,7,FALSE),""))</f>
        <v/>
      </c>
      <c r="C220" s="62" t="inlineStr">
        <is>
          <t>B11</t>
        </is>
      </c>
      <c r="D220" s="61">
        <f>IF(E220="","",IFERROR(VLOOKUP(E220,areaNomiBreviSquadre,7,FALSE),""))</f>
        <v/>
      </c>
      <c r="E220" s="62" t="inlineStr">
        <is>
          <t>B03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72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B14</t>
        </is>
      </c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IF(C223="","",IFERROR(VLOOKUP(C223,areaNomiBreviSquadre,7,FALSE),""))</f>
        <v/>
      </c>
      <c r="C223" s="62" t="inlineStr">
        <is>
          <t>B02</t>
        </is>
      </c>
      <c r="D223" s="61">
        <f>IF(E223="","",IFERROR(VLOOKUP(E223,areaNomiBreviSquadre,7,FALSE),""))</f>
        <v/>
      </c>
      <c r="E223" s="62" t="inlineStr">
        <is>
          <t>B12</t>
        </is>
      </c>
      <c r="F223" s="63" t="n">
        <v>46355.60416666666</v>
      </c>
      <c r="G223" s="9" t="n"/>
      <c r="H223" s="9" t="n"/>
      <c r="I223" s="10" t="n"/>
      <c r="J223" s="65" t="n">
        <v>75</v>
      </c>
      <c r="K223" s="66" t="inlineStr">
        <is>
          <t>-</t>
        </is>
      </c>
      <c r="L223" s="65" t="n">
        <v>49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B14</t>
        </is>
      </c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IF(C226="","",IFERROR(VLOOKUP(C226,areaNomiBreviSquadre,7,FALSE),""))</f>
        <v/>
      </c>
      <c r="C226" s="62" t="inlineStr">
        <is>
          <t>B15</t>
        </is>
      </c>
      <c r="D226" s="61">
        <f>IF(E226="","",IFERROR(VLOOKUP(E226,areaNomiBreviSquadre,7,FALSE),""))</f>
        <v/>
      </c>
      <c r="E226" s="62" t="inlineStr">
        <is>
          <t>B18</t>
        </is>
      </c>
      <c r="F226" s="63" t="n">
        <v>46355.66666666666</v>
      </c>
      <c r="G226" s="9" t="n"/>
      <c r="H226" s="9" t="n"/>
      <c r="I226" s="10" t="n"/>
      <c r="J226" s="65" t="n">
        <v>80</v>
      </c>
      <c r="K226" s="66" t="inlineStr">
        <is>
          <t>-</t>
        </is>
      </c>
      <c r="L226" s="65" t="n">
        <v>60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B14</t>
        </is>
      </c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IF(C229="","",IFERROR(VLOOKUP(C229,areaNomiBreviSquadre,7,FALSE),""))</f>
        <v/>
      </c>
      <c r="C229" s="62" t="inlineStr">
        <is>
          <t>B17</t>
        </is>
      </c>
      <c r="D229" s="61">
        <f>IF(E229="","",IFERROR(VLOOKUP(E229,areaNomiBreviSquadre,7,FALSE),""))</f>
        <v/>
      </c>
      <c r="E229" s="62" t="inlineStr">
        <is>
          <t>B16</t>
        </is>
      </c>
      <c r="F229" s="63" t="n">
        <v>46355.72916666666</v>
      </c>
      <c r="G229" s="9" t="n"/>
      <c r="H229" s="9" t="n"/>
      <c r="I229" s="10" t="n"/>
      <c r="J229" s="65" t="n">
        <v>90</v>
      </c>
      <c r="K229" s="66" t="inlineStr">
        <is>
          <t>-</t>
        </is>
      </c>
      <c r="L229" s="65" t="n">
        <v>85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B14</t>
        </is>
      </c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IF(C234="","",IFERROR(VLOOKUP(C234,areaNomiBreviSquadre,7,FALSE),""))</f>
        <v/>
      </c>
      <c r="C234" s="62" t="inlineStr">
        <is>
          <t>B15</t>
        </is>
      </c>
      <c r="D234" s="61">
        <f>IF(E234="","",IFERROR(VLOOKUP(E234,areaNomiBreviSquadre,7,FALSE),""))</f>
        <v/>
      </c>
      <c r="E234" s="62" t="inlineStr">
        <is>
          <t>B01</t>
        </is>
      </c>
      <c r="F234" s="63" t="n">
        <v>46362.39583333334</v>
      </c>
      <c r="G234" s="9" t="n"/>
      <c r="H234" s="9" t="n"/>
      <c r="I234" s="10" t="n"/>
      <c r="J234" s="65" t="n">
        <v>62</v>
      </c>
      <c r="K234" s="66" t="inlineStr">
        <is>
          <t>-</t>
        </is>
      </c>
      <c r="L234" s="65" t="n">
        <v>54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B15</t>
        </is>
      </c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IF(C237="","",IFERROR(VLOOKUP(C237,areaNomiBreviSquadre,7,FALSE),""))</f>
        <v/>
      </c>
      <c r="C237" s="62" t="inlineStr">
        <is>
          <t>B20</t>
        </is>
      </c>
      <c r="D237" s="61">
        <f>IF(E237="","",IFERROR(VLOOKUP(E237,areaNomiBreviSquadre,7,FALSE),""))</f>
        <v/>
      </c>
      <c r="E237" s="62" t="inlineStr">
        <is>
          <t>B08</t>
        </is>
      </c>
      <c r="F237" s="63" t="n">
        <v>46362.45833333334</v>
      </c>
      <c r="G237" s="9" t="n"/>
      <c r="H237" s="9" t="n"/>
      <c r="I237" s="10" t="n"/>
      <c r="J237" s="65" t="n">
        <v>73</v>
      </c>
      <c r="K237" s="66" t="inlineStr">
        <is>
          <t>-</t>
        </is>
      </c>
      <c r="L237" s="65" t="n">
        <v>57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B15</t>
        </is>
      </c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IF(C240="","",IFERROR(VLOOKUP(C240,areaNomiBreviSquadre,7,FALSE),""))</f>
        <v/>
      </c>
      <c r="C240" s="62" t="inlineStr">
        <is>
          <t>B09</t>
        </is>
      </c>
      <c r="D240" s="61">
        <f>IF(E240="","",IFERROR(VLOOKUP(E240,areaNomiBreviSquadre,7,FALSE),""))</f>
        <v/>
      </c>
      <c r="E240" s="62" t="inlineStr">
        <is>
          <t>B07</t>
        </is>
      </c>
      <c r="F240" s="63" t="n">
        <v>46362.60416666666</v>
      </c>
      <c r="G240" s="9" t="n"/>
      <c r="H240" s="9" t="n"/>
      <c r="I240" s="10" t="n"/>
      <c r="J240" s="65" t="n">
        <v>30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B15</t>
        </is>
      </c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IF(C243="","",IFERROR(VLOOKUP(C243,areaNomiBreviSquadre,7,FALSE),""))</f>
        <v/>
      </c>
      <c r="C243" s="62" t="inlineStr">
        <is>
          <t>B06</t>
        </is>
      </c>
      <c r="D243" s="61">
        <f>IF(E243="","",IFERROR(VLOOKUP(E243,areaNomiBreviSquadre,7,FALSE),""))</f>
        <v/>
      </c>
      <c r="E243" s="62" t="inlineStr">
        <is>
          <t>B10</t>
        </is>
      </c>
      <c r="F243" s="63" t="n">
        <v>46362.66666666666</v>
      </c>
      <c r="G243" s="9" t="n"/>
      <c r="H243" s="9" t="n"/>
      <c r="I243" s="10" t="n"/>
      <c r="J243" s="65" t="n">
        <v>51</v>
      </c>
      <c r="K243" s="66" t="inlineStr">
        <is>
          <t>-</t>
        </is>
      </c>
      <c r="L243" s="65" t="n">
        <v>30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B15</t>
        </is>
      </c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IF(C246="","",IFERROR(VLOOKUP(C246,areaNomiBreviSquadre,7,FALSE),""))</f>
        <v/>
      </c>
      <c r="C246" s="62" t="inlineStr">
        <is>
          <t>B11</t>
        </is>
      </c>
      <c r="D246" s="61">
        <f>IF(E246="","",IFERROR(VLOOKUP(E246,areaNomiBreviSquadre,7,FALSE),""))</f>
        <v/>
      </c>
      <c r="E246" s="62" t="inlineStr">
        <is>
          <t>B05</t>
        </is>
      </c>
      <c r="F246" s="63" t="n">
        <v>46362.72916666666</v>
      </c>
      <c r="G246" s="9" t="n"/>
      <c r="H246" s="9" t="n"/>
      <c r="I246" s="10" t="n"/>
      <c r="J246" s="65" t="n">
        <v>37</v>
      </c>
      <c r="K246" s="66" t="inlineStr">
        <is>
          <t>-</t>
        </is>
      </c>
      <c r="L246" s="65" t="n">
        <v>46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B15</t>
        </is>
      </c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IF(C249="","",IFERROR(VLOOKUP(C249,areaNomiBreviSquadre,7,FALSE),""))</f>
        <v/>
      </c>
      <c r="C249" s="62" t="inlineStr">
        <is>
          <t>B19</t>
        </is>
      </c>
      <c r="D249" s="61">
        <f>IF(E249="","",IFERROR(VLOOKUP(E249,areaNomiBreviSquadre,7,FALSE),""))</f>
        <v/>
      </c>
      <c r="E249" s="62" t="inlineStr">
        <is>
          <t>B16</t>
        </is>
      </c>
      <c r="F249" s="63" t="n">
        <v>46362.39583333334</v>
      </c>
      <c r="G249" s="9" t="n"/>
      <c r="H249" s="9" t="n"/>
      <c r="I249" s="10" t="n"/>
      <c r="J249" s="65" t="n">
        <v>38</v>
      </c>
      <c r="K249" s="66" t="inlineStr">
        <is>
          <t>-</t>
        </is>
      </c>
      <c r="L249" s="65" t="n">
        <v>26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B16</t>
        </is>
      </c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IF(C252="","",IFERROR(VLOOKUP(C252,areaNomiBreviSquadre,7,FALSE),""))</f>
        <v/>
      </c>
      <c r="C252" s="62" t="inlineStr">
        <is>
          <t>B04</t>
        </is>
      </c>
      <c r="D252" s="61">
        <f>IF(E252="","",IFERROR(VLOOKUP(E252,areaNomiBreviSquadre,7,FALSE),""))</f>
        <v/>
      </c>
      <c r="E252" s="62" t="inlineStr">
        <is>
          <t>B12</t>
        </is>
      </c>
      <c r="F252" s="63" t="n">
        <v>46362.45833333334</v>
      </c>
      <c r="G252" s="9" t="n"/>
      <c r="H252" s="9" t="n"/>
      <c r="I252" s="10" t="n"/>
      <c r="J252" s="65" t="n">
        <v>63</v>
      </c>
      <c r="K252" s="66" t="inlineStr">
        <is>
          <t>-</t>
        </is>
      </c>
      <c r="L252" s="65" t="n">
        <v>38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B16</t>
        </is>
      </c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IF(C255="","",IFERROR(VLOOKUP(C255,areaNomiBreviSquadre,7,FALSE),""))</f>
        <v/>
      </c>
      <c r="C255" s="62" t="inlineStr">
        <is>
          <t>B13</t>
        </is>
      </c>
      <c r="D255" s="61">
        <f>IF(E255="","",IFERROR(VLOOKUP(E255,areaNomiBreviSquadre,7,FALSE),""))</f>
        <v/>
      </c>
      <c r="E255" s="62" t="inlineStr">
        <is>
          <t>B03</t>
        </is>
      </c>
      <c r="F255" s="63" t="n">
        <v>46362.60416666666</v>
      </c>
      <c r="G255" s="9" t="n"/>
      <c r="H255" s="9" t="n"/>
      <c r="I255" s="10" t="n"/>
      <c r="J255" s="65" t="n">
        <v>41</v>
      </c>
      <c r="K255" s="66" t="inlineStr">
        <is>
          <t>-</t>
        </is>
      </c>
      <c r="L255" s="65" t="n">
        <v>13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B16</t>
        </is>
      </c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IF(C258="","",IFERROR(VLOOKUP(C258,areaNomiBreviSquadre,7,FALSE),""))</f>
        <v/>
      </c>
      <c r="C258" s="62" t="inlineStr">
        <is>
          <t>B02</t>
        </is>
      </c>
      <c r="D258" s="61">
        <f>IF(E258="","",IFERROR(VLOOKUP(E258,areaNomiBreviSquadre,7,FALSE),""))</f>
        <v/>
      </c>
      <c r="E258" s="62" t="inlineStr">
        <is>
          <t>B14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57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B16</t>
        </is>
      </c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IF(C261="","",IFERROR(VLOOKUP(C261,areaNomiBreviSquadre,7,FALSE),""))</f>
        <v/>
      </c>
      <c r="C261" s="62" t="inlineStr">
        <is>
          <t>B17</t>
        </is>
      </c>
      <c r="D261" s="61">
        <f>IF(E261="","",IFERROR(VLOOKUP(E261,areaNomiBreviSquadre,7,FALSE),""))</f>
        <v/>
      </c>
      <c r="E261" s="62" t="inlineStr">
        <is>
          <t>B18</t>
        </is>
      </c>
      <c r="F261" s="63" t="n">
        <v>46362.72916666666</v>
      </c>
      <c r="G261" s="9" t="n"/>
      <c r="H261" s="9" t="n"/>
      <c r="I261" s="10" t="n"/>
      <c r="J261" s="65" t="n">
        <v>53</v>
      </c>
      <c r="K261" s="66" t="inlineStr">
        <is>
          <t>-</t>
        </is>
      </c>
      <c r="L261" s="65" t="n">
        <v>63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B16</t>
        </is>
      </c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IF(C266="","",IFERROR(VLOOKUP(C266,areaNomiBreviSquadre,7,FALSE),""))</f>
        <v/>
      </c>
      <c r="C266" s="62" t="inlineStr">
        <is>
          <t>B17</t>
        </is>
      </c>
      <c r="D266" s="61">
        <f>IF(E266="","",IFERROR(VLOOKUP(E266,areaNomiBreviSquadre,7,FALSE),""))</f>
        <v/>
      </c>
      <c r="E266" s="62" t="inlineStr">
        <is>
          <t>B01</t>
        </is>
      </c>
      <c r="F266" s="63" t="n">
        <v>46369.39583333334</v>
      </c>
      <c r="G266" s="9" t="n"/>
      <c r="H266" s="9" t="n"/>
      <c r="I266" s="10" t="n"/>
      <c r="J266" s="65" t="n">
        <v>89</v>
      </c>
      <c r="K266" s="66" t="inlineStr">
        <is>
          <t>-</t>
        </is>
      </c>
      <c r="L266" s="65" t="n">
        <v>88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B17</t>
        </is>
      </c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IF(C269="","",IFERROR(VLOOKUP(C269,areaNomiBreviSquadre,7,FALSE),""))</f>
        <v/>
      </c>
      <c r="C269" s="62" t="inlineStr">
        <is>
          <t>B09</t>
        </is>
      </c>
      <c r="D269" s="61">
        <f>IF(E269="","",IFERROR(VLOOKUP(E269,areaNomiBreviSquadre,7,FALSE),""))</f>
        <v/>
      </c>
      <c r="E269" s="62" t="inlineStr">
        <is>
          <t>B20</t>
        </is>
      </c>
      <c r="F269" s="63" t="n">
        <v>46369.45833333334</v>
      </c>
      <c r="G269" s="9" t="n"/>
      <c r="H269" s="9" t="n"/>
      <c r="I269" s="10" t="n"/>
      <c r="J269" s="65" t="n">
        <v>57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B17</t>
        </is>
      </c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IF(C272="","",IFERROR(VLOOKUP(C272,areaNomiBreviSquadre,7,FALSE),""))</f>
        <v/>
      </c>
      <c r="C272" s="62" t="inlineStr">
        <is>
          <t>B08</t>
        </is>
      </c>
      <c r="D272" s="61">
        <f>IF(E272="","",IFERROR(VLOOKUP(E272,areaNomiBreviSquadre,7,FALSE),""))</f>
        <v/>
      </c>
      <c r="E272" s="62" t="inlineStr">
        <is>
          <t>B10</t>
        </is>
      </c>
      <c r="F272" s="63" t="n">
        <v>46369.60416666666</v>
      </c>
      <c r="G272" s="9" t="n"/>
      <c r="H272" s="9" t="n"/>
      <c r="I272" s="10" t="n"/>
      <c r="J272" s="65" t="n">
        <v>57</v>
      </c>
      <c r="K272" s="66" t="inlineStr">
        <is>
          <t>-</t>
        </is>
      </c>
      <c r="L272" s="65" t="n">
        <v>53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B17</t>
        </is>
      </c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IF(C275="","",IFERROR(VLOOKUP(C275,areaNomiBreviSquadre,7,FALSE),""))</f>
        <v/>
      </c>
      <c r="C275" s="62" t="inlineStr">
        <is>
          <t>B11</t>
        </is>
      </c>
      <c r="D275" s="61">
        <f>IF(E275="","",IFERROR(VLOOKUP(E275,areaNomiBreviSquadre,7,FALSE),""))</f>
        <v/>
      </c>
      <c r="E275" s="62" t="inlineStr">
        <is>
          <t>B07</t>
        </is>
      </c>
      <c r="F275" s="63" t="n">
        <v>46369.66666666666</v>
      </c>
      <c r="G275" s="9" t="n"/>
      <c r="H275" s="9" t="n"/>
      <c r="I275" s="10" t="n"/>
      <c r="J275" s="65" t="n">
        <v>60</v>
      </c>
      <c r="K275" s="66" t="inlineStr">
        <is>
          <t>-</t>
        </is>
      </c>
      <c r="L275" s="65" t="n">
        <v>59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B17</t>
        </is>
      </c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IF(C278="","",IFERROR(VLOOKUP(C278,areaNomiBreviSquadre,7,FALSE),""))</f>
        <v/>
      </c>
      <c r="C278" s="62" t="inlineStr">
        <is>
          <t>B06</t>
        </is>
      </c>
      <c r="D278" s="61">
        <f>IF(E278="","",IFERROR(VLOOKUP(E278,areaNomiBreviSquadre,7,FALSE),""))</f>
        <v/>
      </c>
      <c r="E278" s="62" t="inlineStr">
        <is>
          <t>B12</t>
        </is>
      </c>
      <c r="F278" s="63" t="n">
        <v>46369.72916666666</v>
      </c>
      <c r="G278" s="9" t="n"/>
      <c r="H278" s="9" t="n"/>
      <c r="I278" s="10" t="n"/>
      <c r="J278" s="65" t="n">
        <v>58</v>
      </c>
      <c r="K278" s="66" t="inlineStr">
        <is>
          <t>-</t>
        </is>
      </c>
      <c r="L278" s="65" t="n">
        <v>65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B17</t>
        </is>
      </c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IF(C281="","",IFERROR(VLOOKUP(C281,areaNomiBreviSquadre,7,FALSE),""))</f>
        <v/>
      </c>
      <c r="C281" s="62" t="inlineStr">
        <is>
          <t>B19</t>
        </is>
      </c>
      <c r="D281" s="61">
        <f>IF(E281="","",IFERROR(VLOOKUP(E281,areaNomiBreviSquadre,7,FALSE),""))</f>
        <v/>
      </c>
      <c r="E281" s="62" t="inlineStr">
        <is>
          <t>B18</t>
        </is>
      </c>
      <c r="F281" s="63" t="n">
        <v>46369.39583333334</v>
      </c>
      <c r="G281" s="9" t="n"/>
      <c r="H281" s="9" t="n"/>
      <c r="I281" s="10" t="n"/>
      <c r="J281" s="65" t="n">
        <v>84</v>
      </c>
      <c r="K281" s="66" t="inlineStr">
        <is>
          <t>-</t>
        </is>
      </c>
      <c r="L281" s="65" t="n">
        <v>67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B18</t>
        </is>
      </c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IF(C284="","",IFERROR(VLOOKUP(C284,areaNomiBreviSquadre,7,FALSE),""))</f>
        <v/>
      </c>
      <c r="C284" s="62" t="inlineStr">
        <is>
          <t>B13</t>
        </is>
      </c>
      <c r="D284" s="61">
        <f>IF(E284="","",IFERROR(VLOOKUP(E284,areaNomiBreviSquadre,7,FALSE),""))</f>
        <v/>
      </c>
      <c r="E284" s="62" t="inlineStr">
        <is>
          <t>B05</t>
        </is>
      </c>
      <c r="F284" s="63" t="n">
        <v>46369.45833333334</v>
      </c>
      <c r="G284" s="9" t="n"/>
      <c r="H284" s="9" t="n"/>
      <c r="I284" s="10" t="n"/>
      <c r="J284" s="65" t="n">
        <v>33</v>
      </c>
      <c r="K284" s="66" t="inlineStr">
        <is>
          <t>-</t>
        </is>
      </c>
      <c r="L284" s="65" t="n">
        <v>49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B18</t>
        </is>
      </c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IF(C287="","",IFERROR(VLOOKUP(C287,areaNomiBreviSquadre,7,FALSE),""))</f>
        <v/>
      </c>
      <c r="C287" s="62" t="inlineStr">
        <is>
          <t>B04</t>
        </is>
      </c>
      <c r="D287" s="61">
        <f>IF(E287="","",IFERROR(VLOOKUP(E287,areaNomiBreviSquadre,7,FALSE),""))</f>
        <v/>
      </c>
      <c r="E287" s="62" t="inlineStr">
        <is>
          <t>B14</t>
        </is>
      </c>
      <c r="F287" s="63" t="n">
        <v>46369.60416666666</v>
      </c>
      <c r="G287" s="9" t="n"/>
      <c r="H287" s="9" t="n"/>
      <c r="I287" s="10" t="n"/>
      <c r="J287" s="65" t="n">
        <v>44</v>
      </c>
      <c r="K287" s="66" t="inlineStr">
        <is>
          <t>-</t>
        </is>
      </c>
      <c r="L287" s="65" t="n">
        <v>24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B18</t>
        </is>
      </c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IF(C290="","",IFERROR(VLOOKUP(C290,areaNomiBreviSquadre,7,FALSE),""))</f>
        <v/>
      </c>
      <c r="C290" s="62" t="inlineStr">
        <is>
          <t>B15</t>
        </is>
      </c>
      <c r="D290" s="61">
        <f>IF(E290="","",IFERROR(VLOOKUP(E290,areaNomiBreviSquadre,7,FALSE),""))</f>
        <v/>
      </c>
      <c r="E290" s="62" t="inlineStr">
        <is>
          <t>B03</t>
        </is>
      </c>
      <c r="F290" s="63" t="n">
        <v>46369.66666666666</v>
      </c>
      <c r="G290" s="9" t="n"/>
      <c r="H290" s="9" t="n"/>
      <c r="I290" s="10" t="n"/>
      <c r="J290" s="65" t="n">
        <v>41</v>
      </c>
      <c r="K290" s="66" t="inlineStr">
        <is>
          <t>-</t>
        </is>
      </c>
      <c r="L290" s="65" t="n">
        <v>59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B18</t>
        </is>
      </c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IF(C293="","",IFERROR(VLOOKUP(C293,areaNomiBreviSquadre,7,FALSE),""))</f>
        <v/>
      </c>
      <c r="C293" s="62" t="inlineStr">
        <is>
          <t>B02</t>
        </is>
      </c>
      <c r="D293" s="61">
        <f>IF(E293="","",IFERROR(VLOOKUP(E293,areaNomiBreviSquadre,7,FALSE),""))</f>
        <v/>
      </c>
      <c r="E293" s="62" t="inlineStr">
        <is>
          <t>B16</t>
        </is>
      </c>
      <c r="F293" s="63" t="n">
        <v>46369.72916666666</v>
      </c>
      <c r="G293" s="9" t="n"/>
      <c r="H293" s="9" t="n"/>
      <c r="I293" s="10" t="n"/>
      <c r="J293" s="65" t="n">
        <v>73</v>
      </c>
      <c r="K293" s="66" t="inlineStr">
        <is>
          <t>-</t>
        </is>
      </c>
      <c r="L293" s="65" t="n">
        <v>71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B18</t>
        </is>
      </c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IF(C298="","",IFERROR(VLOOKUP(C298,areaNomiBreviSquadre,7,FALSE),""))</f>
        <v/>
      </c>
      <c r="C298" s="62" t="inlineStr">
        <is>
          <t>B19</t>
        </is>
      </c>
      <c r="D298" s="61">
        <f>IF(E298="","",IFERROR(VLOOKUP(E298,areaNomiBreviSquadre,7,FALSE),""))</f>
        <v/>
      </c>
      <c r="E298" s="62" t="inlineStr">
        <is>
          <t>B01</t>
        </is>
      </c>
      <c r="F298" s="63" t="n">
        <v>46376.39583333334</v>
      </c>
      <c r="G298" s="9" t="n"/>
      <c r="H298" s="9" t="n"/>
      <c r="I298" s="10" t="n"/>
      <c r="J298" s="65" t="n">
        <v>41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B19</t>
        </is>
      </c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IF(C301="","",IFERROR(VLOOKUP(C301,areaNomiBreviSquadre,7,FALSE),""))</f>
        <v/>
      </c>
      <c r="C301" s="62" t="inlineStr">
        <is>
          <t>B11</t>
        </is>
      </c>
      <c r="D301" s="61">
        <f>IF(E301="","",IFERROR(VLOOKUP(E301,areaNomiBreviSquadre,7,FALSE),""))</f>
        <v/>
      </c>
      <c r="E301" s="62" t="inlineStr">
        <is>
          <t>B09</t>
        </is>
      </c>
      <c r="F301" s="63" t="n">
        <v>46376.45833333334</v>
      </c>
      <c r="G301" s="9" t="n"/>
      <c r="H301" s="9" t="n"/>
      <c r="I301" s="10" t="n"/>
      <c r="J301" s="65" t="n">
        <v>59</v>
      </c>
      <c r="K301" s="66" t="inlineStr">
        <is>
          <t>-</t>
        </is>
      </c>
      <c r="L301" s="65" t="n">
        <v>58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B19</t>
        </is>
      </c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IF(C304="","",IFERROR(VLOOKUP(C304,areaNomiBreviSquadre,7,FALSE),""))</f>
        <v/>
      </c>
      <c r="C304" s="62" t="inlineStr">
        <is>
          <t>B08</t>
        </is>
      </c>
      <c r="D304" s="61">
        <f>IF(E304="","",IFERROR(VLOOKUP(E304,areaNomiBreviSquadre,7,FALSE),""))</f>
        <v/>
      </c>
      <c r="E304" s="62" t="inlineStr">
        <is>
          <t>B12</t>
        </is>
      </c>
      <c r="F304" s="63" t="n">
        <v>46376.60416666666</v>
      </c>
      <c r="G304" s="9" t="n"/>
      <c r="H304" s="9" t="n"/>
      <c r="I304" s="10" t="n"/>
      <c r="J304" s="65" t="n">
        <v>39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B19</t>
        </is>
      </c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IF(C307="","",IFERROR(VLOOKUP(C307,areaNomiBreviSquadre,7,FALSE),""))</f>
        <v/>
      </c>
      <c r="C307" s="62" t="inlineStr">
        <is>
          <t>B13</t>
        </is>
      </c>
      <c r="D307" s="61">
        <f>IF(E307="","",IFERROR(VLOOKUP(E307,areaNomiBreviSquadre,7,FALSE),""))</f>
        <v/>
      </c>
      <c r="E307" s="62" t="inlineStr">
        <is>
          <t>B07</t>
        </is>
      </c>
      <c r="F307" s="63" t="n">
        <v>46376.66666666666</v>
      </c>
      <c r="G307" s="9" t="n"/>
      <c r="H307" s="9" t="n"/>
      <c r="I307" s="10" t="n"/>
      <c r="J307" s="65" t="n">
        <v>26</v>
      </c>
      <c r="K307" s="66" t="inlineStr">
        <is>
          <t>-</t>
        </is>
      </c>
      <c r="L307" s="65" t="n">
        <v>54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B19</t>
        </is>
      </c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IF(C310="","",IFERROR(VLOOKUP(C310,areaNomiBreviSquadre,7,FALSE),""))</f>
        <v/>
      </c>
      <c r="C310" s="62" t="inlineStr">
        <is>
          <t>B06</t>
        </is>
      </c>
      <c r="D310" s="61">
        <f>IF(E310="","",IFERROR(VLOOKUP(E310,areaNomiBreviSquadre,7,FALSE),""))</f>
        <v/>
      </c>
      <c r="E310" s="62" t="inlineStr">
        <is>
          <t>B14</t>
        </is>
      </c>
      <c r="F310" s="63" t="n">
        <v>46376.72916666666</v>
      </c>
      <c r="G310" s="9" t="n"/>
      <c r="H310" s="9" t="n"/>
      <c r="I310" s="10" t="n"/>
      <c r="J310" s="65" t="n">
        <v>42</v>
      </c>
      <c r="K310" s="66" t="inlineStr">
        <is>
          <t>-</t>
        </is>
      </c>
      <c r="L310" s="65" t="n">
        <v>28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B19</t>
        </is>
      </c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IF(C313="","",IFERROR(VLOOKUP(C313,areaNomiBreviSquadre,7,FALSE),""))</f>
        <v/>
      </c>
      <c r="C313" s="62" t="inlineStr">
        <is>
          <t>B20</t>
        </is>
      </c>
      <c r="D313" s="61">
        <f>IF(E313="","",IFERROR(VLOOKUP(E313,areaNomiBreviSquadre,7,FALSE),""))</f>
        <v/>
      </c>
      <c r="E313" s="62" t="inlineStr">
        <is>
          <t>B10</t>
        </is>
      </c>
      <c r="F313" s="63" t="n">
        <v>46376.39583333334</v>
      </c>
      <c r="G313" s="9" t="n"/>
      <c r="H313" s="9" t="n"/>
      <c r="I313" s="10" t="n"/>
      <c r="J313" s="65" t="n">
        <v>79</v>
      </c>
      <c r="K313" s="66" t="inlineStr">
        <is>
          <t>-</t>
        </is>
      </c>
      <c r="L313" s="65" t="n">
        <v>57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B20</t>
        </is>
      </c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IF(C316="","",IFERROR(VLOOKUP(C316,areaNomiBreviSquadre,7,FALSE),""))</f>
        <v/>
      </c>
      <c r="C316" s="62" t="inlineStr">
        <is>
          <t>B15</t>
        </is>
      </c>
      <c r="D316" s="61">
        <f>IF(E316="","",IFERROR(VLOOKUP(E316,areaNomiBreviSquadre,7,FALSE),""))</f>
        <v/>
      </c>
      <c r="E316" s="62" t="inlineStr">
        <is>
          <t>B05</t>
        </is>
      </c>
      <c r="F316" s="63" t="n">
        <v>46376.45833333334</v>
      </c>
      <c r="G316" s="9" t="n"/>
      <c r="H316" s="9" t="n"/>
      <c r="I316" s="10" t="n"/>
      <c r="J316" s="65" t="n">
        <v>85</v>
      </c>
      <c r="K316" s="66" t="inlineStr">
        <is>
          <t>-</t>
        </is>
      </c>
      <c r="L316" s="65" t="n">
        <v>84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B20</t>
        </is>
      </c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IF(C319="","",IFERROR(VLOOKUP(C319,areaNomiBreviSquadre,7,FALSE),""))</f>
        <v/>
      </c>
      <c r="C319" s="62" t="inlineStr">
        <is>
          <t>B04</t>
        </is>
      </c>
      <c r="D319" s="61">
        <f>IF(E319="","",IFERROR(VLOOKUP(E319,areaNomiBreviSquadre,7,FALSE),""))</f>
        <v/>
      </c>
      <c r="E319" s="62" t="inlineStr">
        <is>
          <t>B16</t>
        </is>
      </c>
      <c r="F319" s="63" t="n">
        <v>46376.60416666666</v>
      </c>
      <c r="G319" s="9" t="n"/>
      <c r="H319" s="9" t="n"/>
      <c r="I319" s="10" t="n"/>
      <c r="J319" s="65" t="n">
        <v>20</v>
      </c>
      <c r="K319" s="66" t="inlineStr">
        <is>
          <t>-</t>
        </is>
      </c>
      <c r="L319" s="65" t="n">
        <v>48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B20</t>
        </is>
      </c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IF(C322="","",IFERROR(VLOOKUP(C322,areaNomiBreviSquadre,7,FALSE),""))</f>
        <v/>
      </c>
      <c r="C322" s="62" t="inlineStr">
        <is>
          <t>B17</t>
        </is>
      </c>
      <c r="D322" s="61">
        <f>IF(E322="","",IFERROR(VLOOKUP(E322,areaNomiBreviSquadre,7,FALSE),""))</f>
        <v/>
      </c>
      <c r="E322" s="62" t="inlineStr">
        <is>
          <t>B03</t>
        </is>
      </c>
      <c r="F322" s="63" t="n">
        <v>46376.66666666666</v>
      </c>
      <c r="G322" s="9" t="n"/>
      <c r="H322" s="9" t="n"/>
      <c r="I322" s="10" t="n"/>
      <c r="J322" s="65" t="n">
        <v>70</v>
      </c>
      <c r="K322" s="66" t="inlineStr">
        <is>
          <t>-</t>
        </is>
      </c>
      <c r="L322" s="65" t="n">
        <v>80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B20</t>
        </is>
      </c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IF(C325="","",IFERROR(VLOOKUP(C325,areaNomiBreviSquadre,7,FALSE),""))</f>
        <v/>
      </c>
      <c r="C325" s="62" t="inlineStr">
        <is>
          <t>B02</t>
        </is>
      </c>
      <c r="D325" s="61">
        <f>IF(E325="","",IFERROR(VLOOKUP(E325,areaNomiBreviSquadre,7,FALSE),""))</f>
        <v/>
      </c>
      <c r="E325" s="62" t="inlineStr">
        <is>
          <t>B18</t>
        </is>
      </c>
      <c r="F325" s="63" t="n">
        <v>46376.72916666666</v>
      </c>
      <c r="G325" s="9" t="n"/>
      <c r="H325" s="9" t="n"/>
      <c r="I325" s="10" t="n"/>
      <c r="J325" s="65" t="n">
        <v>74</v>
      </c>
      <c r="K325" s="66" t="inlineStr">
        <is>
          <t>-</t>
        </is>
      </c>
      <c r="L325" s="65" t="n">
        <v>53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B20</t>
        </is>
      </c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IF(C330="","",IFERROR(VLOOKUP(C330,areaNomiBreviSquadre,7,FALSE),""))</f>
        <v/>
      </c>
      <c r="C330" s="62" t="inlineStr">
        <is>
          <t>B02</t>
        </is>
      </c>
      <c r="D330" s="61">
        <f>IF(E330="","",IFERROR(VLOOKUP(E330,areaNomiBreviSquadre,7,FALSE),""))</f>
        <v/>
      </c>
      <c r="E330" s="62" t="inlineStr">
        <is>
          <t>B01</t>
        </is>
      </c>
      <c r="F330" s="63" t="n">
        <v>46383.39583333334</v>
      </c>
      <c r="G330" s="9" t="n"/>
      <c r="H330" s="9" t="n"/>
      <c r="I330" s="10" t="n"/>
      <c r="J330" s="65" t="n">
        <v>76</v>
      </c>
      <c r="K330" s="66" t="inlineStr">
        <is>
          <t>-</t>
        </is>
      </c>
      <c r="L330" s="65" t="n">
        <v>79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B01</t>
        </is>
      </c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IF(C333="","",IFERROR(VLOOKUP(C333,areaNomiBreviSquadre,7,FALSE),""))</f>
        <v/>
      </c>
      <c r="C333" s="62" t="inlineStr">
        <is>
          <t>B11</t>
        </is>
      </c>
      <c r="D333" s="61">
        <f>IF(E333="","",IFERROR(VLOOKUP(E333,areaNomiBreviSquadre,7,FALSE),""))</f>
        <v/>
      </c>
      <c r="E333" s="62" t="inlineStr">
        <is>
          <t>B20</t>
        </is>
      </c>
      <c r="F333" s="63" t="n">
        <v>46383.45833333334</v>
      </c>
      <c r="G333" s="9" t="n"/>
      <c r="H333" s="9" t="n"/>
      <c r="I333" s="10" t="n"/>
      <c r="J333" s="65" t="n">
        <v>57</v>
      </c>
      <c r="K333" s="66" t="inlineStr">
        <is>
          <t>-</t>
        </is>
      </c>
      <c r="L333" s="65" t="n">
        <v>67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B01</t>
        </is>
      </c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IF(C336="","",IFERROR(VLOOKUP(C336,areaNomiBreviSquadre,7,FALSE),""))</f>
        <v/>
      </c>
      <c r="C336" s="62" t="inlineStr">
        <is>
          <t>B10</t>
        </is>
      </c>
      <c r="D336" s="61">
        <f>IF(E336="","",IFERROR(VLOOKUP(E336,areaNomiBreviSquadre,7,FALSE),""))</f>
        <v/>
      </c>
      <c r="E336" s="62" t="inlineStr">
        <is>
          <t>B12</t>
        </is>
      </c>
      <c r="F336" s="63" t="n">
        <v>46383.60416666666</v>
      </c>
      <c r="G336" s="9" t="n"/>
      <c r="H336" s="9" t="n"/>
      <c r="I336" s="10" t="n"/>
      <c r="J336" s="65" t="n">
        <v>42</v>
      </c>
      <c r="K336" s="66" t="inlineStr">
        <is>
          <t>-</t>
        </is>
      </c>
      <c r="L336" s="65" t="n">
        <v>57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B01</t>
        </is>
      </c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IF(C339="","",IFERROR(VLOOKUP(C339,areaNomiBreviSquadre,7,FALSE),""))</f>
        <v/>
      </c>
      <c r="C339" s="62" t="inlineStr">
        <is>
          <t>B13</t>
        </is>
      </c>
      <c r="D339" s="61">
        <f>IF(E339="","",IFERROR(VLOOKUP(E339,areaNomiBreviSquadre,7,FALSE),""))</f>
        <v/>
      </c>
      <c r="E339" s="62" t="inlineStr">
        <is>
          <t>B09</t>
        </is>
      </c>
      <c r="F339" s="63" t="n">
        <v>46383.66666666666</v>
      </c>
      <c r="G339" s="9" t="n"/>
      <c r="H339" s="9" t="n"/>
      <c r="I339" s="10" t="n"/>
      <c r="J339" s="65" t="n">
        <v>52</v>
      </c>
      <c r="K339" s="66" t="inlineStr">
        <is>
          <t>-</t>
        </is>
      </c>
      <c r="L339" s="65" t="n">
        <v>37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B01</t>
        </is>
      </c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IF(C342="","",IFERROR(VLOOKUP(C342,areaNomiBreviSquadre,7,FALSE),""))</f>
        <v/>
      </c>
      <c r="C342" s="62" t="inlineStr">
        <is>
          <t>B08</t>
        </is>
      </c>
      <c r="D342" s="61">
        <f>IF(E342="","",IFERROR(VLOOKUP(E342,areaNomiBreviSquadre,7,FALSE),""))</f>
        <v/>
      </c>
      <c r="E342" s="62" t="inlineStr">
        <is>
          <t>B14</t>
        </is>
      </c>
      <c r="F342" s="63" t="n">
        <v>46383.72916666666</v>
      </c>
      <c r="G342" s="9" t="n"/>
      <c r="H342" s="9" t="n"/>
      <c r="I342" s="10" t="n"/>
      <c r="J342" s="65" t="n">
        <v>47</v>
      </c>
      <c r="K342" s="66" t="inlineStr">
        <is>
          <t>-</t>
        </is>
      </c>
      <c r="L342" s="65" t="n">
        <v>75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B01</t>
        </is>
      </c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IF(C345="","",IFERROR(VLOOKUP(C345,areaNomiBreviSquadre,7,FALSE),""))</f>
        <v/>
      </c>
      <c r="C345" s="62" t="inlineStr">
        <is>
          <t>B19</t>
        </is>
      </c>
      <c r="D345" s="61">
        <f>IF(E345="","",IFERROR(VLOOKUP(E345,areaNomiBreviSquadre,7,FALSE),""))</f>
        <v/>
      </c>
      <c r="E345" s="62" t="inlineStr">
        <is>
          <t>B03</t>
        </is>
      </c>
      <c r="F345" s="63" t="n">
        <v>46383.39583333334</v>
      </c>
      <c r="G345" s="9" t="n"/>
      <c r="H345" s="9" t="n"/>
      <c r="I345" s="10" t="n"/>
      <c r="J345" s="65" t="n">
        <v>74</v>
      </c>
      <c r="K345" s="66" t="inlineStr">
        <is>
          <t>-</t>
        </is>
      </c>
      <c r="L345" s="65" t="n">
        <v>64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B03</t>
        </is>
      </c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IF(C348="","",IFERROR(VLOOKUP(C348,areaNomiBreviSquadre,7,FALSE),""))</f>
        <v/>
      </c>
      <c r="C348" s="62" t="inlineStr">
        <is>
          <t>B15</t>
        </is>
      </c>
      <c r="D348" s="61">
        <f>IF(E348="","",IFERROR(VLOOKUP(E348,areaNomiBreviSquadre,7,FALSE),""))</f>
        <v/>
      </c>
      <c r="E348" s="62" t="inlineStr">
        <is>
          <t>B07</t>
        </is>
      </c>
      <c r="F348" s="63" t="n">
        <v>46383.45833333334</v>
      </c>
      <c r="G348" s="9" t="n"/>
      <c r="H348" s="9" t="n"/>
      <c r="I348" s="10" t="n"/>
      <c r="J348" s="65" t="n">
        <v>41</v>
      </c>
      <c r="K348" s="66" t="inlineStr">
        <is>
          <t>-</t>
        </is>
      </c>
      <c r="L348" s="65" t="n">
        <v>50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B03</t>
        </is>
      </c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IF(C351="","",IFERROR(VLOOKUP(C351,areaNomiBreviSquadre,7,FALSE),""))</f>
        <v/>
      </c>
      <c r="C351" s="62" t="inlineStr">
        <is>
          <t>B06</t>
        </is>
      </c>
      <c r="D351" s="61">
        <f>IF(E351="","",IFERROR(VLOOKUP(E351,areaNomiBreviSquadre,7,FALSE),""))</f>
        <v/>
      </c>
      <c r="E351" s="62" t="inlineStr">
        <is>
          <t>B16</t>
        </is>
      </c>
      <c r="F351" s="63" t="n">
        <v>46383.60416666666</v>
      </c>
      <c r="G351" s="9" t="n"/>
      <c r="H351" s="9" t="n"/>
      <c r="I351" s="10" t="n"/>
      <c r="J351" s="65" t="n">
        <v>33</v>
      </c>
      <c r="K351" s="66" t="inlineStr">
        <is>
          <t>-</t>
        </is>
      </c>
      <c r="L351" s="65" t="n">
        <v>59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B03</t>
        </is>
      </c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IF(C354="","",IFERROR(VLOOKUP(C354,areaNomiBreviSquadre,7,FALSE),""))</f>
        <v/>
      </c>
      <c r="C354" s="62" t="inlineStr">
        <is>
          <t>B17</t>
        </is>
      </c>
      <c r="D354" s="61">
        <f>IF(E354="","",IFERROR(VLOOKUP(E354,areaNomiBreviSquadre,7,FALSE),""))</f>
        <v/>
      </c>
      <c r="E354" s="62" t="inlineStr">
        <is>
          <t>B05</t>
        </is>
      </c>
      <c r="F354" s="63" t="n">
        <v>46383.66666666666</v>
      </c>
      <c r="G354" s="9" t="n"/>
      <c r="H354" s="9" t="n"/>
      <c r="I354" s="10" t="n"/>
      <c r="J354" s="65" t="n">
        <v>82</v>
      </c>
      <c r="K354" s="66" t="inlineStr">
        <is>
          <t>-</t>
        </is>
      </c>
      <c r="L354" s="65" t="n">
        <v>76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B03</t>
        </is>
      </c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IF(C357="","",IFERROR(VLOOKUP(C357,areaNomiBreviSquadre,7,FALSE),""))</f>
        <v/>
      </c>
      <c r="C357" s="62" t="inlineStr">
        <is>
          <t>B04</t>
        </is>
      </c>
      <c r="D357" s="61">
        <f>IF(E357="","",IFERROR(VLOOKUP(E357,areaNomiBreviSquadre,7,FALSE),""))</f>
        <v/>
      </c>
      <c r="E357" s="62" t="inlineStr">
        <is>
          <t>B18</t>
        </is>
      </c>
      <c r="F357" s="63" t="n">
        <v>46383.72916666666</v>
      </c>
      <c r="G357" s="9" t="n"/>
      <c r="H357" s="9" t="n"/>
      <c r="I357" s="10" t="n"/>
      <c r="J357" s="65" t="n">
        <v>81</v>
      </c>
      <c r="K357" s="66" t="inlineStr">
        <is>
          <t>-</t>
        </is>
      </c>
      <c r="L357" s="65" t="n">
        <v>69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B03</t>
        </is>
      </c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IF(C362="","",IFERROR(VLOOKUP(C362,areaNomiBreviSquadre,7,FALSE),""))</f>
        <v/>
      </c>
      <c r="C362" s="62" t="inlineStr">
        <is>
          <t>B02</t>
        </is>
      </c>
      <c r="D362" s="61">
        <f>IF(E362="","",IFERROR(VLOOKUP(E362,areaNomiBreviSquadre,7,FALSE),""))</f>
        <v/>
      </c>
      <c r="E362" s="62" t="inlineStr">
        <is>
          <t>B03</t>
        </is>
      </c>
      <c r="F362" s="63" t="n">
        <v>46390.39583333334</v>
      </c>
      <c r="G362" s="9" t="n"/>
      <c r="H362" s="9" t="n"/>
      <c r="I362" s="10" t="n"/>
      <c r="J362" s="65" t="n">
        <v>46</v>
      </c>
      <c r="K362" s="66" t="inlineStr">
        <is>
          <t>-</t>
        </is>
      </c>
      <c r="L362" s="65" t="n">
        <v>56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B03</t>
        </is>
      </c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IF(C365="","",IFERROR(VLOOKUP(C365,areaNomiBreviSquadre,7,FALSE),""))</f>
        <v/>
      </c>
      <c r="C365" s="62" t="inlineStr">
        <is>
          <t>B20</t>
        </is>
      </c>
      <c r="D365" s="61">
        <f>IF(E365="","",IFERROR(VLOOKUP(E365,areaNomiBreviSquadre,7,FALSE),""))</f>
        <v/>
      </c>
      <c r="E365" s="62" t="inlineStr">
        <is>
          <t>B12</t>
        </is>
      </c>
      <c r="F365" s="63" t="n">
        <v>46390.45833333334</v>
      </c>
      <c r="G365" s="9" t="n"/>
      <c r="H365" s="9" t="n"/>
      <c r="I365" s="10" t="n"/>
      <c r="J365" s="65" t="n">
        <v>45</v>
      </c>
      <c r="K365" s="66" t="inlineStr">
        <is>
          <t>-</t>
        </is>
      </c>
      <c r="L365" s="65" t="n">
        <v>35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B03</t>
        </is>
      </c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IF(C368="","",IFERROR(VLOOKUP(C368,areaNomiBreviSquadre,7,FALSE),""))</f>
        <v/>
      </c>
      <c r="C368" s="62" t="inlineStr">
        <is>
          <t>B13</t>
        </is>
      </c>
      <c r="D368" s="61">
        <f>IF(E368="","",IFERROR(VLOOKUP(E368,areaNomiBreviSquadre,7,FALSE),""))</f>
        <v/>
      </c>
      <c r="E368" s="62" t="inlineStr">
        <is>
          <t>B11</t>
        </is>
      </c>
      <c r="F368" s="63" t="n">
        <v>46390.60416666666</v>
      </c>
      <c r="G368" s="9" t="n"/>
      <c r="H368" s="9" t="n"/>
      <c r="I368" s="10" t="n"/>
      <c r="J368" s="65" t="n">
        <v>45</v>
      </c>
      <c r="K368" s="66" t="inlineStr">
        <is>
          <t>-</t>
        </is>
      </c>
      <c r="L368" s="65" t="n">
        <v>32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B03</t>
        </is>
      </c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IF(C371="","",IFERROR(VLOOKUP(C371,areaNomiBreviSquadre,7,FALSE),""))</f>
        <v/>
      </c>
      <c r="C371" s="62" t="inlineStr">
        <is>
          <t>B10</t>
        </is>
      </c>
      <c r="D371" s="61">
        <f>IF(E371="","",IFERROR(VLOOKUP(E371,areaNomiBreviSquadre,7,FALSE),""))</f>
        <v/>
      </c>
      <c r="E371" s="62" t="inlineStr">
        <is>
          <t>B14</t>
        </is>
      </c>
      <c r="F371" s="63" t="n">
        <v>46390.66666666666</v>
      </c>
      <c r="G371" s="9" t="n"/>
      <c r="H371" s="9" t="n"/>
      <c r="I371" s="10" t="n"/>
      <c r="J371" s="65" t="n">
        <v>91</v>
      </c>
      <c r="K371" s="66" t="inlineStr">
        <is>
          <t>-</t>
        </is>
      </c>
      <c r="L371" s="65" t="n">
        <v>66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B03</t>
        </is>
      </c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IF(C374="","",IFERROR(VLOOKUP(C374,areaNomiBreviSquadre,7,FALSE),""))</f>
        <v/>
      </c>
      <c r="C374" s="62" t="inlineStr">
        <is>
          <t>B15</t>
        </is>
      </c>
      <c r="D374" s="61">
        <f>IF(E374="","",IFERROR(VLOOKUP(E374,areaNomiBreviSquadre,7,FALSE),""))</f>
        <v/>
      </c>
      <c r="E374" s="62" t="inlineStr">
        <is>
          <t>B09</t>
        </is>
      </c>
      <c r="F374" s="63" t="n">
        <v>46390.72916666666</v>
      </c>
      <c r="G374" s="9" t="n"/>
      <c r="H374" s="9" t="n"/>
      <c r="I374" s="10" t="n"/>
      <c r="J374" s="65" t="n">
        <v>34</v>
      </c>
      <c r="K374" s="66" t="inlineStr">
        <is>
          <t>-</t>
        </is>
      </c>
      <c r="L374" s="65" t="n">
        <v>40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B03</t>
        </is>
      </c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IF(C377="","",IFERROR(VLOOKUP(C377,areaNomiBreviSquadre,7,FALSE),""))</f>
        <v/>
      </c>
      <c r="C377" s="62" t="inlineStr">
        <is>
          <t>B04</t>
        </is>
      </c>
      <c r="D377" s="61">
        <f>IF(E377="","",IFERROR(VLOOKUP(E377,areaNomiBreviSquadre,7,FALSE),""))</f>
        <v/>
      </c>
      <c r="E377" s="62" t="inlineStr">
        <is>
          <t>B01</t>
        </is>
      </c>
      <c r="F377" s="63" t="n">
        <v>46390.39583333334</v>
      </c>
      <c r="G377" s="9" t="n"/>
      <c r="H377" s="9" t="n"/>
      <c r="I377" s="10" t="n"/>
      <c r="J377" s="65" t="n">
        <v>54</v>
      </c>
      <c r="K377" s="66" t="inlineStr">
        <is>
          <t>-</t>
        </is>
      </c>
      <c r="L377" s="65" t="n">
        <v>37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B04</t>
        </is>
      </c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IF(C380="","",IFERROR(VLOOKUP(C380,areaNomiBreviSquadre,7,FALSE),""))</f>
        <v/>
      </c>
      <c r="C380" s="62" t="inlineStr">
        <is>
          <t>B08</t>
        </is>
      </c>
      <c r="D380" s="61">
        <f>IF(E380="","",IFERROR(VLOOKUP(E380,areaNomiBreviSquadre,7,FALSE),""))</f>
        <v/>
      </c>
      <c r="E380" s="62" t="inlineStr">
        <is>
          <t>B16</t>
        </is>
      </c>
      <c r="F380" s="63" t="n">
        <v>46390.45833333334</v>
      </c>
      <c r="G380" s="9" t="n"/>
      <c r="H380" s="9" t="n"/>
      <c r="I380" s="10" t="n"/>
      <c r="J380" s="65" t="n">
        <v>68</v>
      </c>
      <c r="K380" s="66" t="inlineStr">
        <is>
          <t>-</t>
        </is>
      </c>
      <c r="L380" s="65" t="n">
        <v>75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B04</t>
        </is>
      </c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IF(C383="","",IFERROR(VLOOKUP(C383,areaNomiBreviSquadre,7,FALSE),""))</f>
        <v/>
      </c>
      <c r="C383" s="62" t="inlineStr">
        <is>
          <t>B17</t>
        </is>
      </c>
      <c r="D383" s="61">
        <f>IF(E383="","",IFERROR(VLOOKUP(E383,areaNomiBreviSquadre,7,FALSE),""))</f>
        <v/>
      </c>
      <c r="E383" s="62" t="inlineStr">
        <is>
          <t>B07</t>
        </is>
      </c>
      <c r="F383" s="63" t="n">
        <v>46390.60416666666</v>
      </c>
      <c r="G383" s="9" t="n"/>
      <c r="H383" s="9" t="n"/>
      <c r="I383" s="10" t="n"/>
      <c r="J383" s="65" t="n">
        <v>28</v>
      </c>
      <c r="K383" s="66" t="inlineStr">
        <is>
          <t>-</t>
        </is>
      </c>
      <c r="L383" s="65" t="n">
        <v>43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B04</t>
        </is>
      </c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IF(C386="","",IFERROR(VLOOKUP(C386,areaNomiBreviSquadre,7,FALSE),""))</f>
        <v/>
      </c>
      <c r="C386" s="62" t="inlineStr">
        <is>
          <t>B06</t>
        </is>
      </c>
      <c r="D386" s="61">
        <f>IF(E386="","",IFERROR(VLOOKUP(E386,areaNomiBreviSquadre,7,FALSE),""))</f>
        <v/>
      </c>
      <c r="E386" s="62" t="inlineStr">
        <is>
          <t>B18</t>
        </is>
      </c>
      <c r="F386" s="63" t="n">
        <v>46390.66666666666</v>
      </c>
      <c r="G386" s="9" t="n"/>
      <c r="H386" s="9" t="n"/>
      <c r="I386" s="10" t="n"/>
      <c r="J386" s="65" t="n">
        <v>54</v>
      </c>
      <c r="K386" s="66" t="inlineStr">
        <is>
          <t>-</t>
        </is>
      </c>
      <c r="L386" s="65" t="n">
        <v>58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B04</t>
        </is>
      </c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IF(C389="","",IFERROR(VLOOKUP(C389,areaNomiBreviSquadre,7,FALSE),""))</f>
        <v/>
      </c>
      <c r="C389" s="62" t="inlineStr">
        <is>
          <t>B19</t>
        </is>
      </c>
      <c r="D389" s="61">
        <f>IF(E389="","",IFERROR(VLOOKUP(E389,areaNomiBreviSquadre,7,FALSE),""))</f>
        <v/>
      </c>
      <c r="E389" s="62" t="inlineStr">
        <is>
          <t>B05</t>
        </is>
      </c>
      <c r="F389" s="63" t="n">
        <v>46390.72916666666</v>
      </c>
      <c r="G389" s="9" t="n"/>
      <c r="H389" s="9" t="n"/>
      <c r="I389" s="10" t="n"/>
      <c r="J389" s="65" t="n">
        <v>40</v>
      </c>
      <c r="K389" s="66" t="inlineStr">
        <is>
          <t>-</t>
        </is>
      </c>
      <c r="L389" s="65" t="n">
        <v>0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B04</t>
        </is>
      </c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IF(C394="","",IFERROR(VLOOKUP(C394,areaNomiBreviSquadre,7,FALSE),""))</f>
        <v/>
      </c>
      <c r="C394" s="62" t="inlineStr">
        <is>
          <t>B02</t>
        </is>
      </c>
      <c r="D394" s="61">
        <f>IF(E394="","",IFERROR(VLOOKUP(E394,areaNomiBreviSquadre,7,FALSE),""))</f>
        <v/>
      </c>
      <c r="E394" s="62" t="inlineStr">
        <is>
          <t>B05</t>
        </is>
      </c>
      <c r="F394" s="63" t="n">
        <v>46397.39583333334</v>
      </c>
      <c r="G394" s="9" t="n"/>
      <c r="H394" s="9" t="n"/>
      <c r="I394" s="10" t="n"/>
      <c r="J394" s="65" t="n">
        <v>72</v>
      </c>
      <c r="K394" s="66" t="inlineStr">
        <is>
          <t>-</t>
        </is>
      </c>
      <c r="L394" s="65" t="n">
        <v>67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B05</t>
        </is>
      </c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IF(C397="","",IFERROR(VLOOKUP(C397,areaNomiBreviSquadre,7,FALSE),""))</f>
        <v/>
      </c>
      <c r="C397" s="62" t="inlineStr">
        <is>
          <t>B13</t>
        </is>
      </c>
      <c r="D397" s="61">
        <f>IF(E397="","",IFERROR(VLOOKUP(E397,areaNomiBreviSquadre,7,FALSE),""))</f>
        <v/>
      </c>
      <c r="E397" s="62" t="inlineStr">
        <is>
          <t>B20</t>
        </is>
      </c>
      <c r="F397" s="63" t="n">
        <v>46397.45833333334</v>
      </c>
      <c r="G397" s="9" t="n"/>
      <c r="H397" s="9" t="n"/>
      <c r="I397" s="10" t="n"/>
      <c r="J397" s="65" t="n">
        <v>65</v>
      </c>
      <c r="K397" s="66" t="inlineStr">
        <is>
          <t>-</t>
        </is>
      </c>
      <c r="L397" s="65" t="n">
        <v>88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B05</t>
        </is>
      </c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IF(C400="","",IFERROR(VLOOKUP(C400,areaNomiBreviSquadre,7,FALSE),""))</f>
        <v/>
      </c>
      <c r="C400" s="62" t="inlineStr">
        <is>
          <t>B12</t>
        </is>
      </c>
      <c r="D400" s="61">
        <f>IF(E400="","",IFERROR(VLOOKUP(E400,areaNomiBreviSquadre,7,FALSE),""))</f>
        <v/>
      </c>
      <c r="E400" s="62" t="inlineStr">
        <is>
          <t>B14</t>
        </is>
      </c>
      <c r="F400" s="63" t="n">
        <v>46397.60416666666</v>
      </c>
      <c r="G400" s="9" t="n"/>
      <c r="H400" s="9" t="n"/>
      <c r="I400" s="10" t="n"/>
      <c r="J400" s="65" t="n">
        <v>69</v>
      </c>
      <c r="K400" s="66" t="inlineStr">
        <is>
          <t>-</t>
        </is>
      </c>
      <c r="L400" s="65" t="n">
        <v>52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B05</t>
        </is>
      </c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IF(C403="","",IFERROR(VLOOKUP(C403,areaNomiBreviSquadre,7,FALSE),""))</f>
        <v/>
      </c>
      <c r="C403" s="62" t="inlineStr">
        <is>
          <t>B15</t>
        </is>
      </c>
      <c r="D403" s="61">
        <f>IF(E403="","",IFERROR(VLOOKUP(E403,areaNomiBreviSquadre,7,FALSE),""))</f>
        <v/>
      </c>
      <c r="E403" s="62" t="inlineStr">
        <is>
          <t>B11</t>
        </is>
      </c>
      <c r="F403" s="63" t="n">
        <v>46397.66666666666</v>
      </c>
      <c r="G403" s="9" t="n"/>
      <c r="H403" s="9" t="n"/>
      <c r="I403" s="10" t="n"/>
      <c r="J403" s="65" t="n">
        <v>72</v>
      </c>
      <c r="K403" s="66" t="inlineStr">
        <is>
          <t>-</t>
        </is>
      </c>
      <c r="L403" s="65" t="n">
        <v>90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B05</t>
        </is>
      </c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IF(C406="","",IFERROR(VLOOKUP(C406,areaNomiBreviSquadre,7,FALSE),""))</f>
        <v/>
      </c>
      <c r="C406" s="62" t="inlineStr">
        <is>
          <t>B10</t>
        </is>
      </c>
      <c r="D406" s="61">
        <f>IF(E406="","",IFERROR(VLOOKUP(E406,areaNomiBreviSquadre,7,FALSE),""))</f>
        <v/>
      </c>
      <c r="E406" s="62" t="inlineStr">
        <is>
          <t>B16</t>
        </is>
      </c>
      <c r="F406" s="63" t="n">
        <v>46397.72916666666</v>
      </c>
      <c r="G406" s="9" t="n"/>
      <c r="H406" s="9" t="n"/>
      <c r="I406" s="10" t="n"/>
      <c r="J406" s="65" t="n">
        <v>63</v>
      </c>
      <c r="K406" s="66" t="inlineStr">
        <is>
          <t>-</t>
        </is>
      </c>
      <c r="L406" s="65" t="n">
        <v>66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B05</t>
        </is>
      </c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IF(C409="","",IFERROR(VLOOKUP(C409,areaNomiBreviSquadre,7,FALSE),""))</f>
        <v/>
      </c>
      <c r="C409" s="62" t="inlineStr">
        <is>
          <t>B06</t>
        </is>
      </c>
      <c r="D409" s="61">
        <f>IF(E409="","",IFERROR(VLOOKUP(E409,areaNomiBreviSquadre,7,FALSE),""))</f>
        <v/>
      </c>
      <c r="E409" s="62" t="inlineStr">
        <is>
          <t>B01</t>
        </is>
      </c>
      <c r="F409" s="63" t="n">
        <v>46397.39583333334</v>
      </c>
      <c r="G409" s="9" t="n"/>
      <c r="H409" s="9" t="n"/>
      <c r="I409" s="10" t="n"/>
      <c r="J409" s="65" t="n">
        <v>87</v>
      </c>
      <c r="K409" s="66" t="inlineStr">
        <is>
          <t>-</t>
        </is>
      </c>
      <c r="L409" s="65" t="n">
        <v>76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B06</t>
        </is>
      </c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IF(C412="","",IFERROR(VLOOKUP(C412,areaNomiBreviSquadre,7,FALSE),""))</f>
        <v/>
      </c>
      <c r="C412" s="62" t="inlineStr">
        <is>
          <t>B17</t>
        </is>
      </c>
      <c r="D412" s="61">
        <f>IF(E412="","",IFERROR(VLOOKUP(E412,areaNomiBreviSquadre,7,FALSE),""))</f>
        <v/>
      </c>
      <c r="E412" s="62" t="inlineStr">
        <is>
          <t>B09</t>
        </is>
      </c>
      <c r="F412" s="63" t="n">
        <v>46397.45833333334</v>
      </c>
      <c r="G412" s="9" t="n"/>
      <c r="H412" s="9" t="n"/>
      <c r="I412" s="10" t="n"/>
      <c r="J412" s="65" t="n">
        <v>28</v>
      </c>
      <c r="K412" s="66" t="inlineStr">
        <is>
          <t>-</t>
        </is>
      </c>
      <c r="L412" s="65" t="n">
        <v>50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B06</t>
        </is>
      </c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IF(C415="","",IFERROR(VLOOKUP(C415,areaNomiBreviSquadre,7,FALSE),""))</f>
        <v/>
      </c>
      <c r="C415" s="62" t="inlineStr">
        <is>
          <t>B08</t>
        </is>
      </c>
      <c r="D415" s="61">
        <f>IF(E415="","",IFERROR(VLOOKUP(E415,areaNomiBreviSquadre,7,FALSE),""))</f>
        <v/>
      </c>
      <c r="E415" s="62" t="inlineStr">
        <is>
          <t>B18</t>
        </is>
      </c>
      <c r="F415" s="63" t="n">
        <v>46397.60416666666</v>
      </c>
      <c r="G415" s="9" t="n"/>
      <c r="H415" s="9" t="n"/>
      <c r="I415" s="10" t="n"/>
      <c r="J415" s="65" t="n">
        <v>92</v>
      </c>
      <c r="K415" s="66" t="inlineStr">
        <is>
          <t>-</t>
        </is>
      </c>
      <c r="L415" s="65" t="n">
        <v>71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B06</t>
        </is>
      </c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IF(C418="","",IFERROR(VLOOKUP(C418,areaNomiBreviSquadre,7,FALSE),""))</f>
        <v/>
      </c>
      <c r="C418" s="62" t="inlineStr">
        <is>
          <t>B19</t>
        </is>
      </c>
      <c r="D418" s="61">
        <f>IF(E418="","",IFERROR(VLOOKUP(E418,areaNomiBreviSquadre,7,FALSE),""))</f>
        <v/>
      </c>
      <c r="E418" s="62" t="inlineStr">
        <is>
          <t>B07</t>
        </is>
      </c>
      <c r="F418" s="63" t="n">
        <v>46397.66666666666</v>
      </c>
      <c r="G418" s="9" t="n"/>
      <c r="H418" s="9" t="n"/>
      <c r="I418" s="10" t="n"/>
      <c r="J418" s="65" t="n">
        <v>77</v>
      </c>
      <c r="K418" s="66" t="inlineStr">
        <is>
          <t>-</t>
        </is>
      </c>
      <c r="L418" s="65" t="n">
        <v>61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B06</t>
        </is>
      </c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IF(C421="","",IFERROR(VLOOKUP(C421,areaNomiBreviSquadre,7,FALSE),""))</f>
        <v/>
      </c>
      <c r="C421" s="62" t="inlineStr">
        <is>
          <t>B04</t>
        </is>
      </c>
      <c r="D421" s="61">
        <f>IF(E421="","",IFERROR(VLOOKUP(E421,areaNomiBreviSquadre,7,FALSE),""))</f>
        <v/>
      </c>
      <c r="E421" s="62" t="inlineStr">
        <is>
          <t>B03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72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B06</t>
        </is>
      </c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IF(C426="","",IFERROR(VLOOKUP(C426,areaNomiBreviSquadre,7,FALSE),""))</f>
        <v/>
      </c>
      <c r="C426" s="62" t="inlineStr">
        <is>
          <t>B02</t>
        </is>
      </c>
      <c r="D426" s="61">
        <f>IF(E426="","",IFERROR(VLOOKUP(E426,areaNomiBreviSquadre,7,FALSE),""))</f>
        <v/>
      </c>
      <c r="E426" s="62" t="inlineStr">
        <is>
          <t>B07</t>
        </is>
      </c>
      <c r="F426" s="63" t="n">
        <v>46404.39583333334</v>
      </c>
      <c r="G426" s="9" t="n"/>
      <c r="H426" s="9" t="n"/>
      <c r="I426" s="10" t="n"/>
      <c r="J426" s="65" t="n">
        <v>66</v>
      </c>
      <c r="K426" s="66" t="inlineStr">
        <is>
          <t>-</t>
        </is>
      </c>
      <c r="L426" s="65" t="n">
        <v>69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B07</t>
        </is>
      </c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IF(C429="","",IFERROR(VLOOKUP(C429,areaNomiBreviSquadre,7,FALSE),""))</f>
        <v/>
      </c>
      <c r="C429" s="62" t="inlineStr">
        <is>
          <t>B20</t>
        </is>
      </c>
      <c r="D429" s="61">
        <f>IF(E429="","",IFERROR(VLOOKUP(E429,areaNomiBreviSquadre,7,FALSE),""))</f>
        <v/>
      </c>
      <c r="E429" s="62" t="inlineStr">
        <is>
          <t>B14</t>
        </is>
      </c>
      <c r="F429" s="63" t="n">
        <v>46404.45833333334</v>
      </c>
      <c r="G429" s="9" t="n"/>
      <c r="H429" s="9" t="n"/>
      <c r="I429" s="10" t="n"/>
      <c r="J429" s="65" t="n">
        <v>83</v>
      </c>
      <c r="K429" s="66" t="inlineStr">
        <is>
          <t>-</t>
        </is>
      </c>
      <c r="L429" s="65" t="n">
        <v>61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B07</t>
        </is>
      </c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IF(C432="","",IFERROR(VLOOKUP(C432,areaNomiBreviSquadre,7,FALSE),""))</f>
        <v/>
      </c>
      <c r="C432" s="62" t="inlineStr">
        <is>
          <t>B15</t>
        </is>
      </c>
      <c r="D432" s="61">
        <f>IF(E432="","",IFERROR(VLOOKUP(E432,areaNomiBreviSquadre,7,FALSE),""))</f>
        <v/>
      </c>
      <c r="E432" s="62" t="inlineStr">
        <is>
          <t>B13</t>
        </is>
      </c>
      <c r="F432" s="63" t="n">
        <v>46404.60416666666</v>
      </c>
      <c r="G432" s="9" t="n"/>
      <c r="H432" s="9" t="n"/>
      <c r="I432" s="10" t="n"/>
      <c r="J432" s="65" t="n">
        <v>61</v>
      </c>
      <c r="K432" s="66" t="inlineStr">
        <is>
          <t>-</t>
        </is>
      </c>
      <c r="L432" s="65" t="n">
        <v>43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B07</t>
        </is>
      </c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IF(C435="","",IFERROR(VLOOKUP(C435,areaNomiBreviSquadre,7,FALSE),""))</f>
        <v/>
      </c>
      <c r="C435" s="62" t="inlineStr">
        <is>
          <t>B12</t>
        </is>
      </c>
      <c r="D435" s="61">
        <f>IF(E435="","",IFERROR(VLOOKUP(E435,areaNomiBreviSquadre,7,FALSE),""))</f>
        <v/>
      </c>
      <c r="E435" s="62" t="inlineStr">
        <is>
          <t>B16</t>
        </is>
      </c>
      <c r="F435" s="63" t="n">
        <v>46404.66666666666</v>
      </c>
      <c r="G435" s="9" t="n"/>
      <c r="H435" s="9" t="n"/>
      <c r="I435" s="10" t="n"/>
      <c r="J435" s="65" t="n">
        <v>72</v>
      </c>
      <c r="K435" s="66" t="inlineStr">
        <is>
          <t>-</t>
        </is>
      </c>
      <c r="L435" s="65" t="n">
        <v>79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B07</t>
        </is>
      </c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IF(C438="","",IFERROR(VLOOKUP(C438,areaNomiBreviSquadre,7,FALSE),""))</f>
        <v/>
      </c>
      <c r="C438" s="62" t="inlineStr">
        <is>
          <t>B17</t>
        </is>
      </c>
      <c r="D438" s="61">
        <f>IF(E438="","",IFERROR(VLOOKUP(E438,areaNomiBreviSquadre,7,FALSE),""))</f>
        <v/>
      </c>
      <c r="E438" s="62" t="inlineStr">
        <is>
          <t>B11</t>
        </is>
      </c>
      <c r="F438" s="63" t="n">
        <v>46404.72916666666</v>
      </c>
      <c r="G438" s="9" t="n"/>
      <c r="H438" s="9" t="n"/>
      <c r="I438" s="10" t="n"/>
      <c r="J438" s="65" t="n">
        <v>91</v>
      </c>
      <c r="K438" s="66" t="inlineStr">
        <is>
          <t>-</t>
        </is>
      </c>
      <c r="L438" s="65" t="n">
        <v>86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B07</t>
        </is>
      </c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IF(C441="","",IFERROR(VLOOKUP(C441,areaNomiBreviSquadre,7,FALSE),""))</f>
        <v/>
      </c>
      <c r="C441" s="62" t="inlineStr">
        <is>
          <t>B08</t>
        </is>
      </c>
      <c r="D441" s="61">
        <f>IF(E441="","",IFERROR(VLOOKUP(E441,areaNomiBreviSquadre,7,FALSE),""))</f>
        <v/>
      </c>
      <c r="E441" s="62" t="inlineStr">
        <is>
          <t>B01</t>
        </is>
      </c>
      <c r="F441" s="63" t="n">
        <v>46404.39583333334</v>
      </c>
      <c r="G441" s="9" t="n"/>
      <c r="H441" s="9" t="n"/>
      <c r="I441" s="10" t="n"/>
      <c r="J441" s="65" t="n">
        <v>90</v>
      </c>
      <c r="K441" s="66" t="inlineStr">
        <is>
          <t>-</t>
        </is>
      </c>
      <c r="L441" s="65" t="n">
        <v>73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B08</t>
        </is>
      </c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IF(C444="","",IFERROR(VLOOKUP(C444,areaNomiBreviSquadre,7,FALSE),""))</f>
        <v/>
      </c>
      <c r="C444" s="62" t="inlineStr">
        <is>
          <t>B10</t>
        </is>
      </c>
      <c r="D444" s="61">
        <f>IF(E444="","",IFERROR(VLOOKUP(E444,areaNomiBreviSquadre,7,FALSE),""))</f>
        <v/>
      </c>
      <c r="E444" s="62" t="inlineStr">
        <is>
          <t>B18</t>
        </is>
      </c>
      <c r="F444" s="63" t="n">
        <v>46404.45833333334</v>
      </c>
      <c r="G444" s="9" t="n"/>
      <c r="H444" s="9" t="n"/>
      <c r="I444" s="10" t="n"/>
      <c r="J444" s="65" t="n">
        <v>59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B08</t>
        </is>
      </c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IF(C447="","",IFERROR(VLOOKUP(C447,areaNomiBreviSquadre,7,FALSE),""))</f>
        <v/>
      </c>
      <c r="C447" s="62" t="inlineStr">
        <is>
          <t>B19</t>
        </is>
      </c>
      <c r="D447" s="61">
        <f>IF(E447="","",IFERROR(VLOOKUP(E447,areaNomiBreviSquadre,7,FALSE),""))</f>
        <v/>
      </c>
      <c r="E447" s="62" t="inlineStr">
        <is>
          <t>B09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46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B08</t>
        </is>
      </c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IF(C450="","",IFERROR(VLOOKUP(C450,areaNomiBreviSquadre,7,FALSE),""))</f>
        <v/>
      </c>
      <c r="C450" s="62" t="inlineStr">
        <is>
          <t>B06</t>
        </is>
      </c>
      <c r="D450" s="61">
        <f>IF(E450="","",IFERROR(VLOOKUP(E450,areaNomiBreviSquadre,7,FALSE),""))</f>
        <v/>
      </c>
      <c r="E450" s="62" t="inlineStr">
        <is>
          <t>B03</t>
        </is>
      </c>
      <c r="F450" s="63" t="n">
        <v>46404.66666666666</v>
      </c>
      <c r="G450" s="9" t="n"/>
      <c r="H450" s="9" t="n"/>
      <c r="I450" s="10" t="n"/>
      <c r="J450" s="65" t="n">
        <v>74</v>
      </c>
      <c r="K450" s="66" t="inlineStr">
        <is>
          <t>-</t>
        </is>
      </c>
      <c r="L450" s="65" t="n">
        <v>63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B08</t>
        </is>
      </c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IF(C453="","",IFERROR(VLOOKUP(C453,areaNomiBreviSquadre,7,FALSE),""))</f>
        <v/>
      </c>
      <c r="C453" s="62" t="inlineStr">
        <is>
          <t>B04</t>
        </is>
      </c>
      <c r="D453" s="61">
        <f>IF(E453="","",IFERROR(VLOOKUP(E453,areaNomiBreviSquadre,7,FALSE),""))</f>
        <v/>
      </c>
      <c r="E453" s="62" t="inlineStr">
        <is>
          <t>B05</t>
        </is>
      </c>
      <c r="F453" s="63" t="n">
        <v>46404.72916666666</v>
      </c>
      <c r="G453" s="9" t="n"/>
      <c r="H453" s="9" t="n"/>
      <c r="I453" s="10" t="n"/>
      <c r="J453" s="65" t="n">
        <v>49</v>
      </c>
      <c r="K453" s="66" t="inlineStr">
        <is>
          <t>-</t>
        </is>
      </c>
      <c r="L453" s="65" t="n">
        <v>52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B08</t>
        </is>
      </c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IF(C458="","",IFERROR(VLOOKUP(C458,areaNomiBreviSquadre,7,FALSE),""))</f>
        <v/>
      </c>
      <c r="C458" s="62" t="inlineStr">
        <is>
          <t>B02</t>
        </is>
      </c>
      <c r="D458" s="61">
        <f>IF(E458="","",IFERROR(VLOOKUP(E458,areaNomiBreviSquadre,7,FALSE),""))</f>
        <v/>
      </c>
      <c r="E458" s="62" t="inlineStr">
        <is>
          <t>B09</t>
        </is>
      </c>
      <c r="F458" s="63" t="n">
        <v>46411.39583333334</v>
      </c>
      <c r="G458" s="9" t="n"/>
      <c r="H458" s="9" t="n"/>
      <c r="I458" s="10" t="n"/>
      <c r="J458" s="65" t="n">
        <v>71</v>
      </c>
      <c r="K458" s="66" t="inlineStr">
        <is>
          <t>-</t>
        </is>
      </c>
      <c r="L458" s="65" t="n">
        <v>67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B09</t>
        </is>
      </c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IF(C461="","",IFERROR(VLOOKUP(C461,areaNomiBreviSquadre,7,FALSE),""))</f>
        <v/>
      </c>
      <c r="C461" s="62" t="inlineStr">
        <is>
          <t>B15</t>
        </is>
      </c>
      <c r="D461" s="61">
        <f>IF(E461="","",IFERROR(VLOOKUP(E461,areaNomiBreviSquadre,7,FALSE),""))</f>
        <v/>
      </c>
      <c r="E461" s="62" t="inlineStr">
        <is>
          <t>B20</t>
        </is>
      </c>
      <c r="F461" s="63" t="n">
        <v>46411.45833333334</v>
      </c>
      <c r="G461" s="9" t="n"/>
      <c r="H461" s="9" t="n"/>
      <c r="I461" s="10" t="n"/>
      <c r="J461" s="65" t="n">
        <v>76</v>
      </c>
      <c r="K461" s="66" t="inlineStr">
        <is>
          <t>-</t>
        </is>
      </c>
      <c r="L461" s="65" t="n">
        <v>68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B09</t>
        </is>
      </c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IF(C464="","",IFERROR(VLOOKUP(C464,areaNomiBreviSquadre,7,FALSE),""))</f>
        <v/>
      </c>
      <c r="C464" s="62" t="inlineStr">
        <is>
          <t>B14</t>
        </is>
      </c>
      <c r="D464" s="61">
        <f>IF(E464="","",IFERROR(VLOOKUP(E464,areaNomiBreviSquadre,7,FALSE),""))</f>
        <v/>
      </c>
      <c r="E464" s="62" t="inlineStr">
        <is>
          <t>B16</t>
        </is>
      </c>
      <c r="F464" s="63" t="n">
        <v>46411.60416666666</v>
      </c>
      <c r="G464" s="9" t="n"/>
      <c r="H464" s="9" t="n"/>
      <c r="I464" s="10" t="n"/>
      <c r="J464" s="65" t="n">
        <v>39</v>
      </c>
      <c r="K464" s="66" t="inlineStr">
        <is>
          <t>-</t>
        </is>
      </c>
      <c r="L464" s="65" t="n">
        <v>37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B09</t>
        </is>
      </c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IF(C467="","",IFERROR(VLOOKUP(C467,areaNomiBreviSquadre,7,FALSE),""))</f>
        <v/>
      </c>
      <c r="C467" s="62" t="inlineStr">
        <is>
          <t>B17</t>
        </is>
      </c>
      <c r="D467" s="61">
        <f>IF(E467="","",IFERROR(VLOOKUP(E467,areaNomiBreviSquadre,7,FALSE),""))</f>
        <v/>
      </c>
      <c r="E467" s="62" t="inlineStr">
        <is>
          <t>B13</t>
        </is>
      </c>
      <c r="F467" s="63" t="n">
        <v>46411.66666666666</v>
      </c>
      <c r="G467" s="9" t="n"/>
      <c r="H467" s="9" t="n"/>
      <c r="I467" s="10" t="n"/>
      <c r="J467" s="65" t="n">
        <v>80</v>
      </c>
      <c r="K467" s="66" t="inlineStr">
        <is>
          <t>-</t>
        </is>
      </c>
      <c r="L467" s="65" t="n">
        <v>75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B09</t>
        </is>
      </c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IF(C470="","",IFERROR(VLOOKUP(C470,areaNomiBreviSquadre,7,FALSE),""))</f>
        <v/>
      </c>
      <c r="C470" s="62" t="inlineStr">
        <is>
          <t>B12</t>
        </is>
      </c>
      <c r="D470" s="61">
        <f>IF(E470="","",IFERROR(VLOOKUP(E470,areaNomiBreviSquadre,7,FALSE),""))</f>
        <v/>
      </c>
      <c r="E470" s="62" t="inlineStr">
        <is>
          <t>B18</t>
        </is>
      </c>
      <c r="F470" s="63" t="n">
        <v>46411.72916666666</v>
      </c>
      <c r="G470" s="9" t="n"/>
      <c r="H470" s="9" t="n"/>
      <c r="I470" s="10" t="n"/>
      <c r="J470" s="65" t="n">
        <v>50</v>
      </c>
      <c r="K470" s="66" t="inlineStr">
        <is>
          <t>-</t>
        </is>
      </c>
      <c r="L470" s="65" t="n">
        <v>31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B09</t>
        </is>
      </c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IF(C473="","",IFERROR(VLOOKUP(C473,areaNomiBreviSquadre,7,FALSE),""))</f>
        <v/>
      </c>
      <c r="C473" s="62" t="inlineStr">
        <is>
          <t>B10</t>
        </is>
      </c>
      <c r="D473" s="61">
        <f>IF(E473="","",IFERROR(VLOOKUP(E473,areaNomiBreviSquadre,7,FALSE),""))</f>
        <v/>
      </c>
      <c r="E473" s="62" t="inlineStr">
        <is>
          <t>B01</t>
        </is>
      </c>
      <c r="F473" s="63" t="n">
        <v>46411.39583333334</v>
      </c>
      <c r="G473" s="9" t="n"/>
      <c r="H473" s="9" t="n"/>
      <c r="I473" s="10" t="n"/>
      <c r="J473" s="65" t="n">
        <v>71</v>
      </c>
      <c r="K473" s="66" t="inlineStr">
        <is>
          <t>-</t>
        </is>
      </c>
      <c r="L473" s="65" t="n">
        <v>64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B10</t>
        </is>
      </c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IF(C476="","",IFERROR(VLOOKUP(C476,areaNomiBreviSquadre,7,FALSE),""))</f>
        <v/>
      </c>
      <c r="C476" s="62" t="inlineStr">
        <is>
          <t>B19</t>
        </is>
      </c>
      <c r="D476" s="61">
        <f>IF(E476="","",IFERROR(VLOOKUP(E476,areaNomiBreviSquadre,7,FALSE),""))</f>
        <v/>
      </c>
      <c r="E476" s="62" t="inlineStr">
        <is>
          <t>B11</t>
        </is>
      </c>
      <c r="F476" s="63" t="n">
        <v>46411.45833333334</v>
      </c>
      <c r="G476" s="9" t="n"/>
      <c r="H476" s="9" t="n"/>
      <c r="I476" s="10" t="n"/>
      <c r="J476" s="65" t="n">
        <v>48</v>
      </c>
      <c r="K476" s="66" t="inlineStr">
        <is>
          <t>-</t>
        </is>
      </c>
      <c r="L476" s="65" t="n">
        <v>58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B10</t>
        </is>
      </c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IF(C479="","",IFERROR(VLOOKUP(C479,areaNomiBreviSquadre,7,FALSE),""))</f>
        <v/>
      </c>
      <c r="C479" s="62" t="inlineStr">
        <is>
          <t>B08</t>
        </is>
      </c>
      <c r="D479" s="61">
        <f>IF(E479="","",IFERROR(VLOOKUP(E479,areaNomiBreviSquadre,7,FALSE),""))</f>
        <v/>
      </c>
      <c r="E479" s="62" t="inlineStr">
        <is>
          <t>B03</t>
        </is>
      </c>
      <c r="F479" s="63" t="n">
        <v>46411.60416666666</v>
      </c>
      <c r="G479" s="9" t="n"/>
      <c r="H479" s="9" t="n"/>
      <c r="I479" s="10" t="n"/>
      <c r="J479" s="65" t="n">
        <v>40</v>
      </c>
      <c r="K479" s="66" t="inlineStr">
        <is>
          <t>-</t>
        </is>
      </c>
      <c r="L479" s="65" t="n">
        <v>56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B10</t>
        </is>
      </c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IF(C482="","",IFERROR(VLOOKUP(C482,areaNomiBreviSquadre,7,FALSE),""))</f>
        <v/>
      </c>
      <c r="C482" s="62" t="inlineStr">
        <is>
          <t>B04</t>
        </is>
      </c>
      <c r="D482" s="61">
        <f>IF(E482="","",IFERROR(VLOOKUP(E482,areaNomiBreviSquadre,7,FALSE),""))</f>
        <v/>
      </c>
      <c r="E482" s="62" t="inlineStr">
        <is>
          <t>B07</t>
        </is>
      </c>
      <c r="F482" s="63" t="n">
        <v>46411.66666666666</v>
      </c>
      <c r="G482" s="9" t="n"/>
      <c r="H482" s="9" t="n"/>
      <c r="I482" s="10" t="n"/>
      <c r="J482" s="65" t="n">
        <v>54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B10</t>
        </is>
      </c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IF(C485="","",IFERROR(VLOOKUP(C485,areaNomiBreviSquadre,7,FALSE),""))</f>
        <v/>
      </c>
      <c r="C485" s="62" t="inlineStr">
        <is>
          <t>B06</t>
        </is>
      </c>
      <c r="D485" s="61">
        <f>IF(E485="","",IFERROR(VLOOKUP(E485,areaNomiBreviSquadre,7,FALSE),""))</f>
        <v/>
      </c>
      <c r="E485" s="62" t="inlineStr">
        <is>
          <t>B05</t>
        </is>
      </c>
      <c r="F485" s="63" t="n">
        <v>46411.72916666666</v>
      </c>
      <c r="G485" s="9" t="n"/>
      <c r="H485" s="9" t="n"/>
      <c r="I485" s="10" t="n"/>
      <c r="J485" s="65" t="n">
        <v>50</v>
      </c>
      <c r="K485" s="66" t="inlineStr">
        <is>
          <t>-</t>
        </is>
      </c>
      <c r="L485" s="65" t="n">
        <v>72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B10</t>
        </is>
      </c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IF(C490="","",IFERROR(VLOOKUP(C490,areaNomiBreviSquadre,7,FALSE),""))</f>
        <v/>
      </c>
      <c r="C490" s="62" t="inlineStr">
        <is>
          <t>B02</t>
        </is>
      </c>
      <c r="D490" s="61">
        <f>IF(E490="","",IFERROR(VLOOKUP(E490,areaNomiBreviSquadre,7,FALSE),""))</f>
        <v/>
      </c>
      <c r="E490" s="62" t="inlineStr">
        <is>
          <t>B11</t>
        </is>
      </c>
      <c r="F490" s="63" t="n">
        <v>46418.39583333334</v>
      </c>
      <c r="G490" s="9" t="n"/>
      <c r="H490" s="9" t="n"/>
      <c r="I490" s="10" t="n"/>
      <c r="J490" s="65" t="n">
        <v>71</v>
      </c>
      <c r="K490" s="66" t="inlineStr">
        <is>
          <t>-</t>
        </is>
      </c>
      <c r="L490" s="65" t="n">
        <v>86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B11</t>
        </is>
      </c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IF(C493="","",IFERROR(VLOOKUP(C493,areaNomiBreviSquadre,7,FALSE),""))</f>
        <v/>
      </c>
      <c r="C493" s="62" t="inlineStr">
        <is>
          <t>B20</t>
        </is>
      </c>
      <c r="D493" s="61">
        <f>IF(E493="","",IFERROR(VLOOKUP(E493,areaNomiBreviSquadre,7,FALSE),""))</f>
        <v/>
      </c>
      <c r="E493" s="62" t="inlineStr">
        <is>
          <t>B16</t>
        </is>
      </c>
      <c r="F493" s="63" t="n">
        <v>46418.45833333334</v>
      </c>
      <c r="G493" s="9" t="n"/>
      <c r="H493" s="9" t="n"/>
      <c r="I493" s="10" t="n"/>
      <c r="J493" s="65" t="n">
        <v>33</v>
      </c>
      <c r="K493" s="66" t="inlineStr">
        <is>
          <t>-</t>
        </is>
      </c>
      <c r="L493" s="65" t="n">
        <v>49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B11</t>
        </is>
      </c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IF(C496="","",IFERROR(VLOOKUP(C496,areaNomiBreviSquadre,7,FALSE),""))</f>
        <v/>
      </c>
      <c r="C496" s="62" t="inlineStr">
        <is>
          <t>B17</t>
        </is>
      </c>
      <c r="D496" s="61">
        <f>IF(E496="","",IFERROR(VLOOKUP(E496,areaNomiBreviSquadre,7,FALSE),""))</f>
        <v/>
      </c>
      <c r="E496" s="62" t="inlineStr">
        <is>
          <t>B15</t>
        </is>
      </c>
      <c r="F496" s="63" t="n">
        <v>46418.60416666666</v>
      </c>
      <c r="G496" s="9" t="n"/>
      <c r="H496" s="9" t="n"/>
      <c r="I496" s="10" t="n"/>
      <c r="J496" s="65" t="n">
        <v>78</v>
      </c>
      <c r="K496" s="66" t="inlineStr">
        <is>
          <t>-</t>
        </is>
      </c>
      <c r="L496" s="65" t="n">
        <v>76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B11</t>
        </is>
      </c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IF(C499="","",IFERROR(VLOOKUP(C499,areaNomiBreviSquadre,7,FALSE),""))</f>
        <v/>
      </c>
      <c r="C499" s="62" t="inlineStr">
        <is>
          <t>B14</t>
        </is>
      </c>
      <c r="D499" s="61">
        <f>IF(E499="","",IFERROR(VLOOKUP(E499,areaNomiBreviSquadre,7,FALSE),""))</f>
        <v/>
      </c>
      <c r="E499" s="62" t="inlineStr">
        <is>
          <t>B18</t>
        </is>
      </c>
      <c r="F499" s="63" t="n">
        <v>46418.66666666666</v>
      </c>
      <c r="G499" s="9" t="n"/>
      <c r="H499" s="9" t="n"/>
      <c r="I499" s="10" t="n"/>
      <c r="J499" s="65" t="n">
        <v>45</v>
      </c>
      <c r="K499" s="66" t="inlineStr">
        <is>
          <t>-</t>
        </is>
      </c>
      <c r="L499" s="65" t="n">
        <v>53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B11</t>
        </is>
      </c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IF(C502="","",IFERROR(VLOOKUP(C502,areaNomiBreviSquadre,7,FALSE),""))</f>
        <v/>
      </c>
      <c r="C502" s="62" t="inlineStr">
        <is>
          <t>B19</t>
        </is>
      </c>
      <c r="D502" s="61">
        <f>IF(E502="","",IFERROR(VLOOKUP(E502,areaNomiBreviSquadre,7,FALSE),""))</f>
        <v/>
      </c>
      <c r="E502" s="62" t="inlineStr">
        <is>
          <t>B13</t>
        </is>
      </c>
      <c r="F502" s="63" t="n">
        <v>46418.72916666666</v>
      </c>
      <c r="G502" s="9" t="n"/>
      <c r="H502" s="9" t="n"/>
      <c r="I502" s="10" t="n"/>
      <c r="J502" s="65" t="n">
        <v>81</v>
      </c>
      <c r="K502" s="66" t="inlineStr">
        <is>
          <t>-</t>
        </is>
      </c>
      <c r="L502" s="65" t="n">
        <v>63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B11</t>
        </is>
      </c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IF(C505="","",IFERROR(VLOOKUP(C505,areaNomiBreviSquadre,7,FALSE),""))</f>
        <v/>
      </c>
      <c r="C505" s="62" t="inlineStr">
        <is>
          <t>B12</t>
        </is>
      </c>
      <c r="D505" s="61">
        <f>IF(E505="","",IFERROR(VLOOKUP(E505,areaNomiBreviSquadre,7,FALSE),""))</f>
        <v/>
      </c>
      <c r="E505" s="62" t="inlineStr">
        <is>
          <t>B01</t>
        </is>
      </c>
      <c r="F505" s="63" t="n">
        <v>46418.39583333334</v>
      </c>
      <c r="G505" s="9" t="n"/>
      <c r="H505" s="9" t="n"/>
      <c r="I505" s="10" t="n"/>
      <c r="J505" s="65" t="n">
        <v>76</v>
      </c>
      <c r="K505" s="66" t="inlineStr">
        <is>
          <t>-</t>
        </is>
      </c>
      <c r="L505" s="65" t="n">
        <v>84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B12</t>
        </is>
      </c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IF(C508="","",IFERROR(VLOOKUP(C508,areaNomiBreviSquadre,7,FALSE),""))</f>
        <v/>
      </c>
      <c r="C508" s="62" t="inlineStr">
        <is>
          <t>B10</t>
        </is>
      </c>
      <c r="D508" s="61">
        <f>IF(E508="","",IFERROR(VLOOKUP(E508,areaNomiBreviSquadre,7,FALSE),""))</f>
        <v/>
      </c>
      <c r="E508" s="62" t="inlineStr">
        <is>
          <t>B03</t>
        </is>
      </c>
      <c r="F508" s="63" t="n">
        <v>46418.45833333334</v>
      </c>
      <c r="G508" s="9" t="n"/>
      <c r="H508" s="9" t="n"/>
      <c r="I508" s="10" t="n"/>
      <c r="J508" s="65" t="n">
        <v>67</v>
      </c>
      <c r="K508" s="66" t="inlineStr">
        <is>
          <t>-</t>
        </is>
      </c>
      <c r="L508" s="65" t="n">
        <v>64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B12</t>
        </is>
      </c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IF(C511="","",IFERROR(VLOOKUP(C511,areaNomiBreviSquadre,7,FALSE),""))</f>
        <v/>
      </c>
      <c r="C511" s="62" t="inlineStr">
        <is>
          <t>B04</t>
        </is>
      </c>
      <c r="D511" s="61">
        <f>IF(E511="","",IFERROR(VLOOKUP(E511,areaNomiBreviSquadre,7,FALSE),""))</f>
        <v/>
      </c>
      <c r="E511" s="62" t="inlineStr">
        <is>
          <t>B09</t>
        </is>
      </c>
      <c r="F511" s="63" t="n">
        <v>46418.60416666666</v>
      </c>
      <c r="G511" s="9" t="n"/>
      <c r="H511" s="9" t="n"/>
      <c r="I511" s="10" t="n"/>
      <c r="J511" s="65" t="n">
        <v>72</v>
      </c>
      <c r="K511" s="66" t="inlineStr">
        <is>
          <t>-</t>
        </is>
      </c>
      <c r="L511" s="65" t="n">
        <v>86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B12</t>
        </is>
      </c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IF(C514="","",IFERROR(VLOOKUP(C514,areaNomiBreviSquadre,7,FALSE),""))</f>
        <v/>
      </c>
      <c r="C514" s="62" t="inlineStr">
        <is>
          <t>B08</t>
        </is>
      </c>
      <c r="D514" s="61">
        <f>IF(E514="","",IFERROR(VLOOKUP(E514,areaNomiBreviSquadre,7,FALSE),""))</f>
        <v/>
      </c>
      <c r="E514" s="62" t="inlineStr">
        <is>
          <t>B05</t>
        </is>
      </c>
      <c r="F514" s="63" t="n">
        <v>46418.66666666666</v>
      </c>
      <c r="G514" s="9" t="n"/>
      <c r="H514" s="9" t="n"/>
      <c r="I514" s="10" t="n"/>
      <c r="J514" s="65" t="n">
        <v>38</v>
      </c>
      <c r="K514" s="66" t="inlineStr">
        <is>
          <t>-</t>
        </is>
      </c>
      <c r="L514" s="65" t="n">
        <v>47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B12</t>
        </is>
      </c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IF(C517="","",IFERROR(VLOOKUP(C517,areaNomiBreviSquadre,7,FALSE),""))</f>
        <v/>
      </c>
      <c r="C517" s="62" t="inlineStr">
        <is>
          <t>B06</t>
        </is>
      </c>
      <c r="D517" s="61">
        <f>IF(E517="","",IFERROR(VLOOKUP(E517,areaNomiBreviSquadre,7,FALSE),""))</f>
        <v/>
      </c>
      <c r="E517" s="62" t="inlineStr">
        <is>
          <t>B07</t>
        </is>
      </c>
      <c r="F517" s="63" t="n">
        <v>46418.72916666666</v>
      </c>
      <c r="G517" s="9" t="n"/>
      <c r="H517" s="9" t="n"/>
      <c r="I517" s="10" t="n"/>
      <c r="J517" s="65" t="n">
        <v>50</v>
      </c>
      <c r="K517" s="66" t="inlineStr">
        <is>
          <t>-</t>
        </is>
      </c>
      <c r="L517" s="65" t="n">
        <v>73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B12</t>
        </is>
      </c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IF(C522="","",IFERROR(VLOOKUP(C522,areaNomiBreviSquadre,7,FALSE),""))</f>
        <v/>
      </c>
      <c r="C522" s="62" t="inlineStr">
        <is>
          <t>B02</t>
        </is>
      </c>
      <c r="D522" s="61">
        <f>IF(E522="","",IFERROR(VLOOKUP(E522,areaNomiBreviSquadre,7,FALSE),""))</f>
        <v/>
      </c>
      <c r="E522" s="62" t="inlineStr">
        <is>
          <t>B13</t>
        </is>
      </c>
      <c r="F522" s="63" t="n">
        <v>46425.39583333334</v>
      </c>
      <c r="G522" s="9" t="n"/>
      <c r="H522" s="9" t="n"/>
      <c r="I522" s="10" t="n"/>
      <c r="J522" s="65" t="n">
        <v>19</v>
      </c>
      <c r="K522" s="66" t="inlineStr">
        <is>
          <t>-</t>
        </is>
      </c>
      <c r="L522" s="65" t="n">
        <v>44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B13</t>
        </is>
      </c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IF(C525="","",IFERROR(VLOOKUP(C525,areaNomiBreviSquadre,7,FALSE),""))</f>
        <v/>
      </c>
      <c r="C525" s="62" t="inlineStr">
        <is>
          <t>B17</t>
        </is>
      </c>
      <c r="D525" s="61">
        <f>IF(E525="","",IFERROR(VLOOKUP(E525,areaNomiBreviSquadre,7,FALSE),""))</f>
        <v/>
      </c>
      <c r="E525" s="62" t="inlineStr">
        <is>
          <t>B20</t>
        </is>
      </c>
      <c r="F525" s="63" t="n">
        <v>46425.45833333334</v>
      </c>
      <c r="G525" s="9" t="n"/>
      <c r="H525" s="9" t="n"/>
      <c r="I525" s="10" t="n"/>
      <c r="J525" s="65" t="n">
        <v>52</v>
      </c>
      <c r="K525" s="66" t="inlineStr">
        <is>
          <t>-</t>
        </is>
      </c>
      <c r="L525" s="65" t="n">
        <v>65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B13</t>
        </is>
      </c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IF(C528="","",IFERROR(VLOOKUP(C528,areaNomiBreviSquadre,7,FALSE),""))</f>
        <v/>
      </c>
      <c r="C528" s="62" t="inlineStr">
        <is>
          <t>B16</t>
        </is>
      </c>
      <c r="D528" s="61">
        <f>IF(E528="","",IFERROR(VLOOKUP(E528,areaNomiBreviSquadre,7,FALSE),""))</f>
        <v/>
      </c>
      <c r="E528" s="62" t="inlineStr">
        <is>
          <t>B18</t>
        </is>
      </c>
      <c r="F528" s="63" t="n">
        <v>46425.60416666666</v>
      </c>
      <c r="G528" s="9" t="n"/>
      <c r="H528" s="9" t="n"/>
      <c r="I528" s="10" t="n"/>
      <c r="J528" s="65" t="n">
        <v>59</v>
      </c>
      <c r="K528" s="66" t="inlineStr">
        <is>
          <t>-</t>
        </is>
      </c>
      <c r="L528" s="65" t="n">
        <v>79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B13</t>
        </is>
      </c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IF(C531="","",IFERROR(VLOOKUP(C531,areaNomiBreviSquadre,7,FALSE),""))</f>
        <v/>
      </c>
      <c r="C531" s="62" t="inlineStr">
        <is>
          <t>B19</t>
        </is>
      </c>
      <c r="D531" s="61">
        <f>IF(E531="","",IFERROR(VLOOKUP(E531,areaNomiBreviSquadre,7,FALSE),""))</f>
        <v/>
      </c>
      <c r="E531" s="62" t="inlineStr">
        <is>
          <t>B15</t>
        </is>
      </c>
      <c r="F531" s="63" t="n">
        <v>46425.66666666666</v>
      </c>
      <c r="G531" s="9" t="n"/>
      <c r="H531" s="9" t="n"/>
      <c r="I531" s="10" t="n"/>
      <c r="J531" s="65" t="n">
        <v>92</v>
      </c>
      <c r="K531" s="66" t="inlineStr">
        <is>
          <t>-</t>
        </is>
      </c>
      <c r="L531" s="65" t="n">
        <v>67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B13</t>
        </is>
      </c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IF(C534="","",IFERROR(VLOOKUP(C534,areaNomiBreviSquadre,7,FALSE),""))</f>
        <v/>
      </c>
      <c r="C534" s="62" t="inlineStr">
        <is>
          <t>B12</t>
        </is>
      </c>
      <c r="D534" s="61">
        <f>IF(E534="","",IFERROR(VLOOKUP(E534,areaNomiBreviSquadre,7,FALSE),""))</f>
        <v/>
      </c>
      <c r="E534" s="62" t="inlineStr">
        <is>
          <t>B03</t>
        </is>
      </c>
      <c r="F534" s="63" t="n">
        <v>46425.72916666666</v>
      </c>
      <c r="G534" s="9" t="n"/>
      <c r="H534" s="9" t="n"/>
      <c r="I534" s="10" t="n"/>
      <c r="J534" s="65" t="n">
        <v>47</v>
      </c>
      <c r="K534" s="66" t="inlineStr">
        <is>
          <t>-</t>
        </is>
      </c>
      <c r="L534" s="65" t="n">
        <v>75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B13</t>
        </is>
      </c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IF(C537="","",IFERROR(VLOOKUP(C537,areaNomiBreviSquadre,7,FALSE),""))</f>
        <v/>
      </c>
      <c r="C537" s="62" t="inlineStr">
        <is>
          <t>B14</t>
        </is>
      </c>
      <c r="D537" s="61">
        <f>IF(E537="","",IFERROR(VLOOKUP(E537,areaNomiBreviSquadre,7,FALSE),""))</f>
        <v/>
      </c>
      <c r="E537" s="62" t="inlineStr">
        <is>
          <t>B01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56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B14</t>
        </is>
      </c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IF(C540="","",IFERROR(VLOOKUP(C540,areaNomiBreviSquadre,7,FALSE),""))</f>
        <v/>
      </c>
      <c r="C540" s="62" t="inlineStr">
        <is>
          <t>B04</t>
        </is>
      </c>
      <c r="D540" s="61">
        <f>IF(E540="","",IFERROR(VLOOKUP(E540,areaNomiBreviSquadre,7,FALSE),""))</f>
        <v/>
      </c>
      <c r="E540" s="62" t="inlineStr">
        <is>
          <t>B11</t>
        </is>
      </c>
      <c r="F540" s="63" t="n">
        <v>46425.45833333334</v>
      </c>
      <c r="G540" s="9" t="n"/>
      <c r="H540" s="9" t="n"/>
      <c r="I540" s="10" t="n"/>
      <c r="J540" s="65" t="n">
        <v>54</v>
      </c>
      <c r="K540" s="66" t="inlineStr">
        <is>
          <t>-</t>
        </is>
      </c>
      <c r="L540" s="65" t="n">
        <v>49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B14</t>
        </is>
      </c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IF(C543="","",IFERROR(VLOOKUP(C543,areaNomiBreviSquadre,7,FALSE),""))</f>
        <v/>
      </c>
      <c r="C543" s="62" t="inlineStr">
        <is>
          <t>B10</t>
        </is>
      </c>
      <c r="D543" s="61">
        <f>IF(E543="","",IFERROR(VLOOKUP(E543,areaNomiBreviSquadre,7,FALSE),""))</f>
        <v/>
      </c>
      <c r="E543" s="62" t="inlineStr">
        <is>
          <t>B05</t>
        </is>
      </c>
      <c r="F543" s="63" t="n">
        <v>46425.60416666666</v>
      </c>
      <c r="G543" s="9" t="n"/>
      <c r="H543" s="9" t="n"/>
      <c r="I543" s="10" t="n"/>
      <c r="J543" s="65" t="n">
        <v>86</v>
      </c>
      <c r="K543" s="66" t="inlineStr">
        <is>
          <t>-</t>
        </is>
      </c>
      <c r="L543" s="65" t="n">
        <v>67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B14</t>
        </is>
      </c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IF(C546="","",IFERROR(VLOOKUP(C546,areaNomiBreviSquadre,7,FALSE),""))</f>
        <v/>
      </c>
      <c r="C546" s="62" t="inlineStr">
        <is>
          <t>B06</t>
        </is>
      </c>
      <c r="D546" s="61">
        <f>IF(E546="","",IFERROR(VLOOKUP(E546,areaNomiBreviSquadre,7,FALSE),""))</f>
        <v/>
      </c>
      <c r="E546" s="62" t="inlineStr">
        <is>
          <t>B09</t>
        </is>
      </c>
      <c r="F546" s="63" t="n">
        <v>46425.66666666666</v>
      </c>
      <c r="G546" s="9" t="n"/>
      <c r="H546" s="9" t="n"/>
      <c r="I546" s="10" t="n"/>
      <c r="J546" s="65" t="n">
        <v>72</v>
      </c>
      <c r="K546" s="66" t="inlineStr">
        <is>
          <t>-</t>
        </is>
      </c>
      <c r="L546" s="65" t="n">
        <v>45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B14</t>
        </is>
      </c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IF(C549="","",IFERROR(VLOOKUP(C549,areaNomiBreviSquadre,7,FALSE),""))</f>
        <v/>
      </c>
      <c r="C549" s="62" t="inlineStr">
        <is>
          <t>B08</t>
        </is>
      </c>
      <c r="D549" s="61">
        <f>IF(E549="","",IFERROR(VLOOKUP(E549,areaNomiBreviSquadre,7,FALSE),""))</f>
        <v/>
      </c>
      <c r="E549" s="62" t="inlineStr">
        <is>
          <t>B07</t>
        </is>
      </c>
      <c r="F549" s="63" t="n">
        <v>46425.72916666666</v>
      </c>
      <c r="G549" s="9" t="n"/>
      <c r="H549" s="9" t="n"/>
      <c r="I549" s="10" t="n"/>
      <c r="J549" s="65" t="n">
        <v>91</v>
      </c>
      <c r="K549" s="66" t="inlineStr">
        <is>
          <t>-</t>
        </is>
      </c>
      <c r="L549" s="65" t="n">
        <v>87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B14</t>
        </is>
      </c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IF(C554="","",IFERROR(VLOOKUP(C554,areaNomiBreviSquadre,7,FALSE),""))</f>
        <v/>
      </c>
      <c r="C554" s="62" t="inlineStr">
        <is>
          <t>B02</t>
        </is>
      </c>
      <c r="D554" s="61">
        <f>IF(E554="","",IFERROR(VLOOKUP(E554,areaNomiBreviSquadre,7,FALSE),""))</f>
        <v/>
      </c>
      <c r="E554" s="62" t="inlineStr">
        <is>
          <t>B15</t>
        </is>
      </c>
      <c r="F554" s="63" t="n">
        <v>46432.39583333334</v>
      </c>
      <c r="G554" s="9" t="n"/>
      <c r="H554" s="9" t="n"/>
      <c r="I554" s="10" t="n"/>
      <c r="J554" s="65" t="n">
        <v>63</v>
      </c>
      <c r="K554" s="66" t="inlineStr">
        <is>
          <t>-</t>
        </is>
      </c>
      <c r="L554" s="65" t="n">
        <v>86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B15</t>
        </is>
      </c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IF(C557="","",IFERROR(VLOOKUP(C557,areaNomiBreviSquadre,7,FALSE),""))</f>
        <v/>
      </c>
      <c r="C557" s="62" t="inlineStr">
        <is>
          <t>B20</t>
        </is>
      </c>
      <c r="D557" s="61">
        <f>IF(E557="","",IFERROR(VLOOKUP(E557,areaNomiBreviSquadre,7,FALSE),""))</f>
        <v/>
      </c>
      <c r="E557" s="62" t="inlineStr">
        <is>
          <t>B18</t>
        </is>
      </c>
      <c r="F557" s="63" t="n">
        <v>46432.45833333334</v>
      </c>
      <c r="G557" s="9" t="n"/>
      <c r="H557" s="9" t="n"/>
      <c r="I557" s="10" t="n"/>
      <c r="J557" s="65" t="n">
        <v>50</v>
      </c>
      <c r="K557" s="66" t="inlineStr">
        <is>
          <t>-</t>
        </is>
      </c>
      <c r="L557" s="65" t="n">
        <v>38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B15</t>
        </is>
      </c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IF(C560="","",IFERROR(VLOOKUP(C560,areaNomiBreviSquadre,7,FALSE),""))</f>
        <v/>
      </c>
      <c r="C560" s="62" t="inlineStr">
        <is>
          <t>B19</t>
        </is>
      </c>
      <c r="D560" s="61">
        <f>IF(E560="","",IFERROR(VLOOKUP(E560,areaNomiBreviSquadre,7,FALSE),""))</f>
        <v/>
      </c>
      <c r="E560" s="62" t="inlineStr">
        <is>
          <t>B17</t>
        </is>
      </c>
      <c r="F560" s="63" t="n">
        <v>46432.60416666666</v>
      </c>
      <c r="G560" s="9" t="n"/>
      <c r="H560" s="9" t="n"/>
      <c r="I560" s="10" t="n"/>
      <c r="J560" s="65" t="n">
        <v>45</v>
      </c>
      <c r="K560" s="66" t="inlineStr">
        <is>
          <t>-</t>
        </is>
      </c>
      <c r="L560" s="65" t="n">
        <v>23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B15</t>
        </is>
      </c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IF(C563="","",IFERROR(VLOOKUP(C563,areaNomiBreviSquadre,7,FALSE),""))</f>
        <v/>
      </c>
      <c r="C563" s="62" t="inlineStr">
        <is>
          <t>B14</t>
        </is>
      </c>
      <c r="D563" s="61">
        <f>IF(E563="","",IFERROR(VLOOKUP(E563,areaNomiBreviSquadre,7,FALSE),""))</f>
        <v/>
      </c>
      <c r="E563" s="62" t="inlineStr">
        <is>
          <t>B03</t>
        </is>
      </c>
      <c r="F563" s="63" t="n">
        <v>46432.66666666666</v>
      </c>
      <c r="G563" s="9" t="n"/>
      <c r="H563" s="9" t="n"/>
      <c r="I563" s="10" t="n"/>
      <c r="J563" s="65" t="n">
        <v>59</v>
      </c>
      <c r="K563" s="66" t="inlineStr">
        <is>
          <t>-</t>
        </is>
      </c>
      <c r="L563" s="65" t="n">
        <v>69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B15</t>
        </is>
      </c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IF(C566="","",IFERROR(VLOOKUP(C566,areaNomiBreviSquadre,7,FALSE),""))</f>
        <v/>
      </c>
      <c r="C566" s="62" t="inlineStr">
        <is>
          <t>B04</t>
        </is>
      </c>
      <c r="D566" s="61">
        <f>IF(E566="","",IFERROR(VLOOKUP(E566,areaNomiBreviSquadre,7,FALSE),""))</f>
        <v/>
      </c>
      <c r="E566" s="62" t="inlineStr">
        <is>
          <t>B13</t>
        </is>
      </c>
      <c r="F566" s="63" t="n">
        <v>46432.72916666666</v>
      </c>
      <c r="G566" s="9" t="n"/>
      <c r="H566" s="9" t="n"/>
      <c r="I566" s="10" t="n"/>
      <c r="J566" s="65" t="n">
        <v>26</v>
      </c>
      <c r="K566" s="66" t="inlineStr">
        <is>
          <t>-</t>
        </is>
      </c>
      <c r="L566" s="65" t="n">
        <v>48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B15</t>
        </is>
      </c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IF(C569="","",IFERROR(VLOOKUP(C569,areaNomiBreviSquadre,7,FALSE),""))</f>
        <v/>
      </c>
      <c r="C569" s="62" t="inlineStr">
        <is>
          <t>B16</t>
        </is>
      </c>
      <c r="D569" s="61">
        <f>IF(E569="","",IFERROR(VLOOKUP(E569,areaNomiBreviSquadre,7,FALSE),""))</f>
        <v/>
      </c>
      <c r="E569" s="62" t="inlineStr">
        <is>
          <t>B01</t>
        </is>
      </c>
      <c r="F569" s="63" t="n">
        <v>46432.39583333334</v>
      </c>
      <c r="G569" s="9" t="n"/>
      <c r="H569" s="9" t="n"/>
      <c r="I569" s="10" t="n"/>
      <c r="J569" s="65" t="n">
        <v>50</v>
      </c>
      <c r="K569" s="66" t="inlineStr">
        <is>
          <t>-</t>
        </is>
      </c>
      <c r="L569" s="65" t="n">
        <v>65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B16</t>
        </is>
      </c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IF(C572="","",IFERROR(VLOOKUP(C572,areaNomiBreviSquadre,7,FALSE),""))</f>
        <v/>
      </c>
      <c r="C572" s="62" t="inlineStr">
        <is>
          <t>B12</t>
        </is>
      </c>
      <c r="D572" s="61">
        <f>IF(E572="","",IFERROR(VLOOKUP(E572,areaNomiBreviSquadre,7,FALSE),""))</f>
        <v/>
      </c>
      <c r="E572" s="62" t="inlineStr">
        <is>
          <t>B05</t>
        </is>
      </c>
      <c r="F572" s="63" t="n">
        <v>46432.45833333334</v>
      </c>
      <c r="G572" s="9" t="n"/>
      <c r="H572" s="9" t="n"/>
      <c r="I572" s="10" t="n"/>
      <c r="J572" s="65" t="n">
        <v>50</v>
      </c>
      <c r="K572" s="66" t="inlineStr">
        <is>
          <t>-</t>
        </is>
      </c>
      <c r="L572" s="65" t="n">
        <v>58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B16</t>
        </is>
      </c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IF(C575="","",IFERROR(VLOOKUP(C575,areaNomiBreviSquadre,7,FALSE),""))</f>
        <v/>
      </c>
      <c r="C575" s="62" t="inlineStr">
        <is>
          <t>B06</t>
        </is>
      </c>
      <c r="D575" s="61">
        <f>IF(E575="","",IFERROR(VLOOKUP(E575,areaNomiBreviSquadre,7,FALSE),""))</f>
        <v/>
      </c>
      <c r="E575" s="62" t="inlineStr">
        <is>
          <t>B11</t>
        </is>
      </c>
      <c r="F575" s="63" t="n">
        <v>46432.60416666666</v>
      </c>
      <c r="G575" s="9" t="n"/>
      <c r="H575" s="9" t="n"/>
      <c r="I575" s="10" t="n"/>
      <c r="J575" s="65" t="n">
        <v>44</v>
      </c>
      <c r="K575" s="66" t="inlineStr">
        <is>
          <t>-</t>
        </is>
      </c>
      <c r="L575" s="65" t="n">
        <v>37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B16</t>
        </is>
      </c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IF(C578="","",IFERROR(VLOOKUP(C578,areaNomiBreviSquadre,7,FALSE),""))</f>
        <v/>
      </c>
      <c r="C578" s="62" t="inlineStr">
        <is>
          <t>B10</t>
        </is>
      </c>
      <c r="D578" s="61">
        <f>IF(E578="","",IFERROR(VLOOKUP(E578,areaNomiBreviSquadre,7,FALSE),""))</f>
        <v/>
      </c>
      <c r="E578" s="62" t="inlineStr">
        <is>
          <t>B07</t>
        </is>
      </c>
      <c r="F578" s="63" t="n">
        <v>46432.66666666666</v>
      </c>
      <c r="G578" s="9" t="n"/>
      <c r="H578" s="9" t="n"/>
      <c r="I578" s="10" t="n"/>
      <c r="J578" s="65" t="n">
        <v>73</v>
      </c>
      <c r="K578" s="66" t="inlineStr">
        <is>
          <t>-</t>
        </is>
      </c>
      <c r="L578" s="65" t="n">
        <v>66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B16</t>
        </is>
      </c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IF(C581="","",IFERROR(VLOOKUP(C581,areaNomiBreviSquadre,7,FALSE),""))</f>
        <v/>
      </c>
      <c r="C581" s="62" t="inlineStr">
        <is>
          <t>B08</t>
        </is>
      </c>
      <c r="D581" s="61">
        <f>IF(E581="","",IFERROR(VLOOKUP(E581,areaNomiBreviSquadre,7,FALSE),""))</f>
        <v/>
      </c>
      <c r="E581" s="62" t="inlineStr">
        <is>
          <t>B09</t>
        </is>
      </c>
      <c r="F581" s="63" t="n">
        <v>46432.72916666666</v>
      </c>
      <c r="G581" s="9" t="n"/>
      <c r="H581" s="9" t="n"/>
      <c r="I581" s="10" t="n"/>
      <c r="J581" s="65" t="n">
        <v>79</v>
      </c>
      <c r="K581" s="66" t="inlineStr">
        <is>
          <t>-</t>
        </is>
      </c>
      <c r="L581" s="65" t="n">
        <v>74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B16</t>
        </is>
      </c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IF(C586="","",IFERROR(VLOOKUP(C586,areaNomiBreviSquadre,7,FALSE),""))</f>
        <v/>
      </c>
      <c r="C586" s="62" t="inlineStr">
        <is>
          <t>B02</t>
        </is>
      </c>
      <c r="D586" s="61">
        <f>IF(E586="","",IFERROR(VLOOKUP(E586,areaNomiBreviSquadre,7,FALSE),""))</f>
        <v/>
      </c>
      <c r="E586" s="62" t="inlineStr">
        <is>
          <t>B17</t>
        </is>
      </c>
      <c r="F586" s="63" t="n">
        <v>46439.39583333334</v>
      </c>
      <c r="G586" s="9" t="n"/>
      <c r="H586" s="9" t="n"/>
      <c r="I586" s="10" t="n"/>
      <c r="J586" s="65" t="n">
        <v>62</v>
      </c>
      <c r="K586" s="66" t="inlineStr">
        <is>
          <t>-</t>
        </is>
      </c>
      <c r="L586" s="65" t="n">
        <v>55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B17</t>
        </is>
      </c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IF(C589="","",IFERROR(VLOOKUP(C589,areaNomiBreviSquadre,7,FALSE),""))</f>
        <v/>
      </c>
      <c r="C589" s="62" t="inlineStr">
        <is>
          <t>B19</t>
        </is>
      </c>
      <c r="D589" s="61">
        <f>IF(E589="","",IFERROR(VLOOKUP(E589,areaNomiBreviSquadre,7,FALSE),""))</f>
        <v/>
      </c>
      <c r="E589" s="62" t="inlineStr">
        <is>
          <t>B20</t>
        </is>
      </c>
      <c r="F589" s="63" t="n">
        <v>46439.45833333334</v>
      </c>
      <c r="G589" s="9" t="n"/>
      <c r="H589" s="9" t="n"/>
      <c r="I589" s="10" t="n"/>
      <c r="J589" s="65" t="n">
        <v>55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B17</t>
        </is>
      </c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IF(C592="","",IFERROR(VLOOKUP(C592,areaNomiBreviSquadre,7,FALSE),""))</f>
        <v/>
      </c>
      <c r="C592" s="62" t="inlineStr">
        <is>
          <t>B16</t>
        </is>
      </c>
      <c r="D592" s="61">
        <f>IF(E592="","",IFERROR(VLOOKUP(E592,areaNomiBreviSquadre,7,FALSE),""))</f>
        <v/>
      </c>
      <c r="E592" s="62" t="inlineStr">
        <is>
          <t>B03</t>
        </is>
      </c>
      <c r="F592" s="63" t="n">
        <v>46439.60416666666</v>
      </c>
      <c r="G592" s="9" t="n"/>
      <c r="H592" s="9" t="n"/>
      <c r="I592" s="10" t="n"/>
      <c r="J592" s="65" t="n">
        <v>53</v>
      </c>
      <c r="K592" s="66" t="inlineStr">
        <is>
          <t>-</t>
        </is>
      </c>
      <c r="L592" s="65" t="n">
        <v>74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B17</t>
        </is>
      </c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IF(C595="","",IFERROR(VLOOKUP(C595,areaNomiBreviSquadre,7,FALSE),""))</f>
        <v/>
      </c>
      <c r="C595" s="62" t="inlineStr">
        <is>
          <t>B04</t>
        </is>
      </c>
      <c r="D595" s="61">
        <f>IF(E595="","",IFERROR(VLOOKUP(E595,areaNomiBreviSquadre,7,FALSE),""))</f>
        <v/>
      </c>
      <c r="E595" s="62" t="inlineStr">
        <is>
          <t>B15</t>
        </is>
      </c>
      <c r="F595" s="63" t="n">
        <v>46439.66666666666</v>
      </c>
      <c r="G595" s="9" t="n"/>
      <c r="H595" s="9" t="n"/>
      <c r="I595" s="10" t="n"/>
      <c r="J595" s="65" t="n">
        <v>65</v>
      </c>
      <c r="K595" s="66" t="inlineStr">
        <is>
          <t>-</t>
        </is>
      </c>
      <c r="L595" s="65" t="n">
        <v>45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B17</t>
        </is>
      </c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IF(C598="","",IFERROR(VLOOKUP(C598,areaNomiBreviSquadre,7,FALSE),""))</f>
        <v/>
      </c>
      <c r="C598" s="62" t="inlineStr">
        <is>
          <t>B14</t>
        </is>
      </c>
      <c r="D598" s="61">
        <f>IF(E598="","",IFERROR(VLOOKUP(E598,areaNomiBreviSquadre,7,FALSE),""))</f>
        <v/>
      </c>
      <c r="E598" s="62" t="inlineStr">
        <is>
          <t>B05</t>
        </is>
      </c>
      <c r="F598" s="63" t="n">
        <v>46439.72916666666</v>
      </c>
      <c r="G598" s="9" t="n"/>
      <c r="H598" s="9" t="n"/>
      <c r="I598" s="10" t="n"/>
      <c r="J598" s="65" t="n">
        <v>70</v>
      </c>
      <c r="K598" s="66" t="inlineStr">
        <is>
          <t>-</t>
        </is>
      </c>
      <c r="L598" s="65" t="n">
        <v>61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B17</t>
        </is>
      </c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IF(C601="","",IFERROR(VLOOKUP(C601,areaNomiBreviSquadre,7,FALSE),""))</f>
        <v/>
      </c>
      <c r="C601" s="62" t="inlineStr">
        <is>
          <t>B18</t>
        </is>
      </c>
      <c r="D601" s="61">
        <f>IF(E601="","",IFERROR(VLOOKUP(E601,areaNomiBreviSquadre,7,FALSE),""))</f>
        <v/>
      </c>
      <c r="E601" s="62" t="inlineStr">
        <is>
          <t>B01</t>
        </is>
      </c>
      <c r="F601" s="63" t="n">
        <v>46439.39583333334</v>
      </c>
      <c r="G601" s="9" t="n"/>
      <c r="H601" s="9" t="n"/>
      <c r="I601" s="10" t="n"/>
      <c r="J601" s="65" t="n">
        <v>66</v>
      </c>
      <c r="K601" s="66" t="inlineStr">
        <is>
          <t>-</t>
        </is>
      </c>
      <c r="L601" s="65" t="n">
        <v>60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B18</t>
        </is>
      </c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IF(C604="","",IFERROR(VLOOKUP(C604,areaNomiBreviSquadre,7,FALSE),""))</f>
        <v/>
      </c>
      <c r="C604" s="62" t="inlineStr">
        <is>
          <t>B06</t>
        </is>
      </c>
      <c r="D604" s="61">
        <f>IF(E604="","",IFERROR(VLOOKUP(E604,areaNomiBreviSquadre,7,FALSE),""))</f>
        <v/>
      </c>
      <c r="E604" s="62" t="inlineStr">
        <is>
          <t>B13</t>
        </is>
      </c>
      <c r="F604" s="63" t="n">
        <v>46439.45833333334</v>
      </c>
      <c r="G604" s="9" t="n"/>
      <c r="H604" s="9" t="n"/>
      <c r="I604" s="10" t="n"/>
      <c r="J604" s="65" t="n">
        <v>24</v>
      </c>
      <c r="K604" s="66" t="inlineStr">
        <is>
          <t>-</t>
        </is>
      </c>
      <c r="L604" s="65" t="n">
        <v>45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B18</t>
        </is>
      </c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IF(C607="","",IFERROR(VLOOKUP(C607,areaNomiBreviSquadre,7,FALSE),""))</f>
        <v/>
      </c>
      <c r="C607" s="62" t="inlineStr">
        <is>
          <t>B12</t>
        </is>
      </c>
      <c r="D607" s="61">
        <f>IF(E607="","",IFERROR(VLOOKUP(E607,areaNomiBreviSquadre,7,FALSE),""))</f>
        <v/>
      </c>
      <c r="E607" s="62" t="inlineStr">
        <is>
          <t>B07</t>
        </is>
      </c>
      <c r="F607" s="63" t="n">
        <v>46439.60416666666</v>
      </c>
      <c r="G607" s="9" t="n"/>
      <c r="H607" s="9" t="n"/>
      <c r="I607" s="10" t="n"/>
      <c r="J607" s="65" t="n">
        <v>65</v>
      </c>
      <c r="K607" s="66" t="inlineStr">
        <is>
          <t>-</t>
        </is>
      </c>
      <c r="L607" s="65" t="n">
        <v>46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B18</t>
        </is>
      </c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IF(C610="","",IFERROR(VLOOKUP(C610,areaNomiBreviSquadre,7,FALSE),""))</f>
        <v/>
      </c>
      <c r="C610" s="62" t="inlineStr">
        <is>
          <t>B08</t>
        </is>
      </c>
      <c r="D610" s="61">
        <f>IF(E610="","",IFERROR(VLOOKUP(E610,areaNomiBreviSquadre,7,FALSE),""))</f>
        <v/>
      </c>
      <c r="E610" s="62" t="inlineStr">
        <is>
          <t>B11</t>
        </is>
      </c>
      <c r="F610" s="63" t="n">
        <v>46439.66666666666</v>
      </c>
      <c r="G610" s="9" t="n"/>
      <c r="H610" s="9" t="n"/>
      <c r="I610" s="10" t="n"/>
      <c r="J610" s="65" t="n">
        <v>50</v>
      </c>
      <c r="K610" s="66" t="inlineStr">
        <is>
          <t>-</t>
        </is>
      </c>
      <c r="L610" s="65" t="n">
        <v>37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B18</t>
        </is>
      </c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IF(C613="","",IFERROR(VLOOKUP(C613,areaNomiBreviSquadre,7,FALSE),""))</f>
        <v/>
      </c>
      <c r="C613" s="62" t="inlineStr">
        <is>
          <t>B10</t>
        </is>
      </c>
      <c r="D613" s="61">
        <f>IF(E613="","",IFERROR(VLOOKUP(E613,areaNomiBreviSquadre,7,FALSE),""))</f>
        <v/>
      </c>
      <c r="E613" s="62" t="inlineStr">
        <is>
          <t>B09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60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B18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381</v>
      </c>
      <c r="B10" s="61">
        <f>IF(C10="","",IFERROR(VLOOKUP(C10,areaNomiBreviSquadre,7,FALSE),""))</f>
        <v/>
      </c>
      <c r="C10" s="62" t="inlineStr">
        <is>
          <t>C01</t>
        </is>
      </c>
      <c r="D10" s="61">
        <f>IF(E10="","",IFERROR(VLOOKUP(E10,areaNomiBreviSquadre,7,FALSE),""))</f>
        <v/>
      </c>
      <c r="E10" s="62" t="inlineStr">
        <is>
          <t>C20</t>
        </is>
      </c>
      <c r="F10" s="63" t="n">
        <v>46313.39583333334</v>
      </c>
      <c r="G10" s="9" t="n"/>
      <c r="H10" s="9" t="n"/>
      <c r="I10" s="10" t="n"/>
      <c r="J10" s="65" t="n">
        <v>53</v>
      </c>
      <c r="K10" s="66" t="inlineStr">
        <is>
          <t>-</t>
        </is>
      </c>
      <c r="L10" s="65" t="n">
        <v>57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C01</t>
        </is>
      </c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IF(C13="","",IFERROR(VLOOKUP(C13,areaNomiBreviSquadre,7,FALSE),""))</f>
        <v/>
      </c>
      <c r="C13" s="62" t="inlineStr">
        <is>
          <t>C03</t>
        </is>
      </c>
      <c r="D13" s="61">
        <f>IF(E13="","",IFERROR(VLOOKUP(E13,areaNomiBreviSquadre,7,FALSE),""))</f>
        <v/>
      </c>
      <c r="E13" s="62" t="inlineStr">
        <is>
          <t>C18</t>
        </is>
      </c>
      <c r="F13" s="63" t="n">
        <v>46313.45833333334</v>
      </c>
      <c r="G13" s="9" t="n"/>
      <c r="H13" s="9" t="n"/>
      <c r="I13" s="10" t="n"/>
      <c r="J13" s="65" t="n">
        <v>39</v>
      </c>
      <c r="K13" s="66" t="inlineStr">
        <is>
          <t>-</t>
        </is>
      </c>
      <c r="L13" s="65" t="n">
        <v>21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C01</t>
        </is>
      </c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IF(C16="","",IFERROR(VLOOKUP(C16,areaNomiBreviSquadre,7,FALSE),""))</f>
        <v/>
      </c>
      <c r="C16" s="62" t="inlineStr">
        <is>
          <t>C17</t>
        </is>
      </c>
      <c r="D16" s="61">
        <f>IF(E16="","",IFERROR(VLOOKUP(E16,areaNomiBreviSquadre,7,FALSE),""))</f>
        <v/>
      </c>
      <c r="E16" s="62" t="inlineStr">
        <is>
          <t>C04</t>
        </is>
      </c>
      <c r="F16" s="63" t="n">
        <v>46313.60416666666</v>
      </c>
      <c r="G16" s="9" t="n"/>
      <c r="H16" s="9" t="n"/>
      <c r="I16" s="10" t="n"/>
      <c r="J16" s="65" t="n">
        <v>73</v>
      </c>
      <c r="K16" s="66" t="inlineStr">
        <is>
          <t>-</t>
        </is>
      </c>
      <c r="L16" s="65" t="n">
        <v>66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C01</t>
        </is>
      </c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IF(C19="","",IFERROR(VLOOKUP(C19,areaNomiBreviSquadre,7,FALSE),""))</f>
        <v/>
      </c>
      <c r="C19" s="62" t="inlineStr">
        <is>
          <t>C05</t>
        </is>
      </c>
      <c r="D19" s="61">
        <f>IF(E19="","",IFERROR(VLOOKUP(E19,areaNomiBreviSquadre,7,FALSE),""))</f>
        <v/>
      </c>
      <c r="E19" s="62" t="inlineStr">
        <is>
          <t>C16</t>
        </is>
      </c>
      <c r="F19" s="63" t="n">
        <v>46313.66666666666</v>
      </c>
      <c r="G19" s="9" t="n"/>
      <c r="H19" s="9" t="n"/>
      <c r="I19" s="10" t="n"/>
      <c r="J19" s="65" t="n">
        <v>40</v>
      </c>
      <c r="K19" s="66" t="inlineStr">
        <is>
          <t>-</t>
        </is>
      </c>
      <c r="L19" s="65" t="n">
        <v>0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C01</t>
        </is>
      </c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IF(C22="","",IFERROR(VLOOKUP(C22,areaNomiBreviSquadre,7,FALSE),""))</f>
        <v/>
      </c>
      <c r="C22" s="62" t="inlineStr">
        <is>
          <t>C15</t>
        </is>
      </c>
      <c r="D22" s="61">
        <f>IF(E22="","",IFERROR(VLOOKUP(E22,areaNomiBreviSquadre,7,FALSE),""))</f>
        <v/>
      </c>
      <c r="E22" s="62" t="inlineStr">
        <is>
          <t>C06</t>
        </is>
      </c>
      <c r="F22" s="63" t="n">
        <v>46313.72916666666</v>
      </c>
      <c r="G22" s="9" t="n"/>
      <c r="H22" s="9" t="n"/>
      <c r="I22" s="10" t="n"/>
      <c r="J22" s="65" t="n">
        <v>43</v>
      </c>
      <c r="K22" s="66" t="inlineStr">
        <is>
          <t>-</t>
        </is>
      </c>
      <c r="L22" s="65" t="n">
        <v>47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C01</t>
        </is>
      </c>
      <c r="J23" s="141" t="n"/>
      <c r="K23" s="141" t="n"/>
      <c r="L23" s="141" t="n"/>
    </row>
    <row r="24" ht="13" customHeight="1">
      <c r="A24" s="81" t="inlineStr">
        <is>
          <t>Gara N.</t>
        </is>
      </c>
      <c r="B24" s="81" t="inlineStr">
        <is>
          <t>Squadra A</t>
        </is>
      </c>
      <c r="C24" s="10" t="n"/>
      <c r="D24" s="81" t="inlineStr">
        <is>
          <t>Squadra B</t>
        </is>
      </c>
      <c r="E24" s="10" t="n"/>
      <c r="F24" s="81" t="inlineStr">
        <is>
          <t>Giorno</t>
        </is>
      </c>
      <c r="G24" s="81" t="inlineStr">
        <is>
          <t>Data</t>
        </is>
      </c>
      <c r="H24" s="81" t="inlineStr">
        <is>
          <t>Ora</t>
        </is>
      </c>
      <c r="I24" s="10" t="n"/>
      <c r="J24" s="81" t="inlineStr">
        <is>
          <t>Risultato</t>
        </is>
      </c>
      <c r="K24" s="9" t="n"/>
      <c r="L24" s="10" t="n"/>
    </row>
    <row r="25" ht="24" customHeight="1">
      <c r="A25" s="83">
        <f>MAX(A$10:A24)+1</f>
        <v/>
      </c>
      <c r="B25" s="61">
        <f>IF(C25="","",IFERROR(VLOOKUP(C25,areaNomiBreviSquadre,7,FALSE),""))</f>
        <v/>
      </c>
      <c r="C25" s="62" t="inlineStr">
        <is>
          <t>C19</t>
        </is>
      </c>
      <c r="D25" s="61">
        <f>IF(E25="","",IFERROR(VLOOKUP(E25,areaNomiBreviSquadre,7,FALSE),""))</f>
        <v/>
      </c>
      <c r="E25" s="62" t="inlineStr">
        <is>
          <t>C02</t>
        </is>
      </c>
      <c r="F25" s="63" t="n">
        <v>46313.39583333334</v>
      </c>
      <c r="G25" s="9" t="n"/>
      <c r="H25" s="9" t="n"/>
      <c r="I25" s="10" t="n"/>
      <c r="J25" s="65" t="n">
        <v>85</v>
      </c>
      <c r="K25" s="66" t="inlineStr">
        <is>
          <t>-</t>
        </is>
      </c>
      <c r="L25" s="65" t="n">
        <v>61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C02</t>
        </is>
      </c>
      <c r="J26" s="141" t="n"/>
      <c r="K26" s="141" t="n"/>
      <c r="L26" s="141" t="n"/>
    </row>
    <row r="27" ht="13" customHeight="1">
      <c r="A27" s="81" t="inlineStr">
        <is>
          <t>Gara N.</t>
        </is>
      </c>
      <c r="B27" s="81" t="inlineStr">
        <is>
          <t>Squadra A</t>
        </is>
      </c>
      <c r="C27" s="10" t="n"/>
      <c r="D27" s="81" t="inlineStr">
        <is>
          <t>Squadra B</t>
        </is>
      </c>
      <c r="E27" s="10" t="n"/>
      <c r="F27" s="81" t="inlineStr">
        <is>
          <t>Giorno</t>
        </is>
      </c>
      <c r="G27" s="81" t="inlineStr">
        <is>
          <t>Data</t>
        </is>
      </c>
      <c r="H27" s="81" t="inlineStr">
        <is>
          <t>Ora</t>
        </is>
      </c>
      <c r="I27" s="10" t="n"/>
      <c r="J27" s="81" t="inlineStr">
        <is>
          <t>Risultato</t>
        </is>
      </c>
      <c r="K27" s="9" t="n"/>
      <c r="L27" s="10" t="n"/>
    </row>
    <row r="28" ht="24" customHeight="1">
      <c r="A28" s="83">
        <f>MAX(A$10:A27)+1</f>
        <v/>
      </c>
      <c r="B28" s="61">
        <f>IF(C28="","",IFERROR(VLOOKUP(C28,areaNomiBreviSquadre,7,FALSE),""))</f>
        <v/>
      </c>
      <c r="C28" s="62" t="inlineStr">
        <is>
          <t>C07</t>
        </is>
      </c>
      <c r="D28" s="61">
        <f>IF(E28="","",IFERROR(VLOOKUP(E28,areaNomiBreviSquadre,7,FALSE),""))</f>
        <v/>
      </c>
      <c r="E28" s="62" t="inlineStr">
        <is>
          <t>C14</t>
        </is>
      </c>
      <c r="F28" s="63" t="n">
        <v>46313.45833333334</v>
      </c>
      <c r="G28" s="9" t="n"/>
      <c r="H28" s="9" t="n"/>
      <c r="I28" s="10" t="n"/>
      <c r="J28" s="65" t="n">
        <v>46</v>
      </c>
      <c r="K28" s="66" t="inlineStr">
        <is>
          <t>-</t>
        </is>
      </c>
      <c r="L28" s="65" t="n">
        <v>53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C02</t>
        </is>
      </c>
      <c r="J29" s="141" t="n"/>
      <c r="K29" s="141" t="n"/>
      <c r="L29" s="141" t="n"/>
    </row>
    <row r="30" ht="13" customHeight="1">
      <c r="A30" s="81" t="inlineStr">
        <is>
          <t>Gara N.</t>
        </is>
      </c>
      <c r="B30" s="81" t="inlineStr">
        <is>
          <t>Squadra A</t>
        </is>
      </c>
      <c r="C30" s="10" t="n"/>
      <c r="D30" s="81" t="inlineStr">
        <is>
          <t>Squadra B</t>
        </is>
      </c>
      <c r="E30" s="10" t="n"/>
      <c r="F30" s="81" t="inlineStr">
        <is>
          <t>Giorno</t>
        </is>
      </c>
      <c r="G30" s="81" t="inlineStr">
        <is>
          <t>Data</t>
        </is>
      </c>
      <c r="H30" s="81" t="inlineStr">
        <is>
          <t>Ora</t>
        </is>
      </c>
      <c r="I30" s="10" t="n"/>
      <c r="J30" s="81" t="inlineStr">
        <is>
          <t>Risultato</t>
        </is>
      </c>
      <c r="K30" s="9" t="n"/>
      <c r="L30" s="10" t="n"/>
    </row>
    <row r="31" ht="24" customHeight="1">
      <c r="A31" s="83">
        <f>MAX(A$10:A30)+1</f>
        <v/>
      </c>
      <c r="B31" s="61">
        <f>IF(C31="","",IFERROR(VLOOKUP(C31,areaNomiBreviSquadre,7,FALSE),""))</f>
        <v/>
      </c>
      <c r="C31" s="62" t="inlineStr">
        <is>
          <t>C13</t>
        </is>
      </c>
      <c r="D31" s="61">
        <f>IF(E31="","",IFERROR(VLOOKUP(E31,areaNomiBreviSquadre,7,FALSE),""))</f>
        <v/>
      </c>
      <c r="E31" s="62" t="inlineStr">
        <is>
          <t>C08</t>
        </is>
      </c>
      <c r="F31" s="63" t="n">
        <v>46313.60416666666</v>
      </c>
      <c r="G31" s="9" t="n"/>
      <c r="H31" s="9" t="n"/>
      <c r="I31" s="10" t="n"/>
      <c r="J31" s="65" t="n">
        <v>57</v>
      </c>
      <c r="K31" s="66" t="inlineStr">
        <is>
          <t>-</t>
        </is>
      </c>
      <c r="L31" s="65" t="n">
        <v>29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C02</t>
        </is>
      </c>
      <c r="J32" s="141" t="n"/>
      <c r="K32" s="141" t="n"/>
      <c r="L32" s="141" t="n"/>
    </row>
    <row r="33" ht="13" customHeight="1">
      <c r="A33" s="81" t="inlineStr">
        <is>
          <t>Gara N.</t>
        </is>
      </c>
      <c r="B33" s="81" t="inlineStr">
        <is>
          <t>Squadra A</t>
        </is>
      </c>
      <c r="C33" s="10" t="n"/>
      <c r="D33" s="81" t="inlineStr">
        <is>
          <t>Squadra B</t>
        </is>
      </c>
      <c r="E33" s="10" t="n"/>
      <c r="F33" s="81" t="inlineStr">
        <is>
          <t>Giorno</t>
        </is>
      </c>
      <c r="G33" s="81" t="inlineStr">
        <is>
          <t>Data</t>
        </is>
      </c>
      <c r="H33" s="81" t="inlineStr">
        <is>
          <t>Ora</t>
        </is>
      </c>
      <c r="I33" s="10" t="n"/>
      <c r="J33" s="81" t="inlineStr">
        <is>
          <t>Risultato</t>
        </is>
      </c>
      <c r="K33" s="9" t="n"/>
      <c r="L33" s="10" t="n"/>
    </row>
    <row r="34" ht="24" customHeight="1">
      <c r="A34" s="83">
        <f>MAX(A$10:A33)+1</f>
        <v/>
      </c>
      <c r="B34" s="61">
        <f>IF(C34="","",IFERROR(VLOOKUP(C34,areaNomiBreviSquadre,7,FALSE),""))</f>
        <v/>
      </c>
      <c r="C34" s="62" t="inlineStr">
        <is>
          <t>C09</t>
        </is>
      </c>
      <c r="D34" s="61">
        <f>IF(E34="","",IFERROR(VLOOKUP(E34,areaNomiBreviSquadre,7,FALSE),""))</f>
        <v/>
      </c>
      <c r="E34" s="62" t="inlineStr">
        <is>
          <t>C12</t>
        </is>
      </c>
      <c r="F34" s="63" t="n">
        <v>46313.66666666666</v>
      </c>
      <c r="G34" s="9" t="n"/>
      <c r="H34" s="9" t="n"/>
      <c r="I34" s="10" t="n"/>
      <c r="J34" s="65" t="n">
        <v>37</v>
      </c>
      <c r="K34" s="66" t="inlineStr">
        <is>
          <t>-</t>
        </is>
      </c>
      <c r="L34" s="65" t="n">
        <v>53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C02</t>
        </is>
      </c>
      <c r="J35" s="141" t="n"/>
      <c r="K35" s="141" t="n"/>
      <c r="L35" s="141" t="n"/>
    </row>
    <row r="36" ht="13" customHeight="1">
      <c r="A36" s="81" t="inlineStr">
        <is>
          <t>Gara N.</t>
        </is>
      </c>
      <c r="B36" s="81" t="inlineStr">
        <is>
          <t>Squadra A</t>
        </is>
      </c>
      <c r="C36" s="10" t="n"/>
      <c r="D36" s="81" t="inlineStr">
        <is>
          <t>Squadra B</t>
        </is>
      </c>
      <c r="E36" s="10" t="n"/>
      <c r="F36" s="81" t="inlineStr">
        <is>
          <t>Giorno</t>
        </is>
      </c>
      <c r="G36" s="81" t="inlineStr">
        <is>
          <t>Data</t>
        </is>
      </c>
      <c r="H36" s="81" t="inlineStr">
        <is>
          <t>Ora</t>
        </is>
      </c>
      <c r="I36" s="10" t="n"/>
      <c r="J36" s="81" t="inlineStr">
        <is>
          <t>Risultato</t>
        </is>
      </c>
      <c r="K36" s="9" t="n"/>
      <c r="L36" s="10" t="n"/>
    </row>
    <row r="37" ht="24" customHeight="1">
      <c r="A37" s="83">
        <f>MAX(A$10:A36)+1</f>
        <v/>
      </c>
      <c r="B37" s="61">
        <f>IF(C37="","",IFERROR(VLOOKUP(C37,areaNomiBreviSquadre,7,FALSE),""))</f>
        <v/>
      </c>
      <c r="C37" s="62" t="inlineStr">
        <is>
          <t>C11</t>
        </is>
      </c>
      <c r="D37" s="61">
        <f>IF(E37="","",IFERROR(VLOOKUP(E37,areaNomiBreviSquadre,7,FALSE),""))</f>
        <v/>
      </c>
      <c r="E37" s="62" t="inlineStr">
        <is>
          <t>C10</t>
        </is>
      </c>
      <c r="F37" s="63" t="n">
        <v>46313.72916666666</v>
      </c>
      <c r="G37" s="9" t="n"/>
      <c r="H37" s="9" t="n"/>
      <c r="I37" s="10" t="n"/>
      <c r="J37" s="65" t="n">
        <v>56</v>
      </c>
      <c r="K37" s="66" t="inlineStr">
        <is>
          <t>-</t>
        </is>
      </c>
      <c r="L37" s="65" t="n">
        <v>39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C02</t>
        </is>
      </c>
      <c r="J38" s="141" t="n"/>
      <c r="K38" s="141" t="n"/>
      <c r="L38" s="141" t="n"/>
    </row>
    <row r="39" ht="8" customHeight="1"/>
    <row r="40" ht="20" customHeight="1">
      <c r="A40" s="78" t="inlineStr">
        <is>
          <t>2C</t>
        </is>
      </c>
      <c r="B40" s="79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1" t="inlineStr">
        <is>
          <t>Gara N.</t>
        </is>
      </c>
      <c r="B41" s="81" t="inlineStr">
        <is>
          <t>Squadra A</t>
        </is>
      </c>
      <c r="C41" s="10" t="n"/>
      <c r="D41" s="81" t="inlineStr">
        <is>
          <t>Squadra B</t>
        </is>
      </c>
      <c r="E41" s="10" t="n"/>
      <c r="F41" s="81" t="inlineStr">
        <is>
          <t>Giorno</t>
        </is>
      </c>
      <c r="G41" s="81" t="inlineStr">
        <is>
          <t>Data</t>
        </is>
      </c>
      <c r="H41" s="81" t="inlineStr">
        <is>
          <t>Ora</t>
        </is>
      </c>
      <c r="I41" s="10" t="n"/>
      <c r="J41" s="81" t="inlineStr">
        <is>
          <t>Risultato</t>
        </is>
      </c>
      <c r="K41" s="9" t="n"/>
      <c r="L41" s="10" t="n"/>
    </row>
    <row r="42" ht="24" customHeight="1">
      <c r="A42" s="83">
        <f>MAX(A$10:A41)+1</f>
        <v/>
      </c>
      <c r="B42" s="61">
        <f>IF(C42="","",IFERROR(VLOOKUP(C42,areaNomiBreviSquadre,7,FALSE),""))</f>
        <v/>
      </c>
      <c r="C42" s="62" t="inlineStr">
        <is>
          <t>C03</t>
        </is>
      </c>
      <c r="D42" s="61">
        <f>IF(E42="","",IFERROR(VLOOKUP(E42,areaNomiBreviSquadre,7,FALSE),""))</f>
        <v/>
      </c>
      <c r="E42" s="62" t="inlineStr">
        <is>
          <t>C01</t>
        </is>
      </c>
      <c r="F42" s="63" t="n">
        <v>46320.39583333334</v>
      </c>
      <c r="G42" s="9" t="n"/>
      <c r="H42" s="9" t="n"/>
      <c r="I42" s="10" t="n"/>
      <c r="J42" s="65" t="n">
        <v>33</v>
      </c>
      <c r="K42" s="66" t="inlineStr">
        <is>
          <t>-</t>
        </is>
      </c>
      <c r="L42" s="65" t="n">
        <v>53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C03</t>
        </is>
      </c>
      <c r="J43" s="141" t="n"/>
      <c r="K43" s="141" t="n"/>
      <c r="L43" s="141" t="n"/>
    </row>
    <row r="44" ht="13" customHeight="1">
      <c r="A44" s="81" t="inlineStr">
        <is>
          <t>Gara N.</t>
        </is>
      </c>
      <c r="B44" s="81" t="inlineStr">
        <is>
          <t>Squadra A</t>
        </is>
      </c>
      <c r="C44" s="10" t="n"/>
      <c r="D44" s="81" t="inlineStr">
        <is>
          <t>Squadra B</t>
        </is>
      </c>
      <c r="E44" s="10" t="n"/>
      <c r="F44" s="81" t="inlineStr">
        <is>
          <t>Giorno</t>
        </is>
      </c>
      <c r="G44" s="81" t="inlineStr">
        <is>
          <t>Data</t>
        </is>
      </c>
      <c r="H44" s="81" t="inlineStr">
        <is>
          <t>Ora</t>
        </is>
      </c>
      <c r="I44" s="10" t="n"/>
      <c r="J44" s="81" t="inlineStr">
        <is>
          <t>Risultato</t>
        </is>
      </c>
      <c r="K44" s="9" t="n"/>
      <c r="L44" s="10" t="n"/>
    </row>
    <row r="45" ht="24" customHeight="1">
      <c r="A45" s="83">
        <f>MAX(A$10:A44)+1</f>
        <v/>
      </c>
      <c r="B45" s="61">
        <f>IF(C45="","",IFERROR(VLOOKUP(C45,areaNomiBreviSquadre,7,FALSE),""))</f>
        <v/>
      </c>
      <c r="C45" s="62" t="inlineStr">
        <is>
          <t>C20</t>
        </is>
      </c>
      <c r="D45" s="61">
        <f>IF(E45="","",IFERROR(VLOOKUP(E45,areaNomiBreviSquadre,7,FALSE),""))</f>
        <v/>
      </c>
      <c r="E45" s="62" t="inlineStr">
        <is>
          <t>C02</t>
        </is>
      </c>
      <c r="F45" s="63" t="n">
        <v>46320.45833333334</v>
      </c>
      <c r="G45" s="9" t="n"/>
      <c r="H45" s="9" t="n"/>
      <c r="I45" s="10" t="n"/>
      <c r="J45" s="65" t="n">
        <v>84</v>
      </c>
      <c r="K45" s="66" t="inlineStr">
        <is>
          <t>-</t>
        </is>
      </c>
      <c r="L45" s="65" t="n">
        <v>88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C03</t>
        </is>
      </c>
      <c r="J46" s="141" t="n"/>
      <c r="K46" s="141" t="n"/>
      <c r="L46" s="141" t="n"/>
    </row>
    <row r="47" ht="13" customHeight="1">
      <c r="A47" s="81" t="inlineStr">
        <is>
          <t>Gara N.</t>
        </is>
      </c>
      <c r="B47" s="81" t="inlineStr">
        <is>
          <t>Squadra A</t>
        </is>
      </c>
      <c r="C47" s="10" t="n"/>
      <c r="D47" s="81" t="inlineStr">
        <is>
          <t>Squadra B</t>
        </is>
      </c>
      <c r="E47" s="10" t="n"/>
      <c r="F47" s="81" t="inlineStr">
        <is>
          <t>Giorno</t>
        </is>
      </c>
      <c r="G47" s="81" t="inlineStr">
        <is>
          <t>Data</t>
        </is>
      </c>
      <c r="H47" s="81" t="inlineStr">
        <is>
          <t>Ora</t>
        </is>
      </c>
      <c r="I47" s="10" t="n"/>
      <c r="J47" s="81" t="inlineStr">
        <is>
          <t>Risultato</t>
        </is>
      </c>
      <c r="K47" s="9" t="n"/>
      <c r="L47" s="10" t="n"/>
    </row>
    <row r="48" ht="24" customHeight="1">
      <c r="A48" s="83">
        <f>MAX(A$10:A47)+1</f>
        <v/>
      </c>
      <c r="B48" s="61">
        <f>IF(C48="","",IFERROR(VLOOKUP(C48,areaNomiBreviSquadre,7,FALSE),""))</f>
        <v/>
      </c>
      <c r="C48" s="62" t="inlineStr">
        <is>
          <t>C05</t>
        </is>
      </c>
      <c r="D48" s="61">
        <f>IF(E48="","",IFERROR(VLOOKUP(E48,areaNomiBreviSquadre,7,FALSE),""))</f>
        <v/>
      </c>
      <c r="E48" s="62" t="inlineStr">
        <is>
          <t>C18</t>
        </is>
      </c>
      <c r="F48" s="63" t="n">
        <v>46320.60416666666</v>
      </c>
      <c r="G48" s="9" t="n"/>
      <c r="H48" s="9" t="n"/>
      <c r="I48" s="10" t="n"/>
      <c r="J48" s="65" t="n">
        <v>62</v>
      </c>
      <c r="K48" s="66" t="inlineStr">
        <is>
          <t>-</t>
        </is>
      </c>
      <c r="L48" s="65" t="n">
        <v>58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C03</t>
        </is>
      </c>
      <c r="J49" s="141" t="n"/>
      <c r="K49" s="141" t="n"/>
      <c r="L49" s="141" t="n"/>
    </row>
    <row r="50" ht="13" customHeight="1">
      <c r="A50" s="81" t="inlineStr">
        <is>
          <t>Gara N.</t>
        </is>
      </c>
      <c r="B50" s="81" t="inlineStr">
        <is>
          <t>Squadra A</t>
        </is>
      </c>
      <c r="C50" s="10" t="n"/>
      <c r="D50" s="81" t="inlineStr">
        <is>
          <t>Squadra B</t>
        </is>
      </c>
      <c r="E50" s="10" t="n"/>
      <c r="F50" s="81" t="inlineStr">
        <is>
          <t>Giorno</t>
        </is>
      </c>
      <c r="G50" s="81" t="inlineStr">
        <is>
          <t>Data</t>
        </is>
      </c>
      <c r="H50" s="81" t="inlineStr">
        <is>
          <t>Ora</t>
        </is>
      </c>
      <c r="I50" s="10" t="n"/>
      <c r="J50" s="81" t="inlineStr">
        <is>
          <t>Risultato</t>
        </is>
      </c>
      <c r="K50" s="9" t="n"/>
      <c r="L50" s="10" t="n"/>
    </row>
    <row r="51" ht="24" customHeight="1">
      <c r="A51" s="83">
        <f>MAX(A$10:A50)+1</f>
        <v/>
      </c>
      <c r="B51" s="61">
        <f>IF(C51="","",IFERROR(VLOOKUP(C51,areaNomiBreviSquadre,7,FALSE),""))</f>
        <v/>
      </c>
      <c r="C51" s="62" t="inlineStr">
        <is>
          <t>C17</t>
        </is>
      </c>
      <c r="D51" s="61">
        <f>IF(E51="","",IFERROR(VLOOKUP(E51,areaNomiBreviSquadre,7,FALSE),""))</f>
        <v/>
      </c>
      <c r="E51" s="62" t="inlineStr">
        <is>
          <t>C06</t>
        </is>
      </c>
      <c r="F51" s="63" t="n">
        <v>46320.66666666666</v>
      </c>
      <c r="G51" s="9" t="n"/>
      <c r="H51" s="9" t="n"/>
      <c r="I51" s="10" t="n"/>
      <c r="J51" s="65" t="n">
        <v>68</v>
      </c>
      <c r="K51" s="66" t="inlineStr">
        <is>
          <t>-</t>
        </is>
      </c>
      <c r="L51" s="65" t="n">
        <v>57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C03</t>
        </is>
      </c>
      <c r="J52" s="141" t="n"/>
      <c r="K52" s="141" t="n"/>
      <c r="L52" s="141" t="n"/>
    </row>
    <row r="53" ht="13" customHeight="1">
      <c r="A53" s="81" t="inlineStr">
        <is>
          <t>Gara N.</t>
        </is>
      </c>
      <c r="B53" s="81" t="inlineStr">
        <is>
          <t>Squadra A</t>
        </is>
      </c>
      <c r="C53" s="10" t="n"/>
      <c r="D53" s="81" t="inlineStr">
        <is>
          <t>Squadra B</t>
        </is>
      </c>
      <c r="E53" s="10" t="n"/>
      <c r="F53" s="81" t="inlineStr">
        <is>
          <t>Giorno</t>
        </is>
      </c>
      <c r="G53" s="81" t="inlineStr">
        <is>
          <t>Data</t>
        </is>
      </c>
      <c r="H53" s="81" t="inlineStr">
        <is>
          <t>Ora</t>
        </is>
      </c>
      <c r="I53" s="10" t="n"/>
      <c r="J53" s="81" t="inlineStr">
        <is>
          <t>Risultato</t>
        </is>
      </c>
      <c r="K53" s="9" t="n"/>
      <c r="L53" s="10" t="n"/>
    </row>
    <row r="54" ht="24" customHeight="1">
      <c r="A54" s="83">
        <f>MAX(A$10:A53)+1</f>
        <v/>
      </c>
      <c r="B54" s="61">
        <f>IF(C54="","",IFERROR(VLOOKUP(C54,areaNomiBreviSquadre,7,FALSE),""))</f>
        <v/>
      </c>
      <c r="C54" s="62" t="inlineStr">
        <is>
          <t>C07</t>
        </is>
      </c>
      <c r="D54" s="61">
        <f>IF(E54="","",IFERROR(VLOOKUP(E54,areaNomiBreviSquadre,7,FALSE),""))</f>
        <v/>
      </c>
      <c r="E54" s="62" t="inlineStr">
        <is>
          <t>C16</t>
        </is>
      </c>
      <c r="F54" s="63" t="n">
        <v>46320.72916666666</v>
      </c>
      <c r="G54" s="9" t="n"/>
      <c r="H54" s="9" t="n"/>
      <c r="I54" s="10" t="n"/>
      <c r="J54" s="65" t="n">
        <v>71</v>
      </c>
      <c r="K54" s="66" t="inlineStr">
        <is>
          <t>-</t>
        </is>
      </c>
      <c r="L54" s="65" t="n">
        <v>49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C03</t>
        </is>
      </c>
      <c r="J55" s="141" t="n"/>
      <c r="K55" s="141" t="n"/>
      <c r="L55" s="141" t="n"/>
    </row>
    <row r="56" ht="13" customHeight="1">
      <c r="A56" s="81" t="inlineStr">
        <is>
          <t>Gara N.</t>
        </is>
      </c>
      <c r="B56" s="81" t="inlineStr">
        <is>
          <t>Squadra A</t>
        </is>
      </c>
      <c r="C56" s="10" t="n"/>
      <c r="D56" s="81" t="inlineStr">
        <is>
          <t>Squadra B</t>
        </is>
      </c>
      <c r="E56" s="10" t="n"/>
      <c r="F56" s="81" t="inlineStr">
        <is>
          <t>Giorno</t>
        </is>
      </c>
      <c r="G56" s="81" t="inlineStr">
        <is>
          <t>Data</t>
        </is>
      </c>
      <c r="H56" s="81" t="inlineStr">
        <is>
          <t>Ora</t>
        </is>
      </c>
      <c r="I56" s="10" t="n"/>
      <c r="J56" s="81" t="inlineStr">
        <is>
          <t>Risultato</t>
        </is>
      </c>
      <c r="K56" s="9" t="n"/>
      <c r="L56" s="10" t="n"/>
    </row>
    <row r="57" ht="24" customHeight="1">
      <c r="A57" s="83">
        <f>MAX(A$10:A56)+1</f>
        <v/>
      </c>
      <c r="B57" s="61">
        <f>IF(C57="","",IFERROR(VLOOKUP(C57,areaNomiBreviSquadre,7,FALSE),""))</f>
        <v/>
      </c>
      <c r="C57" s="62" t="inlineStr">
        <is>
          <t>C19</t>
        </is>
      </c>
      <c r="D57" s="61">
        <f>IF(E57="","",IFERROR(VLOOKUP(E57,areaNomiBreviSquadre,7,FALSE),""))</f>
        <v/>
      </c>
      <c r="E57" s="62" t="inlineStr">
        <is>
          <t>C04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44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C04</t>
        </is>
      </c>
      <c r="J58" s="141" t="n"/>
      <c r="K58" s="141" t="n"/>
      <c r="L58" s="141" t="n"/>
    </row>
    <row r="59" ht="13" customHeight="1">
      <c r="A59" s="81" t="inlineStr">
        <is>
          <t>Gara N.</t>
        </is>
      </c>
      <c r="B59" s="81" t="inlineStr">
        <is>
          <t>Squadra A</t>
        </is>
      </c>
      <c r="C59" s="10" t="n"/>
      <c r="D59" s="81" t="inlineStr">
        <is>
          <t>Squadra B</t>
        </is>
      </c>
      <c r="E59" s="10" t="n"/>
      <c r="F59" s="81" t="inlineStr">
        <is>
          <t>Giorno</t>
        </is>
      </c>
      <c r="G59" s="81" t="inlineStr">
        <is>
          <t>Data</t>
        </is>
      </c>
      <c r="H59" s="81" t="inlineStr">
        <is>
          <t>Ora</t>
        </is>
      </c>
      <c r="I59" s="10" t="n"/>
      <c r="J59" s="81" t="inlineStr">
        <is>
          <t>Risultato</t>
        </is>
      </c>
      <c r="K59" s="9" t="n"/>
      <c r="L59" s="10" t="n"/>
    </row>
    <row r="60" ht="24" customHeight="1">
      <c r="A60" s="83">
        <f>MAX(A$10:A59)+1</f>
        <v/>
      </c>
      <c r="B60" s="61">
        <f>IF(C60="","",IFERROR(VLOOKUP(C60,areaNomiBreviSquadre,7,FALSE),""))</f>
        <v/>
      </c>
      <c r="C60" s="62" t="inlineStr">
        <is>
          <t>C15</t>
        </is>
      </c>
      <c r="D60" s="61">
        <f>IF(E60="","",IFERROR(VLOOKUP(E60,areaNomiBreviSquadre,7,FALSE),""))</f>
        <v/>
      </c>
      <c r="E60" s="62" t="inlineStr">
        <is>
          <t>C08</t>
        </is>
      </c>
      <c r="F60" s="63" t="n">
        <v>46320.45833333334</v>
      </c>
      <c r="G60" s="9" t="n"/>
      <c r="H60" s="9" t="n"/>
      <c r="I60" s="10" t="n"/>
      <c r="J60" s="65" t="n">
        <v>39</v>
      </c>
      <c r="K60" s="66" t="inlineStr">
        <is>
          <t>-</t>
        </is>
      </c>
      <c r="L60" s="65" t="n">
        <v>35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C04</t>
        </is>
      </c>
      <c r="J61" s="141" t="n"/>
      <c r="K61" s="141" t="n"/>
      <c r="L61" s="141" t="n"/>
    </row>
    <row r="62" ht="13" customHeight="1">
      <c r="A62" s="81" t="inlineStr">
        <is>
          <t>Gara N.</t>
        </is>
      </c>
      <c r="B62" s="81" t="inlineStr">
        <is>
          <t>Squadra A</t>
        </is>
      </c>
      <c r="C62" s="10" t="n"/>
      <c r="D62" s="81" t="inlineStr">
        <is>
          <t>Squadra B</t>
        </is>
      </c>
      <c r="E62" s="10" t="n"/>
      <c r="F62" s="81" t="inlineStr">
        <is>
          <t>Giorno</t>
        </is>
      </c>
      <c r="G62" s="81" t="inlineStr">
        <is>
          <t>Data</t>
        </is>
      </c>
      <c r="H62" s="81" t="inlineStr">
        <is>
          <t>Ora</t>
        </is>
      </c>
      <c r="I62" s="10" t="n"/>
      <c r="J62" s="81" t="inlineStr">
        <is>
          <t>Risultato</t>
        </is>
      </c>
      <c r="K62" s="9" t="n"/>
      <c r="L62" s="10" t="n"/>
    </row>
    <row r="63" ht="24" customHeight="1">
      <c r="A63" s="83">
        <f>MAX(A$10:A62)+1</f>
        <v/>
      </c>
      <c r="B63" s="61">
        <f>IF(C63="","",IFERROR(VLOOKUP(C63,areaNomiBreviSquadre,7,FALSE),""))</f>
        <v/>
      </c>
      <c r="C63" s="62" t="inlineStr">
        <is>
          <t>C09</t>
        </is>
      </c>
      <c r="D63" s="61">
        <f>IF(E63="","",IFERROR(VLOOKUP(E63,areaNomiBreviSquadre,7,FALSE),""))</f>
        <v/>
      </c>
      <c r="E63" s="62" t="inlineStr">
        <is>
          <t>C14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22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C04</t>
        </is>
      </c>
      <c r="J64" s="141" t="n"/>
      <c r="K64" s="141" t="n"/>
      <c r="L64" s="141" t="n"/>
    </row>
    <row r="65" ht="13" customHeight="1">
      <c r="A65" s="81" t="inlineStr">
        <is>
          <t>Gara N.</t>
        </is>
      </c>
      <c r="B65" s="81" t="inlineStr">
        <is>
          <t>Squadra A</t>
        </is>
      </c>
      <c r="C65" s="10" t="n"/>
      <c r="D65" s="81" t="inlineStr">
        <is>
          <t>Squadra B</t>
        </is>
      </c>
      <c r="E65" s="10" t="n"/>
      <c r="F65" s="81" t="inlineStr">
        <is>
          <t>Giorno</t>
        </is>
      </c>
      <c r="G65" s="81" t="inlineStr">
        <is>
          <t>Data</t>
        </is>
      </c>
      <c r="H65" s="81" t="inlineStr">
        <is>
          <t>Ora</t>
        </is>
      </c>
      <c r="I65" s="10" t="n"/>
      <c r="J65" s="81" t="inlineStr">
        <is>
          <t>Risultato</t>
        </is>
      </c>
      <c r="K65" s="9" t="n"/>
      <c r="L65" s="10" t="n"/>
    </row>
    <row r="66" ht="24" customHeight="1">
      <c r="A66" s="83">
        <f>MAX(A$10:A65)+1</f>
        <v/>
      </c>
      <c r="B66" s="61">
        <f>IF(C66="","",IFERROR(VLOOKUP(C66,areaNomiBreviSquadre,7,FALSE),""))</f>
        <v/>
      </c>
      <c r="C66" s="62" t="inlineStr">
        <is>
          <t>C13</t>
        </is>
      </c>
      <c r="D66" s="61">
        <f>IF(E66="","",IFERROR(VLOOKUP(E66,areaNomiBreviSquadre,7,FALSE),""))</f>
        <v/>
      </c>
      <c r="E66" s="62" t="inlineStr">
        <is>
          <t>C10</t>
        </is>
      </c>
      <c r="F66" s="63" t="n">
        <v>46320.66666666666</v>
      </c>
      <c r="G66" s="9" t="n"/>
      <c r="H66" s="9" t="n"/>
      <c r="I66" s="10" t="n"/>
      <c r="J66" s="65" t="n">
        <v>62</v>
      </c>
      <c r="K66" s="66" t="inlineStr">
        <is>
          <t>-</t>
        </is>
      </c>
      <c r="L66" s="65" t="n">
        <v>49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C04</t>
        </is>
      </c>
      <c r="J67" s="141" t="n"/>
      <c r="K67" s="141" t="n"/>
      <c r="L67" s="141" t="n"/>
    </row>
    <row r="68" ht="13" customHeight="1">
      <c r="A68" s="81" t="inlineStr">
        <is>
          <t>Gara N.</t>
        </is>
      </c>
      <c r="B68" s="81" t="inlineStr">
        <is>
          <t>Squadra A</t>
        </is>
      </c>
      <c r="C68" s="10" t="n"/>
      <c r="D68" s="81" t="inlineStr">
        <is>
          <t>Squadra B</t>
        </is>
      </c>
      <c r="E68" s="10" t="n"/>
      <c r="F68" s="81" t="inlineStr">
        <is>
          <t>Giorno</t>
        </is>
      </c>
      <c r="G68" s="81" t="inlineStr">
        <is>
          <t>Data</t>
        </is>
      </c>
      <c r="H68" s="81" t="inlineStr">
        <is>
          <t>Ora</t>
        </is>
      </c>
      <c r="I68" s="10" t="n"/>
      <c r="J68" s="81" t="inlineStr">
        <is>
          <t>Risultato</t>
        </is>
      </c>
      <c r="K68" s="9" t="n"/>
      <c r="L68" s="10" t="n"/>
    </row>
    <row r="69" ht="24" customHeight="1">
      <c r="A69" s="83">
        <f>MAX(A$10:A68)+1</f>
        <v/>
      </c>
      <c r="B69" s="61">
        <f>IF(C69="","",IFERROR(VLOOKUP(C69,areaNomiBreviSquadre,7,FALSE),""))</f>
        <v/>
      </c>
      <c r="C69" s="62" t="inlineStr">
        <is>
          <t>C11</t>
        </is>
      </c>
      <c r="D69" s="61">
        <f>IF(E69="","",IFERROR(VLOOKUP(E69,areaNomiBreviSquadre,7,FALSE),""))</f>
        <v/>
      </c>
      <c r="E69" s="62" t="inlineStr">
        <is>
          <t>C12</t>
        </is>
      </c>
      <c r="F69" s="63" t="n">
        <v>46320.72916666666</v>
      </c>
      <c r="G69" s="9" t="n"/>
      <c r="H69" s="9" t="n"/>
      <c r="I69" s="10" t="n"/>
      <c r="J69" s="65" t="n">
        <v>37</v>
      </c>
      <c r="K69" s="66" t="inlineStr">
        <is>
          <t>-</t>
        </is>
      </c>
      <c r="L69" s="65" t="n">
        <v>47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C04</t>
        </is>
      </c>
      <c r="J70" s="141" t="n"/>
      <c r="K70" s="141" t="n"/>
      <c r="L70" s="141" t="n"/>
    </row>
    <row r="71" ht="8" customHeight="1"/>
    <row r="72" ht="20" customHeight="1">
      <c r="A72" s="78" t="inlineStr">
        <is>
          <t>3C</t>
        </is>
      </c>
      <c r="B72" s="79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1" t="inlineStr">
        <is>
          <t>Gara N.</t>
        </is>
      </c>
      <c r="B73" s="81" t="inlineStr">
        <is>
          <t>Squadra A</t>
        </is>
      </c>
      <c r="C73" s="10" t="n"/>
      <c r="D73" s="81" t="inlineStr">
        <is>
          <t>Squadra B</t>
        </is>
      </c>
      <c r="E73" s="10" t="n"/>
      <c r="F73" s="81" t="inlineStr">
        <is>
          <t>Giorno</t>
        </is>
      </c>
      <c r="G73" s="81" t="inlineStr">
        <is>
          <t>Data</t>
        </is>
      </c>
      <c r="H73" s="81" t="inlineStr">
        <is>
          <t>Ora</t>
        </is>
      </c>
      <c r="I73" s="10" t="n"/>
      <c r="J73" s="81" t="inlineStr">
        <is>
          <t>Risultato</t>
        </is>
      </c>
      <c r="K73" s="9" t="n"/>
      <c r="L73" s="10" t="n"/>
    </row>
    <row r="74" ht="24" customHeight="1">
      <c r="A74" s="83">
        <f>MAX(A$10:A73)+1</f>
        <v/>
      </c>
      <c r="B74" s="61">
        <f>IF(C74="","",IFERROR(VLOOKUP(C74,areaNomiBreviSquadre,7,FALSE),""))</f>
        <v/>
      </c>
      <c r="C74" s="62" t="inlineStr">
        <is>
          <t>C05</t>
        </is>
      </c>
      <c r="D74" s="61">
        <f>IF(E74="","",IFERROR(VLOOKUP(E74,areaNomiBreviSquadre,7,FALSE),""))</f>
        <v/>
      </c>
      <c r="E74" s="62" t="inlineStr">
        <is>
          <t>C01</t>
        </is>
      </c>
      <c r="F74" s="63" t="n">
        <v>46327.39583333334</v>
      </c>
      <c r="G74" s="9" t="n"/>
      <c r="H74" s="9" t="n"/>
      <c r="I74" s="10" t="n"/>
      <c r="J74" s="65" t="n">
        <v>58</v>
      </c>
      <c r="K74" s="66" t="inlineStr">
        <is>
          <t>-</t>
        </is>
      </c>
      <c r="L74" s="65" t="n">
        <v>32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C05</t>
        </is>
      </c>
      <c r="J75" s="141" t="n"/>
      <c r="K75" s="141" t="n"/>
      <c r="L75" s="141" t="n"/>
    </row>
    <row r="76" ht="13" customHeight="1">
      <c r="A76" s="81" t="inlineStr">
        <is>
          <t>Gara N.</t>
        </is>
      </c>
      <c r="B76" s="81" t="inlineStr">
        <is>
          <t>Squadra A</t>
        </is>
      </c>
      <c r="C76" s="10" t="n"/>
      <c r="D76" s="81" t="inlineStr">
        <is>
          <t>Squadra B</t>
        </is>
      </c>
      <c r="E76" s="10" t="n"/>
      <c r="F76" s="81" t="inlineStr">
        <is>
          <t>Giorno</t>
        </is>
      </c>
      <c r="G76" s="81" t="inlineStr">
        <is>
          <t>Data</t>
        </is>
      </c>
      <c r="H76" s="81" t="inlineStr">
        <is>
          <t>Ora</t>
        </is>
      </c>
      <c r="I76" s="10" t="n"/>
      <c r="J76" s="81" t="inlineStr">
        <is>
          <t>Risultato</t>
        </is>
      </c>
      <c r="K76" s="9" t="n"/>
      <c r="L76" s="10" t="n"/>
    </row>
    <row r="77" ht="24" customHeight="1">
      <c r="A77" s="83">
        <f>MAX(A$10:A76)+1</f>
        <v/>
      </c>
      <c r="B77" s="61">
        <f>IF(C77="","",IFERROR(VLOOKUP(C77,areaNomiBreviSquadre,7,FALSE),""))</f>
        <v/>
      </c>
      <c r="C77" s="62" t="inlineStr">
        <is>
          <t>C03</t>
        </is>
      </c>
      <c r="D77" s="61">
        <f>IF(E77="","",IFERROR(VLOOKUP(E77,areaNomiBreviSquadre,7,FALSE),""))</f>
        <v/>
      </c>
      <c r="E77" s="62" t="inlineStr">
        <is>
          <t>C20</t>
        </is>
      </c>
      <c r="F77" s="63" t="n">
        <v>46327.45833333334</v>
      </c>
      <c r="G77" s="9" t="n"/>
      <c r="H77" s="9" t="n"/>
      <c r="I77" s="10" t="n"/>
      <c r="J77" s="65" t="n">
        <v>16</v>
      </c>
      <c r="K77" s="66" t="inlineStr">
        <is>
          <t>-</t>
        </is>
      </c>
      <c r="L77" s="65" t="n">
        <v>38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C05</t>
        </is>
      </c>
      <c r="J78" s="141" t="n"/>
      <c r="K78" s="141" t="n"/>
      <c r="L78" s="141" t="n"/>
    </row>
    <row r="79" ht="13" customHeight="1">
      <c r="A79" s="81" t="inlineStr">
        <is>
          <t>Gara N.</t>
        </is>
      </c>
      <c r="B79" s="81" t="inlineStr">
        <is>
          <t>Squadra A</t>
        </is>
      </c>
      <c r="C79" s="10" t="n"/>
      <c r="D79" s="81" t="inlineStr">
        <is>
          <t>Squadra B</t>
        </is>
      </c>
      <c r="E79" s="10" t="n"/>
      <c r="F79" s="81" t="inlineStr">
        <is>
          <t>Giorno</t>
        </is>
      </c>
      <c r="G79" s="81" t="inlineStr">
        <is>
          <t>Data</t>
        </is>
      </c>
      <c r="H79" s="81" t="inlineStr">
        <is>
          <t>Ora</t>
        </is>
      </c>
      <c r="I79" s="10" t="n"/>
      <c r="J79" s="81" t="inlineStr">
        <is>
          <t>Risultato</t>
        </is>
      </c>
      <c r="K79" s="9" t="n"/>
      <c r="L79" s="10" t="n"/>
    </row>
    <row r="80" ht="24" customHeight="1">
      <c r="A80" s="83">
        <f>MAX(A$10:A79)+1</f>
        <v/>
      </c>
      <c r="B80" s="61">
        <f>IF(C80="","",IFERROR(VLOOKUP(C80,areaNomiBreviSquadre,7,FALSE),""))</f>
        <v/>
      </c>
      <c r="C80" s="62" t="inlineStr">
        <is>
          <t>C02</t>
        </is>
      </c>
      <c r="D80" s="61">
        <f>IF(E80="","",IFERROR(VLOOKUP(E80,areaNomiBreviSquadre,7,FALSE),""))</f>
        <v/>
      </c>
      <c r="E80" s="62" t="inlineStr">
        <is>
          <t>C04</t>
        </is>
      </c>
      <c r="F80" s="63" t="n">
        <v>46327.60416666666</v>
      </c>
      <c r="G80" s="9" t="n"/>
      <c r="H80" s="9" t="n"/>
      <c r="I80" s="10" t="n"/>
      <c r="J80" s="65" t="n">
        <v>60</v>
      </c>
      <c r="K80" s="66" t="inlineStr">
        <is>
          <t>-</t>
        </is>
      </c>
      <c r="L80" s="65" t="n">
        <v>84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C05</t>
        </is>
      </c>
      <c r="J81" s="141" t="n"/>
      <c r="K81" s="141" t="n"/>
      <c r="L81" s="141" t="n"/>
    </row>
    <row r="82" ht="13" customHeight="1">
      <c r="A82" s="81" t="inlineStr">
        <is>
          <t>Gara N.</t>
        </is>
      </c>
      <c r="B82" s="81" t="inlineStr">
        <is>
          <t>Squadra A</t>
        </is>
      </c>
      <c r="C82" s="10" t="n"/>
      <c r="D82" s="81" t="inlineStr">
        <is>
          <t>Squadra B</t>
        </is>
      </c>
      <c r="E82" s="10" t="n"/>
      <c r="F82" s="81" t="inlineStr">
        <is>
          <t>Giorno</t>
        </is>
      </c>
      <c r="G82" s="81" t="inlineStr">
        <is>
          <t>Data</t>
        </is>
      </c>
      <c r="H82" s="81" t="inlineStr">
        <is>
          <t>Ora</t>
        </is>
      </c>
      <c r="I82" s="10" t="n"/>
      <c r="J82" s="81" t="inlineStr">
        <is>
          <t>Risultato</t>
        </is>
      </c>
      <c r="K82" s="9" t="n"/>
      <c r="L82" s="10" t="n"/>
    </row>
    <row r="83" ht="24" customHeight="1">
      <c r="A83" s="83">
        <f>MAX(A$10:A82)+1</f>
        <v/>
      </c>
      <c r="B83" s="61">
        <f>IF(C83="","",IFERROR(VLOOKUP(C83,areaNomiBreviSquadre,7,FALSE),""))</f>
        <v/>
      </c>
      <c r="C83" s="62" t="inlineStr">
        <is>
          <t>C07</t>
        </is>
      </c>
      <c r="D83" s="61">
        <f>IF(E83="","",IFERROR(VLOOKUP(E83,areaNomiBreviSquadre,7,FALSE),""))</f>
        <v/>
      </c>
      <c r="E83" s="62" t="inlineStr">
        <is>
          <t>C18</t>
        </is>
      </c>
      <c r="F83" s="63" t="n">
        <v>46327.66666666666</v>
      </c>
      <c r="G83" s="9" t="n"/>
      <c r="H83" s="9" t="n"/>
      <c r="I83" s="10" t="n"/>
      <c r="J83" s="65" t="n">
        <v>30</v>
      </c>
      <c r="K83" s="66" t="inlineStr">
        <is>
          <t>-</t>
        </is>
      </c>
      <c r="L83" s="65" t="n">
        <v>52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C05</t>
        </is>
      </c>
      <c r="J84" s="141" t="n"/>
      <c r="K84" s="141" t="n"/>
      <c r="L84" s="141" t="n"/>
    </row>
    <row r="85" ht="13" customHeight="1">
      <c r="A85" s="81" t="inlineStr">
        <is>
          <t>Gara N.</t>
        </is>
      </c>
      <c r="B85" s="81" t="inlineStr">
        <is>
          <t>Squadra A</t>
        </is>
      </c>
      <c r="C85" s="10" t="n"/>
      <c r="D85" s="81" t="inlineStr">
        <is>
          <t>Squadra B</t>
        </is>
      </c>
      <c r="E85" s="10" t="n"/>
      <c r="F85" s="81" t="inlineStr">
        <is>
          <t>Giorno</t>
        </is>
      </c>
      <c r="G85" s="81" t="inlineStr">
        <is>
          <t>Data</t>
        </is>
      </c>
      <c r="H85" s="81" t="inlineStr">
        <is>
          <t>Ora</t>
        </is>
      </c>
      <c r="I85" s="10" t="n"/>
      <c r="J85" s="81" t="inlineStr">
        <is>
          <t>Risultato</t>
        </is>
      </c>
      <c r="K85" s="9" t="n"/>
      <c r="L85" s="10" t="n"/>
    </row>
    <row r="86" ht="24" customHeight="1">
      <c r="A86" s="83">
        <f>MAX(A$10:A85)+1</f>
        <v/>
      </c>
      <c r="B86" s="61">
        <f>IF(C86="","",IFERROR(VLOOKUP(C86,areaNomiBreviSquadre,7,FALSE),""))</f>
        <v/>
      </c>
      <c r="C86" s="62" t="inlineStr">
        <is>
          <t>C17</t>
        </is>
      </c>
      <c r="D86" s="61">
        <f>IF(E86="","",IFERROR(VLOOKUP(E86,areaNomiBreviSquadre,7,FALSE),""))</f>
        <v/>
      </c>
      <c r="E86" s="62" t="inlineStr">
        <is>
          <t>C08</t>
        </is>
      </c>
      <c r="F86" s="63" t="n">
        <v>46327.72916666666</v>
      </c>
      <c r="G86" s="9" t="n"/>
      <c r="H86" s="9" t="n"/>
      <c r="I86" s="10" t="n"/>
      <c r="J86" s="65" t="n">
        <v>51</v>
      </c>
      <c r="K86" s="66" t="inlineStr">
        <is>
          <t>-</t>
        </is>
      </c>
      <c r="L86" s="65" t="n">
        <v>26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C05</t>
        </is>
      </c>
      <c r="J87" s="141" t="n"/>
      <c r="K87" s="141" t="n"/>
      <c r="L87" s="141" t="n"/>
    </row>
    <row r="88" ht="13" customHeight="1">
      <c r="A88" s="81" t="inlineStr">
        <is>
          <t>Gara N.</t>
        </is>
      </c>
      <c r="B88" s="81" t="inlineStr">
        <is>
          <t>Squadra A</t>
        </is>
      </c>
      <c r="C88" s="10" t="n"/>
      <c r="D88" s="81" t="inlineStr">
        <is>
          <t>Squadra B</t>
        </is>
      </c>
      <c r="E88" s="10" t="n"/>
      <c r="F88" s="81" t="inlineStr">
        <is>
          <t>Giorno</t>
        </is>
      </c>
      <c r="G88" s="81" t="inlineStr">
        <is>
          <t>Data</t>
        </is>
      </c>
      <c r="H88" s="81" t="inlineStr">
        <is>
          <t>Ora</t>
        </is>
      </c>
      <c r="I88" s="10" t="n"/>
      <c r="J88" s="81" t="inlineStr">
        <is>
          <t>Risultato</t>
        </is>
      </c>
      <c r="K88" s="9" t="n"/>
      <c r="L88" s="10" t="n"/>
    </row>
    <row r="89" ht="24" customHeight="1">
      <c r="A89" s="83">
        <f>MAX(A$10:A88)+1</f>
        <v/>
      </c>
      <c r="B89" s="61">
        <f>IF(C89="","",IFERROR(VLOOKUP(C89,areaNomiBreviSquadre,7,FALSE),""))</f>
        <v/>
      </c>
      <c r="C89" s="62" t="inlineStr">
        <is>
          <t>C19</t>
        </is>
      </c>
      <c r="D89" s="61">
        <f>IF(E89="","",IFERROR(VLOOKUP(E89,areaNomiBreviSquadre,7,FALSE),""))</f>
        <v/>
      </c>
      <c r="E89" s="62" t="inlineStr">
        <is>
          <t>C06</t>
        </is>
      </c>
      <c r="F89" s="63" t="n">
        <v>46327.39583333334</v>
      </c>
      <c r="G89" s="9" t="n"/>
      <c r="H89" s="9" t="n"/>
      <c r="I89" s="10" t="n"/>
      <c r="J89" s="65" t="n">
        <v>36</v>
      </c>
      <c r="K89" s="66" t="inlineStr">
        <is>
          <t>-</t>
        </is>
      </c>
      <c r="L89" s="65" t="n">
        <v>64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C06</t>
        </is>
      </c>
      <c r="J90" s="141" t="n"/>
      <c r="K90" s="141" t="n"/>
      <c r="L90" s="141" t="n"/>
    </row>
    <row r="91" ht="13" customHeight="1">
      <c r="A91" s="81" t="inlineStr">
        <is>
          <t>Gara N.</t>
        </is>
      </c>
      <c r="B91" s="81" t="inlineStr">
        <is>
          <t>Squadra A</t>
        </is>
      </c>
      <c r="C91" s="10" t="n"/>
      <c r="D91" s="81" t="inlineStr">
        <is>
          <t>Squadra B</t>
        </is>
      </c>
      <c r="E91" s="10" t="n"/>
      <c r="F91" s="81" t="inlineStr">
        <is>
          <t>Giorno</t>
        </is>
      </c>
      <c r="G91" s="81" t="inlineStr">
        <is>
          <t>Data</t>
        </is>
      </c>
      <c r="H91" s="81" t="inlineStr">
        <is>
          <t>Ora</t>
        </is>
      </c>
      <c r="I91" s="10" t="n"/>
      <c r="J91" s="81" t="inlineStr">
        <is>
          <t>Risultato</t>
        </is>
      </c>
      <c r="K91" s="9" t="n"/>
      <c r="L91" s="10" t="n"/>
    </row>
    <row r="92" ht="24" customHeight="1">
      <c r="A92" s="83">
        <f>MAX(A$10:A91)+1</f>
        <v/>
      </c>
      <c r="B92" s="61">
        <f>IF(C92="","",IFERROR(VLOOKUP(C92,areaNomiBreviSquadre,7,FALSE),""))</f>
        <v/>
      </c>
      <c r="C92" s="62" t="inlineStr">
        <is>
          <t>C09</t>
        </is>
      </c>
      <c r="D92" s="61">
        <f>IF(E92="","",IFERROR(VLOOKUP(E92,areaNomiBreviSquadre,7,FALSE),""))</f>
        <v/>
      </c>
      <c r="E92" s="62" t="inlineStr">
        <is>
          <t>C16</t>
        </is>
      </c>
      <c r="F92" s="63" t="n">
        <v>46327.45833333334</v>
      </c>
      <c r="G92" s="9" t="n"/>
      <c r="H92" s="9" t="n"/>
      <c r="I92" s="10" t="n"/>
      <c r="J92" s="65" t="n">
        <v>33</v>
      </c>
      <c r="K92" s="66" t="inlineStr">
        <is>
          <t>-</t>
        </is>
      </c>
      <c r="L92" s="65" t="n">
        <v>59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C06</t>
        </is>
      </c>
      <c r="J93" s="141" t="n"/>
      <c r="K93" s="141" t="n"/>
      <c r="L93" s="141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IF(C95="","",IFERROR(VLOOKUP(C95,areaNomiBreviSquadre,7,FALSE),""))</f>
        <v/>
      </c>
      <c r="C95" s="62" t="inlineStr">
        <is>
          <t>C15</t>
        </is>
      </c>
      <c r="D95" s="61">
        <f>IF(E95="","",IFERROR(VLOOKUP(E95,areaNomiBreviSquadre,7,FALSE),""))</f>
        <v/>
      </c>
      <c r="E95" s="62" t="inlineStr">
        <is>
          <t>C10</t>
        </is>
      </c>
      <c r="F95" s="63" t="n">
        <v>46327.60416666666</v>
      </c>
      <c r="G95" s="9" t="n"/>
      <c r="H95" s="9" t="n"/>
      <c r="I95" s="10" t="n"/>
      <c r="J95" s="65" t="n">
        <v>88</v>
      </c>
      <c r="K95" s="66" t="inlineStr">
        <is>
          <t>-</t>
        </is>
      </c>
      <c r="L95" s="65" t="n">
        <v>78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C06</t>
        </is>
      </c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IF(C98="","",IFERROR(VLOOKUP(C98,areaNomiBreviSquadre,7,FALSE),""))</f>
        <v/>
      </c>
      <c r="C98" s="62" t="inlineStr">
        <is>
          <t>C11</t>
        </is>
      </c>
      <c r="D98" s="61">
        <f>IF(E98="","",IFERROR(VLOOKUP(E98,areaNomiBreviSquadre,7,FALSE),""))</f>
        <v/>
      </c>
      <c r="E98" s="62" t="inlineStr">
        <is>
          <t>C14</t>
        </is>
      </c>
      <c r="F98" s="63" t="n">
        <v>46327.66666666666</v>
      </c>
      <c r="G98" s="9" t="n"/>
      <c r="H98" s="9" t="n"/>
      <c r="I98" s="10" t="n"/>
      <c r="J98" s="65" t="n">
        <v>43</v>
      </c>
      <c r="K98" s="66" t="inlineStr">
        <is>
          <t>-</t>
        </is>
      </c>
      <c r="L98" s="65" t="n">
        <v>22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C06</t>
        </is>
      </c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IF(C101="","",IFERROR(VLOOKUP(C101,areaNomiBreviSquadre,7,FALSE),""))</f>
        <v/>
      </c>
      <c r="C101" s="62" t="inlineStr">
        <is>
          <t>C13</t>
        </is>
      </c>
      <c r="D101" s="61">
        <f>IF(E101="","",IFERROR(VLOOKUP(E101,areaNomiBreviSquadre,7,FALSE),""))</f>
        <v/>
      </c>
      <c r="E101" s="62" t="inlineStr">
        <is>
          <t>C12</t>
        </is>
      </c>
      <c r="F101" s="63" t="n">
        <v>46327.72916666666</v>
      </c>
      <c r="G101" s="9" t="n"/>
      <c r="H101" s="9" t="n"/>
      <c r="I101" s="10" t="n"/>
      <c r="J101" s="65" t="n">
        <v>40</v>
      </c>
      <c r="K101" s="66" t="inlineStr">
        <is>
          <t>-</t>
        </is>
      </c>
      <c r="L101" s="65" t="n">
        <v>16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C06</t>
        </is>
      </c>
      <c r="J102" s="141" t="n"/>
      <c r="K102" s="141" t="n"/>
      <c r="L102" s="141" t="n"/>
    </row>
    <row r="103" ht="8" customHeight="1"/>
    <row r="104" ht="20" customHeight="1">
      <c r="A104" s="78" t="inlineStr">
        <is>
          <t>4C</t>
        </is>
      </c>
      <c r="B104" s="79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1" t="inlineStr">
        <is>
          <t>Gara N.</t>
        </is>
      </c>
      <c r="B105" s="81" t="inlineStr">
        <is>
          <t>Squadra A</t>
        </is>
      </c>
      <c r="C105" s="10" t="n"/>
      <c r="D105" s="81" t="inlineStr">
        <is>
          <t>Squadra B</t>
        </is>
      </c>
      <c r="E105" s="10" t="n"/>
      <c r="F105" s="81" t="inlineStr">
        <is>
          <t>Giorno</t>
        </is>
      </c>
      <c r="G105" s="81" t="inlineStr">
        <is>
          <t>Data</t>
        </is>
      </c>
      <c r="H105" s="81" t="inlineStr">
        <is>
          <t>Ora</t>
        </is>
      </c>
      <c r="I105" s="10" t="n"/>
      <c r="J105" s="81" t="inlineStr">
        <is>
          <t>Risultato</t>
        </is>
      </c>
      <c r="K105" s="9" t="n"/>
      <c r="L105" s="10" t="n"/>
    </row>
    <row r="106" ht="24" customHeight="1">
      <c r="A106" s="83">
        <f>MAX(A$10:A105)+1</f>
        <v/>
      </c>
      <c r="B106" s="61">
        <f>IF(C106="","",IFERROR(VLOOKUP(C106,areaNomiBreviSquadre,7,FALSE),""))</f>
        <v/>
      </c>
      <c r="C106" s="62" t="inlineStr">
        <is>
          <t>C07</t>
        </is>
      </c>
      <c r="D106" s="61">
        <f>IF(E106="","",IFERROR(VLOOKUP(E106,areaNomiBreviSquadre,7,FALSE),""))</f>
        <v/>
      </c>
      <c r="E106" s="62" t="inlineStr">
        <is>
          <t>C01</t>
        </is>
      </c>
      <c r="F106" s="63" t="n">
        <v>46334.39583333334</v>
      </c>
      <c r="G106" s="9" t="n"/>
      <c r="H106" s="9" t="n"/>
      <c r="I106" s="10" t="n"/>
      <c r="J106" s="65" t="n">
        <v>37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C07</t>
        </is>
      </c>
      <c r="J107" s="141" t="n"/>
      <c r="K107" s="141" t="n"/>
      <c r="L107" s="141" t="n"/>
    </row>
    <row r="108" ht="13" customHeight="1">
      <c r="A108" s="81" t="inlineStr">
        <is>
          <t>Gara N.</t>
        </is>
      </c>
      <c r="B108" s="81" t="inlineStr">
        <is>
          <t>Squadra A</t>
        </is>
      </c>
      <c r="C108" s="10" t="n"/>
      <c r="D108" s="81" t="inlineStr">
        <is>
          <t>Squadra B</t>
        </is>
      </c>
      <c r="E108" s="10" t="n"/>
      <c r="F108" s="81" t="inlineStr">
        <is>
          <t>Giorno</t>
        </is>
      </c>
      <c r="G108" s="81" t="inlineStr">
        <is>
          <t>Data</t>
        </is>
      </c>
      <c r="H108" s="81" t="inlineStr">
        <is>
          <t>Ora</t>
        </is>
      </c>
      <c r="I108" s="10" t="n"/>
      <c r="J108" s="81" t="inlineStr">
        <is>
          <t>Risultato</t>
        </is>
      </c>
      <c r="K108" s="9" t="n"/>
      <c r="L108" s="10" t="n"/>
    </row>
    <row r="109" ht="24" customHeight="1">
      <c r="A109" s="83">
        <f>MAX(A$10:A108)+1</f>
        <v/>
      </c>
      <c r="B109" s="61">
        <f>IF(C109="","",IFERROR(VLOOKUP(C109,areaNomiBreviSquadre,7,FALSE),""))</f>
        <v/>
      </c>
      <c r="C109" s="62" t="inlineStr">
        <is>
          <t>C20</t>
        </is>
      </c>
      <c r="D109" s="61">
        <f>IF(E109="","",IFERROR(VLOOKUP(E109,areaNomiBreviSquadre,7,FALSE),""))</f>
        <v/>
      </c>
      <c r="E109" s="62" t="inlineStr">
        <is>
          <t>C04</t>
        </is>
      </c>
      <c r="F109" s="63" t="n">
        <v>46334.45833333334</v>
      </c>
      <c r="G109" s="9" t="n"/>
      <c r="H109" s="9" t="n"/>
      <c r="I109" s="10" t="n"/>
      <c r="J109" s="65" t="n">
        <v>63</v>
      </c>
      <c r="K109" s="66" t="inlineStr">
        <is>
          <t>-</t>
        </is>
      </c>
      <c r="L109" s="65" t="n">
        <v>83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C07</t>
        </is>
      </c>
      <c r="J110" s="141" t="n"/>
      <c r="K110" s="141" t="n"/>
      <c r="L110" s="141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IF(C112="","",IFERROR(VLOOKUP(C112,areaNomiBreviSquadre,7,FALSE),""))</f>
        <v/>
      </c>
      <c r="C112" s="62" t="inlineStr">
        <is>
          <t>C05</t>
        </is>
      </c>
      <c r="D112" s="61">
        <f>IF(E112="","",IFERROR(VLOOKUP(E112,areaNomiBreviSquadre,7,FALSE),""))</f>
        <v/>
      </c>
      <c r="E112" s="62" t="inlineStr">
        <is>
          <t>C03</t>
        </is>
      </c>
      <c r="F112" s="63" t="n">
        <v>46334.60416666666</v>
      </c>
      <c r="G112" s="9" t="n"/>
      <c r="H112" s="9" t="n"/>
      <c r="I112" s="10" t="n"/>
      <c r="J112" s="65" t="n">
        <v>52</v>
      </c>
      <c r="K112" s="66" t="inlineStr">
        <is>
          <t>-</t>
        </is>
      </c>
      <c r="L112" s="65" t="n">
        <v>44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C07</t>
        </is>
      </c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IF(C115="","",IFERROR(VLOOKUP(C115,areaNomiBreviSquadre,7,FALSE),""))</f>
        <v/>
      </c>
      <c r="C115" s="62" t="inlineStr">
        <is>
          <t>C02</t>
        </is>
      </c>
      <c r="D115" s="61">
        <f>IF(E115="","",IFERROR(VLOOKUP(E115,areaNomiBreviSquadre,7,FALSE),""))</f>
        <v/>
      </c>
      <c r="E115" s="62" t="inlineStr">
        <is>
          <t>C06</t>
        </is>
      </c>
      <c r="F115" s="63" t="n">
        <v>46334.66666666666</v>
      </c>
      <c r="G115" s="9" t="n"/>
      <c r="H115" s="9" t="n"/>
      <c r="I115" s="10" t="n"/>
      <c r="J115" s="65" t="n">
        <v>64</v>
      </c>
      <c r="K115" s="66" t="inlineStr">
        <is>
          <t>-</t>
        </is>
      </c>
      <c r="L115" s="65" t="n">
        <v>36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C07</t>
        </is>
      </c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IF(C118="","",IFERROR(VLOOKUP(C118,areaNomiBreviSquadre,7,FALSE),""))</f>
        <v/>
      </c>
      <c r="C118" s="62" t="inlineStr">
        <is>
          <t>C09</t>
        </is>
      </c>
      <c r="D118" s="61">
        <f>IF(E118="","",IFERROR(VLOOKUP(E118,areaNomiBreviSquadre,7,FALSE),""))</f>
        <v/>
      </c>
      <c r="E118" s="62" t="inlineStr">
        <is>
          <t>C18</t>
        </is>
      </c>
      <c r="F118" s="63" t="n">
        <v>46334.72916666666</v>
      </c>
      <c r="G118" s="9" t="n"/>
      <c r="H118" s="9" t="n"/>
      <c r="I118" s="10" t="n"/>
      <c r="J118" s="65" t="n">
        <v>84</v>
      </c>
      <c r="K118" s="66" t="inlineStr">
        <is>
          <t>-</t>
        </is>
      </c>
      <c r="L118" s="65" t="n">
        <v>89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C07</t>
        </is>
      </c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IF(C121="","",IFERROR(VLOOKUP(C121,areaNomiBreviSquadre,7,FALSE),""))</f>
        <v/>
      </c>
      <c r="C121" s="62" t="inlineStr">
        <is>
          <t>C19</t>
        </is>
      </c>
      <c r="D121" s="61">
        <f>IF(E121="","",IFERROR(VLOOKUP(E121,areaNomiBreviSquadre,7,FALSE),""))</f>
        <v/>
      </c>
      <c r="E121" s="62" t="inlineStr">
        <is>
          <t>C08</t>
        </is>
      </c>
      <c r="F121" s="63" t="n">
        <v>46334.39583333334</v>
      </c>
      <c r="G121" s="9" t="n"/>
      <c r="H121" s="9" t="n"/>
      <c r="I121" s="10" t="n"/>
      <c r="J121" s="65" t="n">
        <v>66</v>
      </c>
      <c r="K121" s="66" t="inlineStr">
        <is>
          <t>-</t>
        </is>
      </c>
      <c r="L121" s="65" t="n">
        <v>62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C08</t>
        </is>
      </c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IF(C124="","",IFERROR(VLOOKUP(C124,areaNomiBreviSquadre,7,FALSE),""))</f>
        <v/>
      </c>
      <c r="C124" s="62" t="inlineStr">
        <is>
          <t>C17</t>
        </is>
      </c>
      <c r="D124" s="61">
        <f>IF(E124="","",IFERROR(VLOOKUP(E124,areaNomiBreviSquadre,7,FALSE),""))</f>
        <v/>
      </c>
      <c r="E124" s="62" t="inlineStr">
        <is>
          <t>C10</t>
        </is>
      </c>
      <c r="F124" s="63" t="n">
        <v>46334.45833333334</v>
      </c>
      <c r="G124" s="9" t="n"/>
      <c r="H124" s="9" t="n"/>
      <c r="I124" s="10" t="n"/>
      <c r="J124" s="65" t="n">
        <v>44</v>
      </c>
      <c r="K124" s="66" t="inlineStr">
        <is>
          <t>-</t>
        </is>
      </c>
      <c r="L124" s="65" t="n">
        <v>41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C08</t>
        </is>
      </c>
      <c r="J125" s="141" t="n"/>
      <c r="K125" s="141" t="n"/>
      <c r="L125" s="141" t="n"/>
    </row>
    <row r="126" ht="13" customHeight="1">
      <c r="A126" s="81" t="inlineStr">
        <is>
          <t>Gara N.</t>
        </is>
      </c>
      <c r="B126" s="81" t="inlineStr">
        <is>
          <t>Squadra A</t>
        </is>
      </c>
      <c r="C126" s="10" t="n"/>
      <c r="D126" s="81" t="inlineStr">
        <is>
          <t>Squadra B</t>
        </is>
      </c>
      <c r="E126" s="10" t="n"/>
      <c r="F126" s="81" t="inlineStr">
        <is>
          <t>Giorno</t>
        </is>
      </c>
      <c r="G126" s="81" t="inlineStr">
        <is>
          <t>Data</t>
        </is>
      </c>
      <c r="H126" s="81" t="inlineStr">
        <is>
          <t>Ora</t>
        </is>
      </c>
      <c r="I126" s="10" t="n"/>
      <c r="J126" s="81" t="inlineStr">
        <is>
          <t>Risultato</t>
        </is>
      </c>
      <c r="K126" s="9" t="n"/>
      <c r="L126" s="10" t="n"/>
    </row>
    <row r="127" ht="24" customHeight="1">
      <c r="A127" s="83">
        <f>MAX(A$10:A126)+1</f>
        <v/>
      </c>
      <c r="B127" s="61">
        <f>IF(C127="","",IFERROR(VLOOKUP(C127,areaNomiBreviSquadre,7,FALSE),""))</f>
        <v/>
      </c>
      <c r="C127" s="62" t="inlineStr">
        <is>
          <t>C11</t>
        </is>
      </c>
      <c r="D127" s="61">
        <f>IF(E127="","",IFERROR(VLOOKUP(E127,areaNomiBreviSquadre,7,FALSE),""))</f>
        <v/>
      </c>
      <c r="E127" s="62" t="inlineStr">
        <is>
          <t>C16</t>
        </is>
      </c>
      <c r="F127" s="63" t="n">
        <v>46334.60416666666</v>
      </c>
      <c r="G127" s="9" t="n"/>
      <c r="H127" s="9" t="n"/>
      <c r="I127" s="10" t="n"/>
      <c r="J127" s="65" t="n">
        <v>20</v>
      </c>
      <c r="K127" s="66" t="inlineStr">
        <is>
          <t>-</t>
        </is>
      </c>
      <c r="L127" s="65" t="n">
        <v>39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C08</t>
        </is>
      </c>
      <c r="J128" s="141" t="n"/>
      <c r="K128" s="141" t="n"/>
      <c r="L128" s="141" t="n"/>
    </row>
    <row r="129" ht="13" customHeight="1">
      <c r="A129" s="81" t="inlineStr">
        <is>
          <t>Gara N.</t>
        </is>
      </c>
      <c r="B129" s="81" t="inlineStr">
        <is>
          <t>Squadra A</t>
        </is>
      </c>
      <c r="C129" s="10" t="n"/>
      <c r="D129" s="81" t="inlineStr">
        <is>
          <t>Squadra B</t>
        </is>
      </c>
      <c r="E129" s="10" t="n"/>
      <c r="F129" s="81" t="inlineStr">
        <is>
          <t>Giorno</t>
        </is>
      </c>
      <c r="G129" s="81" t="inlineStr">
        <is>
          <t>Data</t>
        </is>
      </c>
      <c r="H129" s="81" t="inlineStr">
        <is>
          <t>Ora</t>
        </is>
      </c>
      <c r="I129" s="10" t="n"/>
      <c r="J129" s="81" t="inlineStr">
        <is>
          <t>Risultato</t>
        </is>
      </c>
      <c r="K129" s="9" t="n"/>
      <c r="L129" s="10" t="n"/>
    </row>
    <row r="130" ht="24" customHeight="1">
      <c r="A130" s="83">
        <f>MAX(A$10:A129)+1</f>
        <v/>
      </c>
      <c r="B130" s="61">
        <f>IF(C130="","",IFERROR(VLOOKUP(C130,areaNomiBreviSquadre,7,FALSE),""))</f>
        <v/>
      </c>
      <c r="C130" s="62" t="inlineStr">
        <is>
          <t>C15</t>
        </is>
      </c>
      <c r="D130" s="61">
        <f>IF(E130="","",IFERROR(VLOOKUP(E130,areaNomiBreviSquadre,7,FALSE),""))</f>
        <v/>
      </c>
      <c r="E130" s="62" t="inlineStr">
        <is>
          <t>C12</t>
        </is>
      </c>
      <c r="F130" s="63" t="n">
        <v>46334.66666666666</v>
      </c>
      <c r="G130" s="9" t="n"/>
      <c r="H130" s="9" t="n"/>
      <c r="I130" s="10" t="n"/>
      <c r="J130" s="65" t="n">
        <v>17</v>
      </c>
      <c r="K130" s="66" t="inlineStr">
        <is>
          <t>-</t>
        </is>
      </c>
      <c r="L130" s="65" t="n">
        <v>42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C08</t>
        </is>
      </c>
      <c r="J131" s="141" t="n"/>
      <c r="K131" s="141" t="n"/>
      <c r="L131" s="141" t="n"/>
    </row>
    <row r="132" ht="13" customHeight="1">
      <c r="A132" s="81" t="inlineStr">
        <is>
          <t>Gara N.</t>
        </is>
      </c>
      <c r="B132" s="81" t="inlineStr">
        <is>
          <t>Squadra A</t>
        </is>
      </c>
      <c r="C132" s="10" t="n"/>
      <c r="D132" s="81" t="inlineStr">
        <is>
          <t>Squadra B</t>
        </is>
      </c>
      <c r="E132" s="10" t="n"/>
      <c r="F132" s="81" t="inlineStr">
        <is>
          <t>Giorno</t>
        </is>
      </c>
      <c r="G132" s="81" t="inlineStr">
        <is>
          <t>Data</t>
        </is>
      </c>
      <c r="H132" s="81" t="inlineStr">
        <is>
          <t>Ora</t>
        </is>
      </c>
      <c r="I132" s="10" t="n"/>
      <c r="J132" s="81" t="inlineStr">
        <is>
          <t>Risultato</t>
        </is>
      </c>
      <c r="K132" s="9" t="n"/>
      <c r="L132" s="10" t="n"/>
    </row>
    <row r="133" ht="24" customHeight="1">
      <c r="A133" s="83">
        <f>MAX(A$10:A132)+1</f>
        <v/>
      </c>
      <c r="B133" s="61">
        <f>IF(C133="","",IFERROR(VLOOKUP(C133,areaNomiBreviSquadre,7,FALSE),""))</f>
        <v/>
      </c>
      <c r="C133" s="62" t="inlineStr">
        <is>
          <t>C13</t>
        </is>
      </c>
      <c r="D133" s="61">
        <f>IF(E133="","",IFERROR(VLOOKUP(E133,areaNomiBreviSquadre,7,FALSE),""))</f>
        <v/>
      </c>
      <c r="E133" s="62" t="inlineStr">
        <is>
          <t>C14</t>
        </is>
      </c>
      <c r="F133" s="63" t="n">
        <v>46334.72916666666</v>
      </c>
      <c r="G133" s="9" t="n"/>
      <c r="H133" s="9" t="n"/>
      <c r="I133" s="10" t="n"/>
      <c r="J133" s="65" t="n">
        <v>69</v>
      </c>
      <c r="K133" s="66" t="inlineStr">
        <is>
          <t>-</t>
        </is>
      </c>
      <c r="L133" s="65" t="n">
        <v>59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C08</t>
        </is>
      </c>
      <c r="J134" s="141" t="n"/>
      <c r="K134" s="141" t="n"/>
      <c r="L134" s="141" t="n"/>
    </row>
    <row r="135" ht="8" customHeight="1"/>
    <row r="136" ht="20" customHeight="1">
      <c r="A136" s="78" t="inlineStr">
        <is>
          <t>5C</t>
        </is>
      </c>
      <c r="B136" s="79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IF(C138="","",IFERROR(VLOOKUP(C138,areaNomiBreviSquadre,7,FALSE),""))</f>
        <v/>
      </c>
      <c r="C138" s="62" t="inlineStr">
        <is>
          <t>C09</t>
        </is>
      </c>
      <c r="D138" s="61">
        <f>IF(E138="","",IFERROR(VLOOKUP(E138,areaNomiBreviSquadre,7,FALSE),""))</f>
        <v/>
      </c>
      <c r="E138" s="62" t="inlineStr">
        <is>
          <t>C01</t>
        </is>
      </c>
      <c r="F138" s="63" t="n">
        <v>46341.39583333334</v>
      </c>
      <c r="G138" s="9" t="n"/>
      <c r="H138" s="9" t="n"/>
      <c r="I138" s="10" t="n"/>
      <c r="J138" s="65" t="n">
        <v>78</v>
      </c>
      <c r="K138" s="66" t="inlineStr">
        <is>
          <t>-</t>
        </is>
      </c>
      <c r="L138" s="65" t="n">
        <v>58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C09</t>
        </is>
      </c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IF(C141="","",IFERROR(VLOOKUP(C141,areaNomiBreviSquadre,7,FALSE),""))</f>
        <v/>
      </c>
      <c r="C141" s="62" t="inlineStr">
        <is>
          <t>C05</t>
        </is>
      </c>
      <c r="D141" s="61">
        <f>IF(E141="","",IFERROR(VLOOKUP(E141,areaNomiBreviSquadre,7,FALSE),""))</f>
        <v/>
      </c>
      <c r="E141" s="62" t="inlineStr">
        <is>
          <t>C20</t>
        </is>
      </c>
      <c r="F141" s="63" t="n">
        <v>46341.45833333334</v>
      </c>
      <c r="G141" s="9" t="n"/>
      <c r="H141" s="9" t="n"/>
      <c r="I141" s="10" t="n"/>
      <c r="J141" s="65" t="n">
        <v>45</v>
      </c>
      <c r="K141" s="66" t="inlineStr">
        <is>
          <t>-</t>
        </is>
      </c>
      <c r="L141" s="65" t="n">
        <v>72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C09</t>
        </is>
      </c>
      <c r="J142" s="141" t="n"/>
      <c r="K142" s="141" t="n"/>
      <c r="L142" s="141" t="n"/>
    </row>
    <row r="143" ht="13" customHeight="1">
      <c r="A143" s="81" t="inlineStr">
        <is>
          <t>Gara N.</t>
        </is>
      </c>
      <c r="B143" s="81" t="inlineStr">
        <is>
          <t>Squadra A</t>
        </is>
      </c>
      <c r="C143" s="10" t="n"/>
      <c r="D143" s="81" t="inlineStr">
        <is>
          <t>Squadra B</t>
        </is>
      </c>
      <c r="E143" s="10" t="n"/>
      <c r="F143" s="81" t="inlineStr">
        <is>
          <t>Giorno</t>
        </is>
      </c>
      <c r="G143" s="81" t="inlineStr">
        <is>
          <t>Data</t>
        </is>
      </c>
      <c r="H143" s="81" t="inlineStr">
        <is>
          <t>Ora</t>
        </is>
      </c>
      <c r="I143" s="10" t="n"/>
      <c r="J143" s="81" t="inlineStr">
        <is>
          <t>Risultato</t>
        </is>
      </c>
      <c r="K143" s="9" t="n"/>
      <c r="L143" s="10" t="n"/>
    </row>
    <row r="144" ht="24" customHeight="1">
      <c r="A144" s="83">
        <f>MAX(A$10:A143)+1</f>
        <v/>
      </c>
      <c r="B144" s="61">
        <f>IF(C144="","",IFERROR(VLOOKUP(C144,areaNomiBreviSquadre,7,FALSE),""))</f>
        <v/>
      </c>
      <c r="C144" s="62" t="inlineStr">
        <is>
          <t>C04</t>
        </is>
      </c>
      <c r="D144" s="61">
        <f>IF(E144="","",IFERROR(VLOOKUP(E144,areaNomiBreviSquadre,7,FALSE),""))</f>
        <v/>
      </c>
      <c r="E144" s="62" t="inlineStr">
        <is>
          <t>C06</t>
        </is>
      </c>
      <c r="F144" s="63" t="n">
        <v>46341.60416666666</v>
      </c>
      <c r="G144" s="9" t="n"/>
      <c r="H144" s="9" t="n"/>
      <c r="I144" s="10" t="n"/>
      <c r="J144" s="65" t="n">
        <v>42</v>
      </c>
      <c r="K144" s="66" t="inlineStr">
        <is>
          <t>-</t>
        </is>
      </c>
      <c r="L144" s="65" t="n">
        <v>51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C09</t>
        </is>
      </c>
      <c r="J145" s="141" t="n"/>
      <c r="K145" s="141" t="n"/>
      <c r="L145" s="141" t="n"/>
    </row>
    <row r="146" ht="13" customHeight="1">
      <c r="A146" s="81" t="inlineStr">
        <is>
          <t>Gara N.</t>
        </is>
      </c>
      <c r="B146" s="81" t="inlineStr">
        <is>
          <t>Squadra A</t>
        </is>
      </c>
      <c r="C146" s="10" t="n"/>
      <c r="D146" s="81" t="inlineStr">
        <is>
          <t>Squadra B</t>
        </is>
      </c>
      <c r="E146" s="10" t="n"/>
      <c r="F146" s="81" t="inlineStr">
        <is>
          <t>Giorno</t>
        </is>
      </c>
      <c r="G146" s="81" t="inlineStr">
        <is>
          <t>Data</t>
        </is>
      </c>
      <c r="H146" s="81" t="inlineStr">
        <is>
          <t>Ora</t>
        </is>
      </c>
      <c r="I146" s="10" t="n"/>
      <c r="J146" s="81" t="inlineStr">
        <is>
          <t>Risultato</t>
        </is>
      </c>
      <c r="K146" s="9" t="n"/>
      <c r="L146" s="10" t="n"/>
    </row>
    <row r="147" ht="24" customHeight="1">
      <c r="A147" s="83">
        <f>MAX(A$10:A146)+1</f>
        <v/>
      </c>
      <c r="B147" s="61">
        <f>IF(C147="","",IFERROR(VLOOKUP(C147,areaNomiBreviSquadre,7,FALSE),""))</f>
        <v/>
      </c>
      <c r="C147" s="62" t="inlineStr">
        <is>
          <t>C07</t>
        </is>
      </c>
      <c r="D147" s="61">
        <f>IF(E147="","",IFERROR(VLOOKUP(E147,areaNomiBreviSquadre,7,FALSE),""))</f>
        <v/>
      </c>
      <c r="E147" s="62" t="inlineStr">
        <is>
          <t>C03</t>
        </is>
      </c>
      <c r="F147" s="63" t="n">
        <v>46341.66666666666</v>
      </c>
      <c r="G147" s="9" t="n"/>
      <c r="H147" s="9" t="n"/>
      <c r="I147" s="10" t="n"/>
      <c r="J147" s="65" t="n">
        <v>59</v>
      </c>
      <c r="K147" s="66" t="inlineStr">
        <is>
          <t>-</t>
        </is>
      </c>
      <c r="L147" s="65" t="n">
        <v>32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C09</t>
        </is>
      </c>
      <c r="J148" s="141" t="n"/>
      <c r="K148" s="141" t="n"/>
      <c r="L148" s="141" t="n"/>
    </row>
    <row r="149" ht="13" customHeight="1">
      <c r="A149" s="81" t="inlineStr">
        <is>
          <t>Gara N.</t>
        </is>
      </c>
      <c r="B149" s="81" t="inlineStr">
        <is>
          <t>Squadra A</t>
        </is>
      </c>
      <c r="C149" s="10" t="n"/>
      <c r="D149" s="81" t="inlineStr">
        <is>
          <t>Squadra B</t>
        </is>
      </c>
      <c r="E149" s="10" t="n"/>
      <c r="F149" s="81" t="inlineStr">
        <is>
          <t>Giorno</t>
        </is>
      </c>
      <c r="G149" s="81" t="inlineStr">
        <is>
          <t>Data</t>
        </is>
      </c>
      <c r="H149" s="81" t="inlineStr">
        <is>
          <t>Ora</t>
        </is>
      </c>
      <c r="I149" s="10" t="n"/>
      <c r="J149" s="81" t="inlineStr">
        <is>
          <t>Risultato</t>
        </is>
      </c>
      <c r="K149" s="9" t="n"/>
      <c r="L149" s="10" t="n"/>
    </row>
    <row r="150" ht="24" customHeight="1">
      <c r="A150" s="83">
        <f>MAX(A$10:A149)+1</f>
        <v/>
      </c>
      <c r="B150" s="61">
        <f>IF(C150="","",IFERROR(VLOOKUP(C150,areaNomiBreviSquadre,7,FALSE),""))</f>
        <v/>
      </c>
      <c r="C150" s="62" t="inlineStr">
        <is>
          <t>C02</t>
        </is>
      </c>
      <c r="D150" s="61">
        <f>IF(E150="","",IFERROR(VLOOKUP(E150,areaNomiBreviSquadre,7,FALSE),""))</f>
        <v/>
      </c>
      <c r="E150" s="62" t="inlineStr">
        <is>
          <t>C08</t>
        </is>
      </c>
      <c r="F150" s="63" t="n">
        <v>46341.72916666666</v>
      </c>
      <c r="G150" s="9" t="n"/>
      <c r="H150" s="9" t="n"/>
      <c r="I150" s="10" t="n"/>
      <c r="J150" s="65" t="n">
        <v>39</v>
      </c>
      <c r="K150" s="66" t="inlineStr">
        <is>
          <t>-</t>
        </is>
      </c>
      <c r="L150" s="65" t="n">
        <v>34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C09</t>
        </is>
      </c>
      <c r="J151" s="141" t="n"/>
      <c r="K151" s="141" t="n"/>
      <c r="L151" s="141" t="n"/>
    </row>
    <row r="152" ht="13" customHeight="1">
      <c r="A152" s="81" t="inlineStr">
        <is>
          <t>Gara N.</t>
        </is>
      </c>
      <c r="B152" s="81" t="inlineStr">
        <is>
          <t>Squadra A</t>
        </is>
      </c>
      <c r="C152" s="10" t="n"/>
      <c r="D152" s="81" t="inlineStr">
        <is>
          <t>Squadra B</t>
        </is>
      </c>
      <c r="E152" s="10" t="n"/>
      <c r="F152" s="81" t="inlineStr">
        <is>
          <t>Giorno</t>
        </is>
      </c>
      <c r="G152" s="81" t="inlineStr">
        <is>
          <t>Data</t>
        </is>
      </c>
      <c r="H152" s="81" t="inlineStr">
        <is>
          <t>Ora</t>
        </is>
      </c>
      <c r="I152" s="10" t="n"/>
      <c r="J152" s="81" t="inlineStr">
        <is>
          <t>Risultato</t>
        </is>
      </c>
      <c r="K152" s="9" t="n"/>
      <c r="L152" s="10" t="n"/>
    </row>
    <row r="153" ht="24" customHeight="1">
      <c r="A153" s="83">
        <f>MAX(A$10:A152)+1</f>
        <v/>
      </c>
      <c r="B153" s="61">
        <f>IF(C153="","",IFERROR(VLOOKUP(C153,areaNomiBreviSquadre,7,FALSE),""))</f>
        <v/>
      </c>
      <c r="C153" s="62" t="inlineStr">
        <is>
          <t>C19</t>
        </is>
      </c>
      <c r="D153" s="61">
        <f>IF(E153="","",IFERROR(VLOOKUP(E153,areaNomiBreviSquadre,7,FALSE),""))</f>
        <v/>
      </c>
      <c r="E153" s="62" t="inlineStr">
        <is>
          <t>C10</t>
        </is>
      </c>
      <c r="F153" s="63" t="n">
        <v>46341.39583333334</v>
      </c>
      <c r="G153" s="9" t="n"/>
      <c r="H153" s="9" t="n"/>
      <c r="I153" s="10" t="n"/>
      <c r="J153" s="65" t="n">
        <v>81</v>
      </c>
      <c r="K153" s="66" t="inlineStr">
        <is>
          <t>-</t>
        </is>
      </c>
      <c r="L153" s="65" t="n">
        <v>92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C10</t>
        </is>
      </c>
      <c r="J154" s="141" t="n"/>
      <c r="K154" s="141" t="n"/>
      <c r="L154" s="141" t="n"/>
    </row>
    <row r="155" ht="13" customHeight="1">
      <c r="A155" s="81" t="inlineStr">
        <is>
          <t>Gara N.</t>
        </is>
      </c>
      <c r="B155" s="81" t="inlineStr">
        <is>
          <t>Squadra A</t>
        </is>
      </c>
      <c r="C155" s="10" t="n"/>
      <c r="D155" s="81" t="inlineStr">
        <is>
          <t>Squadra B</t>
        </is>
      </c>
      <c r="E155" s="10" t="n"/>
      <c r="F155" s="81" t="inlineStr">
        <is>
          <t>Giorno</t>
        </is>
      </c>
      <c r="G155" s="81" t="inlineStr">
        <is>
          <t>Data</t>
        </is>
      </c>
      <c r="H155" s="81" t="inlineStr">
        <is>
          <t>Ora</t>
        </is>
      </c>
      <c r="I155" s="10" t="n"/>
      <c r="J155" s="81" t="inlineStr">
        <is>
          <t>Risultato</t>
        </is>
      </c>
      <c r="K155" s="9" t="n"/>
      <c r="L155" s="10" t="n"/>
    </row>
    <row r="156" ht="24" customHeight="1">
      <c r="A156" s="83">
        <f>MAX(A$10:A155)+1</f>
        <v/>
      </c>
      <c r="B156" s="61">
        <f>IF(C156="","",IFERROR(VLOOKUP(C156,areaNomiBreviSquadre,7,FALSE),""))</f>
        <v/>
      </c>
      <c r="C156" s="62" t="inlineStr">
        <is>
          <t>C11</t>
        </is>
      </c>
      <c r="D156" s="61">
        <f>IF(E156="","",IFERROR(VLOOKUP(E156,areaNomiBreviSquadre,7,FALSE),""))</f>
        <v/>
      </c>
      <c r="E156" s="62" t="inlineStr">
        <is>
          <t>C18</t>
        </is>
      </c>
      <c r="F156" s="63" t="n">
        <v>46341.45833333334</v>
      </c>
      <c r="G156" s="9" t="n"/>
      <c r="H156" s="9" t="n"/>
      <c r="I156" s="10" t="n"/>
      <c r="J156" s="65" t="n">
        <v>42</v>
      </c>
      <c r="K156" s="66" t="inlineStr">
        <is>
          <t>-</t>
        </is>
      </c>
      <c r="L156" s="65" t="n">
        <v>38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C10</t>
        </is>
      </c>
      <c r="J157" s="141" t="n"/>
      <c r="K157" s="141" t="n"/>
      <c r="L157" s="141" t="n"/>
    </row>
    <row r="158" ht="13" customHeight="1">
      <c r="A158" s="81" t="inlineStr">
        <is>
          <t>Gara N.</t>
        </is>
      </c>
      <c r="B158" s="81" t="inlineStr">
        <is>
          <t>Squadra A</t>
        </is>
      </c>
      <c r="C158" s="10" t="n"/>
      <c r="D158" s="81" t="inlineStr">
        <is>
          <t>Squadra B</t>
        </is>
      </c>
      <c r="E158" s="10" t="n"/>
      <c r="F158" s="81" t="inlineStr">
        <is>
          <t>Giorno</t>
        </is>
      </c>
      <c r="G158" s="81" t="inlineStr">
        <is>
          <t>Data</t>
        </is>
      </c>
      <c r="H158" s="81" t="inlineStr">
        <is>
          <t>Ora</t>
        </is>
      </c>
      <c r="I158" s="10" t="n"/>
      <c r="J158" s="81" t="inlineStr">
        <is>
          <t>Risultato</t>
        </is>
      </c>
      <c r="K158" s="9" t="n"/>
      <c r="L158" s="10" t="n"/>
    </row>
    <row r="159" ht="24" customHeight="1">
      <c r="A159" s="83">
        <f>MAX(A$10:A158)+1</f>
        <v/>
      </c>
      <c r="B159" s="61">
        <f>IF(C159="","",IFERROR(VLOOKUP(C159,areaNomiBreviSquadre,7,FALSE),""))</f>
        <v/>
      </c>
      <c r="C159" s="62" t="inlineStr">
        <is>
          <t>C17</t>
        </is>
      </c>
      <c r="D159" s="61">
        <f>IF(E159="","",IFERROR(VLOOKUP(E159,areaNomiBreviSquadre,7,FALSE),""))</f>
        <v/>
      </c>
      <c r="E159" s="62" t="inlineStr">
        <is>
          <t>C12</t>
        </is>
      </c>
      <c r="F159" s="63" t="n">
        <v>46341.60416666666</v>
      </c>
      <c r="G159" s="9" t="n"/>
      <c r="H159" s="9" t="n"/>
      <c r="I159" s="10" t="n"/>
      <c r="J159" s="65" t="n">
        <v>51</v>
      </c>
      <c r="K159" s="66" t="inlineStr">
        <is>
          <t>-</t>
        </is>
      </c>
      <c r="L159" s="65" t="n">
        <v>53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C10</t>
        </is>
      </c>
      <c r="J160" s="141" t="n"/>
      <c r="K160" s="141" t="n"/>
      <c r="L160" s="141" t="n"/>
    </row>
    <row r="161" ht="13" customHeight="1">
      <c r="A161" s="81" t="inlineStr">
        <is>
          <t>Gara N.</t>
        </is>
      </c>
      <c r="B161" s="81" t="inlineStr">
        <is>
          <t>Squadra A</t>
        </is>
      </c>
      <c r="C161" s="10" t="n"/>
      <c r="D161" s="81" t="inlineStr">
        <is>
          <t>Squadra B</t>
        </is>
      </c>
      <c r="E161" s="10" t="n"/>
      <c r="F161" s="81" t="inlineStr">
        <is>
          <t>Giorno</t>
        </is>
      </c>
      <c r="G161" s="81" t="inlineStr">
        <is>
          <t>Data</t>
        </is>
      </c>
      <c r="H161" s="81" t="inlineStr">
        <is>
          <t>Ora</t>
        </is>
      </c>
      <c r="I161" s="10" t="n"/>
      <c r="J161" s="81" t="inlineStr">
        <is>
          <t>Risultato</t>
        </is>
      </c>
      <c r="K161" s="9" t="n"/>
      <c r="L161" s="10" t="n"/>
    </row>
    <row r="162" ht="24" customHeight="1">
      <c r="A162" s="83">
        <f>MAX(A$10:A161)+1</f>
        <v/>
      </c>
      <c r="B162" s="61">
        <f>IF(C162="","",IFERROR(VLOOKUP(C162,areaNomiBreviSquadre,7,FALSE),""))</f>
        <v/>
      </c>
      <c r="C162" s="62" t="inlineStr">
        <is>
          <t>C13</t>
        </is>
      </c>
      <c r="D162" s="61">
        <f>IF(E162="","",IFERROR(VLOOKUP(E162,areaNomiBreviSquadre,7,FALSE),""))</f>
        <v/>
      </c>
      <c r="E162" s="62" t="inlineStr">
        <is>
          <t>C16</t>
        </is>
      </c>
      <c r="F162" s="63" t="n">
        <v>46341.66666666666</v>
      </c>
      <c r="G162" s="9" t="n"/>
      <c r="H162" s="9" t="n"/>
      <c r="I162" s="10" t="n"/>
      <c r="J162" s="65" t="n">
        <v>42</v>
      </c>
      <c r="K162" s="66" t="inlineStr">
        <is>
          <t>-</t>
        </is>
      </c>
      <c r="L162" s="65" t="n">
        <v>22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C10</t>
        </is>
      </c>
      <c r="J163" s="141" t="n"/>
      <c r="K163" s="141" t="n"/>
      <c r="L163" s="141" t="n"/>
    </row>
    <row r="164" ht="13" customHeight="1">
      <c r="A164" s="81" t="inlineStr">
        <is>
          <t>Gara N.</t>
        </is>
      </c>
      <c r="B164" s="81" t="inlineStr">
        <is>
          <t>Squadra A</t>
        </is>
      </c>
      <c r="C164" s="10" t="n"/>
      <c r="D164" s="81" t="inlineStr">
        <is>
          <t>Squadra B</t>
        </is>
      </c>
      <c r="E164" s="10" t="n"/>
      <c r="F164" s="81" t="inlineStr">
        <is>
          <t>Giorno</t>
        </is>
      </c>
      <c r="G164" s="81" t="inlineStr">
        <is>
          <t>Data</t>
        </is>
      </c>
      <c r="H164" s="81" t="inlineStr">
        <is>
          <t>Ora</t>
        </is>
      </c>
      <c r="I164" s="10" t="n"/>
      <c r="J164" s="81" t="inlineStr">
        <is>
          <t>Risultato</t>
        </is>
      </c>
      <c r="K164" s="9" t="n"/>
      <c r="L164" s="10" t="n"/>
    </row>
    <row r="165" ht="24" customHeight="1">
      <c r="A165" s="83">
        <f>MAX(A$10:A164)+1</f>
        <v/>
      </c>
      <c r="B165" s="61">
        <f>IF(C165="","",IFERROR(VLOOKUP(C165,areaNomiBreviSquadre,7,FALSE),""))</f>
        <v/>
      </c>
      <c r="C165" s="62" t="inlineStr">
        <is>
          <t>C15</t>
        </is>
      </c>
      <c r="D165" s="61">
        <f>IF(E165="","",IFERROR(VLOOKUP(E165,areaNomiBreviSquadre,7,FALSE),""))</f>
        <v/>
      </c>
      <c r="E165" s="62" t="inlineStr">
        <is>
          <t>C14</t>
        </is>
      </c>
      <c r="F165" s="63" t="n">
        <v>46341.72916666666</v>
      </c>
      <c r="G165" s="9" t="n"/>
      <c r="H165" s="9" t="n"/>
      <c r="I165" s="10" t="n"/>
      <c r="J165" s="65" t="n">
        <v>66</v>
      </c>
      <c r="K165" s="66" t="inlineStr">
        <is>
          <t>-</t>
        </is>
      </c>
      <c r="L165" s="65" t="n">
        <v>70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C10</t>
        </is>
      </c>
      <c r="J166" s="141" t="n"/>
      <c r="K166" s="141" t="n"/>
      <c r="L166" s="141" t="n"/>
    </row>
    <row r="167" ht="8" customHeight="1"/>
    <row r="168" ht="20" customHeight="1">
      <c r="A168" s="78" t="inlineStr">
        <is>
          <t>6C</t>
        </is>
      </c>
      <c r="B168" s="79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1" t="inlineStr">
        <is>
          <t>Gara N.</t>
        </is>
      </c>
      <c r="B169" s="81" t="inlineStr">
        <is>
          <t>Squadra A</t>
        </is>
      </c>
      <c r="C169" s="10" t="n"/>
      <c r="D169" s="81" t="inlineStr">
        <is>
          <t>Squadra B</t>
        </is>
      </c>
      <c r="E169" s="10" t="n"/>
      <c r="F169" s="81" t="inlineStr">
        <is>
          <t>Giorno</t>
        </is>
      </c>
      <c r="G169" s="81" t="inlineStr">
        <is>
          <t>Data</t>
        </is>
      </c>
      <c r="H169" s="81" t="inlineStr">
        <is>
          <t>Ora</t>
        </is>
      </c>
      <c r="I169" s="10" t="n"/>
      <c r="J169" s="81" t="inlineStr">
        <is>
          <t>Risultato</t>
        </is>
      </c>
      <c r="K169" s="9" t="n"/>
      <c r="L169" s="10" t="n"/>
    </row>
    <row r="170" ht="24" customHeight="1">
      <c r="A170" s="83">
        <f>MAX(A$10:A169)+1</f>
        <v/>
      </c>
      <c r="B170" s="61">
        <f>IF(C170="","",IFERROR(VLOOKUP(C170,areaNomiBreviSquadre,7,FALSE),""))</f>
        <v/>
      </c>
      <c r="C170" s="62" t="inlineStr">
        <is>
          <t>C11</t>
        </is>
      </c>
      <c r="D170" s="61">
        <f>IF(E170="","",IFERROR(VLOOKUP(E170,areaNomiBreviSquadre,7,FALSE),""))</f>
        <v/>
      </c>
      <c r="E170" s="62" t="inlineStr">
        <is>
          <t>C01</t>
        </is>
      </c>
      <c r="F170" s="63" t="n">
        <v>46348.39583333334</v>
      </c>
      <c r="G170" s="9" t="n"/>
      <c r="H170" s="9" t="n"/>
      <c r="I170" s="10" t="n"/>
      <c r="J170" s="65" t="n">
        <v>67</v>
      </c>
      <c r="K170" s="66" t="inlineStr">
        <is>
          <t>-</t>
        </is>
      </c>
      <c r="L170" s="65" t="n">
        <v>55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C11</t>
        </is>
      </c>
      <c r="J171" s="141" t="n"/>
      <c r="K171" s="141" t="n"/>
      <c r="L171" s="141" t="n"/>
    </row>
    <row r="172" ht="13" customHeight="1">
      <c r="A172" s="81" t="inlineStr">
        <is>
          <t>Gara N.</t>
        </is>
      </c>
      <c r="B172" s="81" t="inlineStr">
        <is>
          <t>Squadra A</t>
        </is>
      </c>
      <c r="C172" s="10" t="n"/>
      <c r="D172" s="81" t="inlineStr">
        <is>
          <t>Squadra B</t>
        </is>
      </c>
      <c r="E172" s="10" t="n"/>
      <c r="F172" s="81" t="inlineStr">
        <is>
          <t>Giorno</t>
        </is>
      </c>
      <c r="G172" s="81" t="inlineStr">
        <is>
          <t>Data</t>
        </is>
      </c>
      <c r="H172" s="81" t="inlineStr">
        <is>
          <t>Ora</t>
        </is>
      </c>
      <c r="I172" s="10" t="n"/>
      <c r="J172" s="81" t="inlineStr">
        <is>
          <t>Risultato</t>
        </is>
      </c>
      <c r="K172" s="9" t="n"/>
      <c r="L172" s="10" t="n"/>
    </row>
    <row r="173" ht="24" customHeight="1">
      <c r="A173" s="83">
        <f>MAX(A$10:A172)+1</f>
        <v/>
      </c>
      <c r="B173" s="61">
        <f>IF(C173="","",IFERROR(VLOOKUP(C173,areaNomiBreviSquadre,7,FALSE),""))</f>
        <v/>
      </c>
      <c r="C173" s="62" t="inlineStr">
        <is>
          <t>C20</t>
        </is>
      </c>
      <c r="D173" s="61">
        <f>IF(E173="","",IFERROR(VLOOKUP(E173,areaNomiBreviSquadre,7,FALSE),""))</f>
        <v/>
      </c>
      <c r="E173" s="62" t="inlineStr">
        <is>
          <t>C06</t>
        </is>
      </c>
      <c r="F173" s="63" t="n">
        <v>46348.45833333334</v>
      </c>
      <c r="G173" s="9" t="n"/>
      <c r="H173" s="9" t="n"/>
      <c r="I173" s="10" t="n"/>
      <c r="J173" s="65" t="n">
        <v>24</v>
      </c>
      <c r="K173" s="66" t="inlineStr">
        <is>
          <t>-</t>
        </is>
      </c>
      <c r="L173" s="65" t="n">
        <v>41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C11</t>
        </is>
      </c>
      <c r="J174" s="141" t="n"/>
      <c r="K174" s="141" t="n"/>
      <c r="L174" s="141" t="n"/>
    </row>
    <row r="175" ht="13" customHeight="1">
      <c r="A175" s="81" t="inlineStr">
        <is>
          <t>Gara N.</t>
        </is>
      </c>
      <c r="B175" s="81" t="inlineStr">
        <is>
          <t>Squadra A</t>
        </is>
      </c>
      <c r="C175" s="10" t="n"/>
      <c r="D175" s="81" t="inlineStr">
        <is>
          <t>Squadra B</t>
        </is>
      </c>
      <c r="E175" s="10" t="n"/>
      <c r="F175" s="81" t="inlineStr">
        <is>
          <t>Giorno</t>
        </is>
      </c>
      <c r="G175" s="81" t="inlineStr">
        <is>
          <t>Data</t>
        </is>
      </c>
      <c r="H175" s="81" t="inlineStr">
        <is>
          <t>Ora</t>
        </is>
      </c>
      <c r="I175" s="10" t="n"/>
      <c r="J175" s="81" t="inlineStr">
        <is>
          <t>Risultato</t>
        </is>
      </c>
      <c r="K175" s="9" t="n"/>
      <c r="L175" s="10" t="n"/>
    </row>
    <row r="176" ht="24" customHeight="1">
      <c r="A176" s="83">
        <f>MAX(A$10:A175)+1</f>
        <v/>
      </c>
      <c r="B176" s="61">
        <f>IF(C176="","",IFERROR(VLOOKUP(C176,areaNomiBreviSquadre,7,FALSE),""))</f>
        <v/>
      </c>
      <c r="C176" s="62" t="inlineStr">
        <is>
          <t>C07</t>
        </is>
      </c>
      <c r="D176" s="61">
        <f>IF(E176="","",IFERROR(VLOOKUP(E176,areaNomiBreviSquadre,7,FALSE),""))</f>
        <v/>
      </c>
      <c r="E176" s="62" t="inlineStr">
        <is>
          <t>C05</t>
        </is>
      </c>
      <c r="F176" s="63" t="n">
        <v>46348.60416666666</v>
      </c>
      <c r="G176" s="9" t="n"/>
      <c r="H176" s="9" t="n"/>
      <c r="I176" s="10" t="n"/>
      <c r="J176" s="65" t="n">
        <v>78</v>
      </c>
      <c r="K176" s="66" t="inlineStr">
        <is>
          <t>-</t>
        </is>
      </c>
      <c r="L176" s="65" t="n">
        <v>73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C11</t>
        </is>
      </c>
      <c r="J177" s="141" t="n"/>
      <c r="K177" s="141" t="n"/>
      <c r="L177" s="141" t="n"/>
    </row>
    <row r="178" ht="13" customHeight="1">
      <c r="A178" s="81" t="inlineStr">
        <is>
          <t>Gara N.</t>
        </is>
      </c>
      <c r="B178" s="81" t="inlineStr">
        <is>
          <t>Squadra A</t>
        </is>
      </c>
      <c r="C178" s="10" t="n"/>
      <c r="D178" s="81" t="inlineStr">
        <is>
          <t>Squadra B</t>
        </is>
      </c>
      <c r="E178" s="10" t="n"/>
      <c r="F178" s="81" t="inlineStr">
        <is>
          <t>Giorno</t>
        </is>
      </c>
      <c r="G178" s="81" t="inlineStr">
        <is>
          <t>Data</t>
        </is>
      </c>
      <c r="H178" s="81" t="inlineStr">
        <is>
          <t>Ora</t>
        </is>
      </c>
      <c r="I178" s="10" t="n"/>
      <c r="J178" s="81" t="inlineStr">
        <is>
          <t>Risultato</t>
        </is>
      </c>
      <c r="K178" s="9" t="n"/>
      <c r="L178" s="10" t="n"/>
    </row>
    <row r="179" ht="24" customHeight="1">
      <c r="A179" s="83">
        <f>MAX(A$10:A178)+1</f>
        <v/>
      </c>
      <c r="B179" s="61">
        <f>IF(C179="","",IFERROR(VLOOKUP(C179,areaNomiBreviSquadre,7,FALSE),""))</f>
        <v/>
      </c>
      <c r="C179" s="62" t="inlineStr">
        <is>
          <t>C04</t>
        </is>
      </c>
      <c r="D179" s="61">
        <f>IF(E179="","",IFERROR(VLOOKUP(E179,areaNomiBreviSquadre,7,FALSE),""))</f>
        <v/>
      </c>
      <c r="E179" s="62" t="inlineStr">
        <is>
          <t>C08</t>
        </is>
      </c>
      <c r="F179" s="63" t="n">
        <v>46348.66666666666</v>
      </c>
      <c r="G179" s="9" t="n"/>
      <c r="H179" s="9" t="n"/>
      <c r="I179" s="10" t="n"/>
      <c r="J179" s="65" t="n">
        <v>67</v>
      </c>
      <c r="K179" s="66" t="inlineStr">
        <is>
          <t>-</t>
        </is>
      </c>
      <c r="L179" s="65" t="n">
        <v>70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C11</t>
        </is>
      </c>
      <c r="J180" s="141" t="n"/>
      <c r="K180" s="141" t="n"/>
      <c r="L180" s="141" t="n"/>
    </row>
    <row r="181" ht="13" customHeight="1">
      <c r="A181" s="81" t="inlineStr">
        <is>
          <t>Gara N.</t>
        </is>
      </c>
      <c r="B181" s="81" t="inlineStr">
        <is>
          <t>Squadra A</t>
        </is>
      </c>
      <c r="C181" s="10" t="n"/>
      <c r="D181" s="81" t="inlineStr">
        <is>
          <t>Squadra B</t>
        </is>
      </c>
      <c r="E181" s="10" t="n"/>
      <c r="F181" s="81" t="inlineStr">
        <is>
          <t>Giorno</t>
        </is>
      </c>
      <c r="G181" s="81" t="inlineStr">
        <is>
          <t>Data</t>
        </is>
      </c>
      <c r="H181" s="81" t="inlineStr">
        <is>
          <t>Ora</t>
        </is>
      </c>
      <c r="I181" s="10" t="n"/>
      <c r="J181" s="81" t="inlineStr">
        <is>
          <t>Risultato</t>
        </is>
      </c>
      <c r="K181" s="9" t="n"/>
      <c r="L181" s="10" t="n"/>
    </row>
    <row r="182" ht="24" customHeight="1">
      <c r="A182" s="83">
        <f>MAX(A$10:A181)+1</f>
        <v/>
      </c>
      <c r="B182" s="61">
        <f>IF(C182="","",IFERROR(VLOOKUP(C182,areaNomiBreviSquadre,7,FALSE),""))</f>
        <v/>
      </c>
      <c r="C182" s="62" t="inlineStr">
        <is>
          <t>C09</t>
        </is>
      </c>
      <c r="D182" s="61">
        <f>IF(E182="","",IFERROR(VLOOKUP(E182,areaNomiBreviSquadre,7,FALSE),""))</f>
        <v/>
      </c>
      <c r="E182" s="62" t="inlineStr">
        <is>
          <t>C03</t>
        </is>
      </c>
      <c r="F182" s="63" t="n">
        <v>46348.72916666666</v>
      </c>
      <c r="G182" s="9" t="n"/>
      <c r="H182" s="9" t="n"/>
      <c r="I182" s="10" t="n"/>
      <c r="J182" s="65" t="n">
        <v>39</v>
      </c>
      <c r="K182" s="66" t="inlineStr">
        <is>
          <t>-</t>
        </is>
      </c>
      <c r="L182" s="65" t="n">
        <v>21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C11</t>
        </is>
      </c>
      <c r="J183" s="141" t="n"/>
      <c r="K183" s="141" t="n"/>
      <c r="L183" s="141" t="n"/>
    </row>
    <row r="184" ht="13" customHeight="1">
      <c r="A184" s="81" t="inlineStr">
        <is>
          <t>Gara N.</t>
        </is>
      </c>
      <c r="B184" s="81" t="inlineStr">
        <is>
          <t>Squadra A</t>
        </is>
      </c>
      <c r="C184" s="10" t="n"/>
      <c r="D184" s="81" t="inlineStr">
        <is>
          <t>Squadra B</t>
        </is>
      </c>
      <c r="E184" s="10" t="n"/>
      <c r="F184" s="81" t="inlineStr">
        <is>
          <t>Giorno</t>
        </is>
      </c>
      <c r="G184" s="81" t="inlineStr">
        <is>
          <t>Data</t>
        </is>
      </c>
      <c r="H184" s="81" t="inlineStr">
        <is>
          <t>Ora</t>
        </is>
      </c>
      <c r="I184" s="10" t="n"/>
      <c r="J184" s="81" t="inlineStr">
        <is>
          <t>Risultato</t>
        </is>
      </c>
      <c r="K184" s="9" t="n"/>
      <c r="L184" s="10" t="n"/>
    </row>
    <row r="185" ht="24" customHeight="1">
      <c r="A185" s="83">
        <f>MAX(A$10:A184)+1</f>
        <v/>
      </c>
      <c r="B185" s="61">
        <f>IF(C185="","",IFERROR(VLOOKUP(C185,areaNomiBreviSquadre,7,FALSE),""))</f>
        <v/>
      </c>
      <c r="C185" s="62" t="inlineStr">
        <is>
          <t>C19</t>
        </is>
      </c>
      <c r="D185" s="61">
        <f>IF(E185="","",IFERROR(VLOOKUP(E185,areaNomiBreviSquadre,7,FALSE),""))</f>
        <v/>
      </c>
      <c r="E185" s="62" t="inlineStr">
        <is>
          <t>C12</t>
        </is>
      </c>
      <c r="F185" s="63" t="n">
        <v>46348.39583333334</v>
      </c>
      <c r="G185" s="9" t="n"/>
      <c r="H185" s="9" t="n"/>
      <c r="I185" s="10" t="n"/>
      <c r="J185" s="65" t="n">
        <v>80</v>
      </c>
      <c r="K185" s="66" t="inlineStr">
        <is>
          <t>-</t>
        </is>
      </c>
      <c r="L185" s="65" t="n">
        <v>92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C12</t>
        </is>
      </c>
      <c r="J186" s="141" t="n"/>
      <c r="K186" s="141" t="n"/>
      <c r="L186" s="141" t="n"/>
    </row>
    <row r="187" ht="13" customHeight="1">
      <c r="A187" s="81" t="inlineStr">
        <is>
          <t>Gara N.</t>
        </is>
      </c>
      <c r="B187" s="81" t="inlineStr">
        <is>
          <t>Squadra A</t>
        </is>
      </c>
      <c r="C187" s="10" t="n"/>
      <c r="D187" s="81" t="inlineStr">
        <is>
          <t>Squadra B</t>
        </is>
      </c>
      <c r="E187" s="10" t="n"/>
      <c r="F187" s="81" t="inlineStr">
        <is>
          <t>Giorno</t>
        </is>
      </c>
      <c r="G187" s="81" t="inlineStr">
        <is>
          <t>Data</t>
        </is>
      </c>
      <c r="H187" s="81" t="inlineStr">
        <is>
          <t>Ora</t>
        </is>
      </c>
      <c r="I187" s="10" t="n"/>
      <c r="J187" s="81" t="inlineStr">
        <is>
          <t>Risultato</t>
        </is>
      </c>
      <c r="K187" s="9" t="n"/>
      <c r="L187" s="10" t="n"/>
    </row>
    <row r="188" ht="24" customHeight="1">
      <c r="A188" s="83">
        <f>MAX(A$10:A187)+1</f>
        <v/>
      </c>
      <c r="B188" s="61">
        <f>IF(C188="","",IFERROR(VLOOKUP(C188,areaNomiBreviSquadre,7,FALSE),""))</f>
        <v/>
      </c>
      <c r="C188" s="62" t="inlineStr">
        <is>
          <t>C02</t>
        </is>
      </c>
      <c r="D188" s="61">
        <f>IF(E188="","",IFERROR(VLOOKUP(E188,areaNomiBreviSquadre,7,FALSE),""))</f>
        <v/>
      </c>
      <c r="E188" s="62" t="inlineStr">
        <is>
          <t>C10</t>
        </is>
      </c>
      <c r="F188" s="63" t="n">
        <v>46348.45833333334</v>
      </c>
      <c r="G188" s="9" t="n"/>
      <c r="H188" s="9" t="n"/>
      <c r="I188" s="10" t="n"/>
      <c r="J188" s="65" t="n">
        <v>62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C12</t>
        </is>
      </c>
      <c r="J189" s="141" t="n"/>
      <c r="K189" s="141" t="n"/>
      <c r="L189" s="141" t="n"/>
    </row>
    <row r="190" ht="13" customHeight="1">
      <c r="A190" s="81" t="inlineStr">
        <is>
          <t>Gara N.</t>
        </is>
      </c>
      <c r="B190" s="81" t="inlineStr">
        <is>
          <t>Squadra A</t>
        </is>
      </c>
      <c r="C190" s="10" t="n"/>
      <c r="D190" s="81" t="inlineStr">
        <is>
          <t>Squadra B</t>
        </is>
      </c>
      <c r="E190" s="10" t="n"/>
      <c r="F190" s="81" t="inlineStr">
        <is>
          <t>Giorno</t>
        </is>
      </c>
      <c r="G190" s="81" t="inlineStr">
        <is>
          <t>Data</t>
        </is>
      </c>
      <c r="H190" s="81" t="inlineStr">
        <is>
          <t>Ora</t>
        </is>
      </c>
      <c r="I190" s="10" t="n"/>
      <c r="J190" s="81" t="inlineStr">
        <is>
          <t>Risultato</t>
        </is>
      </c>
      <c r="K190" s="9" t="n"/>
      <c r="L190" s="10" t="n"/>
    </row>
    <row r="191" ht="24" customHeight="1">
      <c r="A191" s="83">
        <f>MAX(A$10:A190)+1</f>
        <v/>
      </c>
      <c r="B191" s="61">
        <f>IF(C191="","",IFERROR(VLOOKUP(C191,areaNomiBreviSquadre,7,FALSE),""))</f>
        <v/>
      </c>
      <c r="C191" s="62" t="inlineStr">
        <is>
          <t>C13</t>
        </is>
      </c>
      <c r="D191" s="61">
        <f>IF(E191="","",IFERROR(VLOOKUP(E191,areaNomiBreviSquadre,7,FALSE),""))</f>
        <v/>
      </c>
      <c r="E191" s="62" t="inlineStr">
        <is>
          <t>C18</t>
        </is>
      </c>
      <c r="F191" s="63" t="n">
        <v>46348.60416666666</v>
      </c>
      <c r="G191" s="9" t="n"/>
      <c r="H191" s="9" t="n"/>
      <c r="I191" s="10" t="n"/>
      <c r="J191" s="65" t="n">
        <v>44</v>
      </c>
      <c r="K191" s="66" t="inlineStr">
        <is>
          <t>-</t>
        </is>
      </c>
      <c r="L191" s="65" t="n">
        <v>32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C12</t>
        </is>
      </c>
      <c r="J192" s="141" t="n"/>
      <c r="K192" s="141" t="n"/>
      <c r="L192" s="141" t="n"/>
    </row>
    <row r="193" ht="13" customHeight="1">
      <c r="A193" s="81" t="inlineStr">
        <is>
          <t>Gara N.</t>
        </is>
      </c>
      <c r="B193" s="81" t="inlineStr">
        <is>
          <t>Squadra A</t>
        </is>
      </c>
      <c r="C193" s="10" t="n"/>
      <c r="D193" s="81" t="inlineStr">
        <is>
          <t>Squadra B</t>
        </is>
      </c>
      <c r="E193" s="10" t="n"/>
      <c r="F193" s="81" t="inlineStr">
        <is>
          <t>Giorno</t>
        </is>
      </c>
      <c r="G193" s="81" t="inlineStr">
        <is>
          <t>Data</t>
        </is>
      </c>
      <c r="H193" s="81" t="inlineStr">
        <is>
          <t>Ora</t>
        </is>
      </c>
      <c r="I193" s="10" t="n"/>
      <c r="J193" s="81" t="inlineStr">
        <is>
          <t>Risultato</t>
        </is>
      </c>
      <c r="K193" s="9" t="n"/>
      <c r="L193" s="10" t="n"/>
    </row>
    <row r="194" ht="24" customHeight="1">
      <c r="A194" s="83">
        <f>MAX(A$10:A193)+1</f>
        <v/>
      </c>
      <c r="B194" s="61">
        <f>IF(C194="","",IFERROR(VLOOKUP(C194,areaNomiBreviSquadre,7,FALSE),""))</f>
        <v/>
      </c>
      <c r="C194" s="62" t="inlineStr">
        <is>
          <t>C17</t>
        </is>
      </c>
      <c r="D194" s="61">
        <f>IF(E194="","",IFERROR(VLOOKUP(E194,areaNomiBreviSquadre,7,FALSE),""))</f>
        <v/>
      </c>
      <c r="E194" s="62" t="inlineStr">
        <is>
          <t>C14</t>
        </is>
      </c>
      <c r="F194" s="63" t="n">
        <v>46348.66666666666</v>
      </c>
      <c r="G194" s="9" t="n"/>
      <c r="H194" s="9" t="n"/>
      <c r="I194" s="10" t="n"/>
      <c r="J194" s="65" t="n">
        <v>68</v>
      </c>
      <c r="K194" s="66" t="inlineStr">
        <is>
          <t>-</t>
        </is>
      </c>
      <c r="L194" s="65" t="n">
        <v>75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C12</t>
        </is>
      </c>
      <c r="J195" s="141" t="n"/>
      <c r="K195" s="141" t="n"/>
      <c r="L195" s="141" t="n"/>
    </row>
    <row r="196" ht="13" customHeight="1">
      <c r="A196" s="81" t="inlineStr">
        <is>
          <t>Gara N.</t>
        </is>
      </c>
      <c r="B196" s="81" t="inlineStr">
        <is>
          <t>Squadra A</t>
        </is>
      </c>
      <c r="C196" s="10" t="n"/>
      <c r="D196" s="81" t="inlineStr">
        <is>
          <t>Squadra B</t>
        </is>
      </c>
      <c r="E196" s="10" t="n"/>
      <c r="F196" s="81" t="inlineStr">
        <is>
          <t>Giorno</t>
        </is>
      </c>
      <c r="G196" s="81" t="inlineStr">
        <is>
          <t>Data</t>
        </is>
      </c>
      <c r="H196" s="81" t="inlineStr">
        <is>
          <t>Ora</t>
        </is>
      </c>
      <c r="I196" s="10" t="n"/>
      <c r="J196" s="81" t="inlineStr">
        <is>
          <t>Risultato</t>
        </is>
      </c>
      <c r="K196" s="9" t="n"/>
      <c r="L196" s="10" t="n"/>
    </row>
    <row r="197" ht="24" customHeight="1">
      <c r="A197" s="83">
        <f>MAX(A$10:A196)+1</f>
        <v/>
      </c>
      <c r="B197" s="61">
        <f>IF(C197="","",IFERROR(VLOOKUP(C197,areaNomiBreviSquadre,7,FALSE),""))</f>
        <v/>
      </c>
      <c r="C197" s="62" t="inlineStr">
        <is>
          <t>C15</t>
        </is>
      </c>
      <c r="D197" s="61">
        <f>IF(E197="","",IFERROR(VLOOKUP(E197,areaNomiBreviSquadre,7,FALSE),""))</f>
        <v/>
      </c>
      <c r="E197" s="62" t="inlineStr">
        <is>
          <t>C16</t>
        </is>
      </c>
      <c r="F197" s="63" t="n">
        <v>46348.72916666666</v>
      </c>
      <c r="G197" s="9" t="n"/>
      <c r="H197" s="9" t="n"/>
      <c r="I197" s="10" t="n"/>
      <c r="J197" s="65" t="n">
        <v>51</v>
      </c>
      <c r="K197" s="66" t="inlineStr">
        <is>
          <t>-</t>
        </is>
      </c>
      <c r="L197" s="65" t="n">
        <v>28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C12</t>
        </is>
      </c>
      <c r="J198" s="141" t="n"/>
      <c r="K198" s="141" t="n"/>
      <c r="L198" s="141" t="n"/>
    </row>
    <row r="199" ht="8" customHeight="1"/>
    <row r="200" ht="20" customHeight="1">
      <c r="A200" s="78" t="inlineStr">
        <is>
          <t>7C</t>
        </is>
      </c>
      <c r="B200" s="79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1" t="inlineStr">
        <is>
          <t>Gara N.</t>
        </is>
      </c>
      <c r="B201" s="81" t="inlineStr">
        <is>
          <t>Squadra A</t>
        </is>
      </c>
      <c r="C201" s="10" t="n"/>
      <c r="D201" s="81" t="inlineStr">
        <is>
          <t>Squadra B</t>
        </is>
      </c>
      <c r="E201" s="10" t="n"/>
      <c r="F201" s="81" t="inlineStr">
        <is>
          <t>Giorno</t>
        </is>
      </c>
      <c r="G201" s="81" t="inlineStr">
        <is>
          <t>Data</t>
        </is>
      </c>
      <c r="H201" s="81" t="inlineStr">
        <is>
          <t>Ora</t>
        </is>
      </c>
      <c r="I201" s="10" t="n"/>
      <c r="J201" s="81" t="inlineStr">
        <is>
          <t>Risultato</t>
        </is>
      </c>
      <c r="K201" s="9" t="n"/>
      <c r="L201" s="10" t="n"/>
    </row>
    <row r="202" ht="24" customHeight="1">
      <c r="A202" s="83">
        <f>MAX(A$10:A201)+1</f>
        <v/>
      </c>
      <c r="B202" s="61">
        <f>IF(C202="","",IFERROR(VLOOKUP(C202,areaNomiBreviSquadre,7,FALSE),""))</f>
        <v/>
      </c>
      <c r="C202" s="62" t="inlineStr">
        <is>
          <t>C13</t>
        </is>
      </c>
      <c r="D202" s="61">
        <f>IF(E202="","",IFERROR(VLOOKUP(E202,areaNomiBreviSquadre,7,FALSE),""))</f>
        <v/>
      </c>
      <c r="E202" s="62" t="inlineStr">
        <is>
          <t>C01</t>
        </is>
      </c>
      <c r="F202" s="63" t="n">
        <v>46355.39583333334</v>
      </c>
      <c r="G202" s="9" t="n"/>
      <c r="H202" s="9" t="n"/>
      <c r="I202" s="10" t="n"/>
      <c r="J202" s="65" t="n">
        <v>48</v>
      </c>
      <c r="K202" s="66" t="inlineStr">
        <is>
          <t>-</t>
        </is>
      </c>
      <c r="L202" s="65" t="n">
        <v>37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C13</t>
        </is>
      </c>
      <c r="J203" s="141" t="n"/>
      <c r="K203" s="141" t="n"/>
      <c r="L203" s="141" t="n"/>
    </row>
    <row r="204" ht="13" customHeight="1">
      <c r="A204" s="81" t="inlineStr">
        <is>
          <t>Gara N.</t>
        </is>
      </c>
      <c r="B204" s="81" t="inlineStr">
        <is>
          <t>Squadra A</t>
        </is>
      </c>
      <c r="C204" s="10" t="n"/>
      <c r="D204" s="81" t="inlineStr">
        <is>
          <t>Squadra B</t>
        </is>
      </c>
      <c r="E204" s="10" t="n"/>
      <c r="F204" s="81" t="inlineStr">
        <is>
          <t>Giorno</t>
        </is>
      </c>
      <c r="G204" s="81" t="inlineStr">
        <is>
          <t>Data</t>
        </is>
      </c>
      <c r="H204" s="81" t="inlineStr">
        <is>
          <t>Ora</t>
        </is>
      </c>
      <c r="I204" s="10" t="n"/>
      <c r="J204" s="81" t="inlineStr">
        <is>
          <t>Risultato</t>
        </is>
      </c>
      <c r="K204" s="9" t="n"/>
      <c r="L204" s="10" t="n"/>
    </row>
    <row r="205" ht="24" customHeight="1">
      <c r="A205" s="83">
        <f>MAX(A$10:A204)+1</f>
        <v/>
      </c>
      <c r="B205" s="61">
        <f>IF(C205="","",IFERROR(VLOOKUP(C205,areaNomiBreviSquadre,7,FALSE),""))</f>
        <v/>
      </c>
      <c r="C205" s="62" t="inlineStr">
        <is>
          <t>C07</t>
        </is>
      </c>
      <c r="D205" s="61">
        <f>IF(E205="","",IFERROR(VLOOKUP(E205,areaNomiBreviSquadre,7,FALSE),""))</f>
        <v/>
      </c>
      <c r="E205" s="62" t="inlineStr">
        <is>
          <t>C20</t>
        </is>
      </c>
      <c r="F205" s="63" t="n">
        <v>46355.45833333334</v>
      </c>
      <c r="G205" s="9" t="n"/>
      <c r="H205" s="9" t="n"/>
      <c r="I205" s="10" t="n"/>
      <c r="J205" s="65" t="n">
        <v>66</v>
      </c>
      <c r="K205" s="66" t="inlineStr">
        <is>
          <t>-</t>
        </is>
      </c>
      <c r="L205" s="65" t="n">
        <v>39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C13</t>
        </is>
      </c>
      <c r="J206" s="141" t="n"/>
      <c r="K206" s="141" t="n"/>
      <c r="L206" s="141" t="n"/>
    </row>
    <row r="207" ht="13" customHeight="1">
      <c r="A207" s="81" t="inlineStr">
        <is>
          <t>Gara N.</t>
        </is>
      </c>
      <c r="B207" s="81" t="inlineStr">
        <is>
          <t>Squadra A</t>
        </is>
      </c>
      <c r="C207" s="10" t="n"/>
      <c r="D207" s="81" t="inlineStr">
        <is>
          <t>Squadra B</t>
        </is>
      </c>
      <c r="E207" s="10" t="n"/>
      <c r="F207" s="81" t="inlineStr">
        <is>
          <t>Giorno</t>
        </is>
      </c>
      <c r="G207" s="81" t="inlineStr">
        <is>
          <t>Data</t>
        </is>
      </c>
      <c r="H207" s="81" t="inlineStr">
        <is>
          <t>Ora</t>
        </is>
      </c>
      <c r="I207" s="10" t="n"/>
      <c r="J207" s="81" t="inlineStr">
        <is>
          <t>Risultato</t>
        </is>
      </c>
      <c r="K207" s="9" t="n"/>
      <c r="L207" s="10" t="n"/>
    </row>
    <row r="208" ht="24" customHeight="1">
      <c r="A208" s="83">
        <f>MAX(A$10:A207)+1</f>
        <v/>
      </c>
      <c r="B208" s="61">
        <f>IF(C208="","",IFERROR(VLOOKUP(C208,areaNomiBreviSquadre,7,FALSE),""))</f>
        <v/>
      </c>
      <c r="C208" s="62" t="inlineStr">
        <is>
          <t>C06</t>
        </is>
      </c>
      <c r="D208" s="61">
        <f>IF(E208="","",IFERROR(VLOOKUP(E208,areaNomiBreviSquadre,7,FALSE),""))</f>
        <v/>
      </c>
      <c r="E208" s="62" t="inlineStr">
        <is>
          <t>C08</t>
        </is>
      </c>
      <c r="F208" s="63" t="n">
        <v>46355.60416666666</v>
      </c>
      <c r="G208" s="9" t="n"/>
      <c r="H208" s="9" t="n"/>
      <c r="I208" s="10" t="n"/>
      <c r="J208" s="65" t="n">
        <v>73</v>
      </c>
      <c r="K208" s="66" t="inlineStr">
        <is>
          <t>-</t>
        </is>
      </c>
      <c r="L208" s="65" t="n">
        <v>57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C13</t>
        </is>
      </c>
      <c r="J209" s="141" t="n"/>
      <c r="K209" s="141" t="n"/>
      <c r="L209" s="141" t="n"/>
    </row>
    <row r="210" ht="13" customHeight="1">
      <c r="A210" s="81" t="inlineStr">
        <is>
          <t>Gara N.</t>
        </is>
      </c>
      <c r="B210" s="81" t="inlineStr">
        <is>
          <t>Squadra A</t>
        </is>
      </c>
      <c r="C210" s="10" t="n"/>
      <c r="D210" s="81" t="inlineStr">
        <is>
          <t>Squadra B</t>
        </is>
      </c>
      <c r="E210" s="10" t="n"/>
      <c r="F210" s="81" t="inlineStr">
        <is>
          <t>Giorno</t>
        </is>
      </c>
      <c r="G210" s="81" t="inlineStr">
        <is>
          <t>Data</t>
        </is>
      </c>
      <c r="H210" s="81" t="inlineStr">
        <is>
          <t>Ora</t>
        </is>
      </c>
      <c r="I210" s="10" t="n"/>
      <c r="J210" s="81" t="inlineStr">
        <is>
          <t>Risultato</t>
        </is>
      </c>
      <c r="K210" s="9" t="n"/>
      <c r="L210" s="10" t="n"/>
    </row>
    <row r="211" ht="24" customHeight="1">
      <c r="A211" s="83">
        <f>MAX(A$10:A210)+1</f>
        <v/>
      </c>
      <c r="B211" s="61">
        <f>IF(C211="","",IFERROR(VLOOKUP(C211,areaNomiBreviSquadre,7,FALSE),""))</f>
        <v/>
      </c>
      <c r="C211" s="62" t="inlineStr">
        <is>
          <t>C09</t>
        </is>
      </c>
      <c r="D211" s="61">
        <f>IF(E211="","",IFERROR(VLOOKUP(E211,areaNomiBreviSquadre,7,FALSE),""))</f>
        <v/>
      </c>
      <c r="E211" s="62" t="inlineStr">
        <is>
          <t>C05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50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C13</t>
        </is>
      </c>
      <c r="J212" s="141" t="n"/>
      <c r="K212" s="141" t="n"/>
      <c r="L212" s="141" t="n"/>
    </row>
    <row r="213" ht="13" customHeight="1">
      <c r="A213" s="81" t="inlineStr">
        <is>
          <t>Gara N.</t>
        </is>
      </c>
      <c r="B213" s="81" t="inlineStr">
        <is>
          <t>Squadra A</t>
        </is>
      </c>
      <c r="C213" s="10" t="n"/>
      <c r="D213" s="81" t="inlineStr">
        <is>
          <t>Squadra B</t>
        </is>
      </c>
      <c r="E213" s="10" t="n"/>
      <c r="F213" s="81" t="inlineStr">
        <is>
          <t>Giorno</t>
        </is>
      </c>
      <c r="G213" s="81" t="inlineStr">
        <is>
          <t>Data</t>
        </is>
      </c>
      <c r="H213" s="81" t="inlineStr">
        <is>
          <t>Ora</t>
        </is>
      </c>
      <c r="I213" s="10" t="n"/>
      <c r="J213" s="81" t="inlineStr">
        <is>
          <t>Risultato</t>
        </is>
      </c>
      <c r="K213" s="9" t="n"/>
      <c r="L213" s="10" t="n"/>
    </row>
    <row r="214" ht="24" customHeight="1">
      <c r="A214" s="83">
        <f>MAX(A$10:A213)+1</f>
        <v/>
      </c>
      <c r="B214" s="61">
        <f>IF(C214="","",IFERROR(VLOOKUP(C214,areaNomiBreviSquadre,7,FALSE),""))</f>
        <v/>
      </c>
      <c r="C214" s="62" t="inlineStr">
        <is>
          <t>C04</t>
        </is>
      </c>
      <c r="D214" s="61">
        <f>IF(E214="","",IFERROR(VLOOKUP(E214,areaNomiBreviSquadre,7,FALSE),""))</f>
        <v/>
      </c>
      <c r="E214" s="62" t="inlineStr">
        <is>
          <t>C10</t>
        </is>
      </c>
      <c r="F214" s="63" t="n">
        <v>46355.72916666666</v>
      </c>
      <c r="G214" s="9" t="n"/>
      <c r="H214" s="9" t="n"/>
      <c r="I214" s="10" t="n"/>
      <c r="J214" s="65" t="n">
        <v>78</v>
      </c>
      <c r="K214" s="66" t="inlineStr">
        <is>
          <t>-</t>
        </is>
      </c>
      <c r="L214" s="65" t="n">
        <v>59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C13</t>
        </is>
      </c>
      <c r="J215" s="141" t="n"/>
      <c r="K215" s="141" t="n"/>
      <c r="L215" s="141" t="n"/>
    </row>
    <row r="216" ht="13" customHeight="1">
      <c r="A216" s="81" t="inlineStr">
        <is>
          <t>Gara N.</t>
        </is>
      </c>
      <c r="B216" s="81" t="inlineStr">
        <is>
          <t>Squadra A</t>
        </is>
      </c>
      <c r="C216" s="10" t="n"/>
      <c r="D216" s="81" t="inlineStr">
        <is>
          <t>Squadra B</t>
        </is>
      </c>
      <c r="E216" s="10" t="n"/>
      <c r="F216" s="81" t="inlineStr">
        <is>
          <t>Giorno</t>
        </is>
      </c>
      <c r="G216" s="81" t="inlineStr">
        <is>
          <t>Data</t>
        </is>
      </c>
      <c r="H216" s="81" t="inlineStr">
        <is>
          <t>Ora</t>
        </is>
      </c>
      <c r="I216" s="10" t="n"/>
      <c r="J216" s="81" t="inlineStr">
        <is>
          <t>Risultato</t>
        </is>
      </c>
      <c r="K216" s="9" t="n"/>
      <c r="L216" s="10" t="n"/>
    </row>
    <row r="217" ht="24" customHeight="1">
      <c r="A217" s="83">
        <f>MAX(A$10:A216)+1</f>
        <v/>
      </c>
      <c r="B217" s="61">
        <f>IF(C217="","",IFERROR(VLOOKUP(C217,areaNomiBreviSquadre,7,FALSE),""))</f>
        <v/>
      </c>
      <c r="C217" s="62" t="inlineStr">
        <is>
          <t>C19</t>
        </is>
      </c>
      <c r="D217" s="61">
        <f>IF(E217="","",IFERROR(VLOOKUP(E217,areaNomiBreviSquadre,7,FALSE),""))</f>
        <v/>
      </c>
      <c r="E217" s="62" t="inlineStr">
        <is>
          <t>C14</t>
        </is>
      </c>
      <c r="F217" s="63" t="n">
        <v>46355.39583333334</v>
      </c>
      <c r="G217" s="9" t="n"/>
      <c r="H217" s="9" t="n"/>
      <c r="I217" s="10" t="n"/>
      <c r="J217" s="65" t="n">
        <v>40</v>
      </c>
      <c r="K217" s="66" t="inlineStr">
        <is>
          <t>-</t>
        </is>
      </c>
      <c r="L217" s="65" t="n">
        <v>0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C14</t>
        </is>
      </c>
      <c r="J218" s="141" t="n"/>
      <c r="K218" s="141" t="n"/>
      <c r="L218" s="141" t="n"/>
    </row>
    <row r="219" ht="13" customHeight="1">
      <c r="A219" s="81" t="inlineStr">
        <is>
          <t>Gara N.</t>
        </is>
      </c>
      <c r="B219" s="81" t="inlineStr">
        <is>
          <t>Squadra A</t>
        </is>
      </c>
      <c r="C219" s="10" t="n"/>
      <c r="D219" s="81" t="inlineStr">
        <is>
          <t>Squadra B</t>
        </is>
      </c>
      <c r="E219" s="10" t="n"/>
      <c r="F219" s="81" t="inlineStr">
        <is>
          <t>Giorno</t>
        </is>
      </c>
      <c r="G219" s="81" t="inlineStr">
        <is>
          <t>Data</t>
        </is>
      </c>
      <c r="H219" s="81" t="inlineStr">
        <is>
          <t>Ora</t>
        </is>
      </c>
      <c r="I219" s="10" t="n"/>
      <c r="J219" s="81" t="inlineStr">
        <is>
          <t>Risultato</t>
        </is>
      </c>
      <c r="K219" s="9" t="n"/>
      <c r="L219" s="10" t="n"/>
    </row>
    <row r="220" ht="24" customHeight="1">
      <c r="A220" s="83">
        <f>MAX(A$10:A219)+1</f>
        <v/>
      </c>
      <c r="B220" s="61">
        <f>IF(C220="","",IFERROR(VLOOKUP(C220,areaNomiBreviSquadre,7,FALSE),""))</f>
        <v/>
      </c>
      <c r="C220" s="62" t="inlineStr">
        <is>
          <t>C11</t>
        </is>
      </c>
      <c r="D220" s="61">
        <f>IF(E220="","",IFERROR(VLOOKUP(E220,areaNomiBreviSquadre,7,FALSE),""))</f>
        <v/>
      </c>
      <c r="E220" s="62" t="inlineStr">
        <is>
          <t>C03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64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C14</t>
        </is>
      </c>
      <c r="J221" s="141" t="n"/>
      <c r="K221" s="141" t="n"/>
      <c r="L221" s="141" t="n"/>
    </row>
    <row r="222" ht="13" customHeight="1">
      <c r="A222" s="81" t="inlineStr">
        <is>
          <t>Gara N.</t>
        </is>
      </c>
      <c r="B222" s="81" t="inlineStr">
        <is>
          <t>Squadra A</t>
        </is>
      </c>
      <c r="C222" s="10" t="n"/>
      <c r="D222" s="81" t="inlineStr">
        <is>
          <t>Squadra B</t>
        </is>
      </c>
      <c r="E222" s="10" t="n"/>
      <c r="F222" s="81" t="inlineStr">
        <is>
          <t>Giorno</t>
        </is>
      </c>
      <c r="G222" s="81" t="inlineStr">
        <is>
          <t>Data</t>
        </is>
      </c>
      <c r="H222" s="81" t="inlineStr">
        <is>
          <t>Ora</t>
        </is>
      </c>
      <c r="I222" s="10" t="n"/>
      <c r="J222" s="81" t="inlineStr">
        <is>
          <t>Risultato</t>
        </is>
      </c>
      <c r="K222" s="9" t="n"/>
      <c r="L222" s="10" t="n"/>
    </row>
    <row r="223" ht="24" customHeight="1">
      <c r="A223" s="83">
        <f>MAX(A$10:A222)+1</f>
        <v/>
      </c>
      <c r="B223" s="61">
        <f>IF(C223="","",IFERROR(VLOOKUP(C223,areaNomiBreviSquadre,7,FALSE),""))</f>
        <v/>
      </c>
      <c r="C223" s="62" t="inlineStr">
        <is>
          <t>C02</t>
        </is>
      </c>
      <c r="D223" s="61">
        <f>IF(E223="","",IFERROR(VLOOKUP(E223,areaNomiBreviSquadre,7,FALSE),""))</f>
        <v/>
      </c>
      <c r="E223" s="62" t="inlineStr">
        <is>
          <t>C12</t>
        </is>
      </c>
      <c r="F223" s="63" t="n">
        <v>46355.60416666666</v>
      </c>
      <c r="G223" s="9" t="n"/>
      <c r="H223" s="9" t="n"/>
      <c r="I223" s="10" t="n"/>
      <c r="J223" s="65" t="n">
        <v>49</v>
      </c>
      <c r="K223" s="66" t="inlineStr">
        <is>
          <t>-</t>
        </is>
      </c>
      <c r="L223" s="65" t="n">
        <v>23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C14</t>
        </is>
      </c>
      <c r="J224" s="141" t="n"/>
      <c r="K224" s="141" t="n"/>
      <c r="L224" s="141" t="n"/>
    </row>
    <row r="225" ht="13" customHeight="1">
      <c r="A225" s="81" t="inlineStr">
        <is>
          <t>Gara N.</t>
        </is>
      </c>
      <c r="B225" s="81" t="inlineStr">
        <is>
          <t>Squadra A</t>
        </is>
      </c>
      <c r="C225" s="10" t="n"/>
      <c r="D225" s="81" t="inlineStr">
        <is>
          <t>Squadra B</t>
        </is>
      </c>
      <c r="E225" s="10" t="n"/>
      <c r="F225" s="81" t="inlineStr">
        <is>
          <t>Giorno</t>
        </is>
      </c>
      <c r="G225" s="81" t="inlineStr">
        <is>
          <t>Data</t>
        </is>
      </c>
      <c r="H225" s="81" t="inlineStr">
        <is>
          <t>Ora</t>
        </is>
      </c>
      <c r="I225" s="10" t="n"/>
      <c r="J225" s="81" t="inlineStr">
        <is>
          <t>Risultato</t>
        </is>
      </c>
      <c r="K225" s="9" t="n"/>
      <c r="L225" s="10" t="n"/>
    </row>
    <row r="226" ht="24" customHeight="1">
      <c r="A226" s="83">
        <f>MAX(A$10:A225)+1</f>
        <v/>
      </c>
      <c r="B226" s="61">
        <f>IF(C226="","",IFERROR(VLOOKUP(C226,areaNomiBreviSquadre,7,FALSE),""))</f>
        <v/>
      </c>
      <c r="C226" s="62" t="inlineStr">
        <is>
          <t>C15</t>
        </is>
      </c>
      <c r="D226" s="61">
        <f>IF(E226="","",IFERROR(VLOOKUP(E226,areaNomiBreviSquadre,7,FALSE),""))</f>
        <v/>
      </c>
      <c r="E226" s="62" t="inlineStr">
        <is>
          <t>C18</t>
        </is>
      </c>
      <c r="F226" s="63" t="n">
        <v>46355.66666666666</v>
      </c>
      <c r="G226" s="9" t="n"/>
      <c r="H226" s="9" t="n"/>
      <c r="I226" s="10" t="n"/>
      <c r="J226" s="65" t="n">
        <v>14</v>
      </c>
      <c r="K226" s="66" t="inlineStr">
        <is>
          <t>-</t>
        </is>
      </c>
      <c r="L226" s="65" t="n">
        <v>41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C14</t>
        </is>
      </c>
      <c r="J227" s="141" t="n"/>
      <c r="K227" s="141" t="n"/>
      <c r="L227" s="141" t="n"/>
    </row>
    <row r="228" ht="13" customHeight="1">
      <c r="A228" s="81" t="inlineStr">
        <is>
          <t>Gara N.</t>
        </is>
      </c>
      <c r="B228" s="81" t="inlineStr">
        <is>
          <t>Squadra A</t>
        </is>
      </c>
      <c r="C228" s="10" t="n"/>
      <c r="D228" s="81" t="inlineStr">
        <is>
          <t>Squadra B</t>
        </is>
      </c>
      <c r="E228" s="10" t="n"/>
      <c r="F228" s="81" t="inlineStr">
        <is>
          <t>Giorno</t>
        </is>
      </c>
      <c r="G228" s="81" t="inlineStr">
        <is>
          <t>Data</t>
        </is>
      </c>
      <c r="H228" s="81" t="inlineStr">
        <is>
          <t>Ora</t>
        </is>
      </c>
      <c r="I228" s="10" t="n"/>
      <c r="J228" s="81" t="inlineStr">
        <is>
          <t>Risultato</t>
        </is>
      </c>
      <c r="K228" s="9" t="n"/>
      <c r="L228" s="10" t="n"/>
    </row>
    <row r="229" ht="24" customHeight="1">
      <c r="A229" s="83">
        <f>MAX(A$10:A228)+1</f>
        <v/>
      </c>
      <c r="B229" s="61">
        <f>IF(C229="","",IFERROR(VLOOKUP(C229,areaNomiBreviSquadre,7,FALSE),""))</f>
        <v/>
      </c>
      <c r="C229" s="62" t="inlineStr">
        <is>
          <t>C17</t>
        </is>
      </c>
      <c r="D229" s="61">
        <f>IF(E229="","",IFERROR(VLOOKUP(E229,areaNomiBreviSquadre,7,FALSE),""))</f>
        <v/>
      </c>
      <c r="E229" s="62" t="inlineStr">
        <is>
          <t>C16</t>
        </is>
      </c>
      <c r="F229" s="63" t="n">
        <v>46355.72916666666</v>
      </c>
      <c r="G229" s="9" t="n"/>
      <c r="H229" s="9" t="n"/>
      <c r="I229" s="10" t="n"/>
      <c r="J229" s="65" t="n">
        <v>57</v>
      </c>
      <c r="K229" s="66" t="inlineStr">
        <is>
          <t>-</t>
        </is>
      </c>
      <c r="L229" s="65" t="n">
        <v>43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C14</t>
        </is>
      </c>
      <c r="J230" s="141" t="n"/>
      <c r="K230" s="141" t="n"/>
      <c r="L230" s="141" t="n"/>
    </row>
    <row r="231" ht="8" customHeight="1"/>
    <row r="232" ht="20" customHeight="1">
      <c r="A232" s="78" t="inlineStr">
        <is>
          <t>8C</t>
        </is>
      </c>
      <c r="B232" s="79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1" t="inlineStr">
        <is>
          <t>Gara N.</t>
        </is>
      </c>
      <c r="B233" s="81" t="inlineStr">
        <is>
          <t>Squadra A</t>
        </is>
      </c>
      <c r="C233" s="10" t="n"/>
      <c r="D233" s="81" t="inlineStr">
        <is>
          <t>Squadra B</t>
        </is>
      </c>
      <c r="E233" s="10" t="n"/>
      <c r="F233" s="81" t="inlineStr">
        <is>
          <t>Giorno</t>
        </is>
      </c>
      <c r="G233" s="81" t="inlineStr">
        <is>
          <t>Data</t>
        </is>
      </c>
      <c r="H233" s="81" t="inlineStr">
        <is>
          <t>Ora</t>
        </is>
      </c>
      <c r="I233" s="10" t="n"/>
      <c r="J233" s="81" t="inlineStr">
        <is>
          <t>Risultato</t>
        </is>
      </c>
      <c r="K233" s="9" t="n"/>
      <c r="L233" s="10" t="n"/>
    </row>
    <row r="234" ht="24" customHeight="1">
      <c r="A234" s="83">
        <f>MAX(A$10:A233)+1</f>
        <v/>
      </c>
      <c r="B234" s="61">
        <f>IF(C234="","",IFERROR(VLOOKUP(C234,areaNomiBreviSquadre,7,FALSE),""))</f>
        <v/>
      </c>
      <c r="C234" s="62" t="inlineStr">
        <is>
          <t>C15</t>
        </is>
      </c>
      <c r="D234" s="61">
        <f>IF(E234="","",IFERROR(VLOOKUP(E234,areaNomiBreviSquadre,7,FALSE),""))</f>
        <v/>
      </c>
      <c r="E234" s="62" t="inlineStr">
        <is>
          <t>C01</t>
        </is>
      </c>
      <c r="F234" s="63" t="n">
        <v>46362.39583333334</v>
      </c>
      <c r="G234" s="9" t="n"/>
      <c r="H234" s="9" t="n"/>
      <c r="I234" s="10" t="n"/>
      <c r="J234" s="65" t="n">
        <v>57</v>
      </c>
      <c r="K234" s="66" t="inlineStr">
        <is>
          <t>-</t>
        </is>
      </c>
      <c r="L234" s="65" t="n">
        <v>69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C15</t>
        </is>
      </c>
      <c r="J235" s="141" t="n"/>
      <c r="K235" s="141" t="n"/>
      <c r="L235" s="141" t="n"/>
    </row>
    <row r="236" ht="13" customHeight="1">
      <c r="A236" s="81" t="inlineStr">
        <is>
          <t>Gara N.</t>
        </is>
      </c>
      <c r="B236" s="81" t="inlineStr">
        <is>
          <t>Squadra A</t>
        </is>
      </c>
      <c r="C236" s="10" t="n"/>
      <c r="D236" s="81" t="inlineStr">
        <is>
          <t>Squadra B</t>
        </is>
      </c>
      <c r="E236" s="10" t="n"/>
      <c r="F236" s="81" t="inlineStr">
        <is>
          <t>Giorno</t>
        </is>
      </c>
      <c r="G236" s="81" t="inlineStr">
        <is>
          <t>Data</t>
        </is>
      </c>
      <c r="H236" s="81" t="inlineStr">
        <is>
          <t>Ora</t>
        </is>
      </c>
      <c r="I236" s="10" t="n"/>
      <c r="J236" s="81" t="inlineStr">
        <is>
          <t>Risultato</t>
        </is>
      </c>
      <c r="K236" s="9" t="n"/>
      <c r="L236" s="10" t="n"/>
    </row>
    <row r="237" ht="24" customHeight="1">
      <c r="A237" s="83">
        <f>MAX(A$10:A236)+1</f>
        <v/>
      </c>
      <c r="B237" s="61">
        <f>IF(C237="","",IFERROR(VLOOKUP(C237,areaNomiBreviSquadre,7,FALSE),""))</f>
        <v/>
      </c>
      <c r="C237" s="62" t="inlineStr">
        <is>
          <t>C20</t>
        </is>
      </c>
      <c r="D237" s="61">
        <f>IF(E237="","",IFERROR(VLOOKUP(E237,areaNomiBreviSquadre,7,FALSE),""))</f>
        <v/>
      </c>
      <c r="E237" s="62" t="inlineStr">
        <is>
          <t>C08</t>
        </is>
      </c>
      <c r="F237" s="63" t="n">
        <v>46362.45833333334</v>
      </c>
      <c r="G237" s="9" t="n"/>
      <c r="H237" s="9" t="n"/>
      <c r="I237" s="10" t="n"/>
      <c r="J237" s="65" t="n">
        <v>32</v>
      </c>
      <c r="K237" s="66" t="inlineStr">
        <is>
          <t>-</t>
        </is>
      </c>
      <c r="L237" s="65" t="n">
        <v>54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C15</t>
        </is>
      </c>
      <c r="J238" s="141" t="n"/>
      <c r="K238" s="141" t="n"/>
      <c r="L238" s="141" t="n"/>
    </row>
    <row r="239" ht="13" customHeight="1">
      <c r="A239" s="81" t="inlineStr">
        <is>
          <t>Gara N.</t>
        </is>
      </c>
      <c r="B239" s="81" t="inlineStr">
        <is>
          <t>Squadra A</t>
        </is>
      </c>
      <c r="C239" s="10" t="n"/>
      <c r="D239" s="81" t="inlineStr">
        <is>
          <t>Squadra B</t>
        </is>
      </c>
      <c r="E239" s="10" t="n"/>
      <c r="F239" s="81" t="inlineStr">
        <is>
          <t>Giorno</t>
        </is>
      </c>
      <c r="G239" s="81" t="inlineStr">
        <is>
          <t>Data</t>
        </is>
      </c>
      <c r="H239" s="81" t="inlineStr">
        <is>
          <t>Ora</t>
        </is>
      </c>
      <c r="I239" s="10" t="n"/>
      <c r="J239" s="81" t="inlineStr">
        <is>
          <t>Risultato</t>
        </is>
      </c>
      <c r="K239" s="9" t="n"/>
      <c r="L239" s="10" t="n"/>
    </row>
    <row r="240" ht="24" customHeight="1">
      <c r="A240" s="83">
        <f>MAX(A$10:A239)+1</f>
        <v/>
      </c>
      <c r="B240" s="61">
        <f>IF(C240="","",IFERROR(VLOOKUP(C240,areaNomiBreviSquadre,7,FALSE),""))</f>
        <v/>
      </c>
      <c r="C240" s="62" t="inlineStr">
        <is>
          <t>C09</t>
        </is>
      </c>
      <c r="D240" s="61">
        <f>IF(E240="","",IFERROR(VLOOKUP(E240,areaNomiBreviSquadre,7,FALSE),""))</f>
        <v/>
      </c>
      <c r="E240" s="62" t="inlineStr">
        <is>
          <t>C07</t>
        </is>
      </c>
      <c r="F240" s="63" t="n">
        <v>46362.60416666666</v>
      </c>
      <c r="G240" s="9" t="n"/>
      <c r="H240" s="9" t="n"/>
      <c r="I240" s="10" t="n"/>
      <c r="J240" s="65" t="n">
        <v>89</v>
      </c>
      <c r="K240" s="66" t="inlineStr">
        <is>
          <t>-</t>
        </is>
      </c>
      <c r="L240" s="65" t="n">
        <v>80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C15</t>
        </is>
      </c>
      <c r="J241" s="141" t="n"/>
      <c r="K241" s="141" t="n"/>
      <c r="L241" s="141" t="n"/>
    </row>
    <row r="242" ht="13" customHeight="1">
      <c r="A242" s="81" t="inlineStr">
        <is>
          <t>Gara N.</t>
        </is>
      </c>
      <c r="B242" s="81" t="inlineStr">
        <is>
          <t>Squadra A</t>
        </is>
      </c>
      <c r="C242" s="10" t="n"/>
      <c r="D242" s="81" t="inlineStr">
        <is>
          <t>Squadra B</t>
        </is>
      </c>
      <c r="E242" s="10" t="n"/>
      <c r="F242" s="81" t="inlineStr">
        <is>
          <t>Giorno</t>
        </is>
      </c>
      <c r="G242" s="81" t="inlineStr">
        <is>
          <t>Data</t>
        </is>
      </c>
      <c r="H242" s="81" t="inlineStr">
        <is>
          <t>Ora</t>
        </is>
      </c>
      <c r="I242" s="10" t="n"/>
      <c r="J242" s="81" t="inlineStr">
        <is>
          <t>Risultato</t>
        </is>
      </c>
      <c r="K242" s="9" t="n"/>
      <c r="L242" s="10" t="n"/>
    </row>
    <row r="243" ht="24" customHeight="1">
      <c r="A243" s="83">
        <f>MAX(A$10:A242)+1</f>
        <v/>
      </c>
      <c r="B243" s="61">
        <f>IF(C243="","",IFERROR(VLOOKUP(C243,areaNomiBreviSquadre,7,FALSE),""))</f>
        <v/>
      </c>
      <c r="C243" s="62" t="inlineStr">
        <is>
          <t>C06</t>
        </is>
      </c>
      <c r="D243" s="61">
        <f>IF(E243="","",IFERROR(VLOOKUP(E243,areaNomiBreviSquadre,7,FALSE),""))</f>
        <v/>
      </c>
      <c r="E243" s="62" t="inlineStr">
        <is>
          <t>C10</t>
        </is>
      </c>
      <c r="F243" s="63" t="n">
        <v>46362.66666666666</v>
      </c>
      <c r="G243" s="9" t="n"/>
      <c r="H243" s="9" t="n"/>
      <c r="I243" s="10" t="n"/>
      <c r="J243" s="65" t="n">
        <v>58</v>
      </c>
      <c r="K243" s="66" t="inlineStr">
        <is>
          <t>-</t>
        </is>
      </c>
      <c r="L243" s="65" t="n">
        <v>81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C15</t>
        </is>
      </c>
      <c r="J244" s="141" t="n"/>
      <c r="K244" s="141" t="n"/>
      <c r="L244" s="141" t="n"/>
    </row>
    <row r="245" ht="13" customHeight="1">
      <c r="A245" s="81" t="inlineStr">
        <is>
          <t>Gara N.</t>
        </is>
      </c>
      <c r="B245" s="81" t="inlineStr">
        <is>
          <t>Squadra A</t>
        </is>
      </c>
      <c r="C245" s="10" t="n"/>
      <c r="D245" s="81" t="inlineStr">
        <is>
          <t>Squadra B</t>
        </is>
      </c>
      <c r="E245" s="10" t="n"/>
      <c r="F245" s="81" t="inlineStr">
        <is>
          <t>Giorno</t>
        </is>
      </c>
      <c r="G245" s="81" t="inlineStr">
        <is>
          <t>Data</t>
        </is>
      </c>
      <c r="H245" s="81" t="inlineStr">
        <is>
          <t>Ora</t>
        </is>
      </c>
      <c r="I245" s="10" t="n"/>
      <c r="J245" s="81" t="inlineStr">
        <is>
          <t>Risultato</t>
        </is>
      </c>
      <c r="K245" s="9" t="n"/>
      <c r="L245" s="10" t="n"/>
    </row>
    <row r="246" ht="24" customHeight="1">
      <c r="A246" s="83">
        <f>MAX(A$10:A245)+1</f>
        <v/>
      </c>
      <c r="B246" s="61">
        <f>IF(C246="","",IFERROR(VLOOKUP(C246,areaNomiBreviSquadre,7,FALSE),""))</f>
        <v/>
      </c>
      <c r="C246" s="62" t="inlineStr">
        <is>
          <t>C11</t>
        </is>
      </c>
      <c r="D246" s="61">
        <f>IF(E246="","",IFERROR(VLOOKUP(E246,areaNomiBreviSquadre,7,FALSE),""))</f>
        <v/>
      </c>
      <c r="E246" s="62" t="inlineStr">
        <is>
          <t>C05</t>
        </is>
      </c>
      <c r="F246" s="63" t="n">
        <v>46362.72916666666</v>
      </c>
      <c r="G246" s="9" t="n"/>
      <c r="H246" s="9" t="n"/>
      <c r="I246" s="10" t="n"/>
      <c r="J246" s="65" t="n">
        <v>50</v>
      </c>
      <c r="K246" s="66" t="inlineStr">
        <is>
          <t>-</t>
        </is>
      </c>
      <c r="L246" s="65" t="n">
        <v>25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C15</t>
        </is>
      </c>
      <c r="J247" s="141" t="n"/>
      <c r="K247" s="141" t="n"/>
      <c r="L247" s="141" t="n"/>
    </row>
    <row r="248" ht="13" customHeight="1">
      <c r="A248" s="81" t="inlineStr">
        <is>
          <t>Gara N.</t>
        </is>
      </c>
      <c r="B248" s="81" t="inlineStr">
        <is>
          <t>Squadra A</t>
        </is>
      </c>
      <c r="C248" s="10" t="n"/>
      <c r="D248" s="81" t="inlineStr">
        <is>
          <t>Squadra B</t>
        </is>
      </c>
      <c r="E248" s="10" t="n"/>
      <c r="F248" s="81" t="inlineStr">
        <is>
          <t>Giorno</t>
        </is>
      </c>
      <c r="G248" s="81" t="inlineStr">
        <is>
          <t>Data</t>
        </is>
      </c>
      <c r="H248" s="81" t="inlineStr">
        <is>
          <t>Ora</t>
        </is>
      </c>
      <c r="I248" s="10" t="n"/>
      <c r="J248" s="81" t="inlineStr">
        <is>
          <t>Risultato</t>
        </is>
      </c>
      <c r="K248" s="9" t="n"/>
      <c r="L248" s="10" t="n"/>
    </row>
    <row r="249" ht="24" customHeight="1">
      <c r="A249" s="83">
        <f>MAX(A$10:A248)+1</f>
        <v/>
      </c>
      <c r="B249" s="61">
        <f>IF(C249="","",IFERROR(VLOOKUP(C249,areaNomiBreviSquadre,7,FALSE),""))</f>
        <v/>
      </c>
      <c r="C249" s="62" t="inlineStr">
        <is>
          <t>C19</t>
        </is>
      </c>
      <c r="D249" s="61">
        <f>IF(E249="","",IFERROR(VLOOKUP(E249,areaNomiBreviSquadre,7,FALSE),""))</f>
        <v/>
      </c>
      <c r="E249" s="62" t="inlineStr">
        <is>
          <t>C16</t>
        </is>
      </c>
      <c r="F249" s="63" t="n">
        <v>46362.39583333334</v>
      </c>
      <c r="G249" s="9" t="n"/>
      <c r="H249" s="9" t="n"/>
      <c r="I249" s="10" t="n"/>
      <c r="J249" s="65" t="n">
        <v>33</v>
      </c>
      <c r="K249" s="66" t="inlineStr">
        <is>
          <t>-</t>
        </is>
      </c>
      <c r="L249" s="65" t="n">
        <v>43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C16</t>
        </is>
      </c>
      <c r="J250" s="141" t="n"/>
      <c r="K250" s="141" t="n"/>
      <c r="L250" s="141" t="n"/>
    </row>
    <row r="251" ht="13" customHeight="1">
      <c r="A251" s="81" t="inlineStr">
        <is>
          <t>Gara N.</t>
        </is>
      </c>
      <c r="B251" s="81" t="inlineStr">
        <is>
          <t>Squadra A</t>
        </is>
      </c>
      <c r="C251" s="10" t="n"/>
      <c r="D251" s="81" t="inlineStr">
        <is>
          <t>Squadra B</t>
        </is>
      </c>
      <c r="E251" s="10" t="n"/>
      <c r="F251" s="81" t="inlineStr">
        <is>
          <t>Giorno</t>
        </is>
      </c>
      <c r="G251" s="81" t="inlineStr">
        <is>
          <t>Data</t>
        </is>
      </c>
      <c r="H251" s="81" t="inlineStr">
        <is>
          <t>Ora</t>
        </is>
      </c>
      <c r="I251" s="10" t="n"/>
      <c r="J251" s="81" t="inlineStr">
        <is>
          <t>Risultato</t>
        </is>
      </c>
      <c r="K251" s="9" t="n"/>
      <c r="L251" s="10" t="n"/>
    </row>
    <row r="252" ht="24" customHeight="1">
      <c r="A252" s="83">
        <f>MAX(A$10:A251)+1</f>
        <v/>
      </c>
      <c r="B252" s="61">
        <f>IF(C252="","",IFERROR(VLOOKUP(C252,areaNomiBreviSquadre,7,FALSE),""))</f>
        <v/>
      </c>
      <c r="C252" s="62" t="inlineStr">
        <is>
          <t>C04</t>
        </is>
      </c>
      <c r="D252" s="61">
        <f>IF(E252="","",IFERROR(VLOOKUP(E252,areaNomiBreviSquadre,7,FALSE),""))</f>
        <v/>
      </c>
      <c r="E252" s="62" t="inlineStr">
        <is>
          <t>C12</t>
        </is>
      </c>
      <c r="F252" s="63" t="n">
        <v>46362.45833333334</v>
      </c>
      <c r="G252" s="9" t="n"/>
      <c r="H252" s="9" t="n"/>
      <c r="I252" s="10" t="n"/>
      <c r="J252" s="65" t="n">
        <v>62</v>
      </c>
      <c r="K252" s="66" t="inlineStr">
        <is>
          <t>-</t>
        </is>
      </c>
      <c r="L252" s="65" t="n">
        <v>86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C16</t>
        </is>
      </c>
      <c r="J253" s="141" t="n"/>
      <c r="K253" s="141" t="n"/>
      <c r="L253" s="141" t="n"/>
    </row>
    <row r="254" ht="13" customHeight="1">
      <c r="A254" s="81" t="inlineStr">
        <is>
          <t>Gara N.</t>
        </is>
      </c>
      <c r="B254" s="81" t="inlineStr">
        <is>
          <t>Squadra A</t>
        </is>
      </c>
      <c r="C254" s="10" t="n"/>
      <c r="D254" s="81" t="inlineStr">
        <is>
          <t>Squadra B</t>
        </is>
      </c>
      <c r="E254" s="10" t="n"/>
      <c r="F254" s="81" t="inlineStr">
        <is>
          <t>Giorno</t>
        </is>
      </c>
      <c r="G254" s="81" t="inlineStr">
        <is>
          <t>Data</t>
        </is>
      </c>
      <c r="H254" s="81" t="inlineStr">
        <is>
          <t>Ora</t>
        </is>
      </c>
      <c r="I254" s="10" t="n"/>
      <c r="J254" s="81" t="inlineStr">
        <is>
          <t>Risultato</t>
        </is>
      </c>
      <c r="K254" s="9" t="n"/>
      <c r="L254" s="10" t="n"/>
    </row>
    <row r="255" ht="24" customHeight="1">
      <c r="A255" s="83">
        <f>MAX(A$10:A254)+1</f>
        <v/>
      </c>
      <c r="B255" s="61">
        <f>IF(C255="","",IFERROR(VLOOKUP(C255,areaNomiBreviSquadre,7,FALSE),""))</f>
        <v/>
      </c>
      <c r="C255" s="62" t="inlineStr">
        <is>
          <t>C13</t>
        </is>
      </c>
      <c r="D255" s="61">
        <f>IF(E255="","",IFERROR(VLOOKUP(E255,areaNomiBreviSquadre,7,FALSE),""))</f>
        <v/>
      </c>
      <c r="E255" s="62" t="inlineStr">
        <is>
          <t>C03</t>
        </is>
      </c>
      <c r="F255" s="63" t="n">
        <v>46362.60416666666</v>
      </c>
      <c r="G255" s="9" t="n"/>
      <c r="H255" s="9" t="n"/>
      <c r="I255" s="10" t="n"/>
      <c r="J255" s="65" t="n">
        <v>77</v>
      </c>
      <c r="K255" s="66" t="inlineStr">
        <is>
          <t>-</t>
        </is>
      </c>
      <c r="L255" s="65" t="n">
        <v>62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C16</t>
        </is>
      </c>
      <c r="J256" s="141" t="n"/>
      <c r="K256" s="141" t="n"/>
      <c r="L256" s="141" t="n"/>
    </row>
    <row r="257" ht="13" customHeight="1">
      <c r="A257" s="81" t="inlineStr">
        <is>
          <t>Gara N.</t>
        </is>
      </c>
      <c r="B257" s="81" t="inlineStr">
        <is>
          <t>Squadra A</t>
        </is>
      </c>
      <c r="C257" s="10" t="n"/>
      <c r="D257" s="81" t="inlineStr">
        <is>
          <t>Squadra B</t>
        </is>
      </c>
      <c r="E257" s="10" t="n"/>
      <c r="F257" s="81" t="inlineStr">
        <is>
          <t>Giorno</t>
        </is>
      </c>
      <c r="G257" s="81" t="inlineStr">
        <is>
          <t>Data</t>
        </is>
      </c>
      <c r="H257" s="81" t="inlineStr">
        <is>
          <t>Ora</t>
        </is>
      </c>
      <c r="I257" s="10" t="n"/>
      <c r="J257" s="81" t="inlineStr">
        <is>
          <t>Risultato</t>
        </is>
      </c>
      <c r="K257" s="9" t="n"/>
      <c r="L257" s="10" t="n"/>
    </row>
    <row r="258" ht="24" customHeight="1">
      <c r="A258" s="83">
        <f>MAX(A$10:A257)+1</f>
        <v/>
      </c>
      <c r="B258" s="61">
        <f>IF(C258="","",IFERROR(VLOOKUP(C258,areaNomiBreviSquadre,7,FALSE),""))</f>
        <v/>
      </c>
      <c r="C258" s="62" t="inlineStr">
        <is>
          <t>C02</t>
        </is>
      </c>
      <c r="D258" s="61">
        <f>IF(E258="","",IFERROR(VLOOKUP(E258,areaNomiBreviSquadre,7,FALSE),""))</f>
        <v/>
      </c>
      <c r="E258" s="62" t="inlineStr">
        <is>
          <t>C14</t>
        </is>
      </c>
      <c r="F258" s="63" t="n">
        <v>46362.66666666666</v>
      </c>
      <c r="G258" s="9" t="n"/>
      <c r="H258" s="9" t="n"/>
      <c r="I258" s="10" t="n"/>
      <c r="J258" s="65" t="n">
        <v>88</v>
      </c>
      <c r="K258" s="66" t="inlineStr">
        <is>
          <t>-</t>
        </is>
      </c>
      <c r="L258" s="65" t="n">
        <v>61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C16</t>
        </is>
      </c>
      <c r="J259" s="141" t="n"/>
      <c r="K259" s="141" t="n"/>
      <c r="L259" s="141" t="n"/>
    </row>
    <row r="260" ht="13" customHeight="1">
      <c r="A260" s="81" t="inlineStr">
        <is>
          <t>Gara N.</t>
        </is>
      </c>
      <c r="B260" s="81" t="inlineStr">
        <is>
          <t>Squadra A</t>
        </is>
      </c>
      <c r="C260" s="10" t="n"/>
      <c r="D260" s="81" t="inlineStr">
        <is>
          <t>Squadra B</t>
        </is>
      </c>
      <c r="E260" s="10" t="n"/>
      <c r="F260" s="81" t="inlineStr">
        <is>
          <t>Giorno</t>
        </is>
      </c>
      <c r="G260" s="81" t="inlineStr">
        <is>
          <t>Data</t>
        </is>
      </c>
      <c r="H260" s="81" t="inlineStr">
        <is>
          <t>Ora</t>
        </is>
      </c>
      <c r="I260" s="10" t="n"/>
      <c r="J260" s="81" t="inlineStr">
        <is>
          <t>Risultato</t>
        </is>
      </c>
      <c r="K260" s="9" t="n"/>
      <c r="L260" s="10" t="n"/>
    </row>
    <row r="261" ht="24" customHeight="1">
      <c r="A261" s="83">
        <f>MAX(A$10:A260)+1</f>
        <v/>
      </c>
      <c r="B261" s="61">
        <f>IF(C261="","",IFERROR(VLOOKUP(C261,areaNomiBreviSquadre,7,FALSE),""))</f>
        <v/>
      </c>
      <c r="C261" s="62" t="inlineStr">
        <is>
          <t>C17</t>
        </is>
      </c>
      <c r="D261" s="61">
        <f>IF(E261="","",IFERROR(VLOOKUP(E261,areaNomiBreviSquadre,7,FALSE),""))</f>
        <v/>
      </c>
      <c r="E261" s="62" t="inlineStr">
        <is>
          <t>C18</t>
        </is>
      </c>
      <c r="F261" s="63" t="n">
        <v>46362.72916666666</v>
      </c>
      <c r="G261" s="9" t="n"/>
      <c r="H261" s="9" t="n"/>
      <c r="I261" s="10" t="n"/>
      <c r="J261" s="65" t="n">
        <v>46</v>
      </c>
      <c r="K261" s="66" t="inlineStr">
        <is>
          <t>-</t>
        </is>
      </c>
      <c r="L261" s="65" t="n">
        <v>24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C16</t>
        </is>
      </c>
      <c r="J262" s="141" t="n"/>
      <c r="K262" s="141" t="n"/>
      <c r="L262" s="141" t="n"/>
    </row>
    <row r="263" ht="8" customHeight="1"/>
    <row r="264" ht="20" customHeight="1">
      <c r="A264" s="78" t="inlineStr">
        <is>
          <t>9C</t>
        </is>
      </c>
      <c r="B264" s="79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1" t="inlineStr">
        <is>
          <t>Gara N.</t>
        </is>
      </c>
      <c r="B265" s="81" t="inlineStr">
        <is>
          <t>Squadra A</t>
        </is>
      </c>
      <c r="C265" s="10" t="n"/>
      <c r="D265" s="81" t="inlineStr">
        <is>
          <t>Squadra B</t>
        </is>
      </c>
      <c r="E265" s="10" t="n"/>
      <c r="F265" s="81" t="inlineStr">
        <is>
          <t>Giorno</t>
        </is>
      </c>
      <c r="G265" s="81" t="inlineStr">
        <is>
          <t>Data</t>
        </is>
      </c>
      <c r="H265" s="81" t="inlineStr">
        <is>
          <t>Ora</t>
        </is>
      </c>
      <c r="I265" s="10" t="n"/>
      <c r="J265" s="81" t="inlineStr">
        <is>
          <t>Risultato</t>
        </is>
      </c>
      <c r="K265" s="9" t="n"/>
      <c r="L265" s="10" t="n"/>
    </row>
    <row r="266" ht="24" customHeight="1">
      <c r="A266" s="83">
        <f>MAX(A$10:A265)+1</f>
        <v/>
      </c>
      <c r="B266" s="61">
        <f>IF(C266="","",IFERROR(VLOOKUP(C266,areaNomiBreviSquadre,7,FALSE),""))</f>
        <v/>
      </c>
      <c r="C266" s="62" t="inlineStr">
        <is>
          <t>C17</t>
        </is>
      </c>
      <c r="D266" s="61">
        <f>IF(E266="","",IFERROR(VLOOKUP(E266,areaNomiBreviSquadre,7,FALSE),""))</f>
        <v/>
      </c>
      <c r="E266" s="62" t="inlineStr">
        <is>
          <t>C01</t>
        </is>
      </c>
      <c r="F266" s="63" t="n">
        <v>46369.39583333334</v>
      </c>
      <c r="G266" s="9" t="n"/>
      <c r="H266" s="9" t="n"/>
      <c r="I266" s="10" t="n"/>
      <c r="J266" s="65" t="n">
        <v>52</v>
      </c>
      <c r="K266" s="66" t="inlineStr">
        <is>
          <t>-</t>
        </is>
      </c>
      <c r="L266" s="65" t="n">
        <v>36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C17</t>
        </is>
      </c>
      <c r="J267" s="141" t="n"/>
      <c r="K267" s="141" t="n"/>
      <c r="L267" s="141" t="n"/>
    </row>
    <row r="268" ht="13" customHeight="1">
      <c r="A268" s="81" t="inlineStr">
        <is>
          <t>Gara N.</t>
        </is>
      </c>
      <c r="B268" s="81" t="inlineStr">
        <is>
          <t>Squadra A</t>
        </is>
      </c>
      <c r="C268" s="10" t="n"/>
      <c r="D268" s="81" t="inlineStr">
        <is>
          <t>Squadra B</t>
        </is>
      </c>
      <c r="E268" s="10" t="n"/>
      <c r="F268" s="81" t="inlineStr">
        <is>
          <t>Giorno</t>
        </is>
      </c>
      <c r="G268" s="81" t="inlineStr">
        <is>
          <t>Data</t>
        </is>
      </c>
      <c r="H268" s="81" t="inlineStr">
        <is>
          <t>Ora</t>
        </is>
      </c>
      <c r="I268" s="10" t="n"/>
      <c r="J268" s="81" t="inlineStr">
        <is>
          <t>Risultato</t>
        </is>
      </c>
      <c r="K268" s="9" t="n"/>
      <c r="L268" s="10" t="n"/>
    </row>
    <row r="269" ht="24" customHeight="1">
      <c r="A269" s="83">
        <f>MAX(A$10:A268)+1</f>
        <v/>
      </c>
      <c r="B269" s="61">
        <f>IF(C269="","",IFERROR(VLOOKUP(C269,areaNomiBreviSquadre,7,FALSE),""))</f>
        <v/>
      </c>
      <c r="C269" s="62" t="inlineStr">
        <is>
          <t>C09</t>
        </is>
      </c>
      <c r="D269" s="61">
        <f>IF(E269="","",IFERROR(VLOOKUP(E269,areaNomiBreviSquadre,7,FALSE),""))</f>
        <v/>
      </c>
      <c r="E269" s="62" t="inlineStr">
        <is>
          <t>C20</t>
        </is>
      </c>
      <c r="F269" s="63" t="n">
        <v>46369.45833333334</v>
      </c>
      <c r="G269" s="9" t="n"/>
      <c r="H269" s="9" t="n"/>
      <c r="I269" s="10" t="n"/>
      <c r="J269" s="65" t="n">
        <v>80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C17</t>
        </is>
      </c>
      <c r="J270" s="141" t="n"/>
      <c r="K270" s="141" t="n"/>
      <c r="L270" s="141" t="n"/>
    </row>
    <row r="271" ht="13" customHeight="1">
      <c r="A271" s="81" t="inlineStr">
        <is>
          <t>Gara N.</t>
        </is>
      </c>
      <c r="B271" s="81" t="inlineStr">
        <is>
          <t>Squadra A</t>
        </is>
      </c>
      <c r="C271" s="10" t="n"/>
      <c r="D271" s="81" t="inlineStr">
        <is>
          <t>Squadra B</t>
        </is>
      </c>
      <c r="E271" s="10" t="n"/>
      <c r="F271" s="81" t="inlineStr">
        <is>
          <t>Giorno</t>
        </is>
      </c>
      <c r="G271" s="81" t="inlineStr">
        <is>
          <t>Data</t>
        </is>
      </c>
      <c r="H271" s="81" t="inlineStr">
        <is>
          <t>Ora</t>
        </is>
      </c>
      <c r="I271" s="10" t="n"/>
      <c r="J271" s="81" t="inlineStr">
        <is>
          <t>Risultato</t>
        </is>
      </c>
      <c r="K271" s="9" t="n"/>
      <c r="L271" s="10" t="n"/>
    </row>
    <row r="272" ht="24" customHeight="1">
      <c r="A272" s="83">
        <f>MAX(A$10:A271)+1</f>
        <v/>
      </c>
      <c r="B272" s="61">
        <f>IF(C272="","",IFERROR(VLOOKUP(C272,areaNomiBreviSquadre,7,FALSE),""))</f>
        <v/>
      </c>
      <c r="C272" s="62" t="inlineStr">
        <is>
          <t>C08</t>
        </is>
      </c>
      <c r="D272" s="61">
        <f>IF(E272="","",IFERROR(VLOOKUP(E272,areaNomiBreviSquadre,7,FALSE),""))</f>
        <v/>
      </c>
      <c r="E272" s="62" t="inlineStr">
        <is>
          <t>C10</t>
        </is>
      </c>
      <c r="F272" s="63" t="n">
        <v>46369.60416666666</v>
      </c>
      <c r="G272" s="9" t="n"/>
      <c r="H272" s="9" t="n"/>
      <c r="I272" s="10" t="n"/>
      <c r="J272" s="65" t="n">
        <v>69</v>
      </c>
      <c r="K272" s="66" t="inlineStr">
        <is>
          <t>-</t>
        </is>
      </c>
      <c r="L272" s="65" t="n">
        <v>55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C17</t>
        </is>
      </c>
      <c r="J273" s="141" t="n"/>
      <c r="K273" s="141" t="n"/>
      <c r="L273" s="141" t="n"/>
    </row>
    <row r="274" ht="13" customHeight="1">
      <c r="A274" s="81" t="inlineStr">
        <is>
          <t>Gara N.</t>
        </is>
      </c>
      <c r="B274" s="81" t="inlineStr">
        <is>
          <t>Squadra A</t>
        </is>
      </c>
      <c r="C274" s="10" t="n"/>
      <c r="D274" s="81" t="inlineStr">
        <is>
          <t>Squadra B</t>
        </is>
      </c>
      <c r="E274" s="10" t="n"/>
      <c r="F274" s="81" t="inlineStr">
        <is>
          <t>Giorno</t>
        </is>
      </c>
      <c r="G274" s="81" t="inlineStr">
        <is>
          <t>Data</t>
        </is>
      </c>
      <c r="H274" s="81" t="inlineStr">
        <is>
          <t>Ora</t>
        </is>
      </c>
      <c r="I274" s="10" t="n"/>
      <c r="J274" s="81" t="inlineStr">
        <is>
          <t>Risultato</t>
        </is>
      </c>
      <c r="K274" s="9" t="n"/>
      <c r="L274" s="10" t="n"/>
    </row>
    <row r="275" ht="24" customHeight="1">
      <c r="A275" s="83">
        <f>MAX(A$10:A274)+1</f>
        <v/>
      </c>
      <c r="B275" s="61">
        <f>IF(C275="","",IFERROR(VLOOKUP(C275,areaNomiBreviSquadre,7,FALSE),""))</f>
        <v/>
      </c>
      <c r="C275" s="62" t="inlineStr">
        <is>
          <t>C11</t>
        </is>
      </c>
      <c r="D275" s="61">
        <f>IF(E275="","",IFERROR(VLOOKUP(E275,areaNomiBreviSquadre,7,FALSE),""))</f>
        <v/>
      </c>
      <c r="E275" s="62" t="inlineStr">
        <is>
          <t>C07</t>
        </is>
      </c>
      <c r="F275" s="63" t="n">
        <v>46369.66666666666</v>
      </c>
      <c r="G275" s="9" t="n"/>
      <c r="H275" s="9" t="n"/>
      <c r="I275" s="10" t="n"/>
      <c r="J275" s="65" t="n">
        <v>48</v>
      </c>
      <c r="K275" s="66" t="inlineStr">
        <is>
          <t>-</t>
        </is>
      </c>
      <c r="L275" s="65" t="n">
        <v>41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C17</t>
        </is>
      </c>
      <c r="J276" s="141" t="n"/>
      <c r="K276" s="141" t="n"/>
      <c r="L276" s="141" t="n"/>
    </row>
    <row r="277" ht="13" customHeight="1">
      <c r="A277" s="81" t="inlineStr">
        <is>
          <t>Gara N.</t>
        </is>
      </c>
      <c r="B277" s="81" t="inlineStr">
        <is>
          <t>Squadra A</t>
        </is>
      </c>
      <c r="C277" s="10" t="n"/>
      <c r="D277" s="81" t="inlineStr">
        <is>
          <t>Squadra B</t>
        </is>
      </c>
      <c r="E277" s="10" t="n"/>
      <c r="F277" s="81" t="inlineStr">
        <is>
          <t>Giorno</t>
        </is>
      </c>
      <c r="G277" s="81" t="inlineStr">
        <is>
          <t>Data</t>
        </is>
      </c>
      <c r="H277" s="81" t="inlineStr">
        <is>
          <t>Ora</t>
        </is>
      </c>
      <c r="I277" s="10" t="n"/>
      <c r="J277" s="81" t="inlineStr">
        <is>
          <t>Risultato</t>
        </is>
      </c>
      <c r="K277" s="9" t="n"/>
      <c r="L277" s="10" t="n"/>
    </row>
    <row r="278" ht="24" customHeight="1">
      <c r="A278" s="83">
        <f>MAX(A$10:A277)+1</f>
        <v/>
      </c>
      <c r="B278" s="61">
        <f>IF(C278="","",IFERROR(VLOOKUP(C278,areaNomiBreviSquadre,7,FALSE),""))</f>
        <v/>
      </c>
      <c r="C278" s="62" t="inlineStr">
        <is>
          <t>C06</t>
        </is>
      </c>
      <c r="D278" s="61">
        <f>IF(E278="","",IFERROR(VLOOKUP(E278,areaNomiBreviSquadre,7,FALSE),""))</f>
        <v/>
      </c>
      <c r="E278" s="62" t="inlineStr">
        <is>
          <t>C12</t>
        </is>
      </c>
      <c r="F278" s="63" t="n">
        <v>46369.72916666666</v>
      </c>
      <c r="G278" s="9" t="n"/>
      <c r="H278" s="9" t="n"/>
      <c r="I278" s="10" t="n"/>
      <c r="J278" s="65" t="n">
        <v>37</v>
      </c>
      <c r="K278" s="66" t="inlineStr">
        <is>
          <t>-</t>
        </is>
      </c>
      <c r="L278" s="65" t="n">
        <v>47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C17</t>
        </is>
      </c>
      <c r="J279" s="141" t="n"/>
      <c r="K279" s="141" t="n"/>
      <c r="L279" s="141" t="n"/>
    </row>
    <row r="280" ht="13" customHeight="1">
      <c r="A280" s="81" t="inlineStr">
        <is>
          <t>Gara N.</t>
        </is>
      </c>
      <c r="B280" s="81" t="inlineStr">
        <is>
          <t>Squadra A</t>
        </is>
      </c>
      <c r="C280" s="10" t="n"/>
      <c r="D280" s="81" t="inlineStr">
        <is>
          <t>Squadra B</t>
        </is>
      </c>
      <c r="E280" s="10" t="n"/>
      <c r="F280" s="81" t="inlineStr">
        <is>
          <t>Giorno</t>
        </is>
      </c>
      <c r="G280" s="81" t="inlineStr">
        <is>
          <t>Data</t>
        </is>
      </c>
      <c r="H280" s="81" t="inlineStr">
        <is>
          <t>Ora</t>
        </is>
      </c>
      <c r="I280" s="10" t="n"/>
      <c r="J280" s="81" t="inlineStr">
        <is>
          <t>Risultato</t>
        </is>
      </c>
      <c r="K280" s="9" t="n"/>
      <c r="L280" s="10" t="n"/>
    </row>
    <row r="281" ht="24" customHeight="1">
      <c r="A281" s="83">
        <f>MAX(A$10:A280)+1</f>
        <v/>
      </c>
      <c r="B281" s="61">
        <f>IF(C281="","",IFERROR(VLOOKUP(C281,areaNomiBreviSquadre,7,FALSE),""))</f>
        <v/>
      </c>
      <c r="C281" s="62" t="inlineStr">
        <is>
          <t>C19</t>
        </is>
      </c>
      <c r="D281" s="61">
        <f>IF(E281="","",IFERROR(VLOOKUP(E281,areaNomiBreviSquadre,7,FALSE),""))</f>
        <v/>
      </c>
      <c r="E281" s="62" t="inlineStr">
        <is>
          <t>C18</t>
        </is>
      </c>
      <c r="F281" s="63" t="n">
        <v>46369.39583333334</v>
      </c>
      <c r="G281" s="9" t="n"/>
      <c r="H281" s="9" t="n"/>
      <c r="I281" s="10" t="n"/>
      <c r="J281" s="65" t="n">
        <v>56</v>
      </c>
      <c r="K281" s="66" t="inlineStr">
        <is>
          <t>-</t>
        </is>
      </c>
      <c r="L281" s="65" t="n">
        <v>31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C18</t>
        </is>
      </c>
      <c r="J282" s="141" t="n"/>
      <c r="K282" s="141" t="n"/>
      <c r="L282" s="141" t="n"/>
    </row>
    <row r="283" ht="13" customHeight="1">
      <c r="A283" s="81" t="inlineStr">
        <is>
          <t>Gara N.</t>
        </is>
      </c>
      <c r="B283" s="81" t="inlineStr">
        <is>
          <t>Squadra A</t>
        </is>
      </c>
      <c r="C283" s="10" t="n"/>
      <c r="D283" s="81" t="inlineStr">
        <is>
          <t>Squadra B</t>
        </is>
      </c>
      <c r="E283" s="10" t="n"/>
      <c r="F283" s="81" t="inlineStr">
        <is>
          <t>Giorno</t>
        </is>
      </c>
      <c r="G283" s="81" t="inlineStr">
        <is>
          <t>Data</t>
        </is>
      </c>
      <c r="H283" s="81" t="inlineStr">
        <is>
          <t>Ora</t>
        </is>
      </c>
      <c r="I283" s="10" t="n"/>
      <c r="J283" s="81" t="inlineStr">
        <is>
          <t>Risultato</t>
        </is>
      </c>
      <c r="K283" s="9" t="n"/>
      <c r="L283" s="10" t="n"/>
    </row>
    <row r="284" ht="24" customHeight="1">
      <c r="A284" s="83">
        <f>MAX(A$10:A283)+1</f>
        <v/>
      </c>
      <c r="B284" s="61">
        <f>IF(C284="","",IFERROR(VLOOKUP(C284,areaNomiBreviSquadre,7,FALSE),""))</f>
        <v/>
      </c>
      <c r="C284" s="62" t="inlineStr">
        <is>
          <t>C13</t>
        </is>
      </c>
      <c r="D284" s="61">
        <f>IF(E284="","",IFERROR(VLOOKUP(E284,areaNomiBreviSquadre,7,FALSE),""))</f>
        <v/>
      </c>
      <c r="E284" s="62" t="inlineStr">
        <is>
          <t>C05</t>
        </is>
      </c>
      <c r="F284" s="63" t="n">
        <v>46369.45833333334</v>
      </c>
      <c r="G284" s="9" t="n"/>
      <c r="H284" s="9" t="n"/>
      <c r="I284" s="10" t="n"/>
      <c r="J284" s="65" t="n">
        <v>38</v>
      </c>
      <c r="K284" s="66" t="inlineStr">
        <is>
          <t>-</t>
        </is>
      </c>
      <c r="L284" s="65" t="n">
        <v>50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C18</t>
        </is>
      </c>
      <c r="J285" s="141" t="n"/>
      <c r="K285" s="141" t="n"/>
      <c r="L285" s="141" t="n"/>
    </row>
    <row r="286" ht="13" customHeight="1">
      <c r="A286" s="81" t="inlineStr">
        <is>
          <t>Gara N.</t>
        </is>
      </c>
      <c r="B286" s="81" t="inlineStr">
        <is>
          <t>Squadra A</t>
        </is>
      </c>
      <c r="C286" s="10" t="n"/>
      <c r="D286" s="81" t="inlineStr">
        <is>
          <t>Squadra B</t>
        </is>
      </c>
      <c r="E286" s="10" t="n"/>
      <c r="F286" s="81" t="inlineStr">
        <is>
          <t>Giorno</t>
        </is>
      </c>
      <c r="G286" s="81" t="inlineStr">
        <is>
          <t>Data</t>
        </is>
      </c>
      <c r="H286" s="81" t="inlineStr">
        <is>
          <t>Ora</t>
        </is>
      </c>
      <c r="I286" s="10" t="n"/>
      <c r="J286" s="81" t="inlineStr">
        <is>
          <t>Risultato</t>
        </is>
      </c>
      <c r="K286" s="9" t="n"/>
      <c r="L286" s="10" t="n"/>
    </row>
    <row r="287" ht="24" customHeight="1">
      <c r="A287" s="83">
        <f>MAX(A$10:A286)+1</f>
        <v/>
      </c>
      <c r="B287" s="61">
        <f>IF(C287="","",IFERROR(VLOOKUP(C287,areaNomiBreviSquadre,7,FALSE),""))</f>
        <v/>
      </c>
      <c r="C287" s="62" t="inlineStr">
        <is>
          <t>C04</t>
        </is>
      </c>
      <c r="D287" s="61">
        <f>IF(E287="","",IFERROR(VLOOKUP(E287,areaNomiBreviSquadre,7,FALSE),""))</f>
        <v/>
      </c>
      <c r="E287" s="62" t="inlineStr">
        <is>
          <t>C14</t>
        </is>
      </c>
      <c r="F287" s="63" t="n">
        <v>46369.60416666666</v>
      </c>
      <c r="G287" s="9" t="n"/>
      <c r="H287" s="9" t="n"/>
      <c r="I287" s="10" t="n"/>
      <c r="J287" s="65" t="n">
        <v>43</v>
      </c>
      <c r="K287" s="66" t="inlineStr">
        <is>
          <t>-</t>
        </is>
      </c>
      <c r="L287" s="65" t="n">
        <v>71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C18</t>
        </is>
      </c>
      <c r="J288" s="141" t="n"/>
      <c r="K288" s="141" t="n"/>
      <c r="L288" s="141" t="n"/>
    </row>
    <row r="289" ht="13" customHeight="1">
      <c r="A289" s="81" t="inlineStr">
        <is>
          <t>Gara N.</t>
        </is>
      </c>
      <c r="B289" s="81" t="inlineStr">
        <is>
          <t>Squadra A</t>
        </is>
      </c>
      <c r="C289" s="10" t="n"/>
      <c r="D289" s="81" t="inlineStr">
        <is>
          <t>Squadra B</t>
        </is>
      </c>
      <c r="E289" s="10" t="n"/>
      <c r="F289" s="81" t="inlineStr">
        <is>
          <t>Giorno</t>
        </is>
      </c>
      <c r="G289" s="81" t="inlineStr">
        <is>
          <t>Data</t>
        </is>
      </c>
      <c r="H289" s="81" t="inlineStr">
        <is>
          <t>Ora</t>
        </is>
      </c>
      <c r="I289" s="10" t="n"/>
      <c r="J289" s="81" t="inlineStr">
        <is>
          <t>Risultato</t>
        </is>
      </c>
      <c r="K289" s="9" t="n"/>
      <c r="L289" s="10" t="n"/>
    </row>
    <row r="290" ht="24" customHeight="1">
      <c r="A290" s="83">
        <f>MAX(A$10:A289)+1</f>
        <v/>
      </c>
      <c r="B290" s="61">
        <f>IF(C290="","",IFERROR(VLOOKUP(C290,areaNomiBreviSquadre,7,FALSE),""))</f>
        <v/>
      </c>
      <c r="C290" s="62" t="inlineStr">
        <is>
          <t>C15</t>
        </is>
      </c>
      <c r="D290" s="61">
        <f>IF(E290="","",IFERROR(VLOOKUP(E290,areaNomiBreviSquadre,7,FALSE),""))</f>
        <v/>
      </c>
      <c r="E290" s="62" t="inlineStr">
        <is>
          <t>C03</t>
        </is>
      </c>
      <c r="F290" s="63" t="n">
        <v>46369.66666666666</v>
      </c>
      <c r="G290" s="9" t="n"/>
      <c r="H290" s="9" t="n"/>
      <c r="I290" s="10" t="n"/>
      <c r="J290" s="65" t="n">
        <v>21</v>
      </c>
      <c r="K290" s="66" t="inlineStr">
        <is>
          <t>-</t>
        </is>
      </c>
      <c r="L290" s="65" t="n">
        <v>48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C18</t>
        </is>
      </c>
      <c r="J291" s="141" t="n"/>
      <c r="K291" s="141" t="n"/>
      <c r="L291" s="141" t="n"/>
    </row>
    <row r="292" ht="13" customHeight="1">
      <c r="A292" s="81" t="inlineStr">
        <is>
          <t>Gara N.</t>
        </is>
      </c>
      <c r="B292" s="81" t="inlineStr">
        <is>
          <t>Squadra A</t>
        </is>
      </c>
      <c r="C292" s="10" t="n"/>
      <c r="D292" s="81" t="inlineStr">
        <is>
          <t>Squadra B</t>
        </is>
      </c>
      <c r="E292" s="10" t="n"/>
      <c r="F292" s="81" t="inlineStr">
        <is>
          <t>Giorno</t>
        </is>
      </c>
      <c r="G292" s="81" t="inlineStr">
        <is>
          <t>Data</t>
        </is>
      </c>
      <c r="H292" s="81" t="inlineStr">
        <is>
          <t>Ora</t>
        </is>
      </c>
      <c r="I292" s="10" t="n"/>
      <c r="J292" s="81" t="inlineStr">
        <is>
          <t>Risultato</t>
        </is>
      </c>
      <c r="K292" s="9" t="n"/>
      <c r="L292" s="10" t="n"/>
    </row>
    <row r="293" ht="24" customHeight="1">
      <c r="A293" s="83">
        <f>MAX(A$10:A292)+1</f>
        <v/>
      </c>
      <c r="B293" s="61">
        <f>IF(C293="","",IFERROR(VLOOKUP(C293,areaNomiBreviSquadre,7,FALSE),""))</f>
        <v/>
      </c>
      <c r="C293" s="62" t="inlineStr">
        <is>
          <t>C02</t>
        </is>
      </c>
      <c r="D293" s="61">
        <f>IF(E293="","",IFERROR(VLOOKUP(E293,areaNomiBreviSquadre,7,FALSE),""))</f>
        <v/>
      </c>
      <c r="E293" s="62" t="inlineStr">
        <is>
          <t>C16</t>
        </is>
      </c>
      <c r="F293" s="63" t="n">
        <v>46369.72916666666</v>
      </c>
      <c r="G293" s="9" t="n"/>
      <c r="H293" s="9" t="n"/>
      <c r="I293" s="10" t="n"/>
      <c r="J293" s="65" t="n">
        <v>18</v>
      </c>
      <c r="K293" s="66" t="inlineStr">
        <is>
          <t>-</t>
        </is>
      </c>
      <c r="L293" s="65" t="n">
        <v>45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C18</t>
        </is>
      </c>
      <c r="J294" s="141" t="n"/>
      <c r="K294" s="141" t="n"/>
      <c r="L294" s="141" t="n"/>
    </row>
    <row r="295" ht="8" customHeight="1"/>
    <row r="296" ht="20" customHeight="1">
      <c r="A296" s="78" t="inlineStr">
        <is>
          <t>10C</t>
        </is>
      </c>
      <c r="B296" s="79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1" t="inlineStr">
        <is>
          <t>Gara N.</t>
        </is>
      </c>
      <c r="B297" s="81" t="inlineStr">
        <is>
          <t>Squadra A</t>
        </is>
      </c>
      <c r="C297" s="10" t="n"/>
      <c r="D297" s="81" t="inlineStr">
        <is>
          <t>Squadra B</t>
        </is>
      </c>
      <c r="E297" s="10" t="n"/>
      <c r="F297" s="81" t="inlineStr">
        <is>
          <t>Giorno</t>
        </is>
      </c>
      <c r="G297" s="81" t="inlineStr">
        <is>
          <t>Data</t>
        </is>
      </c>
      <c r="H297" s="81" t="inlineStr">
        <is>
          <t>Ora</t>
        </is>
      </c>
      <c r="I297" s="10" t="n"/>
      <c r="J297" s="81" t="inlineStr">
        <is>
          <t>Risultato</t>
        </is>
      </c>
      <c r="K297" s="9" t="n"/>
      <c r="L297" s="10" t="n"/>
    </row>
    <row r="298" ht="24" customHeight="1">
      <c r="A298" s="83">
        <f>MAX(A$10:A297)+1</f>
        <v/>
      </c>
      <c r="B298" s="61">
        <f>IF(C298="","",IFERROR(VLOOKUP(C298,areaNomiBreviSquadre,7,FALSE),""))</f>
        <v/>
      </c>
      <c r="C298" s="62" t="inlineStr">
        <is>
          <t>C19</t>
        </is>
      </c>
      <c r="D298" s="61">
        <f>IF(E298="","",IFERROR(VLOOKUP(E298,areaNomiBreviSquadre,7,FALSE),""))</f>
        <v/>
      </c>
      <c r="E298" s="62" t="inlineStr">
        <is>
          <t>C01</t>
        </is>
      </c>
      <c r="F298" s="63" t="n">
        <v>46376.39583333334</v>
      </c>
      <c r="G298" s="9" t="n"/>
      <c r="H298" s="9" t="n"/>
      <c r="I298" s="10" t="n"/>
      <c r="J298" s="65" t="n">
        <v>40</v>
      </c>
      <c r="K298" s="66" t="inlineStr">
        <is>
          <t>-</t>
        </is>
      </c>
      <c r="L298" s="65" t="n">
        <v>17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C19</t>
        </is>
      </c>
      <c r="J299" s="141" t="n"/>
      <c r="K299" s="141" t="n"/>
      <c r="L299" s="141" t="n"/>
    </row>
    <row r="300" ht="13" customHeight="1">
      <c r="A300" s="81" t="inlineStr">
        <is>
          <t>Gara N.</t>
        </is>
      </c>
      <c r="B300" s="81" t="inlineStr">
        <is>
          <t>Squadra A</t>
        </is>
      </c>
      <c r="C300" s="10" t="n"/>
      <c r="D300" s="81" t="inlineStr">
        <is>
          <t>Squadra B</t>
        </is>
      </c>
      <c r="E300" s="10" t="n"/>
      <c r="F300" s="81" t="inlineStr">
        <is>
          <t>Giorno</t>
        </is>
      </c>
      <c r="G300" s="81" t="inlineStr">
        <is>
          <t>Data</t>
        </is>
      </c>
      <c r="H300" s="81" t="inlineStr">
        <is>
          <t>Ora</t>
        </is>
      </c>
      <c r="I300" s="10" t="n"/>
      <c r="J300" s="81" t="inlineStr">
        <is>
          <t>Risultato</t>
        </is>
      </c>
      <c r="K300" s="9" t="n"/>
      <c r="L300" s="10" t="n"/>
    </row>
    <row r="301" ht="24" customHeight="1">
      <c r="A301" s="83">
        <f>MAX(A$10:A300)+1</f>
        <v/>
      </c>
      <c r="B301" s="61">
        <f>IF(C301="","",IFERROR(VLOOKUP(C301,areaNomiBreviSquadre,7,FALSE),""))</f>
        <v/>
      </c>
      <c r="C301" s="62" t="inlineStr">
        <is>
          <t>C11</t>
        </is>
      </c>
      <c r="D301" s="61">
        <f>IF(E301="","",IFERROR(VLOOKUP(E301,areaNomiBreviSquadre,7,FALSE),""))</f>
        <v/>
      </c>
      <c r="E301" s="62" t="inlineStr">
        <is>
          <t>C09</t>
        </is>
      </c>
      <c r="F301" s="63" t="n">
        <v>46376.45833333334</v>
      </c>
      <c r="G301" s="9" t="n"/>
      <c r="H301" s="9" t="n"/>
      <c r="I301" s="10" t="n"/>
      <c r="J301" s="65" t="n">
        <v>57</v>
      </c>
      <c r="K301" s="66" t="inlineStr">
        <is>
          <t>-</t>
        </is>
      </c>
      <c r="L301" s="65" t="n">
        <v>43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C19</t>
        </is>
      </c>
      <c r="J302" s="141" t="n"/>
      <c r="K302" s="141" t="n"/>
      <c r="L302" s="141" t="n"/>
    </row>
    <row r="303" ht="13" customHeight="1">
      <c r="A303" s="81" t="inlineStr">
        <is>
          <t>Gara N.</t>
        </is>
      </c>
      <c r="B303" s="81" t="inlineStr">
        <is>
          <t>Squadra A</t>
        </is>
      </c>
      <c r="C303" s="10" t="n"/>
      <c r="D303" s="81" t="inlineStr">
        <is>
          <t>Squadra B</t>
        </is>
      </c>
      <c r="E303" s="10" t="n"/>
      <c r="F303" s="81" t="inlineStr">
        <is>
          <t>Giorno</t>
        </is>
      </c>
      <c r="G303" s="81" t="inlineStr">
        <is>
          <t>Data</t>
        </is>
      </c>
      <c r="H303" s="81" t="inlineStr">
        <is>
          <t>Ora</t>
        </is>
      </c>
      <c r="I303" s="10" t="n"/>
      <c r="J303" s="81" t="inlineStr">
        <is>
          <t>Risultato</t>
        </is>
      </c>
      <c r="K303" s="9" t="n"/>
      <c r="L303" s="10" t="n"/>
    </row>
    <row r="304" ht="24" customHeight="1">
      <c r="A304" s="83">
        <f>MAX(A$10:A303)+1</f>
        <v/>
      </c>
      <c r="B304" s="61">
        <f>IF(C304="","",IFERROR(VLOOKUP(C304,areaNomiBreviSquadre,7,FALSE),""))</f>
        <v/>
      </c>
      <c r="C304" s="62" t="inlineStr">
        <is>
          <t>C08</t>
        </is>
      </c>
      <c r="D304" s="61">
        <f>IF(E304="","",IFERROR(VLOOKUP(E304,areaNomiBreviSquadre,7,FALSE),""))</f>
        <v/>
      </c>
      <c r="E304" s="62" t="inlineStr">
        <is>
          <t>C12</t>
        </is>
      </c>
      <c r="F304" s="63" t="n">
        <v>46376.60416666666</v>
      </c>
      <c r="G304" s="9" t="n"/>
      <c r="H304" s="9" t="n"/>
      <c r="I304" s="10" t="n"/>
      <c r="J304" s="65" t="n">
        <v>64</v>
      </c>
      <c r="K304" s="66" t="inlineStr">
        <is>
          <t>-</t>
        </is>
      </c>
      <c r="L304" s="65" t="n">
        <v>86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C19</t>
        </is>
      </c>
      <c r="J305" s="141" t="n"/>
      <c r="K305" s="141" t="n"/>
      <c r="L305" s="141" t="n"/>
    </row>
    <row r="306" ht="13" customHeight="1">
      <c r="A306" s="81" t="inlineStr">
        <is>
          <t>Gara N.</t>
        </is>
      </c>
      <c r="B306" s="81" t="inlineStr">
        <is>
          <t>Squadra A</t>
        </is>
      </c>
      <c r="C306" s="10" t="n"/>
      <c r="D306" s="81" t="inlineStr">
        <is>
          <t>Squadra B</t>
        </is>
      </c>
      <c r="E306" s="10" t="n"/>
      <c r="F306" s="81" t="inlineStr">
        <is>
          <t>Giorno</t>
        </is>
      </c>
      <c r="G306" s="81" t="inlineStr">
        <is>
          <t>Data</t>
        </is>
      </c>
      <c r="H306" s="81" t="inlineStr">
        <is>
          <t>Ora</t>
        </is>
      </c>
      <c r="I306" s="10" t="n"/>
      <c r="J306" s="81" t="inlineStr">
        <is>
          <t>Risultato</t>
        </is>
      </c>
      <c r="K306" s="9" t="n"/>
      <c r="L306" s="10" t="n"/>
    </row>
    <row r="307" ht="24" customHeight="1">
      <c r="A307" s="83">
        <f>MAX(A$10:A306)+1</f>
        <v/>
      </c>
      <c r="B307" s="61">
        <f>IF(C307="","",IFERROR(VLOOKUP(C307,areaNomiBreviSquadre,7,FALSE),""))</f>
        <v/>
      </c>
      <c r="C307" s="62" t="inlineStr">
        <is>
          <t>C13</t>
        </is>
      </c>
      <c r="D307" s="61">
        <f>IF(E307="","",IFERROR(VLOOKUP(E307,areaNomiBreviSquadre,7,FALSE),""))</f>
        <v/>
      </c>
      <c r="E307" s="62" t="inlineStr">
        <is>
          <t>C07</t>
        </is>
      </c>
      <c r="F307" s="63" t="n">
        <v>46376.66666666666</v>
      </c>
      <c r="G307" s="9" t="n"/>
      <c r="H307" s="9" t="n"/>
      <c r="I307" s="10" t="n"/>
      <c r="J307" s="65" t="n">
        <v>30</v>
      </c>
      <c r="K307" s="66" t="inlineStr">
        <is>
          <t>-</t>
        </is>
      </c>
      <c r="L307" s="65" t="n">
        <v>38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C19</t>
        </is>
      </c>
      <c r="J308" s="141" t="n"/>
      <c r="K308" s="141" t="n"/>
      <c r="L308" s="141" t="n"/>
    </row>
    <row r="309" ht="13" customHeight="1">
      <c r="A309" s="81" t="inlineStr">
        <is>
          <t>Gara N.</t>
        </is>
      </c>
      <c r="B309" s="81" t="inlineStr">
        <is>
          <t>Squadra A</t>
        </is>
      </c>
      <c r="C309" s="10" t="n"/>
      <c r="D309" s="81" t="inlineStr">
        <is>
          <t>Squadra B</t>
        </is>
      </c>
      <c r="E309" s="10" t="n"/>
      <c r="F309" s="81" t="inlineStr">
        <is>
          <t>Giorno</t>
        </is>
      </c>
      <c r="G309" s="81" t="inlineStr">
        <is>
          <t>Data</t>
        </is>
      </c>
      <c r="H309" s="81" t="inlineStr">
        <is>
          <t>Ora</t>
        </is>
      </c>
      <c r="I309" s="10" t="n"/>
      <c r="J309" s="81" t="inlineStr">
        <is>
          <t>Risultato</t>
        </is>
      </c>
      <c r="K309" s="9" t="n"/>
      <c r="L309" s="10" t="n"/>
    </row>
    <row r="310" ht="24" customHeight="1">
      <c r="A310" s="83">
        <f>MAX(A$10:A309)+1</f>
        <v/>
      </c>
      <c r="B310" s="61">
        <f>IF(C310="","",IFERROR(VLOOKUP(C310,areaNomiBreviSquadre,7,FALSE),""))</f>
        <v/>
      </c>
      <c r="C310" s="62" t="inlineStr">
        <is>
          <t>C06</t>
        </is>
      </c>
      <c r="D310" s="61">
        <f>IF(E310="","",IFERROR(VLOOKUP(E310,areaNomiBreviSquadre,7,FALSE),""))</f>
        <v/>
      </c>
      <c r="E310" s="62" t="inlineStr">
        <is>
          <t>C14</t>
        </is>
      </c>
      <c r="F310" s="63" t="n">
        <v>46376.72916666666</v>
      </c>
      <c r="G310" s="9" t="n"/>
      <c r="H310" s="9" t="n"/>
      <c r="I310" s="10" t="n"/>
      <c r="J310" s="65" t="n">
        <v>49</v>
      </c>
      <c r="K310" s="66" t="inlineStr">
        <is>
          <t>-</t>
        </is>
      </c>
      <c r="L310" s="65" t="n">
        <v>38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C19</t>
        </is>
      </c>
      <c r="J311" s="141" t="n"/>
      <c r="K311" s="141" t="n"/>
      <c r="L311" s="141" t="n"/>
    </row>
    <row r="312" ht="13" customHeight="1">
      <c r="A312" s="81" t="inlineStr">
        <is>
          <t>Gara N.</t>
        </is>
      </c>
      <c r="B312" s="81" t="inlineStr">
        <is>
          <t>Squadra A</t>
        </is>
      </c>
      <c r="C312" s="10" t="n"/>
      <c r="D312" s="81" t="inlineStr">
        <is>
          <t>Squadra B</t>
        </is>
      </c>
      <c r="E312" s="10" t="n"/>
      <c r="F312" s="81" t="inlineStr">
        <is>
          <t>Giorno</t>
        </is>
      </c>
      <c r="G312" s="81" t="inlineStr">
        <is>
          <t>Data</t>
        </is>
      </c>
      <c r="H312" s="81" t="inlineStr">
        <is>
          <t>Ora</t>
        </is>
      </c>
      <c r="I312" s="10" t="n"/>
      <c r="J312" s="81" t="inlineStr">
        <is>
          <t>Risultato</t>
        </is>
      </c>
      <c r="K312" s="9" t="n"/>
      <c r="L312" s="10" t="n"/>
    </row>
    <row r="313" ht="24" customHeight="1">
      <c r="A313" s="83">
        <f>MAX(A$10:A312)+1</f>
        <v/>
      </c>
      <c r="B313" s="61">
        <f>IF(C313="","",IFERROR(VLOOKUP(C313,areaNomiBreviSquadre,7,FALSE),""))</f>
        <v/>
      </c>
      <c r="C313" s="62" t="inlineStr">
        <is>
          <t>C20</t>
        </is>
      </c>
      <c r="D313" s="61">
        <f>IF(E313="","",IFERROR(VLOOKUP(E313,areaNomiBreviSquadre,7,FALSE),""))</f>
        <v/>
      </c>
      <c r="E313" s="62" t="inlineStr">
        <is>
          <t>C10</t>
        </is>
      </c>
      <c r="F313" s="63" t="n">
        <v>46376.39583333334</v>
      </c>
      <c r="G313" s="9" t="n"/>
      <c r="H313" s="9" t="n"/>
      <c r="I313" s="10" t="n"/>
      <c r="J313" s="65" t="n">
        <v>64</v>
      </c>
      <c r="K313" s="66" t="inlineStr">
        <is>
          <t>-</t>
        </is>
      </c>
      <c r="L313" s="65" t="n">
        <v>85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C20</t>
        </is>
      </c>
      <c r="J314" s="141" t="n"/>
      <c r="K314" s="141" t="n"/>
      <c r="L314" s="141" t="n"/>
    </row>
    <row r="315" ht="13" customHeight="1">
      <c r="A315" s="81" t="inlineStr">
        <is>
          <t>Gara N.</t>
        </is>
      </c>
      <c r="B315" s="81" t="inlineStr">
        <is>
          <t>Squadra A</t>
        </is>
      </c>
      <c r="C315" s="10" t="n"/>
      <c r="D315" s="81" t="inlineStr">
        <is>
          <t>Squadra B</t>
        </is>
      </c>
      <c r="E315" s="10" t="n"/>
      <c r="F315" s="81" t="inlineStr">
        <is>
          <t>Giorno</t>
        </is>
      </c>
      <c r="G315" s="81" t="inlineStr">
        <is>
          <t>Data</t>
        </is>
      </c>
      <c r="H315" s="81" t="inlineStr">
        <is>
          <t>Ora</t>
        </is>
      </c>
      <c r="I315" s="10" t="n"/>
      <c r="J315" s="81" t="inlineStr">
        <is>
          <t>Risultato</t>
        </is>
      </c>
      <c r="K315" s="9" t="n"/>
      <c r="L315" s="10" t="n"/>
    </row>
    <row r="316" ht="24" customHeight="1">
      <c r="A316" s="83">
        <f>MAX(A$10:A315)+1</f>
        <v/>
      </c>
      <c r="B316" s="61">
        <f>IF(C316="","",IFERROR(VLOOKUP(C316,areaNomiBreviSquadre,7,FALSE),""))</f>
        <v/>
      </c>
      <c r="C316" s="62" t="inlineStr">
        <is>
          <t>C15</t>
        </is>
      </c>
      <c r="D316" s="61">
        <f>IF(E316="","",IFERROR(VLOOKUP(E316,areaNomiBreviSquadre,7,FALSE),""))</f>
        <v/>
      </c>
      <c r="E316" s="62" t="inlineStr">
        <is>
          <t>C05</t>
        </is>
      </c>
      <c r="F316" s="63" t="n">
        <v>46376.45833333334</v>
      </c>
      <c r="G316" s="9" t="n"/>
      <c r="H316" s="9" t="n"/>
      <c r="I316" s="10" t="n"/>
      <c r="J316" s="65" t="n">
        <v>60</v>
      </c>
      <c r="K316" s="66" t="inlineStr">
        <is>
          <t>-</t>
        </is>
      </c>
      <c r="L316" s="65" t="n">
        <v>78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C20</t>
        </is>
      </c>
      <c r="J317" s="141" t="n"/>
      <c r="K317" s="141" t="n"/>
      <c r="L317" s="141" t="n"/>
    </row>
    <row r="318" ht="13" customHeight="1">
      <c r="A318" s="81" t="inlineStr">
        <is>
          <t>Gara N.</t>
        </is>
      </c>
      <c r="B318" s="81" t="inlineStr">
        <is>
          <t>Squadra A</t>
        </is>
      </c>
      <c r="C318" s="10" t="n"/>
      <c r="D318" s="81" t="inlineStr">
        <is>
          <t>Squadra B</t>
        </is>
      </c>
      <c r="E318" s="10" t="n"/>
      <c r="F318" s="81" t="inlineStr">
        <is>
          <t>Giorno</t>
        </is>
      </c>
      <c r="G318" s="81" t="inlineStr">
        <is>
          <t>Data</t>
        </is>
      </c>
      <c r="H318" s="81" t="inlineStr">
        <is>
          <t>Ora</t>
        </is>
      </c>
      <c r="I318" s="10" t="n"/>
      <c r="J318" s="81" t="inlineStr">
        <is>
          <t>Risultato</t>
        </is>
      </c>
      <c r="K318" s="9" t="n"/>
      <c r="L318" s="10" t="n"/>
    </row>
    <row r="319" ht="24" customHeight="1">
      <c r="A319" s="83">
        <f>MAX(A$10:A318)+1</f>
        <v/>
      </c>
      <c r="B319" s="61">
        <f>IF(C319="","",IFERROR(VLOOKUP(C319,areaNomiBreviSquadre,7,FALSE),""))</f>
        <v/>
      </c>
      <c r="C319" s="62" t="inlineStr">
        <is>
          <t>C04</t>
        </is>
      </c>
      <c r="D319" s="61">
        <f>IF(E319="","",IFERROR(VLOOKUP(E319,areaNomiBreviSquadre,7,FALSE),""))</f>
        <v/>
      </c>
      <c r="E319" s="62" t="inlineStr">
        <is>
          <t>C16</t>
        </is>
      </c>
      <c r="F319" s="63" t="n">
        <v>46376.60416666666</v>
      </c>
      <c r="G319" s="9" t="n"/>
      <c r="H319" s="9" t="n"/>
      <c r="I319" s="10" t="n"/>
      <c r="J319" s="65" t="n">
        <v>24</v>
      </c>
      <c r="K319" s="66" t="inlineStr">
        <is>
          <t>-</t>
        </is>
      </c>
      <c r="L319" s="65" t="n">
        <v>44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C20</t>
        </is>
      </c>
      <c r="J320" s="141" t="n"/>
      <c r="K320" s="141" t="n"/>
      <c r="L320" s="141" t="n"/>
    </row>
    <row r="321" ht="13" customHeight="1">
      <c r="A321" s="81" t="inlineStr">
        <is>
          <t>Gara N.</t>
        </is>
      </c>
      <c r="B321" s="81" t="inlineStr">
        <is>
          <t>Squadra A</t>
        </is>
      </c>
      <c r="C321" s="10" t="n"/>
      <c r="D321" s="81" t="inlineStr">
        <is>
          <t>Squadra B</t>
        </is>
      </c>
      <c r="E321" s="10" t="n"/>
      <c r="F321" s="81" t="inlineStr">
        <is>
          <t>Giorno</t>
        </is>
      </c>
      <c r="G321" s="81" t="inlineStr">
        <is>
          <t>Data</t>
        </is>
      </c>
      <c r="H321" s="81" t="inlineStr">
        <is>
          <t>Ora</t>
        </is>
      </c>
      <c r="I321" s="10" t="n"/>
      <c r="J321" s="81" t="inlineStr">
        <is>
          <t>Risultato</t>
        </is>
      </c>
      <c r="K321" s="9" t="n"/>
      <c r="L321" s="10" t="n"/>
    </row>
    <row r="322" ht="24" customHeight="1">
      <c r="A322" s="83">
        <f>MAX(A$10:A321)+1</f>
        <v/>
      </c>
      <c r="B322" s="61">
        <f>IF(C322="","",IFERROR(VLOOKUP(C322,areaNomiBreviSquadre,7,FALSE),""))</f>
        <v/>
      </c>
      <c r="C322" s="62" t="inlineStr">
        <is>
          <t>C17</t>
        </is>
      </c>
      <c r="D322" s="61">
        <f>IF(E322="","",IFERROR(VLOOKUP(E322,areaNomiBreviSquadre,7,FALSE),""))</f>
        <v/>
      </c>
      <c r="E322" s="62" t="inlineStr">
        <is>
          <t>C03</t>
        </is>
      </c>
      <c r="F322" s="63" t="n">
        <v>46376.66666666666</v>
      </c>
      <c r="G322" s="9" t="n"/>
      <c r="H322" s="9" t="n"/>
      <c r="I322" s="10" t="n"/>
      <c r="J322" s="65" t="n">
        <v>71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C20</t>
        </is>
      </c>
      <c r="J323" s="141" t="n"/>
      <c r="K323" s="141" t="n"/>
      <c r="L323" s="141" t="n"/>
    </row>
    <row r="324" ht="13" customHeight="1">
      <c r="A324" s="81" t="inlineStr">
        <is>
          <t>Gara N.</t>
        </is>
      </c>
      <c r="B324" s="81" t="inlineStr">
        <is>
          <t>Squadra A</t>
        </is>
      </c>
      <c r="C324" s="10" t="n"/>
      <c r="D324" s="81" t="inlineStr">
        <is>
          <t>Squadra B</t>
        </is>
      </c>
      <c r="E324" s="10" t="n"/>
      <c r="F324" s="81" t="inlineStr">
        <is>
          <t>Giorno</t>
        </is>
      </c>
      <c r="G324" s="81" t="inlineStr">
        <is>
          <t>Data</t>
        </is>
      </c>
      <c r="H324" s="81" t="inlineStr">
        <is>
          <t>Ora</t>
        </is>
      </c>
      <c r="I324" s="10" t="n"/>
      <c r="J324" s="81" t="inlineStr">
        <is>
          <t>Risultato</t>
        </is>
      </c>
      <c r="K324" s="9" t="n"/>
      <c r="L324" s="10" t="n"/>
    </row>
    <row r="325" ht="24" customHeight="1">
      <c r="A325" s="83">
        <f>MAX(A$10:A324)+1</f>
        <v/>
      </c>
      <c r="B325" s="61">
        <f>IF(C325="","",IFERROR(VLOOKUP(C325,areaNomiBreviSquadre,7,FALSE),""))</f>
        <v/>
      </c>
      <c r="C325" s="62" t="inlineStr">
        <is>
          <t>C02</t>
        </is>
      </c>
      <c r="D325" s="61">
        <f>IF(E325="","",IFERROR(VLOOKUP(E325,areaNomiBreviSquadre,7,FALSE),""))</f>
        <v/>
      </c>
      <c r="E325" s="62" t="inlineStr">
        <is>
          <t>C18</t>
        </is>
      </c>
      <c r="F325" s="63" t="n">
        <v>46376.72916666666</v>
      </c>
      <c r="G325" s="9" t="n"/>
      <c r="H325" s="9" t="n"/>
      <c r="I325" s="10" t="n"/>
      <c r="J325" s="65" t="n">
        <v>27</v>
      </c>
      <c r="K325" s="66" t="inlineStr">
        <is>
          <t>-</t>
        </is>
      </c>
      <c r="L325" s="65" t="n">
        <v>55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C20</t>
        </is>
      </c>
      <c r="J326" s="141" t="n"/>
      <c r="K326" s="141" t="n"/>
      <c r="L326" s="141" t="n"/>
    </row>
    <row r="327" ht="8" customHeight="1"/>
    <row r="328" ht="20" customHeight="1">
      <c r="A328" s="78" t="inlineStr">
        <is>
          <t>11C</t>
        </is>
      </c>
      <c r="B328" s="79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1" t="inlineStr">
        <is>
          <t>Gara N.</t>
        </is>
      </c>
      <c r="B329" s="81" t="inlineStr">
        <is>
          <t>Squadra A</t>
        </is>
      </c>
      <c r="C329" s="10" t="n"/>
      <c r="D329" s="81" t="inlineStr">
        <is>
          <t>Squadra B</t>
        </is>
      </c>
      <c r="E329" s="10" t="n"/>
      <c r="F329" s="81" t="inlineStr">
        <is>
          <t>Giorno</t>
        </is>
      </c>
      <c r="G329" s="81" t="inlineStr">
        <is>
          <t>Data</t>
        </is>
      </c>
      <c r="H329" s="81" t="inlineStr">
        <is>
          <t>Ora</t>
        </is>
      </c>
      <c r="I329" s="10" t="n"/>
      <c r="J329" s="81" t="inlineStr">
        <is>
          <t>Risultato</t>
        </is>
      </c>
      <c r="K329" s="9" t="n"/>
      <c r="L329" s="10" t="n"/>
    </row>
    <row r="330" ht="24" customHeight="1">
      <c r="A330" s="83">
        <f>MAX(A$10:A329)+1</f>
        <v/>
      </c>
      <c r="B330" s="61">
        <f>IF(C330="","",IFERROR(VLOOKUP(C330,areaNomiBreviSquadre,7,FALSE),""))</f>
        <v/>
      </c>
      <c r="C330" s="62" t="inlineStr">
        <is>
          <t>C02</t>
        </is>
      </c>
      <c r="D330" s="61">
        <f>IF(E330="","",IFERROR(VLOOKUP(E330,areaNomiBreviSquadre,7,FALSE),""))</f>
        <v/>
      </c>
      <c r="E330" s="62" t="inlineStr">
        <is>
          <t>C01</t>
        </is>
      </c>
      <c r="F330" s="63" t="n">
        <v>46383.39583333334</v>
      </c>
      <c r="G330" s="9" t="n"/>
      <c r="H330" s="9" t="n"/>
      <c r="I330" s="10" t="n"/>
      <c r="J330" s="65" t="n">
        <v>67</v>
      </c>
      <c r="K330" s="66" t="inlineStr">
        <is>
          <t>-</t>
        </is>
      </c>
      <c r="L330" s="65" t="n">
        <v>42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C01</t>
        </is>
      </c>
      <c r="J331" s="141" t="n"/>
      <c r="K331" s="141" t="n"/>
      <c r="L331" s="141" t="n"/>
    </row>
    <row r="332" ht="13" customHeight="1">
      <c r="A332" s="81" t="inlineStr">
        <is>
          <t>Gara N.</t>
        </is>
      </c>
      <c r="B332" s="81" t="inlineStr">
        <is>
          <t>Squadra A</t>
        </is>
      </c>
      <c r="C332" s="10" t="n"/>
      <c r="D332" s="81" t="inlineStr">
        <is>
          <t>Squadra B</t>
        </is>
      </c>
      <c r="E332" s="10" t="n"/>
      <c r="F332" s="81" t="inlineStr">
        <is>
          <t>Giorno</t>
        </is>
      </c>
      <c r="G332" s="81" t="inlineStr">
        <is>
          <t>Data</t>
        </is>
      </c>
      <c r="H332" s="81" t="inlineStr">
        <is>
          <t>Ora</t>
        </is>
      </c>
      <c r="I332" s="10" t="n"/>
      <c r="J332" s="81" t="inlineStr">
        <is>
          <t>Risultato</t>
        </is>
      </c>
      <c r="K332" s="9" t="n"/>
      <c r="L332" s="10" t="n"/>
    </row>
    <row r="333" ht="24" customHeight="1">
      <c r="A333" s="83">
        <f>MAX(A$10:A332)+1</f>
        <v/>
      </c>
      <c r="B333" s="61">
        <f>IF(C333="","",IFERROR(VLOOKUP(C333,areaNomiBreviSquadre,7,FALSE),""))</f>
        <v/>
      </c>
      <c r="C333" s="62" t="inlineStr">
        <is>
          <t>C11</t>
        </is>
      </c>
      <c r="D333" s="61">
        <f>IF(E333="","",IFERROR(VLOOKUP(E333,areaNomiBreviSquadre,7,FALSE),""))</f>
        <v/>
      </c>
      <c r="E333" s="62" t="inlineStr">
        <is>
          <t>C20</t>
        </is>
      </c>
      <c r="F333" s="63" t="n">
        <v>46383.45833333334</v>
      </c>
      <c r="G333" s="9" t="n"/>
      <c r="H333" s="9" t="n"/>
      <c r="I333" s="10" t="n"/>
      <c r="J333" s="65" t="n">
        <v>53</v>
      </c>
      <c r="K333" s="66" t="inlineStr">
        <is>
          <t>-</t>
        </is>
      </c>
      <c r="L333" s="65" t="n">
        <v>65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C01</t>
        </is>
      </c>
      <c r="J334" s="141" t="n"/>
      <c r="K334" s="141" t="n"/>
      <c r="L334" s="141" t="n"/>
    </row>
    <row r="335" ht="13" customHeight="1">
      <c r="A335" s="81" t="inlineStr">
        <is>
          <t>Gara N.</t>
        </is>
      </c>
      <c r="B335" s="81" t="inlineStr">
        <is>
          <t>Squadra A</t>
        </is>
      </c>
      <c r="C335" s="10" t="n"/>
      <c r="D335" s="81" t="inlineStr">
        <is>
          <t>Squadra B</t>
        </is>
      </c>
      <c r="E335" s="10" t="n"/>
      <c r="F335" s="81" t="inlineStr">
        <is>
          <t>Giorno</t>
        </is>
      </c>
      <c r="G335" s="81" t="inlineStr">
        <is>
          <t>Data</t>
        </is>
      </c>
      <c r="H335" s="81" t="inlineStr">
        <is>
          <t>Ora</t>
        </is>
      </c>
      <c r="I335" s="10" t="n"/>
      <c r="J335" s="81" t="inlineStr">
        <is>
          <t>Risultato</t>
        </is>
      </c>
      <c r="K335" s="9" t="n"/>
      <c r="L335" s="10" t="n"/>
    </row>
    <row r="336" ht="24" customHeight="1">
      <c r="A336" s="83">
        <f>MAX(A$10:A335)+1</f>
        <v/>
      </c>
      <c r="B336" s="61">
        <f>IF(C336="","",IFERROR(VLOOKUP(C336,areaNomiBreviSquadre,7,FALSE),""))</f>
        <v/>
      </c>
      <c r="C336" s="62" t="inlineStr">
        <is>
          <t>C10</t>
        </is>
      </c>
      <c r="D336" s="61">
        <f>IF(E336="","",IFERROR(VLOOKUP(E336,areaNomiBreviSquadre,7,FALSE),""))</f>
        <v/>
      </c>
      <c r="E336" s="62" t="inlineStr">
        <is>
          <t>C12</t>
        </is>
      </c>
      <c r="F336" s="63" t="n">
        <v>46383.60416666666</v>
      </c>
      <c r="G336" s="9" t="n"/>
      <c r="H336" s="9" t="n"/>
      <c r="I336" s="10" t="n"/>
      <c r="J336" s="65" t="n">
        <v>67</v>
      </c>
      <c r="K336" s="66" t="inlineStr">
        <is>
          <t>-</t>
        </is>
      </c>
      <c r="L336" s="65" t="n">
        <v>85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C01</t>
        </is>
      </c>
      <c r="J337" s="141" t="n"/>
      <c r="K337" s="141" t="n"/>
      <c r="L337" s="141" t="n"/>
    </row>
    <row r="338" ht="13" customHeight="1">
      <c r="A338" s="81" t="inlineStr">
        <is>
          <t>Gara N.</t>
        </is>
      </c>
      <c r="B338" s="81" t="inlineStr">
        <is>
          <t>Squadra A</t>
        </is>
      </c>
      <c r="C338" s="10" t="n"/>
      <c r="D338" s="81" t="inlineStr">
        <is>
          <t>Squadra B</t>
        </is>
      </c>
      <c r="E338" s="10" t="n"/>
      <c r="F338" s="81" t="inlineStr">
        <is>
          <t>Giorno</t>
        </is>
      </c>
      <c r="G338" s="81" t="inlineStr">
        <is>
          <t>Data</t>
        </is>
      </c>
      <c r="H338" s="81" t="inlineStr">
        <is>
          <t>Ora</t>
        </is>
      </c>
      <c r="I338" s="10" t="n"/>
      <c r="J338" s="81" t="inlineStr">
        <is>
          <t>Risultato</t>
        </is>
      </c>
      <c r="K338" s="9" t="n"/>
      <c r="L338" s="10" t="n"/>
    </row>
    <row r="339" ht="24" customHeight="1">
      <c r="A339" s="83">
        <f>MAX(A$10:A338)+1</f>
        <v/>
      </c>
      <c r="B339" s="61">
        <f>IF(C339="","",IFERROR(VLOOKUP(C339,areaNomiBreviSquadre,7,FALSE),""))</f>
        <v/>
      </c>
      <c r="C339" s="62" t="inlineStr">
        <is>
          <t>C13</t>
        </is>
      </c>
      <c r="D339" s="61">
        <f>IF(E339="","",IFERROR(VLOOKUP(E339,areaNomiBreviSquadre,7,FALSE),""))</f>
        <v/>
      </c>
      <c r="E339" s="62" t="inlineStr">
        <is>
          <t>C09</t>
        </is>
      </c>
      <c r="F339" s="63" t="n">
        <v>46383.66666666666</v>
      </c>
      <c r="G339" s="9" t="n"/>
      <c r="H339" s="9" t="n"/>
      <c r="I339" s="10" t="n"/>
      <c r="J339" s="65" t="n">
        <v>87</v>
      </c>
      <c r="K339" s="66" t="inlineStr">
        <is>
          <t>-</t>
        </is>
      </c>
      <c r="L339" s="65" t="n">
        <v>78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C01</t>
        </is>
      </c>
      <c r="J340" s="141" t="n"/>
      <c r="K340" s="141" t="n"/>
      <c r="L340" s="141" t="n"/>
    </row>
    <row r="341" ht="13" customHeight="1">
      <c r="A341" s="81" t="inlineStr">
        <is>
          <t>Gara N.</t>
        </is>
      </c>
      <c r="B341" s="81" t="inlineStr">
        <is>
          <t>Squadra A</t>
        </is>
      </c>
      <c r="C341" s="10" t="n"/>
      <c r="D341" s="81" t="inlineStr">
        <is>
          <t>Squadra B</t>
        </is>
      </c>
      <c r="E341" s="10" t="n"/>
      <c r="F341" s="81" t="inlineStr">
        <is>
          <t>Giorno</t>
        </is>
      </c>
      <c r="G341" s="81" t="inlineStr">
        <is>
          <t>Data</t>
        </is>
      </c>
      <c r="H341" s="81" t="inlineStr">
        <is>
          <t>Ora</t>
        </is>
      </c>
      <c r="I341" s="10" t="n"/>
      <c r="J341" s="81" t="inlineStr">
        <is>
          <t>Risultato</t>
        </is>
      </c>
      <c r="K341" s="9" t="n"/>
      <c r="L341" s="10" t="n"/>
    </row>
    <row r="342" ht="24" customHeight="1">
      <c r="A342" s="83">
        <f>MAX(A$10:A341)+1</f>
        <v/>
      </c>
      <c r="B342" s="61">
        <f>IF(C342="","",IFERROR(VLOOKUP(C342,areaNomiBreviSquadre,7,FALSE),""))</f>
        <v/>
      </c>
      <c r="C342" s="62" t="inlineStr">
        <is>
          <t>C08</t>
        </is>
      </c>
      <c r="D342" s="61">
        <f>IF(E342="","",IFERROR(VLOOKUP(E342,areaNomiBreviSquadre,7,FALSE),""))</f>
        <v/>
      </c>
      <c r="E342" s="62" t="inlineStr">
        <is>
          <t>C14</t>
        </is>
      </c>
      <c r="F342" s="63" t="n">
        <v>46383.72916666666</v>
      </c>
      <c r="G342" s="9" t="n"/>
      <c r="H342" s="9" t="n"/>
      <c r="I342" s="10" t="n"/>
      <c r="J342" s="65" t="n">
        <v>65</v>
      </c>
      <c r="K342" s="66" t="inlineStr">
        <is>
          <t>-</t>
        </is>
      </c>
      <c r="L342" s="65" t="n">
        <v>60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C01</t>
        </is>
      </c>
      <c r="J343" s="141" t="n"/>
      <c r="K343" s="141" t="n"/>
      <c r="L343" s="141" t="n"/>
    </row>
    <row r="344" ht="13" customHeight="1">
      <c r="A344" s="81" t="inlineStr">
        <is>
          <t>Gara N.</t>
        </is>
      </c>
      <c r="B344" s="81" t="inlineStr">
        <is>
          <t>Squadra A</t>
        </is>
      </c>
      <c r="C344" s="10" t="n"/>
      <c r="D344" s="81" t="inlineStr">
        <is>
          <t>Squadra B</t>
        </is>
      </c>
      <c r="E344" s="10" t="n"/>
      <c r="F344" s="81" t="inlineStr">
        <is>
          <t>Giorno</t>
        </is>
      </c>
      <c r="G344" s="81" t="inlineStr">
        <is>
          <t>Data</t>
        </is>
      </c>
      <c r="H344" s="81" t="inlineStr">
        <is>
          <t>Ora</t>
        </is>
      </c>
      <c r="I344" s="10" t="n"/>
      <c r="J344" s="81" t="inlineStr">
        <is>
          <t>Risultato</t>
        </is>
      </c>
      <c r="K344" s="9" t="n"/>
      <c r="L344" s="10" t="n"/>
    </row>
    <row r="345" ht="24" customHeight="1">
      <c r="A345" s="83">
        <f>MAX(A$10:A344)+1</f>
        <v/>
      </c>
      <c r="B345" s="61">
        <f>IF(C345="","",IFERROR(VLOOKUP(C345,areaNomiBreviSquadre,7,FALSE),""))</f>
        <v/>
      </c>
      <c r="C345" s="62" t="inlineStr">
        <is>
          <t>C19</t>
        </is>
      </c>
      <c r="D345" s="61">
        <f>IF(E345="","",IFERROR(VLOOKUP(E345,areaNomiBreviSquadre,7,FALSE),""))</f>
        <v/>
      </c>
      <c r="E345" s="62" t="inlineStr">
        <is>
          <t>C03</t>
        </is>
      </c>
      <c r="F345" s="63" t="n">
        <v>46383.39583333334</v>
      </c>
      <c r="G345" s="9" t="n"/>
      <c r="H345" s="9" t="n"/>
      <c r="I345" s="10" t="n"/>
      <c r="J345" s="65" t="n">
        <v>47</v>
      </c>
      <c r="K345" s="66" t="inlineStr">
        <is>
          <t>-</t>
        </is>
      </c>
      <c r="L345" s="65" t="n">
        <v>65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C03</t>
        </is>
      </c>
      <c r="J346" s="141" t="n"/>
      <c r="K346" s="141" t="n"/>
      <c r="L346" s="141" t="n"/>
    </row>
    <row r="347" ht="13" customHeight="1">
      <c r="A347" s="81" t="inlineStr">
        <is>
          <t>Gara N.</t>
        </is>
      </c>
      <c r="B347" s="81" t="inlineStr">
        <is>
          <t>Squadra A</t>
        </is>
      </c>
      <c r="C347" s="10" t="n"/>
      <c r="D347" s="81" t="inlineStr">
        <is>
          <t>Squadra B</t>
        </is>
      </c>
      <c r="E347" s="10" t="n"/>
      <c r="F347" s="81" t="inlineStr">
        <is>
          <t>Giorno</t>
        </is>
      </c>
      <c r="G347" s="81" t="inlineStr">
        <is>
          <t>Data</t>
        </is>
      </c>
      <c r="H347" s="81" t="inlineStr">
        <is>
          <t>Ora</t>
        </is>
      </c>
      <c r="I347" s="10" t="n"/>
      <c r="J347" s="81" t="inlineStr">
        <is>
          <t>Risultato</t>
        </is>
      </c>
      <c r="K347" s="9" t="n"/>
      <c r="L347" s="10" t="n"/>
    </row>
    <row r="348" ht="24" customHeight="1">
      <c r="A348" s="83">
        <f>MAX(A$10:A347)+1</f>
        <v/>
      </c>
      <c r="B348" s="61">
        <f>IF(C348="","",IFERROR(VLOOKUP(C348,areaNomiBreviSquadre,7,FALSE),""))</f>
        <v/>
      </c>
      <c r="C348" s="62" t="inlineStr">
        <is>
          <t>C15</t>
        </is>
      </c>
      <c r="D348" s="61">
        <f>IF(E348="","",IFERROR(VLOOKUP(E348,areaNomiBreviSquadre,7,FALSE),""))</f>
        <v/>
      </c>
      <c r="E348" s="62" t="inlineStr">
        <is>
          <t>C07</t>
        </is>
      </c>
      <c r="F348" s="63" t="n">
        <v>46383.45833333334</v>
      </c>
      <c r="G348" s="9" t="n"/>
      <c r="H348" s="9" t="n"/>
      <c r="I348" s="10" t="n"/>
      <c r="J348" s="65" t="n">
        <v>88</v>
      </c>
      <c r="K348" s="66" t="inlineStr">
        <is>
          <t>-</t>
        </is>
      </c>
      <c r="L348" s="65" t="n">
        <v>66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C03</t>
        </is>
      </c>
      <c r="J349" s="141" t="n"/>
      <c r="K349" s="141" t="n"/>
      <c r="L349" s="141" t="n"/>
    </row>
    <row r="350" ht="13" customHeight="1">
      <c r="A350" s="81" t="inlineStr">
        <is>
          <t>Gara N.</t>
        </is>
      </c>
      <c r="B350" s="81" t="inlineStr">
        <is>
          <t>Squadra A</t>
        </is>
      </c>
      <c r="C350" s="10" t="n"/>
      <c r="D350" s="81" t="inlineStr">
        <is>
          <t>Squadra B</t>
        </is>
      </c>
      <c r="E350" s="10" t="n"/>
      <c r="F350" s="81" t="inlineStr">
        <is>
          <t>Giorno</t>
        </is>
      </c>
      <c r="G350" s="81" t="inlineStr">
        <is>
          <t>Data</t>
        </is>
      </c>
      <c r="H350" s="81" t="inlineStr">
        <is>
          <t>Ora</t>
        </is>
      </c>
      <c r="I350" s="10" t="n"/>
      <c r="J350" s="81" t="inlineStr">
        <is>
          <t>Risultato</t>
        </is>
      </c>
      <c r="K350" s="9" t="n"/>
      <c r="L350" s="10" t="n"/>
    </row>
    <row r="351" ht="24" customHeight="1">
      <c r="A351" s="83">
        <f>MAX(A$10:A350)+1</f>
        <v/>
      </c>
      <c r="B351" s="61">
        <f>IF(C351="","",IFERROR(VLOOKUP(C351,areaNomiBreviSquadre,7,FALSE),""))</f>
        <v/>
      </c>
      <c r="C351" s="62" t="inlineStr">
        <is>
          <t>C06</t>
        </is>
      </c>
      <c r="D351" s="61">
        <f>IF(E351="","",IFERROR(VLOOKUP(E351,areaNomiBreviSquadre,7,FALSE),""))</f>
        <v/>
      </c>
      <c r="E351" s="62" t="inlineStr">
        <is>
          <t>C16</t>
        </is>
      </c>
      <c r="F351" s="63" t="n">
        <v>46383.60416666666</v>
      </c>
      <c r="G351" s="9" t="n"/>
      <c r="H351" s="9" t="n"/>
      <c r="I351" s="10" t="n"/>
      <c r="J351" s="65" t="n">
        <v>71</v>
      </c>
      <c r="K351" s="66" t="inlineStr">
        <is>
          <t>-</t>
        </is>
      </c>
      <c r="L351" s="65" t="n">
        <v>61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C03</t>
        </is>
      </c>
      <c r="J352" s="141" t="n"/>
      <c r="K352" s="141" t="n"/>
      <c r="L352" s="141" t="n"/>
    </row>
    <row r="353" ht="13" customHeight="1">
      <c r="A353" s="81" t="inlineStr">
        <is>
          <t>Gara N.</t>
        </is>
      </c>
      <c r="B353" s="81" t="inlineStr">
        <is>
          <t>Squadra A</t>
        </is>
      </c>
      <c r="C353" s="10" t="n"/>
      <c r="D353" s="81" t="inlineStr">
        <is>
          <t>Squadra B</t>
        </is>
      </c>
      <c r="E353" s="10" t="n"/>
      <c r="F353" s="81" t="inlineStr">
        <is>
          <t>Giorno</t>
        </is>
      </c>
      <c r="G353" s="81" t="inlineStr">
        <is>
          <t>Data</t>
        </is>
      </c>
      <c r="H353" s="81" t="inlineStr">
        <is>
          <t>Ora</t>
        </is>
      </c>
      <c r="I353" s="10" t="n"/>
      <c r="J353" s="81" t="inlineStr">
        <is>
          <t>Risultato</t>
        </is>
      </c>
      <c r="K353" s="9" t="n"/>
      <c r="L353" s="10" t="n"/>
    </row>
    <row r="354" ht="24" customHeight="1">
      <c r="A354" s="83">
        <f>MAX(A$10:A353)+1</f>
        <v/>
      </c>
      <c r="B354" s="61">
        <f>IF(C354="","",IFERROR(VLOOKUP(C354,areaNomiBreviSquadre,7,FALSE),""))</f>
        <v/>
      </c>
      <c r="C354" s="62" t="inlineStr">
        <is>
          <t>C17</t>
        </is>
      </c>
      <c r="D354" s="61">
        <f>IF(E354="","",IFERROR(VLOOKUP(E354,areaNomiBreviSquadre,7,FALSE),""))</f>
        <v/>
      </c>
      <c r="E354" s="62" t="inlineStr">
        <is>
          <t>C05</t>
        </is>
      </c>
      <c r="F354" s="63" t="n">
        <v>46383.66666666666</v>
      </c>
      <c r="G354" s="9" t="n"/>
      <c r="H354" s="9" t="n"/>
      <c r="I354" s="10" t="n"/>
      <c r="J354" s="65" t="n">
        <v>49</v>
      </c>
      <c r="K354" s="66" t="inlineStr">
        <is>
          <t>-</t>
        </is>
      </c>
      <c r="L354" s="65" t="n">
        <v>69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C03</t>
        </is>
      </c>
      <c r="J355" s="141" t="n"/>
      <c r="K355" s="141" t="n"/>
      <c r="L355" s="141" t="n"/>
    </row>
    <row r="356" ht="13" customHeight="1">
      <c r="A356" s="81" t="inlineStr">
        <is>
          <t>Gara N.</t>
        </is>
      </c>
      <c r="B356" s="81" t="inlineStr">
        <is>
          <t>Squadra A</t>
        </is>
      </c>
      <c r="C356" s="10" t="n"/>
      <c r="D356" s="81" t="inlineStr">
        <is>
          <t>Squadra B</t>
        </is>
      </c>
      <c r="E356" s="10" t="n"/>
      <c r="F356" s="81" t="inlineStr">
        <is>
          <t>Giorno</t>
        </is>
      </c>
      <c r="G356" s="81" t="inlineStr">
        <is>
          <t>Data</t>
        </is>
      </c>
      <c r="H356" s="81" t="inlineStr">
        <is>
          <t>Ora</t>
        </is>
      </c>
      <c r="I356" s="10" t="n"/>
      <c r="J356" s="81" t="inlineStr">
        <is>
          <t>Risultato</t>
        </is>
      </c>
      <c r="K356" s="9" t="n"/>
      <c r="L356" s="10" t="n"/>
    </row>
    <row r="357" ht="24" customHeight="1">
      <c r="A357" s="83">
        <f>MAX(A$10:A356)+1</f>
        <v/>
      </c>
      <c r="B357" s="61">
        <f>IF(C357="","",IFERROR(VLOOKUP(C357,areaNomiBreviSquadre,7,FALSE),""))</f>
        <v/>
      </c>
      <c r="C357" s="62" t="inlineStr">
        <is>
          <t>C04</t>
        </is>
      </c>
      <c r="D357" s="61">
        <f>IF(E357="","",IFERROR(VLOOKUP(E357,areaNomiBreviSquadre,7,FALSE),""))</f>
        <v/>
      </c>
      <c r="E357" s="62" t="inlineStr">
        <is>
          <t>C18</t>
        </is>
      </c>
      <c r="F357" s="63" t="n">
        <v>46383.72916666666</v>
      </c>
      <c r="G357" s="9" t="n"/>
      <c r="H357" s="9" t="n"/>
      <c r="I357" s="10" t="n"/>
      <c r="J357" s="65" t="n">
        <v>59</v>
      </c>
      <c r="K357" s="66" t="inlineStr">
        <is>
          <t>-</t>
        </is>
      </c>
      <c r="L357" s="65" t="n">
        <v>66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C03</t>
        </is>
      </c>
      <c r="J358" s="141" t="n"/>
      <c r="K358" s="141" t="n"/>
      <c r="L358" s="141" t="n"/>
    </row>
    <row r="359" ht="8" customHeight="1"/>
    <row r="360" ht="20" customHeight="1">
      <c r="A360" s="78" t="inlineStr">
        <is>
          <t>12C</t>
        </is>
      </c>
      <c r="B360" s="79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</row>
    <row r="362" ht="24" customHeight="1">
      <c r="A362" s="83">
        <f>MAX(A$10:A361)+1</f>
        <v/>
      </c>
      <c r="B362" s="61">
        <f>IF(C362="","",IFERROR(VLOOKUP(C362,areaNomiBreviSquadre,7,FALSE),""))</f>
        <v/>
      </c>
      <c r="C362" s="62" t="inlineStr">
        <is>
          <t>C02</t>
        </is>
      </c>
      <c r="D362" s="61">
        <f>IF(E362="","",IFERROR(VLOOKUP(E362,areaNomiBreviSquadre,7,FALSE),""))</f>
        <v/>
      </c>
      <c r="E362" s="62" t="inlineStr">
        <is>
          <t>C03</t>
        </is>
      </c>
      <c r="F362" s="63" t="n">
        <v>46390.39583333334</v>
      </c>
      <c r="G362" s="9" t="n"/>
      <c r="H362" s="9" t="n"/>
      <c r="I362" s="10" t="n"/>
      <c r="J362" s="65" t="n">
        <v>87</v>
      </c>
      <c r="K362" s="66" t="inlineStr">
        <is>
          <t>-</t>
        </is>
      </c>
      <c r="L362" s="65" t="n">
        <v>73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C03</t>
        </is>
      </c>
      <c r="J363" s="141" t="n"/>
      <c r="K363" s="141" t="n"/>
      <c r="L363" s="141" t="n"/>
    </row>
    <row r="364" ht="13" customHeight="1">
      <c r="A364" s="81" t="inlineStr">
        <is>
          <t>Gara N.</t>
        </is>
      </c>
      <c r="B364" s="81" t="inlineStr">
        <is>
          <t>Squadra A</t>
        </is>
      </c>
      <c r="C364" s="10" t="n"/>
      <c r="D364" s="81" t="inlineStr">
        <is>
          <t>Squadra B</t>
        </is>
      </c>
      <c r="E364" s="10" t="n"/>
      <c r="F364" s="81" t="inlineStr">
        <is>
          <t>Giorno</t>
        </is>
      </c>
      <c r="G364" s="81" t="inlineStr">
        <is>
          <t>Data</t>
        </is>
      </c>
      <c r="H364" s="81" t="inlineStr">
        <is>
          <t>Ora</t>
        </is>
      </c>
      <c r="I364" s="10" t="n"/>
      <c r="J364" s="81" t="inlineStr">
        <is>
          <t>Risultato</t>
        </is>
      </c>
      <c r="K364" s="9" t="n"/>
      <c r="L364" s="10" t="n"/>
    </row>
    <row r="365" ht="24" customHeight="1">
      <c r="A365" s="83">
        <f>MAX(A$10:A364)+1</f>
        <v/>
      </c>
      <c r="B365" s="61">
        <f>IF(C365="","",IFERROR(VLOOKUP(C365,areaNomiBreviSquadre,7,FALSE),""))</f>
        <v/>
      </c>
      <c r="C365" s="62" t="inlineStr">
        <is>
          <t>C20</t>
        </is>
      </c>
      <c r="D365" s="61">
        <f>IF(E365="","",IFERROR(VLOOKUP(E365,areaNomiBreviSquadre,7,FALSE),""))</f>
        <v/>
      </c>
      <c r="E365" s="62" t="inlineStr">
        <is>
          <t>C12</t>
        </is>
      </c>
      <c r="F365" s="63" t="n">
        <v>46390.45833333334</v>
      </c>
      <c r="G365" s="9" t="n"/>
      <c r="H365" s="9" t="n"/>
      <c r="I365" s="10" t="n"/>
      <c r="J365" s="65" t="n">
        <v>47</v>
      </c>
      <c r="K365" s="66" t="inlineStr">
        <is>
          <t>-</t>
        </is>
      </c>
      <c r="L365" s="65" t="n">
        <v>57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C03</t>
        </is>
      </c>
      <c r="J366" s="141" t="n"/>
      <c r="K366" s="141" t="n"/>
      <c r="L366" s="141" t="n"/>
    </row>
    <row r="367" ht="13" customHeight="1">
      <c r="A367" s="81" t="inlineStr">
        <is>
          <t>Gara N.</t>
        </is>
      </c>
      <c r="B367" s="81" t="inlineStr">
        <is>
          <t>Squadra A</t>
        </is>
      </c>
      <c r="C367" s="10" t="n"/>
      <c r="D367" s="81" t="inlineStr">
        <is>
          <t>Squadra B</t>
        </is>
      </c>
      <c r="E367" s="10" t="n"/>
      <c r="F367" s="81" t="inlineStr">
        <is>
          <t>Giorno</t>
        </is>
      </c>
      <c r="G367" s="81" t="inlineStr">
        <is>
          <t>Data</t>
        </is>
      </c>
      <c r="H367" s="81" t="inlineStr">
        <is>
          <t>Ora</t>
        </is>
      </c>
      <c r="I367" s="10" t="n"/>
      <c r="J367" s="81" t="inlineStr">
        <is>
          <t>Risultato</t>
        </is>
      </c>
      <c r="K367" s="9" t="n"/>
      <c r="L367" s="10" t="n"/>
    </row>
    <row r="368" ht="24" customHeight="1">
      <c r="A368" s="83">
        <f>MAX(A$10:A367)+1</f>
        <v/>
      </c>
      <c r="B368" s="61">
        <f>IF(C368="","",IFERROR(VLOOKUP(C368,areaNomiBreviSquadre,7,FALSE),""))</f>
        <v/>
      </c>
      <c r="C368" s="62" t="inlineStr">
        <is>
          <t>C13</t>
        </is>
      </c>
      <c r="D368" s="61">
        <f>IF(E368="","",IFERROR(VLOOKUP(E368,areaNomiBreviSquadre,7,FALSE),""))</f>
        <v/>
      </c>
      <c r="E368" s="62" t="inlineStr">
        <is>
          <t>C11</t>
        </is>
      </c>
      <c r="F368" s="63" t="n">
        <v>46390.60416666666</v>
      </c>
      <c r="G368" s="9" t="n"/>
      <c r="H368" s="9" t="n"/>
      <c r="I368" s="10" t="n"/>
      <c r="J368" s="65" t="n">
        <v>92</v>
      </c>
      <c r="K368" s="66" t="inlineStr">
        <is>
          <t>-</t>
        </is>
      </c>
      <c r="L368" s="65" t="n">
        <v>78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C03</t>
        </is>
      </c>
      <c r="J369" s="141" t="n"/>
      <c r="K369" s="141" t="n"/>
      <c r="L369" s="141" t="n"/>
    </row>
    <row r="370" ht="13" customHeight="1">
      <c r="A370" s="81" t="inlineStr">
        <is>
          <t>Gara N.</t>
        </is>
      </c>
      <c r="B370" s="81" t="inlineStr">
        <is>
          <t>Squadra A</t>
        </is>
      </c>
      <c r="C370" s="10" t="n"/>
      <c r="D370" s="81" t="inlineStr">
        <is>
          <t>Squadra B</t>
        </is>
      </c>
      <c r="E370" s="10" t="n"/>
      <c r="F370" s="81" t="inlineStr">
        <is>
          <t>Giorno</t>
        </is>
      </c>
      <c r="G370" s="81" t="inlineStr">
        <is>
          <t>Data</t>
        </is>
      </c>
      <c r="H370" s="81" t="inlineStr">
        <is>
          <t>Ora</t>
        </is>
      </c>
      <c r="I370" s="10" t="n"/>
      <c r="J370" s="81" t="inlineStr">
        <is>
          <t>Risultato</t>
        </is>
      </c>
      <c r="K370" s="9" t="n"/>
      <c r="L370" s="10" t="n"/>
    </row>
    <row r="371" ht="24" customHeight="1">
      <c r="A371" s="83">
        <f>MAX(A$10:A370)+1</f>
        <v/>
      </c>
      <c r="B371" s="61">
        <f>IF(C371="","",IFERROR(VLOOKUP(C371,areaNomiBreviSquadre,7,FALSE),""))</f>
        <v/>
      </c>
      <c r="C371" s="62" t="inlineStr">
        <is>
          <t>C10</t>
        </is>
      </c>
      <c r="D371" s="61">
        <f>IF(E371="","",IFERROR(VLOOKUP(E371,areaNomiBreviSquadre,7,FALSE),""))</f>
        <v/>
      </c>
      <c r="E371" s="62" t="inlineStr">
        <is>
          <t>C14</t>
        </is>
      </c>
      <c r="F371" s="63" t="n">
        <v>46390.66666666666</v>
      </c>
      <c r="G371" s="9" t="n"/>
      <c r="H371" s="9" t="n"/>
      <c r="I371" s="10" t="n"/>
      <c r="J371" s="65" t="n">
        <v>53</v>
      </c>
      <c r="K371" s="66" t="inlineStr">
        <is>
          <t>-</t>
        </is>
      </c>
      <c r="L371" s="65" t="n">
        <v>54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C03</t>
        </is>
      </c>
      <c r="J372" s="141" t="n"/>
      <c r="K372" s="141" t="n"/>
      <c r="L372" s="141" t="n"/>
    </row>
    <row r="373" ht="13" customHeight="1">
      <c r="A373" s="81" t="inlineStr">
        <is>
          <t>Gara N.</t>
        </is>
      </c>
      <c r="B373" s="81" t="inlineStr">
        <is>
          <t>Squadra A</t>
        </is>
      </c>
      <c r="C373" s="10" t="n"/>
      <c r="D373" s="81" t="inlineStr">
        <is>
          <t>Squadra B</t>
        </is>
      </c>
      <c r="E373" s="10" t="n"/>
      <c r="F373" s="81" t="inlineStr">
        <is>
          <t>Giorno</t>
        </is>
      </c>
      <c r="G373" s="81" t="inlineStr">
        <is>
          <t>Data</t>
        </is>
      </c>
      <c r="H373" s="81" t="inlineStr">
        <is>
          <t>Ora</t>
        </is>
      </c>
      <c r="I373" s="10" t="n"/>
      <c r="J373" s="81" t="inlineStr">
        <is>
          <t>Risultato</t>
        </is>
      </c>
      <c r="K373" s="9" t="n"/>
      <c r="L373" s="10" t="n"/>
    </row>
    <row r="374" ht="24" customHeight="1">
      <c r="A374" s="83">
        <f>MAX(A$10:A373)+1</f>
        <v/>
      </c>
      <c r="B374" s="61">
        <f>IF(C374="","",IFERROR(VLOOKUP(C374,areaNomiBreviSquadre,7,FALSE),""))</f>
        <v/>
      </c>
      <c r="C374" s="62" t="inlineStr">
        <is>
          <t>C15</t>
        </is>
      </c>
      <c r="D374" s="61">
        <f>IF(E374="","",IFERROR(VLOOKUP(E374,areaNomiBreviSquadre,7,FALSE),""))</f>
        <v/>
      </c>
      <c r="E374" s="62" t="inlineStr">
        <is>
          <t>C09</t>
        </is>
      </c>
      <c r="F374" s="63" t="n">
        <v>46390.72916666666</v>
      </c>
      <c r="G374" s="9" t="n"/>
      <c r="H374" s="9" t="n"/>
      <c r="I374" s="10" t="n"/>
      <c r="J374" s="65" t="n">
        <v>20</v>
      </c>
      <c r="K374" s="66" t="inlineStr">
        <is>
          <t>-</t>
        </is>
      </c>
      <c r="L374" s="65" t="n">
        <v>41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C03</t>
        </is>
      </c>
      <c r="J375" s="141" t="n"/>
      <c r="K375" s="141" t="n"/>
      <c r="L375" s="141" t="n"/>
    </row>
    <row r="376" ht="13" customHeight="1">
      <c r="A376" s="81" t="inlineStr">
        <is>
          <t>Gara N.</t>
        </is>
      </c>
      <c r="B376" s="81" t="inlineStr">
        <is>
          <t>Squadra A</t>
        </is>
      </c>
      <c r="C376" s="10" t="n"/>
      <c r="D376" s="81" t="inlineStr">
        <is>
          <t>Squadra B</t>
        </is>
      </c>
      <c r="E376" s="10" t="n"/>
      <c r="F376" s="81" t="inlineStr">
        <is>
          <t>Giorno</t>
        </is>
      </c>
      <c r="G376" s="81" t="inlineStr">
        <is>
          <t>Data</t>
        </is>
      </c>
      <c r="H376" s="81" t="inlineStr">
        <is>
          <t>Ora</t>
        </is>
      </c>
      <c r="I376" s="10" t="n"/>
      <c r="J376" s="81" t="inlineStr">
        <is>
          <t>Risultato</t>
        </is>
      </c>
      <c r="K376" s="9" t="n"/>
      <c r="L376" s="10" t="n"/>
    </row>
    <row r="377" ht="24" customHeight="1">
      <c r="A377" s="83">
        <f>MAX(A$10:A376)+1</f>
        <v/>
      </c>
      <c r="B377" s="61">
        <f>IF(C377="","",IFERROR(VLOOKUP(C377,areaNomiBreviSquadre,7,FALSE),""))</f>
        <v/>
      </c>
      <c r="C377" s="62" t="inlineStr">
        <is>
          <t>C04</t>
        </is>
      </c>
      <c r="D377" s="61">
        <f>IF(E377="","",IFERROR(VLOOKUP(E377,areaNomiBreviSquadre,7,FALSE),""))</f>
        <v/>
      </c>
      <c r="E377" s="62" t="inlineStr">
        <is>
          <t>C01</t>
        </is>
      </c>
      <c r="F377" s="63" t="n">
        <v>46390.39583333334</v>
      </c>
      <c r="G377" s="9" t="n"/>
      <c r="H377" s="9" t="n"/>
      <c r="I377" s="10" t="n"/>
      <c r="J377" s="65" t="n">
        <v>70</v>
      </c>
      <c r="K377" s="66" t="inlineStr">
        <is>
          <t>-</t>
        </is>
      </c>
      <c r="L377" s="65" t="n">
        <v>63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C04</t>
        </is>
      </c>
      <c r="J378" s="141" t="n"/>
      <c r="K378" s="141" t="n"/>
      <c r="L378" s="141" t="n"/>
    </row>
    <row r="379" ht="13" customHeight="1">
      <c r="A379" s="81" t="inlineStr">
        <is>
          <t>Gara N.</t>
        </is>
      </c>
      <c r="B379" s="81" t="inlineStr">
        <is>
          <t>Squadra A</t>
        </is>
      </c>
      <c r="C379" s="10" t="n"/>
      <c r="D379" s="81" t="inlineStr">
        <is>
          <t>Squadra B</t>
        </is>
      </c>
      <c r="E379" s="10" t="n"/>
      <c r="F379" s="81" t="inlineStr">
        <is>
          <t>Giorno</t>
        </is>
      </c>
      <c r="G379" s="81" t="inlineStr">
        <is>
          <t>Data</t>
        </is>
      </c>
      <c r="H379" s="81" t="inlineStr">
        <is>
          <t>Ora</t>
        </is>
      </c>
      <c r="I379" s="10" t="n"/>
      <c r="J379" s="81" t="inlineStr">
        <is>
          <t>Risultato</t>
        </is>
      </c>
      <c r="K379" s="9" t="n"/>
      <c r="L379" s="10" t="n"/>
    </row>
    <row r="380" ht="24" customHeight="1">
      <c r="A380" s="83">
        <f>MAX(A$10:A379)+1</f>
        <v/>
      </c>
      <c r="B380" s="61">
        <f>IF(C380="","",IFERROR(VLOOKUP(C380,areaNomiBreviSquadre,7,FALSE),""))</f>
        <v/>
      </c>
      <c r="C380" s="62" t="inlineStr">
        <is>
          <t>C08</t>
        </is>
      </c>
      <c r="D380" s="61">
        <f>IF(E380="","",IFERROR(VLOOKUP(E380,areaNomiBreviSquadre,7,FALSE),""))</f>
        <v/>
      </c>
      <c r="E380" s="62" t="inlineStr">
        <is>
          <t>C16</t>
        </is>
      </c>
      <c r="F380" s="63" t="n">
        <v>46390.45833333334</v>
      </c>
      <c r="G380" s="9" t="n"/>
      <c r="H380" s="9" t="n"/>
      <c r="I380" s="10" t="n"/>
      <c r="J380" s="65" t="n">
        <v>40</v>
      </c>
      <c r="K380" s="66" t="inlineStr">
        <is>
          <t>-</t>
        </is>
      </c>
      <c r="L380" s="65" t="n">
        <v>42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C04</t>
        </is>
      </c>
      <c r="J381" s="141" t="n"/>
      <c r="K381" s="141" t="n"/>
      <c r="L381" s="141" t="n"/>
    </row>
    <row r="382" ht="13" customHeight="1">
      <c r="A382" s="81" t="inlineStr">
        <is>
          <t>Gara N.</t>
        </is>
      </c>
      <c r="B382" s="81" t="inlineStr">
        <is>
          <t>Squadra A</t>
        </is>
      </c>
      <c r="C382" s="10" t="n"/>
      <c r="D382" s="81" t="inlineStr">
        <is>
          <t>Squadra B</t>
        </is>
      </c>
      <c r="E382" s="10" t="n"/>
      <c r="F382" s="81" t="inlineStr">
        <is>
          <t>Giorno</t>
        </is>
      </c>
      <c r="G382" s="81" t="inlineStr">
        <is>
          <t>Data</t>
        </is>
      </c>
      <c r="H382" s="81" t="inlineStr">
        <is>
          <t>Ora</t>
        </is>
      </c>
      <c r="I382" s="10" t="n"/>
      <c r="J382" s="81" t="inlineStr">
        <is>
          <t>Risultato</t>
        </is>
      </c>
      <c r="K382" s="9" t="n"/>
      <c r="L382" s="10" t="n"/>
    </row>
    <row r="383" ht="24" customHeight="1">
      <c r="A383" s="83">
        <f>MAX(A$10:A382)+1</f>
        <v/>
      </c>
      <c r="B383" s="61">
        <f>IF(C383="","",IFERROR(VLOOKUP(C383,areaNomiBreviSquadre,7,FALSE),""))</f>
        <v/>
      </c>
      <c r="C383" s="62" t="inlineStr">
        <is>
          <t>C17</t>
        </is>
      </c>
      <c r="D383" s="61">
        <f>IF(E383="","",IFERROR(VLOOKUP(E383,areaNomiBreviSquadre,7,FALSE),""))</f>
        <v/>
      </c>
      <c r="E383" s="62" t="inlineStr">
        <is>
          <t>C07</t>
        </is>
      </c>
      <c r="F383" s="63" t="n">
        <v>46390.60416666666</v>
      </c>
      <c r="G383" s="9" t="n"/>
      <c r="H383" s="9" t="n"/>
      <c r="I383" s="10" t="n"/>
      <c r="J383" s="65" t="n">
        <v>68</v>
      </c>
      <c r="K383" s="66" t="inlineStr">
        <is>
          <t>-</t>
        </is>
      </c>
      <c r="L383" s="65" t="n">
        <v>83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C04</t>
        </is>
      </c>
      <c r="J384" s="141" t="n"/>
      <c r="K384" s="141" t="n"/>
      <c r="L384" s="141" t="n"/>
    </row>
    <row r="385" ht="13" customHeight="1">
      <c r="A385" s="81" t="inlineStr">
        <is>
          <t>Gara N.</t>
        </is>
      </c>
      <c r="B385" s="81" t="inlineStr">
        <is>
          <t>Squadra A</t>
        </is>
      </c>
      <c r="C385" s="10" t="n"/>
      <c r="D385" s="81" t="inlineStr">
        <is>
          <t>Squadra B</t>
        </is>
      </c>
      <c r="E385" s="10" t="n"/>
      <c r="F385" s="81" t="inlineStr">
        <is>
          <t>Giorno</t>
        </is>
      </c>
      <c r="G385" s="81" t="inlineStr">
        <is>
          <t>Data</t>
        </is>
      </c>
      <c r="H385" s="81" t="inlineStr">
        <is>
          <t>Ora</t>
        </is>
      </c>
      <c r="I385" s="10" t="n"/>
      <c r="J385" s="81" t="inlineStr">
        <is>
          <t>Risultato</t>
        </is>
      </c>
      <c r="K385" s="9" t="n"/>
      <c r="L385" s="10" t="n"/>
    </row>
    <row r="386" ht="24" customHeight="1">
      <c r="A386" s="83">
        <f>MAX(A$10:A385)+1</f>
        <v/>
      </c>
      <c r="B386" s="61">
        <f>IF(C386="","",IFERROR(VLOOKUP(C386,areaNomiBreviSquadre,7,FALSE),""))</f>
        <v/>
      </c>
      <c r="C386" s="62" t="inlineStr">
        <is>
          <t>C06</t>
        </is>
      </c>
      <c r="D386" s="61">
        <f>IF(E386="","",IFERROR(VLOOKUP(E386,areaNomiBreviSquadre,7,FALSE),""))</f>
        <v/>
      </c>
      <c r="E386" s="62" t="inlineStr">
        <is>
          <t>C18</t>
        </is>
      </c>
      <c r="F386" s="63" t="n">
        <v>46390.66666666666</v>
      </c>
      <c r="G386" s="9" t="n"/>
      <c r="H386" s="9" t="n"/>
      <c r="I386" s="10" t="n"/>
      <c r="J386" s="65" t="n">
        <v>50</v>
      </c>
      <c r="K386" s="66" t="inlineStr">
        <is>
          <t>-</t>
        </is>
      </c>
      <c r="L386" s="65" t="n">
        <v>47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C04</t>
        </is>
      </c>
      <c r="J387" s="141" t="n"/>
      <c r="K387" s="141" t="n"/>
      <c r="L387" s="141" t="n"/>
    </row>
    <row r="388" ht="13" customHeight="1">
      <c r="A388" s="81" t="inlineStr">
        <is>
          <t>Gara N.</t>
        </is>
      </c>
      <c r="B388" s="81" t="inlineStr">
        <is>
          <t>Squadra A</t>
        </is>
      </c>
      <c r="C388" s="10" t="n"/>
      <c r="D388" s="81" t="inlineStr">
        <is>
          <t>Squadra B</t>
        </is>
      </c>
      <c r="E388" s="10" t="n"/>
      <c r="F388" s="81" t="inlineStr">
        <is>
          <t>Giorno</t>
        </is>
      </c>
      <c r="G388" s="81" t="inlineStr">
        <is>
          <t>Data</t>
        </is>
      </c>
      <c r="H388" s="81" t="inlineStr">
        <is>
          <t>Ora</t>
        </is>
      </c>
      <c r="I388" s="10" t="n"/>
      <c r="J388" s="81" t="inlineStr">
        <is>
          <t>Risultato</t>
        </is>
      </c>
      <c r="K388" s="9" t="n"/>
      <c r="L388" s="10" t="n"/>
    </row>
    <row r="389" ht="24" customHeight="1">
      <c r="A389" s="83">
        <f>MAX(A$10:A388)+1</f>
        <v/>
      </c>
      <c r="B389" s="61">
        <f>IF(C389="","",IFERROR(VLOOKUP(C389,areaNomiBreviSquadre,7,FALSE),""))</f>
        <v/>
      </c>
      <c r="C389" s="62" t="inlineStr">
        <is>
          <t>C19</t>
        </is>
      </c>
      <c r="D389" s="61">
        <f>IF(E389="","",IFERROR(VLOOKUP(E389,areaNomiBreviSquadre,7,FALSE),""))</f>
        <v/>
      </c>
      <c r="E389" s="62" t="inlineStr">
        <is>
          <t>C05</t>
        </is>
      </c>
      <c r="F389" s="63" t="n">
        <v>46390.72916666666</v>
      </c>
      <c r="G389" s="9" t="n"/>
      <c r="H389" s="9" t="n"/>
      <c r="I389" s="10" t="n"/>
      <c r="J389" s="65" t="n">
        <v>39</v>
      </c>
      <c r="K389" s="66" t="inlineStr">
        <is>
          <t>-</t>
        </is>
      </c>
      <c r="L389" s="65" t="n">
        <v>18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C04</t>
        </is>
      </c>
      <c r="J390" s="141" t="n"/>
      <c r="K390" s="141" t="n"/>
      <c r="L390" s="141" t="n"/>
    </row>
    <row r="391" ht="8" customHeight="1"/>
    <row r="392" ht="20" customHeight="1">
      <c r="A392" s="78" t="inlineStr">
        <is>
          <t>13C</t>
        </is>
      </c>
      <c r="B392" s="79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1" t="inlineStr">
        <is>
          <t>Gara N.</t>
        </is>
      </c>
      <c r="B393" s="81" t="inlineStr">
        <is>
          <t>Squadra A</t>
        </is>
      </c>
      <c r="C393" s="10" t="n"/>
      <c r="D393" s="81" t="inlineStr">
        <is>
          <t>Squadra B</t>
        </is>
      </c>
      <c r="E393" s="10" t="n"/>
      <c r="F393" s="81" t="inlineStr">
        <is>
          <t>Giorno</t>
        </is>
      </c>
      <c r="G393" s="81" t="inlineStr">
        <is>
          <t>Data</t>
        </is>
      </c>
      <c r="H393" s="81" t="inlineStr">
        <is>
          <t>Ora</t>
        </is>
      </c>
      <c r="I393" s="10" t="n"/>
      <c r="J393" s="81" t="inlineStr">
        <is>
          <t>Risultato</t>
        </is>
      </c>
      <c r="K393" s="9" t="n"/>
      <c r="L393" s="10" t="n"/>
    </row>
    <row r="394" ht="24" customHeight="1">
      <c r="A394" s="83">
        <f>MAX(A$10:A393)+1</f>
        <v/>
      </c>
      <c r="B394" s="61">
        <f>IF(C394="","",IFERROR(VLOOKUP(C394,areaNomiBreviSquadre,7,FALSE),""))</f>
        <v/>
      </c>
      <c r="C394" s="62" t="inlineStr">
        <is>
          <t>C02</t>
        </is>
      </c>
      <c r="D394" s="61">
        <f>IF(E394="","",IFERROR(VLOOKUP(E394,areaNomiBreviSquadre,7,FALSE),""))</f>
        <v/>
      </c>
      <c r="E394" s="62" t="inlineStr">
        <is>
          <t>C05</t>
        </is>
      </c>
      <c r="F394" s="63" t="n">
        <v>46397.39583333334</v>
      </c>
      <c r="G394" s="9" t="n"/>
      <c r="H394" s="9" t="n"/>
      <c r="I394" s="10" t="n"/>
      <c r="J394" s="65" t="n">
        <v>43</v>
      </c>
      <c r="K394" s="66" t="inlineStr">
        <is>
          <t>-</t>
        </is>
      </c>
      <c r="L394" s="65" t="n">
        <v>19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C05</t>
        </is>
      </c>
      <c r="J395" s="141" t="n"/>
      <c r="K395" s="141" t="n"/>
      <c r="L395" s="141" t="n"/>
    </row>
    <row r="396" ht="13" customHeight="1">
      <c r="A396" s="81" t="inlineStr">
        <is>
          <t>Gara N.</t>
        </is>
      </c>
      <c r="B396" s="81" t="inlineStr">
        <is>
          <t>Squadra A</t>
        </is>
      </c>
      <c r="C396" s="10" t="n"/>
      <c r="D396" s="81" t="inlineStr">
        <is>
          <t>Squadra B</t>
        </is>
      </c>
      <c r="E396" s="10" t="n"/>
      <c r="F396" s="81" t="inlineStr">
        <is>
          <t>Giorno</t>
        </is>
      </c>
      <c r="G396" s="81" t="inlineStr">
        <is>
          <t>Data</t>
        </is>
      </c>
      <c r="H396" s="81" t="inlineStr">
        <is>
          <t>Ora</t>
        </is>
      </c>
      <c r="I396" s="10" t="n"/>
      <c r="J396" s="81" t="inlineStr">
        <is>
          <t>Risultato</t>
        </is>
      </c>
      <c r="K396" s="9" t="n"/>
      <c r="L396" s="10" t="n"/>
    </row>
    <row r="397" ht="24" customHeight="1">
      <c r="A397" s="83">
        <f>MAX(A$10:A396)+1</f>
        <v/>
      </c>
      <c r="B397" s="61">
        <f>IF(C397="","",IFERROR(VLOOKUP(C397,areaNomiBreviSquadre,7,FALSE),""))</f>
        <v/>
      </c>
      <c r="C397" s="62" t="inlineStr">
        <is>
          <t>C13</t>
        </is>
      </c>
      <c r="D397" s="61">
        <f>IF(E397="","",IFERROR(VLOOKUP(E397,areaNomiBreviSquadre,7,FALSE),""))</f>
        <v/>
      </c>
      <c r="E397" s="62" t="inlineStr">
        <is>
          <t>C20</t>
        </is>
      </c>
      <c r="F397" s="63" t="n">
        <v>46397.45833333334</v>
      </c>
      <c r="G397" s="9" t="n"/>
      <c r="H397" s="9" t="n"/>
      <c r="I397" s="10" t="n"/>
      <c r="J397" s="65" t="n">
        <v>24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C05</t>
        </is>
      </c>
      <c r="J398" s="141" t="n"/>
      <c r="K398" s="141" t="n"/>
      <c r="L398" s="141" t="n"/>
    </row>
    <row r="399" ht="13" customHeight="1">
      <c r="A399" s="81" t="inlineStr">
        <is>
          <t>Gara N.</t>
        </is>
      </c>
      <c r="B399" s="81" t="inlineStr">
        <is>
          <t>Squadra A</t>
        </is>
      </c>
      <c r="C399" s="10" t="n"/>
      <c r="D399" s="81" t="inlineStr">
        <is>
          <t>Squadra B</t>
        </is>
      </c>
      <c r="E399" s="10" t="n"/>
      <c r="F399" s="81" t="inlineStr">
        <is>
          <t>Giorno</t>
        </is>
      </c>
      <c r="G399" s="81" t="inlineStr">
        <is>
          <t>Data</t>
        </is>
      </c>
      <c r="H399" s="81" t="inlineStr">
        <is>
          <t>Ora</t>
        </is>
      </c>
      <c r="I399" s="10" t="n"/>
      <c r="J399" s="81" t="inlineStr">
        <is>
          <t>Risultato</t>
        </is>
      </c>
      <c r="K399" s="9" t="n"/>
      <c r="L399" s="10" t="n"/>
    </row>
    <row r="400" ht="24" customHeight="1">
      <c r="A400" s="83">
        <f>MAX(A$10:A399)+1</f>
        <v/>
      </c>
      <c r="B400" s="61">
        <f>IF(C400="","",IFERROR(VLOOKUP(C400,areaNomiBreviSquadre,7,FALSE),""))</f>
        <v/>
      </c>
      <c r="C400" s="62" t="inlineStr">
        <is>
          <t>C12</t>
        </is>
      </c>
      <c r="D400" s="61">
        <f>IF(E400="","",IFERROR(VLOOKUP(E400,areaNomiBreviSquadre,7,FALSE),""))</f>
        <v/>
      </c>
      <c r="E400" s="62" t="inlineStr">
        <is>
          <t>C14</t>
        </is>
      </c>
      <c r="F400" s="63" t="n">
        <v>46397.60416666666</v>
      </c>
      <c r="G400" s="9" t="n"/>
      <c r="H400" s="9" t="n"/>
      <c r="I400" s="10" t="n"/>
      <c r="J400" s="65" t="n">
        <v>42</v>
      </c>
      <c r="K400" s="66" t="inlineStr">
        <is>
          <t>-</t>
        </is>
      </c>
      <c r="L400" s="65" t="n">
        <v>66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C05</t>
        </is>
      </c>
      <c r="J401" s="141" t="n"/>
      <c r="K401" s="141" t="n"/>
      <c r="L401" s="141" t="n"/>
    </row>
    <row r="402" ht="13" customHeight="1">
      <c r="A402" s="81" t="inlineStr">
        <is>
          <t>Gara N.</t>
        </is>
      </c>
      <c r="B402" s="81" t="inlineStr">
        <is>
          <t>Squadra A</t>
        </is>
      </c>
      <c r="C402" s="10" t="n"/>
      <c r="D402" s="81" t="inlineStr">
        <is>
          <t>Squadra B</t>
        </is>
      </c>
      <c r="E402" s="10" t="n"/>
      <c r="F402" s="81" t="inlineStr">
        <is>
          <t>Giorno</t>
        </is>
      </c>
      <c r="G402" s="81" t="inlineStr">
        <is>
          <t>Data</t>
        </is>
      </c>
      <c r="H402" s="81" t="inlineStr">
        <is>
          <t>Ora</t>
        </is>
      </c>
      <c r="I402" s="10" t="n"/>
      <c r="J402" s="81" t="inlineStr">
        <is>
          <t>Risultato</t>
        </is>
      </c>
      <c r="K402" s="9" t="n"/>
      <c r="L402" s="10" t="n"/>
    </row>
    <row r="403" ht="24" customHeight="1">
      <c r="A403" s="83">
        <f>MAX(A$10:A402)+1</f>
        <v/>
      </c>
      <c r="B403" s="61">
        <f>IF(C403="","",IFERROR(VLOOKUP(C403,areaNomiBreviSquadre,7,FALSE),""))</f>
        <v/>
      </c>
      <c r="C403" s="62" t="inlineStr">
        <is>
          <t>C15</t>
        </is>
      </c>
      <c r="D403" s="61">
        <f>IF(E403="","",IFERROR(VLOOKUP(E403,areaNomiBreviSquadre,7,FALSE),""))</f>
        <v/>
      </c>
      <c r="E403" s="62" t="inlineStr">
        <is>
          <t>C11</t>
        </is>
      </c>
      <c r="F403" s="63" t="n">
        <v>46397.66666666666</v>
      </c>
      <c r="G403" s="9" t="n"/>
      <c r="H403" s="9" t="n"/>
      <c r="I403" s="10" t="n"/>
      <c r="J403" s="65" t="n">
        <v>92</v>
      </c>
      <c r="K403" s="66" t="inlineStr">
        <is>
          <t>-</t>
        </is>
      </c>
      <c r="L403" s="65" t="n">
        <v>83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C05</t>
        </is>
      </c>
      <c r="J404" s="141" t="n"/>
      <c r="K404" s="141" t="n"/>
      <c r="L404" s="141" t="n"/>
    </row>
    <row r="405" ht="13" customHeight="1">
      <c r="A405" s="81" t="inlineStr">
        <is>
          <t>Gara N.</t>
        </is>
      </c>
      <c r="B405" s="81" t="inlineStr">
        <is>
          <t>Squadra A</t>
        </is>
      </c>
      <c r="C405" s="10" t="n"/>
      <c r="D405" s="81" t="inlineStr">
        <is>
          <t>Squadra B</t>
        </is>
      </c>
      <c r="E405" s="10" t="n"/>
      <c r="F405" s="81" t="inlineStr">
        <is>
          <t>Giorno</t>
        </is>
      </c>
      <c r="G405" s="81" t="inlineStr">
        <is>
          <t>Data</t>
        </is>
      </c>
      <c r="H405" s="81" t="inlineStr">
        <is>
          <t>Ora</t>
        </is>
      </c>
      <c r="I405" s="10" t="n"/>
      <c r="J405" s="81" t="inlineStr">
        <is>
          <t>Risultato</t>
        </is>
      </c>
      <c r="K405" s="9" t="n"/>
      <c r="L405" s="10" t="n"/>
    </row>
    <row r="406" ht="24" customHeight="1">
      <c r="A406" s="83">
        <f>MAX(A$10:A405)+1</f>
        <v/>
      </c>
      <c r="B406" s="61">
        <f>IF(C406="","",IFERROR(VLOOKUP(C406,areaNomiBreviSquadre,7,FALSE),""))</f>
        <v/>
      </c>
      <c r="C406" s="62" t="inlineStr">
        <is>
          <t>C10</t>
        </is>
      </c>
      <c r="D406" s="61">
        <f>IF(E406="","",IFERROR(VLOOKUP(E406,areaNomiBreviSquadre,7,FALSE),""))</f>
        <v/>
      </c>
      <c r="E406" s="62" t="inlineStr">
        <is>
          <t>C16</t>
        </is>
      </c>
      <c r="F406" s="63" t="n">
        <v>46397.72916666666</v>
      </c>
      <c r="G406" s="9" t="n"/>
      <c r="H406" s="9" t="n"/>
      <c r="I406" s="10" t="n"/>
      <c r="J406" s="65" t="n">
        <v>80</v>
      </c>
      <c r="K406" s="66" t="inlineStr">
        <is>
          <t>-</t>
        </is>
      </c>
      <c r="L406" s="65" t="n">
        <v>61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C05</t>
        </is>
      </c>
      <c r="J407" s="141" t="n"/>
      <c r="K407" s="141" t="n"/>
      <c r="L407" s="141" t="n"/>
    </row>
    <row r="408" ht="13" customHeight="1">
      <c r="A408" s="81" t="inlineStr">
        <is>
          <t>Gara N.</t>
        </is>
      </c>
      <c r="B408" s="81" t="inlineStr">
        <is>
          <t>Squadra A</t>
        </is>
      </c>
      <c r="C408" s="10" t="n"/>
      <c r="D408" s="81" t="inlineStr">
        <is>
          <t>Squadra B</t>
        </is>
      </c>
      <c r="E408" s="10" t="n"/>
      <c r="F408" s="81" t="inlineStr">
        <is>
          <t>Giorno</t>
        </is>
      </c>
      <c r="G408" s="81" t="inlineStr">
        <is>
          <t>Data</t>
        </is>
      </c>
      <c r="H408" s="81" t="inlineStr">
        <is>
          <t>Ora</t>
        </is>
      </c>
      <c r="I408" s="10" t="n"/>
      <c r="J408" s="81" t="inlineStr">
        <is>
          <t>Risultato</t>
        </is>
      </c>
      <c r="K408" s="9" t="n"/>
      <c r="L408" s="10" t="n"/>
    </row>
    <row r="409" ht="24" customHeight="1">
      <c r="A409" s="83">
        <f>MAX(A$10:A408)+1</f>
        <v/>
      </c>
      <c r="B409" s="61">
        <f>IF(C409="","",IFERROR(VLOOKUP(C409,areaNomiBreviSquadre,7,FALSE),""))</f>
        <v/>
      </c>
      <c r="C409" s="62" t="inlineStr">
        <is>
          <t>C06</t>
        </is>
      </c>
      <c r="D409" s="61">
        <f>IF(E409="","",IFERROR(VLOOKUP(E409,areaNomiBreviSquadre,7,FALSE),""))</f>
        <v/>
      </c>
      <c r="E409" s="62" t="inlineStr">
        <is>
          <t>C01</t>
        </is>
      </c>
      <c r="F409" s="63" t="n">
        <v>46397.39583333334</v>
      </c>
      <c r="G409" s="9" t="n"/>
      <c r="H409" s="9" t="n"/>
      <c r="I409" s="10" t="n"/>
      <c r="J409" s="65" t="n">
        <v>78</v>
      </c>
      <c r="K409" s="66" t="inlineStr">
        <is>
          <t>-</t>
        </is>
      </c>
      <c r="L409" s="65" t="n">
        <v>55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C06</t>
        </is>
      </c>
      <c r="J410" s="141" t="n"/>
      <c r="K410" s="141" t="n"/>
      <c r="L410" s="141" t="n"/>
    </row>
    <row r="411" ht="13" customHeight="1">
      <c r="A411" s="81" t="inlineStr">
        <is>
          <t>Gara N.</t>
        </is>
      </c>
      <c r="B411" s="81" t="inlineStr">
        <is>
          <t>Squadra A</t>
        </is>
      </c>
      <c r="C411" s="10" t="n"/>
      <c r="D411" s="81" t="inlineStr">
        <is>
          <t>Squadra B</t>
        </is>
      </c>
      <c r="E411" s="10" t="n"/>
      <c r="F411" s="81" t="inlineStr">
        <is>
          <t>Giorno</t>
        </is>
      </c>
      <c r="G411" s="81" t="inlineStr">
        <is>
          <t>Data</t>
        </is>
      </c>
      <c r="H411" s="81" t="inlineStr">
        <is>
          <t>Ora</t>
        </is>
      </c>
      <c r="I411" s="10" t="n"/>
      <c r="J411" s="81" t="inlineStr">
        <is>
          <t>Risultato</t>
        </is>
      </c>
      <c r="K411" s="9" t="n"/>
      <c r="L411" s="10" t="n"/>
    </row>
    <row r="412" ht="24" customHeight="1">
      <c r="A412" s="83">
        <f>MAX(A$10:A411)+1</f>
        <v/>
      </c>
      <c r="B412" s="61">
        <f>IF(C412="","",IFERROR(VLOOKUP(C412,areaNomiBreviSquadre,7,FALSE),""))</f>
        <v/>
      </c>
      <c r="C412" s="62" t="inlineStr">
        <is>
          <t>C17</t>
        </is>
      </c>
      <c r="D412" s="61">
        <f>IF(E412="","",IFERROR(VLOOKUP(E412,areaNomiBreviSquadre,7,FALSE),""))</f>
        <v/>
      </c>
      <c r="E412" s="62" t="inlineStr">
        <is>
          <t>C09</t>
        </is>
      </c>
      <c r="F412" s="63" t="n">
        <v>46397.45833333334</v>
      </c>
      <c r="G412" s="9" t="n"/>
      <c r="H412" s="9" t="n"/>
      <c r="I412" s="10" t="n"/>
      <c r="J412" s="65" t="n">
        <v>89</v>
      </c>
      <c r="K412" s="66" t="inlineStr">
        <is>
          <t>-</t>
        </is>
      </c>
      <c r="L412" s="65" t="n">
        <v>67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C06</t>
        </is>
      </c>
      <c r="J413" s="141" t="n"/>
      <c r="K413" s="141" t="n"/>
      <c r="L413" s="141" t="n"/>
    </row>
    <row r="414" ht="13" customHeight="1">
      <c r="A414" s="81" t="inlineStr">
        <is>
          <t>Gara N.</t>
        </is>
      </c>
      <c r="B414" s="81" t="inlineStr">
        <is>
          <t>Squadra A</t>
        </is>
      </c>
      <c r="C414" s="10" t="n"/>
      <c r="D414" s="81" t="inlineStr">
        <is>
          <t>Squadra B</t>
        </is>
      </c>
      <c r="E414" s="10" t="n"/>
      <c r="F414" s="81" t="inlineStr">
        <is>
          <t>Giorno</t>
        </is>
      </c>
      <c r="G414" s="81" t="inlineStr">
        <is>
          <t>Data</t>
        </is>
      </c>
      <c r="H414" s="81" t="inlineStr">
        <is>
          <t>Ora</t>
        </is>
      </c>
      <c r="I414" s="10" t="n"/>
      <c r="J414" s="81" t="inlineStr">
        <is>
          <t>Risultato</t>
        </is>
      </c>
      <c r="K414" s="9" t="n"/>
      <c r="L414" s="10" t="n"/>
    </row>
    <row r="415" ht="24" customHeight="1">
      <c r="A415" s="83">
        <f>MAX(A$10:A414)+1</f>
        <v/>
      </c>
      <c r="B415" s="61">
        <f>IF(C415="","",IFERROR(VLOOKUP(C415,areaNomiBreviSquadre,7,FALSE),""))</f>
        <v/>
      </c>
      <c r="C415" s="62" t="inlineStr">
        <is>
          <t>C08</t>
        </is>
      </c>
      <c r="D415" s="61">
        <f>IF(E415="","",IFERROR(VLOOKUP(E415,areaNomiBreviSquadre,7,FALSE),""))</f>
        <v/>
      </c>
      <c r="E415" s="62" t="inlineStr">
        <is>
          <t>C18</t>
        </is>
      </c>
      <c r="F415" s="63" t="n">
        <v>46397.60416666666</v>
      </c>
      <c r="G415" s="9" t="n"/>
      <c r="H415" s="9" t="n"/>
      <c r="I415" s="10" t="n"/>
      <c r="J415" s="65" t="n">
        <v>29</v>
      </c>
      <c r="K415" s="66" t="inlineStr">
        <is>
          <t>-</t>
        </is>
      </c>
      <c r="L415" s="65" t="n">
        <v>46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C06</t>
        </is>
      </c>
      <c r="J416" s="141" t="n"/>
      <c r="K416" s="141" t="n"/>
      <c r="L416" s="141" t="n"/>
    </row>
    <row r="417" ht="13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</row>
    <row r="418" ht="24" customHeight="1">
      <c r="A418" s="83">
        <f>MAX(A$10:A417)+1</f>
        <v/>
      </c>
      <c r="B418" s="61">
        <f>IF(C418="","",IFERROR(VLOOKUP(C418,areaNomiBreviSquadre,7,FALSE),""))</f>
        <v/>
      </c>
      <c r="C418" s="62" t="inlineStr">
        <is>
          <t>C19</t>
        </is>
      </c>
      <c r="D418" s="61">
        <f>IF(E418="","",IFERROR(VLOOKUP(E418,areaNomiBreviSquadre,7,FALSE),""))</f>
        <v/>
      </c>
      <c r="E418" s="62" t="inlineStr">
        <is>
          <t>C07</t>
        </is>
      </c>
      <c r="F418" s="63" t="n">
        <v>46397.66666666666</v>
      </c>
      <c r="G418" s="9" t="n"/>
      <c r="H418" s="9" t="n"/>
      <c r="I418" s="10" t="n"/>
      <c r="J418" s="65" t="n">
        <v>69</v>
      </c>
      <c r="K418" s="66" t="inlineStr">
        <is>
          <t>-</t>
        </is>
      </c>
      <c r="L418" s="65" t="n">
        <v>87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C06</t>
        </is>
      </c>
      <c r="J419" s="141" t="n"/>
      <c r="K419" s="141" t="n"/>
      <c r="L419" s="141" t="n"/>
    </row>
    <row r="420" ht="13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</row>
    <row r="421" ht="24" customHeight="1">
      <c r="A421" s="83">
        <f>MAX(A$10:A420)+1</f>
        <v/>
      </c>
      <c r="B421" s="61">
        <f>IF(C421="","",IFERROR(VLOOKUP(C421,areaNomiBreviSquadre,7,FALSE),""))</f>
        <v/>
      </c>
      <c r="C421" s="62" t="inlineStr">
        <is>
          <t>C04</t>
        </is>
      </c>
      <c r="D421" s="61">
        <f>IF(E421="","",IFERROR(VLOOKUP(E421,areaNomiBreviSquadre,7,FALSE),""))</f>
        <v/>
      </c>
      <c r="E421" s="62" t="inlineStr">
        <is>
          <t>C03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73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C06</t>
        </is>
      </c>
      <c r="J422" s="141" t="n"/>
      <c r="K422" s="141" t="n"/>
      <c r="L422" s="141" t="n"/>
    </row>
    <row r="423" ht="8" customHeight="1"/>
    <row r="424" ht="20" customHeight="1">
      <c r="A424" s="78" t="inlineStr">
        <is>
          <t>14C</t>
        </is>
      </c>
      <c r="B424" s="79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1" t="inlineStr">
        <is>
          <t>Gara N.</t>
        </is>
      </c>
      <c r="B425" s="81" t="inlineStr">
        <is>
          <t>Squadra A</t>
        </is>
      </c>
      <c r="C425" s="10" t="n"/>
      <c r="D425" s="81" t="inlineStr">
        <is>
          <t>Squadra B</t>
        </is>
      </c>
      <c r="E425" s="10" t="n"/>
      <c r="F425" s="81" t="inlineStr">
        <is>
          <t>Giorno</t>
        </is>
      </c>
      <c r="G425" s="81" t="inlineStr">
        <is>
          <t>Data</t>
        </is>
      </c>
      <c r="H425" s="81" t="inlineStr">
        <is>
          <t>Ora</t>
        </is>
      </c>
      <c r="I425" s="10" t="n"/>
      <c r="J425" s="81" t="inlineStr">
        <is>
          <t>Risultato</t>
        </is>
      </c>
      <c r="K425" s="9" t="n"/>
      <c r="L425" s="10" t="n"/>
    </row>
    <row r="426" ht="24" customHeight="1">
      <c r="A426" s="83">
        <f>MAX(A$10:A425)+1</f>
        <v/>
      </c>
      <c r="B426" s="61">
        <f>IF(C426="","",IFERROR(VLOOKUP(C426,areaNomiBreviSquadre,7,FALSE),""))</f>
        <v/>
      </c>
      <c r="C426" s="62" t="inlineStr">
        <is>
          <t>C02</t>
        </is>
      </c>
      <c r="D426" s="61">
        <f>IF(E426="","",IFERROR(VLOOKUP(E426,areaNomiBreviSquadre,7,FALSE),""))</f>
        <v/>
      </c>
      <c r="E426" s="62" t="inlineStr">
        <is>
          <t>C07</t>
        </is>
      </c>
      <c r="F426" s="63" t="n">
        <v>46404.39583333334</v>
      </c>
      <c r="G426" s="9" t="n"/>
      <c r="H426" s="9" t="n"/>
      <c r="I426" s="10" t="n"/>
      <c r="J426" s="65" t="n">
        <v>80</v>
      </c>
      <c r="K426" s="66" t="inlineStr">
        <is>
          <t>-</t>
        </is>
      </c>
      <c r="L426" s="65" t="n">
        <v>70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C07</t>
        </is>
      </c>
      <c r="J427" s="141" t="n"/>
      <c r="K427" s="141" t="n"/>
      <c r="L427" s="141" t="n"/>
    </row>
    <row r="428" ht="13" customHeight="1">
      <c r="A428" s="81" t="inlineStr">
        <is>
          <t>Gara N.</t>
        </is>
      </c>
      <c r="B428" s="81" t="inlineStr">
        <is>
          <t>Squadra A</t>
        </is>
      </c>
      <c r="C428" s="10" t="n"/>
      <c r="D428" s="81" t="inlineStr">
        <is>
          <t>Squadra B</t>
        </is>
      </c>
      <c r="E428" s="10" t="n"/>
      <c r="F428" s="81" t="inlineStr">
        <is>
          <t>Giorno</t>
        </is>
      </c>
      <c r="G428" s="81" t="inlineStr">
        <is>
          <t>Data</t>
        </is>
      </c>
      <c r="H428" s="81" t="inlineStr">
        <is>
          <t>Ora</t>
        </is>
      </c>
      <c r="I428" s="10" t="n"/>
      <c r="J428" s="81" t="inlineStr">
        <is>
          <t>Risultato</t>
        </is>
      </c>
      <c r="K428" s="9" t="n"/>
      <c r="L428" s="10" t="n"/>
    </row>
    <row r="429" ht="24" customHeight="1">
      <c r="A429" s="83">
        <f>MAX(A$10:A428)+1</f>
        <v/>
      </c>
      <c r="B429" s="61">
        <f>IF(C429="","",IFERROR(VLOOKUP(C429,areaNomiBreviSquadre,7,FALSE),""))</f>
        <v/>
      </c>
      <c r="C429" s="62" t="inlineStr">
        <is>
          <t>C20</t>
        </is>
      </c>
      <c r="D429" s="61">
        <f>IF(E429="","",IFERROR(VLOOKUP(E429,areaNomiBreviSquadre,7,FALSE),""))</f>
        <v/>
      </c>
      <c r="E429" s="62" t="inlineStr">
        <is>
          <t>C14</t>
        </is>
      </c>
      <c r="F429" s="63" t="n">
        <v>46404.45833333334</v>
      </c>
      <c r="G429" s="9" t="n"/>
      <c r="H429" s="9" t="n"/>
      <c r="I429" s="10" t="n"/>
      <c r="J429" s="65" t="n">
        <v>41</v>
      </c>
      <c r="K429" s="66" t="inlineStr">
        <is>
          <t>-</t>
        </is>
      </c>
      <c r="L429" s="65" t="n">
        <v>23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C07</t>
        </is>
      </c>
      <c r="J430" s="141" t="n"/>
      <c r="K430" s="141" t="n"/>
      <c r="L430" s="141" t="n"/>
    </row>
    <row r="431" ht="13" customHeight="1">
      <c r="A431" s="81" t="inlineStr">
        <is>
          <t>Gara N.</t>
        </is>
      </c>
      <c r="B431" s="81" t="inlineStr">
        <is>
          <t>Squadra A</t>
        </is>
      </c>
      <c r="C431" s="10" t="n"/>
      <c r="D431" s="81" t="inlineStr">
        <is>
          <t>Squadra B</t>
        </is>
      </c>
      <c r="E431" s="10" t="n"/>
      <c r="F431" s="81" t="inlineStr">
        <is>
          <t>Giorno</t>
        </is>
      </c>
      <c r="G431" s="81" t="inlineStr">
        <is>
          <t>Data</t>
        </is>
      </c>
      <c r="H431" s="81" t="inlineStr">
        <is>
          <t>Ora</t>
        </is>
      </c>
      <c r="I431" s="10" t="n"/>
      <c r="J431" s="81" t="inlineStr">
        <is>
          <t>Risultato</t>
        </is>
      </c>
      <c r="K431" s="9" t="n"/>
      <c r="L431" s="10" t="n"/>
    </row>
    <row r="432" ht="24" customHeight="1">
      <c r="A432" s="83">
        <f>MAX(A$10:A431)+1</f>
        <v/>
      </c>
      <c r="B432" s="61">
        <f>IF(C432="","",IFERROR(VLOOKUP(C432,areaNomiBreviSquadre,7,FALSE),""))</f>
        <v/>
      </c>
      <c r="C432" s="62" t="inlineStr">
        <is>
          <t>C15</t>
        </is>
      </c>
      <c r="D432" s="61">
        <f>IF(E432="","",IFERROR(VLOOKUP(E432,areaNomiBreviSquadre,7,FALSE),""))</f>
        <v/>
      </c>
      <c r="E432" s="62" t="inlineStr">
        <is>
          <t>C13</t>
        </is>
      </c>
      <c r="F432" s="63" t="n">
        <v>46404.60416666666</v>
      </c>
      <c r="G432" s="9" t="n"/>
      <c r="H432" s="9" t="n"/>
      <c r="I432" s="10" t="n"/>
      <c r="J432" s="65" t="n">
        <v>86</v>
      </c>
      <c r="K432" s="66" t="inlineStr">
        <is>
          <t>-</t>
        </is>
      </c>
      <c r="L432" s="65" t="n">
        <v>67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C07</t>
        </is>
      </c>
      <c r="J433" s="141" t="n"/>
      <c r="K433" s="141" t="n"/>
      <c r="L433" s="141" t="n"/>
    </row>
    <row r="434" ht="13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</row>
    <row r="435" ht="24" customHeight="1">
      <c r="A435" s="83">
        <f>MAX(A$10:A434)+1</f>
        <v/>
      </c>
      <c r="B435" s="61">
        <f>IF(C435="","",IFERROR(VLOOKUP(C435,areaNomiBreviSquadre,7,FALSE),""))</f>
        <v/>
      </c>
      <c r="C435" s="62" t="inlineStr">
        <is>
          <t>C12</t>
        </is>
      </c>
      <c r="D435" s="61">
        <f>IF(E435="","",IFERROR(VLOOKUP(E435,areaNomiBreviSquadre,7,FALSE),""))</f>
        <v/>
      </c>
      <c r="E435" s="62" t="inlineStr">
        <is>
          <t>C16</t>
        </is>
      </c>
      <c r="F435" s="63" t="n">
        <v>46404.66666666666</v>
      </c>
      <c r="G435" s="9" t="n"/>
      <c r="H435" s="9" t="n"/>
      <c r="I435" s="10" t="n"/>
      <c r="J435" s="65" t="n">
        <v>68</v>
      </c>
      <c r="K435" s="66" t="inlineStr">
        <is>
          <t>-</t>
        </is>
      </c>
      <c r="L435" s="65" t="n">
        <v>61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C07</t>
        </is>
      </c>
      <c r="J436" s="141" t="n"/>
      <c r="K436" s="141" t="n"/>
      <c r="L436" s="141" t="n"/>
    </row>
    <row r="437" ht="13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</row>
    <row r="438" ht="24" customHeight="1">
      <c r="A438" s="83">
        <f>MAX(A$10:A437)+1</f>
        <v/>
      </c>
      <c r="B438" s="61">
        <f>IF(C438="","",IFERROR(VLOOKUP(C438,areaNomiBreviSquadre,7,FALSE),""))</f>
        <v/>
      </c>
      <c r="C438" s="62" t="inlineStr">
        <is>
          <t>C17</t>
        </is>
      </c>
      <c r="D438" s="61">
        <f>IF(E438="","",IFERROR(VLOOKUP(E438,areaNomiBreviSquadre,7,FALSE),""))</f>
        <v/>
      </c>
      <c r="E438" s="62" t="inlineStr">
        <is>
          <t>C11</t>
        </is>
      </c>
      <c r="F438" s="63" t="n">
        <v>46404.72916666666</v>
      </c>
      <c r="G438" s="9" t="n"/>
      <c r="H438" s="9" t="n"/>
      <c r="I438" s="10" t="n"/>
      <c r="J438" s="65" t="n">
        <v>50</v>
      </c>
      <c r="K438" s="66" t="inlineStr">
        <is>
          <t>-</t>
        </is>
      </c>
      <c r="L438" s="65" t="n">
        <v>59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C07</t>
        </is>
      </c>
      <c r="J439" s="141" t="n"/>
      <c r="K439" s="141" t="n"/>
      <c r="L439" s="141" t="n"/>
    </row>
    <row r="440" ht="13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</row>
    <row r="441" ht="24" customHeight="1">
      <c r="A441" s="83">
        <f>MAX(A$10:A440)+1</f>
        <v/>
      </c>
      <c r="B441" s="61">
        <f>IF(C441="","",IFERROR(VLOOKUP(C441,areaNomiBreviSquadre,7,FALSE),""))</f>
        <v/>
      </c>
      <c r="C441" s="62" t="inlineStr">
        <is>
          <t>C08</t>
        </is>
      </c>
      <c r="D441" s="61">
        <f>IF(E441="","",IFERROR(VLOOKUP(E441,areaNomiBreviSquadre,7,FALSE),""))</f>
        <v/>
      </c>
      <c r="E441" s="62" t="inlineStr">
        <is>
          <t>C01</t>
        </is>
      </c>
      <c r="F441" s="63" t="n">
        <v>46404.39583333334</v>
      </c>
      <c r="G441" s="9" t="n"/>
      <c r="H441" s="9" t="n"/>
      <c r="I441" s="10" t="n"/>
      <c r="J441" s="65" t="n">
        <v>83</v>
      </c>
      <c r="K441" s="66" t="inlineStr">
        <is>
          <t>-</t>
        </is>
      </c>
      <c r="L441" s="65" t="n">
        <v>80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C08</t>
        </is>
      </c>
      <c r="J442" s="141" t="n"/>
      <c r="K442" s="141" t="n"/>
      <c r="L442" s="141" t="n"/>
    </row>
    <row r="443" ht="13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</row>
    <row r="444" ht="24" customHeight="1">
      <c r="A444" s="83">
        <f>MAX(A$10:A443)+1</f>
        <v/>
      </c>
      <c r="B444" s="61">
        <f>IF(C444="","",IFERROR(VLOOKUP(C444,areaNomiBreviSquadre,7,FALSE),""))</f>
        <v/>
      </c>
      <c r="C444" s="62" t="inlineStr">
        <is>
          <t>C10</t>
        </is>
      </c>
      <c r="D444" s="61">
        <f>IF(E444="","",IFERROR(VLOOKUP(E444,areaNomiBreviSquadre,7,FALSE),""))</f>
        <v/>
      </c>
      <c r="E444" s="62" t="inlineStr">
        <is>
          <t>C18</t>
        </is>
      </c>
      <c r="F444" s="63" t="n">
        <v>46404.45833333334</v>
      </c>
      <c r="G444" s="9" t="n"/>
      <c r="H444" s="9" t="n"/>
      <c r="I444" s="10" t="n"/>
      <c r="J444" s="65" t="n">
        <v>79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C08</t>
        </is>
      </c>
      <c r="J445" s="141" t="n"/>
      <c r="K445" s="141" t="n"/>
      <c r="L445" s="141" t="n"/>
    </row>
    <row r="446" ht="13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</row>
    <row r="447" ht="24" customHeight="1">
      <c r="A447" s="83">
        <f>MAX(A$10:A446)+1</f>
        <v/>
      </c>
      <c r="B447" s="61">
        <f>IF(C447="","",IFERROR(VLOOKUP(C447,areaNomiBreviSquadre,7,FALSE),""))</f>
        <v/>
      </c>
      <c r="C447" s="62" t="inlineStr">
        <is>
          <t>C19</t>
        </is>
      </c>
      <c r="D447" s="61">
        <f>IF(E447="","",IFERROR(VLOOKUP(E447,areaNomiBreviSquadre,7,FALSE),""))</f>
        <v/>
      </c>
      <c r="E447" s="62" t="inlineStr">
        <is>
          <t>C09</t>
        </is>
      </c>
      <c r="F447" s="63" t="n">
        <v>46404.60416666666</v>
      </c>
      <c r="G447" s="9" t="n"/>
      <c r="H447" s="9" t="n"/>
      <c r="I447" s="10" t="n"/>
      <c r="J447" s="65" t="n">
        <v>73</v>
      </c>
      <c r="K447" s="66" t="inlineStr">
        <is>
          <t>-</t>
        </is>
      </c>
      <c r="L447" s="65" t="n">
        <v>63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C08</t>
        </is>
      </c>
      <c r="J448" s="141" t="n"/>
      <c r="K448" s="141" t="n"/>
      <c r="L448" s="141" t="n"/>
    </row>
    <row r="449" ht="13" customHeight="1">
      <c r="A449" s="81" t="inlineStr">
        <is>
          <t>Gara N.</t>
        </is>
      </c>
      <c r="B449" s="81" t="inlineStr">
        <is>
          <t>Squadra A</t>
        </is>
      </c>
      <c r="C449" s="10" t="n"/>
      <c r="D449" s="81" t="inlineStr">
        <is>
          <t>Squadra B</t>
        </is>
      </c>
      <c r="E449" s="10" t="n"/>
      <c r="F449" s="81" t="inlineStr">
        <is>
          <t>Giorno</t>
        </is>
      </c>
      <c r="G449" s="81" t="inlineStr">
        <is>
          <t>Data</t>
        </is>
      </c>
      <c r="H449" s="81" t="inlineStr">
        <is>
          <t>Ora</t>
        </is>
      </c>
      <c r="I449" s="10" t="n"/>
      <c r="J449" s="81" t="inlineStr">
        <is>
          <t>Risultato</t>
        </is>
      </c>
      <c r="K449" s="9" t="n"/>
      <c r="L449" s="10" t="n"/>
    </row>
    <row r="450" ht="24" customHeight="1">
      <c r="A450" s="83">
        <f>MAX(A$10:A449)+1</f>
        <v/>
      </c>
      <c r="B450" s="61">
        <f>IF(C450="","",IFERROR(VLOOKUP(C450,areaNomiBreviSquadre,7,FALSE),""))</f>
        <v/>
      </c>
      <c r="C450" s="62" t="inlineStr">
        <is>
          <t>C06</t>
        </is>
      </c>
      <c r="D450" s="61">
        <f>IF(E450="","",IFERROR(VLOOKUP(E450,areaNomiBreviSquadre,7,FALSE),""))</f>
        <v/>
      </c>
      <c r="E450" s="62" t="inlineStr">
        <is>
          <t>C03</t>
        </is>
      </c>
      <c r="F450" s="63" t="n">
        <v>46404.66666666666</v>
      </c>
      <c r="G450" s="9" t="n"/>
      <c r="H450" s="9" t="n"/>
      <c r="I450" s="10" t="n"/>
      <c r="J450" s="65" t="n">
        <v>62</v>
      </c>
      <c r="K450" s="66" t="inlineStr">
        <is>
          <t>-</t>
        </is>
      </c>
      <c r="L450" s="65" t="n">
        <v>36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C08</t>
        </is>
      </c>
      <c r="J451" s="141" t="n"/>
      <c r="K451" s="141" t="n"/>
      <c r="L451" s="141" t="n"/>
    </row>
    <row r="452" ht="13" customHeight="1">
      <c r="A452" s="81" t="inlineStr">
        <is>
          <t>Gara N.</t>
        </is>
      </c>
      <c r="B452" s="81" t="inlineStr">
        <is>
          <t>Squadra A</t>
        </is>
      </c>
      <c r="C452" s="10" t="n"/>
      <c r="D452" s="81" t="inlineStr">
        <is>
          <t>Squadra B</t>
        </is>
      </c>
      <c r="E452" s="10" t="n"/>
      <c r="F452" s="81" t="inlineStr">
        <is>
          <t>Giorno</t>
        </is>
      </c>
      <c r="G452" s="81" t="inlineStr">
        <is>
          <t>Data</t>
        </is>
      </c>
      <c r="H452" s="81" t="inlineStr">
        <is>
          <t>Ora</t>
        </is>
      </c>
      <c r="I452" s="10" t="n"/>
      <c r="J452" s="81" t="inlineStr">
        <is>
          <t>Risultato</t>
        </is>
      </c>
      <c r="K452" s="9" t="n"/>
      <c r="L452" s="10" t="n"/>
    </row>
    <row r="453" ht="24" customHeight="1">
      <c r="A453" s="83">
        <f>MAX(A$10:A452)+1</f>
        <v/>
      </c>
      <c r="B453" s="61">
        <f>IF(C453="","",IFERROR(VLOOKUP(C453,areaNomiBreviSquadre,7,FALSE),""))</f>
        <v/>
      </c>
      <c r="C453" s="62" t="inlineStr">
        <is>
          <t>C04</t>
        </is>
      </c>
      <c r="D453" s="61">
        <f>IF(E453="","",IFERROR(VLOOKUP(E453,areaNomiBreviSquadre,7,FALSE),""))</f>
        <v/>
      </c>
      <c r="E453" s="62" t="inlineStr">
        <is>
          <t>C05</t>
        </is>
      </c>
      <c r="F453" s="63" t="n">
        <v>46404.72916666666</v>
      </c>
      <c r="G453" s="9" t="n"/>
      <c r="H453" s="9" t="n"/>
      <c r="I453" s="10" t="n"/>
      <c r="J453" s="65" t="n">
        <v>51</v>
      </c>
      <c r="K453" s="66" t="inlineStr">
        <is>
          <t>-</t>
        </is>
      </c>
      <c r="L453" s="65" t="n">
        <v>50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C08</t>
        </is>
      </c>
      <c r="J454" s="141" t="n"/>
      <c r="K454" s="141" t="n"/>
      <c r="L454" s="141" t="n"/>
    </row>
    <row r="455" ht="8" customHeight="1"/>
    <row r="456" ht="20" customHeight="1">
      <c r="A456" s="78" t="inlineStr">
        <is>
          <t>15C</t>
        </is>
      </c>
      <c r="B456" s="79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</row>
    <row r="458" ht="24" customHeight="1">
      <c r="A458" s="83">
        <f>MAX(A$10:A457)+1</f>
        <v/>
      </c>
      <c r="B458" s="61">
        <f>IF(C458="","",IFERROR(VLOOKUP(C458,areaNomiBreviSquadre,7,FALSE),""))</f>
        <v/>
      </c>
      <c r="C458" s="62" t="inlineStr">
        <is>
          <t>C02</t>
        </is>
      </c>
      <c r="D458" s="61">
        <f>IF(E458="","",IFERROR(VLOOKUP(E458,areaNomiBreviSquadre,7,FALSE),""))</f>
        <v/>
      </c>
      <c r="E458" s="62" t="inlineStr">
        <is>
          <t>C09</t>
        </is>
      </c>
      <c r="F458" s="63" t="n">
        <v>46411.39583333334</v>
      </c>
      <c r="G458" s="9" t="n"/>
      <c r="H458" s="9" t="n"/>
      <c r="I458" s="10" t="n"/>
      <c r="J458" s="65" t="n">
        <v>88</v>
      </c>
      <c r="K458" s="66" t="inlineStr">
        <is>
          <t>-</t>
        </is>
      </c>
      <c r="L458" s="65" t="n">
        <v>75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C09</t>
        </is>
      </c>
      <c r="J459" s="141" t="n"/>
      <c r="K459" s="141" t="n"/>
      <c r="L459" s="141" t="n"/>
    </row>
    <row r="460" ht="13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</row>
    <row r="461" ht="24" customHeight="1">
      <c r="A461" s="83">
        <f>MAX(A$10:A460)+1</f>
        <v/>
      </c>
      <c r="B461" s="61">
        <f>IF(C461="","",IFERROR(VLOOKUP(C461,areaNomiBreviSquadre,7,FALSE),""))</f>
        <v/>
      </c>
      <c r="C461" s="62" t="inlineStr">
        <is>
          <t>C15</t>
        </is>
      </c>
      <c r="D461" s="61">
        <f>IF(E461="","",IFERROR(VLOOKUP(E461,areaNomiBreviSquadre,7,FALSE),""))</f>
        <v/>
      </c>
      <c r="E461" s="62" t="inlineStr">
        <is>
          <t>C20</t>
        </is>
      </c>
      <c r="F461" s="63" t="n">
        <v>46411.45833333334</v>
      </c>
      <c r="G461" s="9" t="n"/>
      <c r="H461" s="9" t="n"/>
      <c r="I461" s="10" t="n"/>
      <c r="J461" s="65" t="n">
        <v>45</v>
      </c>
      <c r="K461" s="66" t="inlineStr">
        <is>
          <t>-</t>
        </is>
      </c>
      <c r="L461" s="65" t="n">
        <v>49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C09</t>
        </is>
      </c>
      <c r="J462" s="141" t="n"/>
      <c r="K462" s="141" t="n"/>
      <c r="L462" s="141" t="n"/>
    </row>
    <row r="463" ht="13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</row>
    <row r="464" ht="24" customHeight="1">
      <c r="A464" s="83">
        <f>MAX(A$10:A463)+1</f>
        <v/>
      </c>
      <c r="B464" s="61">
        <f>IF(C464="","",IFERROR(VLOOKUP(C464,areaNomiBreviSquadre,7,FALSE),""))</f>
        <v/>
      </c>
      <c r="C464" s="62" t="inlineStr">
        <is>
          <t>C14</t>
        </is>
      </c>
      <c r="D464" s="61">
        <f>IF(E464="","",IFERROR(VLOOKUP(E464,areaNomiBreviSquadre,7,FALSE),""))</f>
        <v/>
      </c>
      <c r="E464" s="62" t="inlineStr">
        <is>
          <t>C16</t>
        </is>
      </c>
      <c r="F464" s="63" t="n">
        <v>46411.60416666666</v>
      </c>
      <c r="G464" s="9" t="n"/>
      <c r="H464" s="9" t="n"/>
      <c r="I464" s="10" t="n"/>
      <c r="J464" s="65" t="n">
        <v>17</v>
      </c>
      <c r="K464" s="66" t="inlineStr">
        <is>
          <t>-</t>
        </is>
      </c>
      <c r="L464" s="65" t="n">
        <v>43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C09</t>
        </is>
      </c>
      <c r="J465" s="141" t="n"/>
      <c r="K465" s="141" t="n"/>
      <c r="L465" s="141" t="n"/>
    </row>
    <row r="466" ht="13" customHeight="1">
      <c r="A466" s="81" t="inlineStr">
        <is>
          <t>Gara N.</t>
        </is>
      </c>
      <c r="B466" s="81" t="inlineStr">
        <is>
          <t>Squadra A</t>
        </is>
      </c>
      <c r="C466" s="10" t="n"/>
      <c r="D466" s="81" t="inlineStr">
        <is>
          <t>Squadra B</t>
        </is>
      </c>
      <c r="E466" s="10" t="n"/>
      <c r="F466" s="81" t="inlineStr">
        <is>
          <t>Giorno</t>
        </is>
      </c>
      <c r="G466" s="81" t="inlineStr">
        <is>
          <t>Data</t>
        </is>
      </c>
      <c r="H466" s="81" t="inlineStr">
        <is>
          <t>Ora</t>
        </is>
      </c>
      <c r="I466" s="10" t="n"/>
      <c r="J466" s="81" t="inlineStr">
        <is>
          <t>Risultato</t>
        </is>
      </c>
      <c r="K466" s="9" t="n"/>
      <c r="L466" s="10" t="n"/>
    </row>
    <row r="467" ht="24" customHeight="1">
      <c r="A467" s="83">
        <f>MAX(A$10:A466)+1</f>
        <v/>
      </c>
      <c r="B467" s="61">
        <f>IF(C467="","",IFERROR(VLOOKUP(C467,areaNomiBreviSquadre,7,FALSE),""))</f>
        <v/>
      </c>
      <c r="C467" s="62" t="inlineStr">
        <is>
          <t>C17</t>
        </is>
      </c>
      <c r="D467" s="61">
        <f>IF(E467="","",IFERROR(VLOOKUP(E467,areaNomiBreviSquadre,7,FALSE),""))</f>
        <v/>
      </c>
      <c r="E467" s="62" t="inlineStr">
        <is>
          <t>C13</t>
        </is>
      </c>
      <c r="F467" s="63" t="n">
        <v>46411.66666666666</v>
      </c>
      <c r="G467" s="9" t="n"/>
      <c r="H467" s="9" t="n"/>
      <c r="I467" s="10" t="n"/>
      <c r="J467" s="65" t="n">
        <v>64</v>
      </c>
      <c r="K467" s="66" t="inlineStr">
        <is>
          <t>-</t>
        </is>
      </c>
      <c r="L467" s="65" t="n">
        <v>66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C09</t>
        </is>
      </c>
      <c r="J468" s="141" t="n"/>
      <c r="K468" s="141" t="n"/>
      <c r="L468" s="141" t="n"/>
    </row>
    <row r="469" ht="13" customHeight="1">
      <c r="A469" s="81" t="inlineStr">
        <is>
          <t>Gara N.</t>
        </is>
      </c>
      <c r="B469" s="81" t="inlineStr">
        <is>
          <t>Squadra A</t>
        </is>
      </c>
      <c r="C469" s="10" t="n"/>
      <c r="D469" s="81" t="inlineStr">
        <is>
          <t>Squadra B</t>
        </is>
      </c>
      <c r="E469" s="10" t="n"/>
      <c r="F469" s="81" t="inlineStr">
        <is>
          <t>Giorno</t>
        </is>
      </c>
      <c r="G469" s="81" t="inlineStr">
        <is>
          <t>Data</t>
        </is>
      </c>
      <c r="H469" s="81" t="inlineStr">
        <is>
          <t>Ora</t>
        </is>
      </c>
      <c r="I469" s="10" t="n"/>
      <c r="J469" s="81" t="inlineStr">
        <is>
          <t>Risultato</t>
        </is>
      </c>
      <c r="K469" s="9" t="n"/>
      <c r="L469" s="10" t="n"/>
    </row>
    <row r="470" ht="24" customHeight="1">
      <c r="A470" s="83">
        <f>MAX(A$10:A469)+1</f>
        <v/>
      </c>
      <c r="B470" s="61">
        <f>IF(C470="","",IFERROR(VLOOKUP(C470,areaNomiBreviSquadre,7,FALSE),""))</f>
        <v/>
      </c>
      <c r="C470" s="62" t="inlineStr">
        <is>
          <t>C12</t>
        </is>
      </c>
      <c r="D470" s="61">
        <f>IF(E470="","",IFERROR(VLOOKUP(E470,areaNomiBreviSquadre,7,FALSE),""))</f>
        <v/>
      </c>
      <c r="E470" s="62" t="inlineStr">
        <is>
          <t>C18</t>
        </is>
      </c>
      <c r="F470" s="63" t="n">
        <v>46411.72916666666</v>
      </c>
      <c r="G470" s="9" t="n"/>
      <c r="H470" s="9" t="n"/>
      <c r="I470" s="10" t="n"/>
      <c r="J470" s="65" t="n">
        <v>53</v>
      </c>
      <c r="K470" s="66" t="inlineStr">
        <is>
          <t>-</t>
        </is>
      </c>
      <c r="L470" s="65" t="n">
        <v>61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C09</t>
        </is>
      </c>
      <c r="J471" s="141" t="n"/>
      <c r="K471" s="141" t="n"/>
      <c r="L471" s="141" t="n"/>
    </row>
    <row r="472" ht="13" customHeight="1">
      <c r="A472" s="81" t="inlineStr">
        <is>
          <t>Gara N.</t>
        </is>
      </c>
      <c r="B472" s="81" t="inlineStr">
        <is>
          <t>Squadra A</t>
        </is>
      </c>
      <c r="C472" s="10" t="n"/>
      <c r="D472" s="81" t="inlineStr">
        <is>
          <t>Squadra B</t>
        </is>
      </c>
      <c r="E472" s="10" t="n"/>
      <c r="F472" s="81" t="inlineStr">
        <is>
          <t>Giorno</t>
        </is>
      </c>
      <c r="G472" s="81" t="inlineStr">
        <is>
          <t>Data</t>
        </is>
      </c>
      <c r="H472" s="81" t="inlineStr">
        <is>
          <t>Ora</t>
        </is>
      </c>
      <c r="I472" s="10" t="n"/>
      <c r="J472" s="81" t="inlineStr">
        <is>
          <t>Risultato</t>
        </is>
      </c>
      <c r="K472" s="9" t="n"/>
      <c r="L472" s="10" t="n"/>
    </row>
    <row r="473" ht="24" customHeight="1">
      <c r="A473" s="83">
        <f>MAX(A$10:A472)+1</f>
        <v/>
      </c>
      <c r="B473" s="61">
        <f>IF(C473="","",IFERROR(VLOOKUP(C473,areaNomiBreviSquadre,7,FALSE),""))</f>
        <v/>
      </c>
      <c r="C473" s="62" t="inlineStr">
        <is>
          <t>C10</t>
        </is>
      </c>
      <c r="D473" s="61">
        <f>IF(E473="","",IFERROR(VLOOKUP(E473,areaNomiBreviSquadre,7,FALSE),""))</f>
        <v/>
      </c>
      <c r="E473" s="62" t="inlineStr">
        <is>
          <t>C01</t>
        </is>
      </c>
      <c r="F473" s="63" t="n">
        <v>46411.39583333334</v>
      </c>
      <c r="G473" s="9" t="n"/>
      <c r="H473" s="9" t="n"/>
      <c r="I473" s="10" t="n"/>
      <c r="J473" s="65" t="n">
        <v>76</v>
      </c>
      <c r="K473" s="66" t="inlineStr">
        <is>
          <t>-</t>
        </is>
      </c>
      <c r="L473" s="65" t="n">
        <v>92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C10</t>
        </is>
      </c>
      <c r="J474" s="141" t="n"/>
      <c r="K474" s="141" t="n"/>
      <c r="L474" s="141" t="n"/>
    </row>
    <row r="475" ht="13" customHeight="1">
      <c r="A475" s="81" t="inlineStr">
        <is>
          <t>Gara N.</t>
        </is>
      </c>
      <c r="B475" s="81" t="inlineStr">
        <is>
          <t>Squadra A</t>
        </is>
      </c>
      <c r="C475" s="10" t="n"/>
      <c r="D475" s="81" t="inlineStr">
        <is>
          <t>Squadra B</t>
        </is>
      </c>
      <c r="E475" s="10" t="n"/>
      <c r="F475" s="81" t="inlineStr">
        <is>
          <t>Giorno</t>
        </is>
      </c>
      <c r="G475" s="81" t="inlineStr">
        <is>
          <t>Data</t>
        </is>
      </c>
      <c r="H475" s="81" t="inlineStr">
        <is>
          <t>Ora</t>
        </is>
      </c>
      <c r="I475" s="10" t="n"/>
      <c r="J475" s="81" t="inlineStr">
        <is>
          <t>Risultato</t>
        </is>
      </c>
      <c r="K475" s="9" t="n"/>
      <c r="L475" s="10" t="n"/>
    </row>
    <row r="476" ht="24" customHeight="1">
      <c r="A476" s="83">
        <f>MAX(A$10:A475)+1</f>
        <v/>
      </c>
      <c r="B476" s="61">
        <f>IF(C476="","",IFERROR(VLOOKUP(C476,areaNomiBreviSquadre,7,FALSE),""))</f>
        <v/>
      </c>
      <c r="C476" s="62" t="inlineStr">
        <is>
          <t>C19</t>
        </is>
      </c>
      <c r="D476" s="61">
        <f>IF(E476="","",IFERROR(VLOOKUP(E476,areaNomiBreviSquadre,7,FALSE),""))</f>
        <v/>
      </c>
      <c r="E476" s="62" t="inlineStr">
        <is>
          <t>C11</t>
        </is>
      </c>
      <c r="F476" s="63" t="n">
        <v>46411.45833333334</v>
      </c>
      <c r="G476" s="9" t="n"/>
      <c r="H476" s="9" t="n"/>
      <c r="I476" s="10" t="n"/>
      <c r="J476" s="65" t="n">
        <v>73</v>
      </c>
      <c r="K476" s="66" t="inlineStr">
        <is>
          <t>-</t>
        </is>
      </c>
      <c r="L476" s="65" t="n">
        <v>48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C10</t>
        </is>
      </c>
      <c r="J477" s="141" t="n"/>
      <c r="K477" s="141" t="n"/>
      <c r="L477" s="141" t="n"/>
    </row>
    <row r="478" ht="13" customHeight="1">
      <c r="A478" s="81" t="inlineStr">
        <is>
          <t>Gara N.</t>
        </is>
      </c>
      <c r="B478" s="81" t="inlineStr">
        <is>
          <t>Squadra A</t>
        </is>
      </c>
      <c r="C478" s="10" t="n"/>
      <c r="D478" s="81" t="inlineStr">
        <is>
          <t>Squadra B</t>
        </is>
      </c>
      <c r="E478" s="10" t="n"/>
      <c r="F478" s="81" t="inlineStr">
        <is>
          <t>Giorno</t>
        </is>
      </c>
      <c r="G478" s="81" t="inlineStr">
        <is>
          <t>Data</t>
        </is>
      </c>
      <c r="H478" s="81" t="inlineStr">
        <is>
          <t>Ora</t>
        </is>
      </c>
      <c r="I478" s="10" t="n"/>
      <c r="J478" s="81" t="inlineStr">
        <is>
          <t>Risultato</t>
        </is>
      </c>
      <c r="K478" s="9" t="n"/>
      <c r="L478" s="10" t="n"/>
    </row>
    <row r="479" ht="24" customHeight="1">
      <c r="A479" s="83">
        <f>MAX(A$10:A478)+1</f>
        <v/>
      </c>
      <c r="B479" s="61">
        <f>IF(C479="","",IFERROR(VLOOKUP(C479,areaNomiBreviSquadre,7,FALSE),""))</f>
        <v/>
      </c>
      <c r="C479" s="62" t="inlineStr">
        <is>
          <t>C08</t>
        </is>
      </c>
      <c r="D479" s="61">
        <f>IF(E479="","",IFERROR(VLOOKUP(E479,areaNomiBreviSquadre,7,FALSE),""))</f>
        <v/>
      </c>
      <c r="E479" s="62" t="inlineStr">
        <is>
          <t>C03</t>
        </is>
      </c>
      <c r="F479" s="63" t="n">
        <v>46411.60416666666</v>
      </c>
      <c r="G479" s="9" t="n"/>
      <c r="H479" s="9" t="n"/>
      <c r="I479" s="10" t="n"/>
      <c r="J479" s="65" t="n">
        <v>59</v>
      </c>
      <c r="K479" s="66" t="inlineStr">
        <is>
          <t>-</t>
        </is>
      </c>
      <c r="L479" s="65" t="n">
        <v>31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C10</t>
        </is>
      </c>
      <c r="J480" s="141" t="n"/>
      <c r="K480" s="141" t="n"/>
      <c r="L480" s="141" t="n"/>
    </row>
    <row r="481" ht="13" customHeight="1">
      <c r="A481" s="81" t="inlineStr">
        <is>
          <t>Gara N.</t>
        </is>
      </c>
      <c r="B481" s="81" t="inlineStr">
        <is>
          <t>Squadra A</t>
        </is>
      </c>
      <c r="C481" s="10" t="n"/>
      <c r="D481" s="81" t="inlineStr">
        <is>
          <t>Squadra B</t>
        </is>
      </c>
      <c r="E481" s="10" t="n"/>
      <c r="F481" s="81" t="inlineStr">
        <is>
          <t>Giorno</t>
        </is>
      </c>
      <c r="G481" s="81" t="inlineStr">
        <is>
          <t>Data</t>
        </is>
      </c>
      <c r="H481" s="81" t="inlineStr">
        <is>
          <t>Ora</t>
        </is>
      </c>
      <c r="I481" s="10" t="n"/>
      <c r="J481" s="81" t="inlineStr">
        <is>
          <t>Risultato</t>
        </is>
      </c>
      <c r="K481" s="9" t="n"/>
      <c r="L481" s="10" t="n"/>
    </row>
    <row r="482" ht="24" customHeight="1">
      <c r="A482" s="83">
        <f>MAX(A$10:A481)+1</f>
        <v/>
      </c>
      <c r="B482" s="61">
        <f>IF(C482="","",IFERROR(VLOOKUP(C482,areaNomiBreviSquadre,7,FALSE),""))</f>
        <v/>
      </c>
      <c r="C482" s="62" t="inlineStr">
        <is>
          <t>C04</t>
        </is>
      </c>
      <c r="D482" s="61">
        <f>IF(E482="","",IFERROR(VLOOKUP(E482,areaNomiBreviSquadre,7,FALSE),""))</f>
        <v/>
      </c>
      <c r="E482" s="62" t="inlineStr">
        <is>
          <t>C07</t>
        </is>
      </c>
      <c r="F482" s="63" t="n">
        <v>46411.66666666666</v>
      </c>
      <c r="G482" s="9" t="n"/>
      <c r="H482" s="9" t="n"/>
      <c r="I482" s="10" t="n"/>
      <c r="J482" s="65" t="n">
        <v>35</v>
      </c>
      <c r="K482" s="66" t="inlineStr">
        <is>
          <t>-</t>
        </is>
      </c>
      <c r="L482" s="65" t="n">
        <v>44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C10</t>
        </is>
      </c>
      <c r="J483" s="141" t="n"/>
      <c r="K483" s="141" t="n"/>
      <c r="L483" s="141" t="n"/>
    </row>
    <row r="484" ht="13" customHeight="1">
      <c r="A484" s="81" t="inlineStr">
        <is>
          <t>Gara N.</t>
        </is>
      </c>
      <c r="B484" s="81" t="inlineStr">
        <is>
          <t>Squadra A</t>
        </is>
      </c>
      <c r="C484" s="10" t="n"/>
      <c r="D484" s="81" t="inlineStr">
        <is>
          <t>Squadra B</t>
        </is>
      </c>
      <c r="E484" s="10" t="n"/>
      <c r="F484" s="81" t="inlineStr">
        <is>
          <t>Giorno</t>
        </is>
      </c>
      <c r="G484" s="81" t="inlineStr">
        <is>
          <t>Data</t>
        </is>
      </c>
      <c r="H484" s="81" t="inlineStr">
        <is>
          <t>Ora</t>
        </is>
      </c>
      <c r="I484" s="10" t="n"/>
      <c r="J484" s="81" t="inlineStr">
        <is>
          <t>Risultato</t>
        </is>
      </c>
      <c r="K484" s="9" t="n"/>
      <c r="L484" s="10" t="n"/>
    </row>
    <row r="485" ht="24" customHeight="1">
      <c r="A485" s="83">
        <f>MAX(A$10:A484)+1</f>
        <v/>
      </c>
      <c r="B485" s="61">
        <f>IF(C485="","",IFERROR(VLOOKUP(C485,areaNomiBreviSquadre,7,FALSE),""))</f>
        <v/>
      </c>
      <c r="C485" s="62" t="inlineStr">
        <is>
          <t>C06</t>
        </is>
      </c>
      <c r="D485" s="61">
        <f>IF(E485="","",IFERROR(VLOOKUP(E485,areaNomiBreviSquadre,7,FALSE),""))</f>
        <v/>
      </c>
      <c r="E485" s="62" t="inlineStr">
        <is>
          <t>C05</t>
        </is>
      </c>
      <c r="F485" s="63" t="n">
        <v>46411.72916666666</v>
      </c>
      <c r="G485" s="9" t="n"/>
      <c r="H485" s="9" t="n"/>
      <c r="I485" s="10" t="n"/>
      <c r="J485" s="65" t="n">
        <v>82</v>
      </c>
      <c r="K485" s="66" t="inlineStr">
        <is>
          <t>-</t>
        </is>
      </c>
      <c r="L485" s="65" t="n">
        <v>66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C10</t>
        </is>
      </c>
      <c r="J486" s="141" t="n"/>
      <c r="K486" s="141" t="n"/>
      <c r="L486" s="141" t="n"/>
    </row>
    <row r="487" ht="8" customHeight="1"/>
    <row r="488" ht="20" customHeight="1">
      <c r="A488" s="78" t="inlineStr">
        <is>
          <t>16C</t>
        </is>
      </c>
      <c r="B488" s="79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1" t="inlineStr">
        <is>
          <t>Gara N.</t>
        </is>
      </c>
      <c r="B489" s="81" t="inlineStr">
        <is>
          <t>Squadra A</t>
        </is>
      </c>
      <c r="C489" s="10" t="n"/>
      <c r="D489" s="81" t="inlineStr">
        <is>
          <t>Squadra B</t>
        </is>
      </c>
      <c r="E489" s="10" t="n"/>
      <c r="F489" s="81" t="inlineStr">
        <is>
          <t>Giorno</t>
        </is>
      </c>
      <c r="G489" s="81" t="inlineStr">
        <is>
          <t>Data</t>
        </is>
      </c>
      <c r="H489" s="81" t="inlineStr">
        <is>
          <t>Ora</t>
        </is>
      </c>
      <c r="I489" s="10" t="n"/>
      <c r="J489" s="81" t="inlineStr">
        <is>
          <t>Risultato</t>
        </is>
      </c>
      <c r="K489" s="9" t="n"/>
      <c r="L489" s="10" t="n"/>
    </row>
    <row r="490" ht="24" customHeight="1">
      <c r="A490" s="83">
        <f>MAX(A$10:A489)+1</f>
        <v/>
      </c>
      <c r="B490" s="61">
        <f>IF(C490="","",IFERROR(VLOOKUP(C490,areaNomiBreviSquadre,7,FALSE),""))</f>
        <v/>
      </c>
      <c r="C490" s="62" t="inlineStr">
        <is>
          <t>C02</t>
        </is>
      </c>
      <c r="D490" s="61">
        <f>IF(E490="","",IFERROR(VLOOKUP(E490,areaNomiBreviSquadre,7,FALSE),""))</f>
        <v/>
      </c>
      <c r="E490" s="62" t="inlineStr">
        <is>
          <t>C11</t>
        </is>
      </c>
      <c r="F490" s="63" t="n">
        <v>46418.39583333334</v>
      </c>
      <c r="G490" s="9" t="n"/>
      <c r="H490" s="9" t="n"/>
      <c r="I490" s="10" t="n"/>
      <c r="J490" s="65" t="n">
        <v>40</v>
      </c>
      <c r="K490" s="66" t="inlineStr">
        <is>
          <t>-</t>
        </is>
      </c>
      <c r="L490" s="65" t="n">
        <v>15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C11</t>
        </is>
      </c>
      <c r="J491" s="141" t="n"/>
      <c r="K491" s="141" t="n"/>
      <c r="L491" s="141" t="n"/>
    </row>
    <row r="492" ht="13" customHeight="1">
      <c r="A492" s="81" t="inlineStr">
        <is>
          <t>Gara N.</t>
        </is>
      </c>
      <c r="B492" s="81" t="inlineStr">
        <is>
          <t>Squadra A</t>
        </is>
      </c>
      <c r="C492" s="10" t="n"/>
      <c r="D492" s="81" t="inlineStr">
        <is>
          <t>Squadra B</t>
        </is>
      </c>
      <c r="E492" s="10" t="n"/>
      <c r="F492" s="81" t="inlineStr">
        <is>
          <t>Giorno</t>
        </is>
      </c>
      <c r="G492" s="81" t="inlineStr">
        <is>
          <t>Data</t>
        </is>
      </c>
      <c r="H492" s="81" t="inlineStr">
        <is>
          <t>Ora</t>
        </is>
      </c>
      <c r="I492" s="10" t="n"/>
      <c r="J492" s="81" t="inlineStr">
        <is>
          <t>Risultato</t>
        </is>
      </c>
      <c r="K492" s="9" t="n"/>
      <c r="L492" s="10" t="n"/>
    </row>
    <row r="493" ht="24" customHeight="1">
      <c r="A493" s="83">
        <f>MAX(A$10:A492)+1</f>
        <v/>
      </c>
      <c r="B493" s="61">
        <f>IF(C493="","",IFERROR(VLOOKUP(C493,areaNomiBreviSquadre,7,FALSE),""))</f>
        <v/>
      </c>
      <c r="C493" s="62" t="inlineStr">
        <is>
          <t>C20</t>
        </is>
      </c>
      <c r="D493" s="61">
        <f>IF(E493="","",IFERROR(VLOOKUP(E493,areaNomiBreviSquadre,7,FALSE),""))</f>
        <v/>
      </c>
      <c r="E493" s="62" t="inlineStr">
        <is>
          <t>C16</t>
        </is>
      </c>
      <c r="F493" s="63" t="n">
        <v>46418.45833333334</v>
      </c>
      <c r="G493" s="9" t="n"/>
      <c r="H493" s="9" t="n"/>
      <c r="I493" s="10" t="n"/>
      <c r="J493" s="65" t="n">
        <v>87</v>
      </c>
      <c r="K493" s="66" t="inlineStr">
        <is>
          <t>-</t>
        </is>
      </c>
      <c r="L493" s="65" t="n">
        <v>85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C11</t>
        </is>
      </c>
      <c r="J494" s="141" t="n"/>
      <c r="K494" s="141" t="n"/>
      <c r="L494" s="141" t="n"/>
    </row>
    <row r="495" ht="13" customHeight="1">
      <c r="A495" s="81" t="inlineStr">
        <is>
          <t>Gara N.</t>
        </is>
      </c>
      <c r="B495" s="81" t="inlineStr">
        <is>
          <t>Squadra A</t>
        </is>
      </c>
      <c r="C495" s="10" t="n"/>
      <c r="D495" s="81" t="inlineStr">
        <is>
          <t>Squadra B</t>
        </is>
      </c>
      <c r="E495" s="10" t="n"/>
      <c r="F495" s="81" t="inlineStr">
        <is>
          <t>Giorno</t>
        </is>
      </c>
      <c r="G495" s="81" t="inlineStr">
        <is>
          <t>Data</t>
        </is>
      </c>
      <c r="H495" s="81" t="inlineStr">
        <is>
          <t>Ora</t>
        </is>
      </c>
      <c r="I495" s="10" t="n"/>
      <c r="J495" s="81" t="inlineStr">
        <is>
          <t>Risultato</t>
        </is>
      </c>
      <c r="K495" s="9" t="n"/>
      <c r="L495" s="10" t="n"/>
    </row>
    <row r="496" ht="24" customHeight="1">
      <c r="A496" s="83">
        <f>MAX(A$10:A495)+1</f>
        <v/>
      </c>
      <c r="B496" s="61">
        <f>IF(C496="","",IFERROR(VLOOKUP(C496,areaNomiBreviSquadre,7,FALSE),""))</f>
        <v/>
      </c>
      <c r="C496" s="62" t="inlineStr">
        <is>
          <t>C17</t>
        </is>
      </c>
      <c r="D496" s="61">
        <f>IF(E496="","",IFERROR(VLOOKUP(E496,areaNomiBreviSquadre,7,FALSE),""))</f>
        <v/>
      </c>
      <c r="E496" s="62" t="inlineStr">
        <is>
          <t>C15</t>
        </is>
      </c>
      <c r="F496" s="63" t="n">
        <v>46418.60416666666</v>
      </c>
      <c r="G496" s="9" t="n"/>
      <c r="H496" s="9" t="n"/>
      <c r="I496" s="10" t="n"/>
      <c r="J496" s="65" t="n">
        <v>60</v>
      </c>
      <c r="K496" s="66" t="inlineStr">
        <is>
          <t>-</t>
        </is>
      </c>
      <c r="L496" s="65" t="n">
        <v>48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C11</t>
        </is>
      </c>
      <c r="J497" s="141" t="n"/>
      <c r="K497" s="141" t="n"/>
      <c r="L497" s="141" t="n"/>
    </row>
    <row r="498" ht="13" customHeight="1">
      <c r="A498" s="81" t="inlineStr">
        <is>
          <t>Gara N.</t>
        </is>
      </c>
      <c r="B498" s="81" t="inlineStr">
        <is>
          <t>Squadra A</t>
        </is>
      </c>
      <c r="C498" s="10" t="n"/>
      <c r="D498" s="81" t="inlineStr">
        <is>
          <t>Squadra B</t>
        </is>
      </c>
      <c r="E498" s="10" t="n"/>
      <c r="F498" s="81" t="inlineStr">
        <is>
          <t>Giorno</t>
        </is>
      </c>
      <c r="G498" s="81" t="inlineStr">
        <is>
          <t>Data</t>
        </is>
      </c>
      <c r="H498" s="81" t="inlineStr">
        <is>
          <t>Ora</t>
        </is>
      </c>
      <c r="I498" s="10" t="n"/>
      <c r="J498" s="81" t="inlineStr">
        <is>
          <t>Risultato</t>
        </is>
      </c>
      <c r="K498" s="9" t="n"/>
      <c r="L498" s="10" t="n"/>
    </row>
    <row r="499" ht="24" customHeight="1">
      <c r="A499" s="83">
        <f>MAX(A$10:A498)+1</f>
        <v/>
      </c>
      <c r="B499" s="61">
        <f>IF(C499="","",IFERROR(VLOOKUP(C499,areaNomiBreviSquadre,7,FALSE),""))</f>
        <v/>
      </c>
      <c r="C499" s="62" t="inlineStr">
        <is>
          <t>C14</t>
        </is>
      </c>
      <c r="D499" s="61">
        <f>IF(E499="","",IFERROR(VLOOKUP(E499,areaNomiBreviSquadre,7,FALSE),""))</f>
        <v/>
      </c>
      <c r="E499" s="62" t="inlineStr">
        <is>
          <t>C18</t>
        </is>
      </c>
      <c r="F499" s="63" t="n">
        <v>46418.66666666666</v>
      </c>
      <c r="G499" s="9" t="n"/>
      <c r="H499" s="9" t="n"/>
      <c r="I499" s="10" t="n"/>
      <c r="J499" s="65" t="n">
        <v>47</v>
      </c>
      <c r="K499" s="66" t="inlineStr">
        <is>
          <t>-</t>
        </is>
      </c>
      <c r="L499" s="65" t="n">
        <v>71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C11</t>
        </is>
      </c>
      <c r="J500" s="141" t="n"/>
      <c r="K500" s="141" t="n"/>
      <c r="L500" s="141" t="n"/>
    </row>
    <row r="501" ht="13" customHeight="1">
      <c r="A501" s="81" t="inlineStr">
        <is>
          <t>Gara N.</t>
        </is>
      </c>
      <c r="B501" s="81" t="inlineStr">
        <is>
          <t>Squadra A</t>
        </is>
      </c>
      <c r="C501" s="10" t="n"/>
      <c r="D501" s="81" t="inlineStr">
        <is>
          <t>Squadra B</t>
        </is>
      </c>
      <c r="E501" s="10" t="n"/>
      <c r="F501" s="81" t="inlineStr">
        <is>
          <t>Giorno</t>
        </is>
      </c>
      <c r="G501" s="81" t="inlineStr">
        <is>
          <t>Data</t>
        </is>
      </c>
      <c r="H501" s="81" t="inlineStr">
        <is>
          <t>Ora</t>
        </is>
      </c>
      <c r="I501" s="10" t="n"/>
      <c r="J501" s="81" t="inlineStr">
        <is>
          <t>Risultato</t>
        </is>
      </c>
      <c r="K501" s="9" t="n"/>
      <c r="L501" s="10" t="n"/>
    </row>
    <row r="502" ht="24" customHeight="1">
      <c r="A502" s="83">
        <f>MAX(A$10:A501)+1</f>
        <v/>
      </c>
      <c r="B502" s="61">
        <f>IF(C502="","",IFERROR(VLOOKUP(C502,areaNomiBreviSquadre,7,FALSE),""))</f>
        <v/>
      </c>
      <c r="C502" s="62" t="inlineStr">
        <is>
          <t>C19</t>
        </is>
      </c>
      <c r="D502" s="61">
        <f>IF(E502="","",IFERROR(VLOOKUP(E502,areaNomiBreviSquadre,7,FALSE),""))</f>
        <v/>
      </c>
      <c r="E502" s="62" t="inlineStr">
        <is>
          <t>C13</t>
        </is>
      </c>
      <c r="F502" s="63" t="n">
        <v>46418.72916666666</v>
      </c>
      <c r="G502" s="9" t="n"/>
      <c r="H502" s="9" t="n"/>
      <c r="I502" s="10" t="n"/>
      <c r="J502" s="65" t="n">
        <v>43</v>
      </c>
      <c r="K502" s="66" t="inlineStr">
        <is>
          <t>-</t>
        </is>
      </c>
      <c r="L502" s="65" t="n">
        <v>65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C11</t>
        </is>
      </c>
      <c r="J503" s="141" t="n"/>
      <c r="K503" s="141" t="n"/>
      <c r="L503" s="141" t="n"/>
    </row>
    <row r="504" ht="13" customHeight="1">
      <c r="A504" s="81" t="inlineStr">
        <is>
          <t>Gara N.</t>
        </is>
      </c>
      <c r="B504" s="81" t="inlineStr">
        <is>
          <t>Squadra A</t>
        </is>
      </c>
      <c r="C504" s="10" t="n"/>
      <c r="D504" s="81" t="inlineStr">
        <is>
          <t>Squadra B</t>
        </is>
      </c>
      <c r="E504" s="10" t="n"/>
      <c r="F504" s="81" t="inlineStr">
        <is>
          <t>Giorno</t>
        </is>
      </c>
      <c r="G504" s="81" t="inlineStr">
        <is>
          <t>Data</t>
        </is>
      </c>
      <c r="H504" s="81" t="inlineStr">
        <is>
          <t>Ora</t>
        </is>
      </c>
      <c r="I504" s="10" t="n"/>
      <c r="J504" s="81" t="inlineStr">
        <is>
          <t>Risultato</t>
        </is>
      </c>
      <c r="K504" s="9" t="n"/>
      <c r="L504" s="10" t="n"/>
    </row>
    <row r="505" ht="24" customHeight="1">
      <c r="A505" s="83">
        <f>MAX(A$10:A504)+1</f>
        <v/>
      </c>
      <c r="B505" s="61">
        <f>IF(C505="","",IFERROR(VLOOKUP(C505,areaNomiBreviSquadre,7,FALSE),""))</f>
        <v/>
      </c>
      <c r="C505" s="62" t="inlineStr">
        <is>
          <t>C12</t>
        </is>
      </c>
      <c r="D505" s="61">
        <f>IF(E505="","",IFERROR(VLOOKUP(E505,areaNomiBreviSquadre,7,FALSE),""))</f>
        <v/>
      </c>
      <c r="E505" s="62" t="inlineStr">
        <is>
          <t>C01</t>
        </is>
      </c>
      <c r="F505" s="63" t="n">
        <v>46418.39583333334</v>
      </c>
      <c r="G505" s="9" t="n"/>
      <c r="H505" s="9" t="n"/>
      <c r="I505" s="10" t="n"/>
      <c r="J505" s="65" t="n">
        <v>40</v>
      </c>
      <c r="K505" s="66" t="inlineStr">
        <is>
          <t>-</t>
        </is>
      </c>
      <c r="L505" s="65" t="n">
        <v>18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C12</t>
        </is>
      </c>
      <c r="J506" s="141" t="n"/>
      <c r="K506" s="141" t="n"/>
      <c r="L506" s="141" t="n"/>
    </row>
    <row r="507" ht="13" customHeight="1">
      <c r="A507" s="81" t="inlineStr">
        <is>
          <t>Gara N.</t>
        </is>
      </c>
      <c r="B507" s="81" t="inlineStr">
        <is>
          <t>Squadra A</t>
        </is>
      </c>
      <c r="C507" s="10" t="n"/>
      <c r="D507" s="81" t="inlineStr">
        <is>
          <t>Squadra B</t>
        </is>
      </c>
      <c r="E507" s="10" t="n"/>
      <c r="F507" s="81" t="inlineStr">
        <is>
          <t>Giorno</t>
        </is>
      </c>
      <c r="G507" s="81" t="inlineStr">
        <is>
          <t>Data</t>
        </is>
      </c>
      <c r="H507" s="81" t="inlineStr">
        <is>
          <t>Ora</t>
        </is>
      </c>
      <c r="I507" s="10" t="n"/>
      <c r="J507" s="81" t="inlineStr">
        <is>
          <t>Risultato</t>
        </is>
      </c>
      <c r="K507" s="9" t="n"/>
      <c r="L507" s="10" t="n"/>
    </row>
    <row r="508" ht="24" customHeight="1">
      <c r="A508" s="83">
        <f>MAX(A$10:A507)+1</f>
        <v/>
      </c>
      <c r="B508" s="61">
        <f>IF(C508="","",IFERROR(VLOOKUP(C508,areaNomiBreviSquadre,7,FALSE),""))</f>
        <v/>
      </c>
      <c r="C508" s="62" t="inlineStr">
        <is>
          <t>C10</t>
        </is>
      </c>
      <c r="D508" s="61">
        <f>IF(E508="","",IFERROR(VLOOKUP(E508,areaNomiBreviSquadre,7,FALSE),""))</f>
        <v/>
      </c>
      <c r="E508" s="62" t="inlineStr">
        <is>
          <t>C03</t>
        </is>
      </c>
      <c r="F508" s="63" t="n">
        <v>46418.45833333334</v>
      </c>
      <c r="G508" s="9" t="n"/>
      <c r="H508" s="9" t="n"/>
      <c r="I508" s="10" t="n"/>
      <c r="J508" s="65" t="n">
        <v>54</v>
      </c>
      <c r="K508" s="66" t="inlineStr">
        <is>
          <t>-</t>
        </is>
      </c>
      <c r="L508" s="65" t="n">
        <v>35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C12</t>
        </is>
      </c>
      <c r="J509" s="141" t="n"/>
      <c r="K509" s="141" t="n"/>
      <c r="L509" s="141" t="n"/>
    </row>
    <row r="510" ht="13" customHeight="1">
      <c r="A510" s="81" t="inlineStr">
        <is>
          <t>Gara N.</t>
        </is>
      </c>
      <c r="B510" s="81" t="inlineStr">
        <is>
          <t>Squadra A</t>
        </is>
      </c>
      <c r="C510" s="10" t="n"/>
      <c r="D510" s="81" t="inlineStr">
        <is>
          <t>Squadra B</t>
        </is>
      </c>
      <c r="E510" s="10" t="n"/>
      <c r="F510" s="81" t="inlineStr">
        <is>
          <t>Giorno</t>
        </is>
      </c>
      <c r="G510" s="81" t="inlineStr">
        <is>
          <t>Data</t>
        </is>
      </c>
      <c r="H510" s="81" t="inlineStr">
        <is>
          <t>Ora</t>
        </is>
      </c>
      <c r="I510" s="10" t="n"/>
      <c r="J510" s="81" t="inlineStr">
        <is>
          <t>Risultato</t>
        </is>
      </c>
      <c r="K510" s="9" t="n"/>
      <c r="L510" s="10" t="n"/>
    </row>
    <row r="511" ht="24" customHeight="1">
      <c r="A511" s="83">
        <f>MAX(A$10:A510)+1</f>
        <v/>
      </c>
      <c r="B511" s="61">
        <f>IF(C511="","",IFERROR(VLOOKUP(C511,areaNomiBreviSquadre,7,FALSE),""))</f>
        <v/>
      </c>
      <c r="C511" s="62" t="inlineStr">
        <is>
          <t>C04</t>
        </is>
      </c>
      <c r="D511" s="61">
        <f>IF(E511="","",IFERROR(VLOOKUP(E511,areaNomiBreviSquadre,7,FALSE),""))</f>
        <v/>
      </c>
      <c r="E511" s="62" t="inlineStr">
        <is>
          <t>C09</t>
        </is>
      </c>
      <c r="F511" s="63" t="n">
        <v>46418.60416666666</v>
      </c>
      <c r="G511" s="9" t="n"/>
      <c r="H511" s="9" t="n"/>
      <c r="I511" s="10" t="n"/>
      <c r="J511" s="65" t="n">
        <v>70</v>
      </c>
      <c r="K511" s="66" t="inlineStr">
        <is>
          <t>-</t>
        </is>
      </c>
      <c r="L511" s="65" t="n">
        <v>57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C12</t>
        </is>
      </c>
      <c r="J512" s="141" t="n"/>
      <c r="K512" s="141" t="n"/>
      <c r="L512" s="141" t="n"/>
    </row>
    <row r="513" ht="13" customHeight="1">
      <c r="A513" s="81" t="inlineStr">
        <is>
          <t>Gara N.</t>
        </is>
      </c>
      <c r="B513" s="81" t="inlineStr">
        <is>
          <t>Squadra A</t>
        </is>
      </c>
      <c r="C513" s="10" t="n"/>
      <c r="D513" s="81" t="inlineStr">
        <is>
          <t>Squadra B</t>
        </is>
      </c>
      <c r="E513" s="10" t="n"/>
      <c r="F513" s="81" t="inlineStr">
        <is>
          <t>Giorno</t>
        </is>
      </c>
      <c r="G513" s="81" t="inlineStr">
        <is>
          <t>Data</t>
        </is>
      </c>
      <c r="H513" s="81" t="inlineStr">
        <is>
          <t>Ora</t>
        </is>
      </c>
      <c r="I513" s="10" t="n"/>
      <c r="J513" s="81" t="inlineStr">
        <is>
          <t>Risultato</t>
        </is>
      </c>
      <c r="K513" s="9" t="n"/>
      <c r="L513" s="10" t="n"/>
    </row>
    <row r="514" ht="24" customHeight="1">
      <c r="A514" s="83">
        <f>MAX(A$10:A513)+1</f>
        <v/>
      </c>
      <c r="B514" s="61">
        <f>IF(C514="","",IFERROR(VLOOKUP(C514,areaNomiBreviSquadre,7,FALSE),""))</f>
        <v/>
      </c>
      <c r="C514" s="62" t="inlineStr">
        <is>
          <t>C08</t>
        </is>
      </c>
      <c r="D514" s="61">
        <f>IF(E514="","",IFERROR(VLOOKUP(E514,areaNomiBreviSquadre,7,FALSE),""))</f>
        <v/>
      </c>
      <c r="E514" s="62" t="inlineStr">
        <is>
          <t>C05</t>
        </is>
      </c>
      <c r="F514" s="63" t="n">
        <v>46418.66666666666</v>
      </c>
      <c r="G514" s="9" t="n"/>
      <c r="H514" s="9" t="n"/>
      <c r="I514" s="10" t="n"/>
      <c r="J514" s="65" t="n">
        <v>51</v>
      </c>
      <c r="K514" s="66" t="inlineStr">
        <is>
          <t>-</t>
        </is>
      </c>
      <c r="L514" s="65" t="n">
        <v>58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C12</t>
        </is>
      </c>
      <c r="J515" s="141" t="n"/>
      <c r="K515" s="141" t="n"/>
      <c r="L515" s="141" t="n"/>
    </row>
    <row r="516" ht="13" customHeight="1">
      <c r="A516" s="81" t="inlineStr">
        <is>
          <t>Gara N.</t>
        </is>
      </c>
      <c r="B516" s="81" t="inlineStr">
        <is>
          <t>Squadra A</t>
        </is>
      </c>
      <c r="C516" s="10" t="n"/>
      <c r="D516" s="81" t="inlineStr">
        <is>
          <t>Squadra B</t>
        </is>
      </c>
      <c r="E516" s="10" t="n"/>
      <c r="F516" s="81" t="inlineStr">
        <is>
          <t>Giorno</t>
        </is>
      </c>
      <c r="G516" s="81" t="inlineStr">
        <is>
          <t>Data</t>
        </is>
      </c>
      <c r="H516" s="81" t="inlineStr">
        <is>
          <t>Ora</t>
        </is>
      </c>
      <c r="I516" s="10" t="n"/>
      <c r="J516" s="81" t="inlineStr">
        <is>
          <t>Risultato</t>
        </is>
      </c>
      <c r="K516" s="9" t="n"/>
      <c r="L516" s="10" t="n"/>
    </row>
    <row r="517" ht="24" customHeight="1">
      <c r="A517" s="83">
        <f>MAX(A$10:A516)+1</f>
        <v/>
      </c>
      <c r="B517" s="61">
        <f>IF(C517="","",IFERROR(VLOOKUP(C517,areaNomiBreviSquadre,7,FALSE),""))</f>
        <v/>
      </c>
      <c r="C517" s="62" t="inlineStr">
        <is>
          <t>C06</t>
        </is>
      </c>
      <c r="D517" s="61">
        <f>IF(E517="","",IFERROR(VLOOKUP(E517,areaNomiBreviSquadre,7,FALSE),""))</f>
        <v/>
      </c>
      <c r="E517" s="62" t="inlineStr">
        <is>
          <t>C07</t>
        </is>
      </c>
      <c r="F517" s="63" t="n">
        <v>46418.72916666666</v>
      </c>
      <c r="G517" s="9" t="n"/>
      <c r="H517" s="9" t="n"/>
      <c r="I517" s="10" t="n"/>
      <c r="J517" s="65" t="n">
        <v>40</v>
      </c>
      <c r="K517" s="66" t="inlineStr">
        <is>
          <t>-</t>
        </is>
      </c>
      <c r="L517" s="65" t="n">
        <v>61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C12</t>
        </is>
      </c>
      <c r="J518" s="141" t="n"/>
      <c r="K518" s="141" t="n"/>
      <c r="L518" s="141" t="n"/>
    </row>
    <row r="519" ht="8" customHeight="1"/>
    <row r="520" ht="20" customHeight="1">
      <c r="A520" s="78" t="inlineStr">
        <is>
          <t>17C</t>
        </is>
      </c>
      <c r="B520" s="79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1" t="inlineStr">
        <is>
          <t>Gara N.</t>
        </is>
      </c>
      <c r="B521" s="81" t="inlineStr">
        <is>
          <t>Squadra A</t>
        </is>
      </c>
      <c r="C521" s="10" t="n"/>
      <c r="D521" s="81" t="inlineStr">
        <is>
          <t>Squadra B</t>
        </is>
      </c>
      <c r="E521" s="10" t="n"/>
      <c r="F521" s="81" t="inlineStr">
        <is>
          <t>Giorno</t>
        </is>
      </c>
      <c r="G521" s="81" t="inlineStr">
        <is>
          <t>Data</t>
        </is>
      </c>
      <c r="H521" s="81" t="inlineStr">
        <is>
          <t>Ora</t>
        </is>
      </c>
      <c r="I521" s="10" t="n"/>
      <c r="J521" s="81" t="inlineStr">
        <is>
          <t>Risultato</t>
        </is>
      </c>
      <c r="K521" s="9" t="n"/>
      <c r="L521" s="10" t="n"/>
    </row>
    <row r="522" ht="24" customHeight="1">
      <c r="A522" s="83">
        <f>MAX(A$10:A521)+1</f>
        <v/>
      </c>
      <c r="B522" s="61">
        <f>IF(C522="","",IFERROR(VLOOKUP(C522,areaNomiBreviSquadre,7,FALSE),""))</f>
        <v/>
      </c>
      <c r="C522" s="62" t="inlineStr">
        <is>
          <t>C02</t>
        </is>
      </c>
      <c r="D522" s="61">
        <f>IF(E522="","",IFERROR(VLOOKUP(E522,areaNomiBreviSquadre,7,FALSE),""))</f>
        <v/>
      </c>
      <c r="E522" s="62" t="inlineStr">
        <is>
          <t>C13</t>
        </is>
      </c>
      <c r="F522" s="63" t="n">
        <v>46425.39583333334</v>
      </c>
      <c r="G522" s="9" t="n"/>
      <c r="H522" s="9" t="n"/>
      <c r="I522" s="10" t="n"/>
      <c r="J522" s="65" t="n">
        <v>92</v>
      </c>
      <c r="K522" s="66" t="inlineStr">
        <is>
          <t>-</t>
        </is>
      </c>
      <c r="L522" s="65" t="n">
        <v>86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C13</t>
        </is>
      </c>
      <c r="J523" s="141" t="n"/>
      <c r="K523" s="141" t="n"/>
      <c r="L523" s="141" t="n"/>
    </row>
    <row r="524" ht="13" customHeight="1">
      <c r="A524" s="81" t="inlineStr">
        <is>
          <t>Gara N.</t>
        </is>
      </c>
      <c r="B524" s="81" t="inlineStr">
        <is>
          <t>Squadra A</t>
        </is>
      </c>
      <c r="C524" s="10" t="n"/>
      <c r="D524" s="81" t="inlineStr">
        <is>
          <t>Squadra B</t>
        </is>
      </c>
      <c r="E524" s="10" t="n"/>
      <c r="F524" s="81" t="inlineStr">
        <is>
          <t>Giorno</t>
        </is>
      </c>
      <c r="G524" s="81" t="inlineStr">
        <is>
          <t>Data</t>
        </is>
      </c>
      <c r="H524" s="81" t="inlineStr">
        <is>
          <t>Ora</t>
        </is>
      </c>
      <c r="I524" s="10" t="n"/>
      <c r="J524" s="81" t="inlineStr">
        <is>
          <t>Risultato</t>
        </is>
      </c>
      <c r="K524" s="9" t="n"/>
      <c r="L524" s="10" t="n"/>
    </row>
    <row r="525" ht="24" customHeight="1">
      <c r="A525" s="83">
        <f>MAX(A$10:A524)+1</f>
        <v/>
      </c>
      <c r="B525" s="61">
        <f>IF(C525="","",IFERROR(VLOOKUP(C525,areaNomiBreviSquadre,7,FALSE),""))</f>
        <v/>
      </c>
      <c r="C525" s="62" t="inlineStr">
        <is>
          <t>C17</t>
        </is>
      </c>
      <c r="D525" s="61">
        <f>IF(E525="","",IFERROR(VLOOKUP(E525,areaNomiBreviSquadre,7,FALSE),""))</f>
        <v/>
      </c>
      <c r="E525" s="62" t="inlineStr">
        <is>
          <t>C20</t>
        </is>
      </c>
      <c r="F525" s="63" t="n">
        <v>46425.45833333334</v>
      </c>
      <c r="G525" s="9" t="n"/>
      <c r="H525" s="9" t="n"/>
      <c r="I525" s="10" t="n"/>
      <c r="J525" s="65" t="n">
        <v>87</v>
      </c>
      <c r="K525" s="66" t="inlineStr">
        <is>
          <t>-</t>
        </is>
      </c>
      <c r="L525" s="65" t="n">
        <v>75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C13</t>
        </is>
      </c>
      <c r="J526" s="141" t="n"/>
      <c r="K526" s="141" t="n"/>
      <c r="L526" s="141" t="n"/>
    </row>
    <row r="527" ht="13" customHeight="1">
      <c r="A527" s="81" t="inlineStr">
        <is>
          <t>Gara N.</t>
        </is>
      </c>
      <c r="B527" s="81" t="inlineStr">
        <is>
          <t>Squadra A</t>
        </is>
      </c>
      <c r="C527" s="10" t="n"/>
      <c r="D527" s="81" t="inlineStr">
        <is>
          <t>Squadra B</t>
        </is>
      </c>
      <c r="E527" s="10" t="n"/>
      <c r="F527" s="81" t="inlineStr">
        <is>
          <t>Giorno</t>
        </is>
      </c>
      <c r="G527" s="81" t="inlineStr">
        <is>
          <t>Data</t>
        </is>
      </c>
      <c r="H527" s="81" t="inlineStr">
        <is>
          <t>Ora</t>
        </is>
      </c>
      <c r="I527" s="10" t="n"/>
      <c r="J527" s="81" t="inlineStr">
        <is>
          <t>Risultato</t>
        </is>
      </c>
      <c r="K527" s="9" t="n"/>
      <c r="L527" s="10" t="n"/>
    </row>
    <row r="528" ht="24" customHeight="1">
      <c r="A528" s="83">
        <f>MAX(A$10:A527)+1</f>
        <v/>
      </c>
      <c r="B528" s="61">
        <f>IF(C528="","",IFERROR(VLOOKUP(C528,areaNomiBreviSquadre,7,FALSE),""))</f>
        <v/>
      </c>
      <c r="C528" s="62" t="inlineStr">
        <is>
          <t>C16</t>
        </is>
      </c>
      <c r="D528" s="61">
        <f>IF(E528="","",IFERROR(VLOOKUP(E528,areaNomiBreviSquadre,7,FALSE),""))</f>
        <v/>
      </c>
      <c r="E528" s="62" t="inlineStr">
        <is>
          <t>C18</t>
        </is>
      </c>
      <c r="F528" s="63" t="n">
        <v>46425.60416666666</v>
      </c>
      <c r="G528" s="9" t="n"/>
      <c r="H528" s="9" t="n"/>
      <c r="I528" s="10" t="n"/>
      <c r="J528" s="65" t="n">
        <v>79</v>
      </c>
      <c r="K528" s="66" t="inlineStr">
        <is>
          <t>-</t>
        </is>
      </c>
      <c r="L528" s="65" t="n">
        <v>88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C13</t>
        </is>
      </c>
      <c r="J529" s="141" t="n"/>
      <c r="K529" s="141" t="n"/>
      <c r="L529" s="141" t="n"/>
    </row>
    <row r="530" ht="13" customHeight="1">
      <c r="A530" s="81" t="inlineStr">
        <is>
          <t>Gara N.</t>
        </is>
      </c>
      <c r="B530" s="81" t="inlineStr">
        <is>
          <t>Squadra A</t>
        </is>
      </c>
      <c r="C530" s="10" t="n"/>
      <c r="D530" s="81" t="inlineStr">
        <is>
          <t>Squadra B</t>
        </is>
      </c>
      <c r="E530" s="10" t="n"/>
      <c r="F530" s="81" t="inlineStr">
        <is>
          <t>Giorno</t>
        </is>
      </c>
      <c r="G530" s="81" t="inlineStr">
        <is>
          <t>Data</t>
        </is>
      </c>
      <c r="H530" s="81" t="inlineStr">
        <is>
          <t>Ora</t>
        </is>
      </c>
      <c r="I530" s="10" t="n"/>
      <c r="J530" s="81" t="inlineStr">
        <is>
          <t>Risultato</t>
        </is>
      </c>
      <c r="K530" s="9" t="n"/>
      <c r="L530" s="10" t="n"/>
    </row>
    <row r="531" ht="24" customHeight="1">
      <c r="A531" s="83">
        <f>MAX(A$10:A530)+1</f>
        <v/>
      </c>
      <c r="B531" s="61">
        <f>IF(C531="","",IFERROR(VLOOKUP(C531,areaNomiBreviSquadre,7,FALSE),""))</f>
        <v/>
      </c>
      <c r="C531" s="62" t="inlineStr">
        <is>
          <t>C19</t>
        </is>
      </c>
      <c r="D531" s="61">
        <f>IF(E531="","",IFERROR(VLOOKUP(E531,areaNomiBreviSquadre,7,FALSE),""))</f>
        <v/>
      </c>
      <c r="E531" s="62" t="inlineStr">
        <is>
          <t>C15</t>
        </is>
      </c>
      <c r="F531" s="63" t="n">
        <v>46425.66666666666</v>
      </c>
      <c r="G531" s="9" t="n"/>
      <c r="H531" s="9" t="n"/>
      <c r="I531" s="10" t="n"/>
      <c r="J531" s="65" t="n">
        <v>31</v>
      </c>
      <c r="K531" s="66" t="inlineStr">
        <is>
          <t>-</t>
        </is>
      </c>
      <c r="L531" s="65" t="n">
        <v>39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C13</t>
        </is>
      </c>
      <c r="J532" s="141" t="n"/>
      <c r="K532" s="141" t="n"/>
      <c r="L532" s="141" t="n"/>
    </row>
    <row r="533" ht="13" customHeight="1">
      <c r="A533" s="81" t="inlineStr">
        <is>
          <t>Gara N.</t>
        </is>
      </c>
      <c r="B533" s="81" t="inlineStr">
        <is>
          <t>Squadra A</t>
        </is>
      </c>
      <c r="C533" s="10" t="n"/>
      <c r="D533" s="81" t="inlineStr">
        <is>
          <t>Squadra B</t>
        </is>
      </c>
      <c r="E533" s="10" t="n"/>
      <c r="F533" s="81" t="inlineStr">
        <is>
          <t>Giorno</t>
        </is>
      </c>
      <c r="G533" s="81" t="inlineStr">
        <is>
          <t>Data</t>
        </is>
      </c>
      <c r="H533" s="81" t="inlineStr">
        <is>
          <t>Ora</t>
        </is>
      </c>
      <c r="I533" s="10" t="n"/>
      <c r="J533" s="81" t="inlineStr">
        <is>
          <t>Risultato</t>
        </is>
      </c>
      <c r="K533" s="9" t="n"/>
      <c r="L533" s="10" t="n"/>
    </row>
    <row r="534" ht="24" customHeight="1">
      <c r="A534" s="83">
        <f>MAX(A$10:A533)+1</f>
        <v/>
      </c>
      <c r="B534" s="61">
        <f>IF(C534="","",IFERROR(VLOOKUP(C534,areaNomiBreviSquadre,7,FALSE),""))</f>
        <v/>
      </c>
      <c r="C534" s="62" t="inlineStr">
        <is>
          <t>C12</t>
        </is>
      </c>
      <c r="D534" s="61">
        <f>IF(E534="","",IFERROR(VLOOKUP(E534,areaNomiBreviSquadre,7,FALSE),""))</f>
        <v/>
      </c>
      <c r="E534" s="62" t="inlineStr">
        <is>
          <t>C03</t>
        </is>
      </c>
      <c r="F534" s="63" t="n">
        <v>46425.72916666666</v>
      </c>
      <c r="G534" s="9" t="n"/>
      <c r="H534" s="9" t="n"/>
      <c r="I534" s="10" t="n"/>
      <c r="J534" s="65" t="n">
        <v>60</v>
      </c>
      <c r="K534" s="66" t="inlineStr">
        <is>
          <t>-</t>
        </is>
      </c>
      <c r="L534" s="65" t="n">
        <v>70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C13</t>
        </is>
      </c>
      <c r="J535" s="141" t="n"/>
      <c r="K535" s="141" t="n"/>
      <c r="L535" s="141" t="n"/>
    </row>
    <row r="536" ht="13" customHeight="1">
      <c r="A536" s="81" t="inlineStr">
        <is>
          <t>Gara N.</t>
        </is>
      </c>
      <c r="B536" s="81" t="inlineStr">
        <is>
          <t>Squadra A</t>
        </is>
      </c>
      <c r="C536" s="10" t="n"/>
      <c r="D536" s="81" t="inlineStr">
        <is>
          <t>Squadra B</t>
        </is>
      </c>
      <c r="E536" s="10" t="n"/>
      <c r="F536" s="81" t="inlineStr">
        <is>
          <t>Giorno</t>
        </is>
      </c>
      <c r="G536" s="81" t="inlineStr">
        <is>
          <t>Data</t>
        </is>
      </c>
      <c r="H536" s="81" t="inlineStr">
        <is>
          <t>Ora</t>
        </is>
      </c>
      <c r="I536" s="10" t="n"/>
      <c r="J536" s="81" t="inlineStr">
        <is>
          <t>Risultato</t>
        </is>
      </c>
      <c r="K536" s="9" t="n"/>
      <c r="L536" s="10" t="n"/>
    </row>
    <row r="537" ht="24" customHeight="1">
      <c r="A537" s="83">
        <f>MAX(A$10:A536)+1</f>
        <v/>
      </c>
      <c r="B537" s="61">
        <f>IF(C537="","",IFERROR(VLOOKUP(C537,areaNomiBreviSquadre,7,FALSE),""))</f>
        <v/>
      </c>
      <c r="C537" s="62" t="inlineStr">
        <is>
          <t>C14</t>
        </is>
      </c>
      <c r="D537" s="61">
        <f>IF(E537="","",IFERROR(VLOOKUP(E537,areaNomiBreviSquadre,7,FALSE),""))</f>
        <v/>
      </c>
      <c r="E537" s="62" t="inlineStr">
        <is>
          <t>C01</t>
        </is>
      </c>
      <c r="F537" s="63" t="n">
        <v>46425.39583333334</v>
      </c>
      <c r="G537" s="9" t="n"/>
      <c r="H537" s="9" t="n"/>
      <c r="I537" s="10" t="n"/>
      <c r="J537" s="65" t="n">
        <v>82</v>
      </c>
      <c r="K537" s="66" t="inlineStr">
        <is>
          <t>-</t>
        </is>
      </c>
      <c r="L537" s="65" t="n">
        <v>59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C14</t>
        </is>
      </c>
      <c r="J538" s="141" t="n"/>
      <c r="K538" s="141" t="n"/>
      <c r="L538" s="141" t="n"/>
    </row>
    <row r="539" ht="13" customHeight="1">
      <c r="A539" s="81" t="inlineStr">
        <is>
          <t>Gara N.</t>
        </is>
      </c>
      <c r="B539" s="81" t="inlineStr">
        <is>
          <t>Squadra A</t>
        </is>
      </c>
      <c r="C539" s="10" t="n"/>
      <c r="D539" s="81" t="inlineStr">
        <is>
          <t>Squadra B</t>
        </is>
      </c>
      <c r="E539" s="10" t="n"/>
      <c r="F539" s="81" t="inlineStr">
        <is>
          <t>Giorno</t>
        </is>
      </c>
      <c r="G539" s="81" t="inlineStr">
        <is>
          <t>Data</t>
        </is>
      </c>
      <c r="H539" s="81" t="inlineStr">
        <is>
          <t>Ora</t>
        </is>
      </c>
      <c r="I539" s="10" t="n"/>
      <c r="J539" s="81" t="inlineStr">
        <is>
          <t>Risultato</t>
        </is>
      </c>
      <c r="K539" s="9" t="n"/>
      <c r="L539" s="10" t="n"/>
    </row>
    <row r="540" ht="24" customHeight="1">
      <c r="A540" s="83">
        <f>MAX(A$10:A539)+1</f>
        <v/>
      </c>
      <c r="B540" s="61">
        <f>IF(C540="","",IFERROR(VLOOKUP(C540,areaNomiBreviSquadre,7,FALSE),""))</f>
        <v/>
      </c>
      <c r="C540" s="62" t="inlineStr">
        <is>
          <t>C04</t>
        </is>
      </c>
      <c r="D540" s="61">
        <f>IF(E540="","",IFERROR(VLOOKUP(E540,areaNomiBreviSquadre,7,FALSE),""))</f>
        <v/>
      </c>
      <c r="E540" s="62" t="inlineStr">
        <is>
          <t>C11</t>
        </is>
      </c>
      <c r="F540" s="63" t="n">
        <v>46425.45833333334</v>
      </c>
      <c r="G540" s="9" t="n"/>
      <c r="H540" s="9" t="n"/>
      <c r="I540" s="10" t="n"/>
      <c r="J540" s="65" t="n">
        <v>61</v>
      </c>
      <c r="K540" s="66" t="inlineStr">
        <is>
          <t>-</t>
        </is>
      </c>
      <c r="L540" s="65" t="n">
        <v>34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C14</t>
        </is>
      </c>
      <c r="J541" s="141" t="n"/>
      <c r="K541" s="141" t="n"/>
      <c r="L541" s="141" t="n"/>
    </row>
    <row r="542" ht="13" customHeight="1">
      <c r="A542" s="81" t="inlineStr">
        <is>
          <t>Gara N.</t>
        </is>
      </c>
      <c r="B542" s="81" t="inlineStr">
        <is>
          <t>Squadra A</t>
        </is>
      </c>
      <c r="C542" s="10" t="n"/>
      <c r="D542" s="81" t="inlineStr">
        <is>
          <t>Squadra B</t>
        </is>
      </c>
      <c r="E542" s="10" t="n"/>
      <c r="F542" s="81" t="inlineStr">
        <is>
          <t>Giorno</t>
        </is>
      </c>
      <c r="G542" s="81" t="inlineStr">
        <is>
          <t>Data</t>
        </is>
      </c>
      <c r="H542" s="81" t="inlineStr">
        <is>
          <t>Ora</t>
        </is>
      </c>
      <c r="I542" s="10" t="n"/>
      <c r="J542" s="81" t="inlineStr">
        <is>
          <t>Risultato</t>
        </is>
      </c>
      <c r="K542" s="9" t="n"/>
      <c r="L542" s="10" t="n"/>
    </row>
    <row r="543" ht="24" customHeight="1">
      <c r="A543" s="83">
        <f>MAX(A$10:A542)+1</f>
        <v/>
      </c>
      <c r="B543" s="61">
        <f>IF(C543="","",IFERROR(VLOOKUP(C543,areaNomiBreviSquadre,7,FALSE),""))</f>
        <v/>
      </c>
      <c r="C543" s="62" t="inlineStr">
        <is>
          <t>C10</t>
        </is>
      </c>
      <c r="D543" s="61">
        <f>IF(E543="","",IFERROR(VLOOKUP(E543,areaNomiBreviSquadre,7,FALSE),""))</f>
        <v/>
      </c>
      <c r="E543" s="62" t="inlineStr">
        <is>
          <t>C05</t>
        </is>
      </c>
      <c r="F543" s="63" t="n">
        <v>46425.60416666666</v>
      </c>
      <c r="G543" s="9" t="n"/>
      <c r="H543" s="9" t="n"/>
      <c r="I543" s="10" t="n"/>
      <c r="J543" s="65" t="n">
        <v>79</v>
      </c>
      <c r="K543" s="66" t="inlineStr">
        <is>
          <t>-</t>
        </is>
      </c>
      <c r="L543" s="65" t="n">
        <v>78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C14</t>
        </is>
      </c>
      <c r="J544" s="141" t="n"/>
      <c r="K544" s="141" t="n"/>
      <c r="L544" s="141" t="n"/>
    </row>
    <row r="545" ht="13" customHeight="1">
      <c r="A545" s="81" t="inlineStr">
        <is>
          <t>Gara N.</t>
        </is>
      </c>
      <c r="B545" s="81" t="inlineStr">
        <is>
          <t>Squadra A</t>
        </is>
      </c>
      <c r="C545" s="10" t="n"/>
      <c r="D545" s="81" t="inlineStr">
        <is>
          <t>Squadra B</t>
        </is>
      </c>
      <c r="E545" s="10" t="n"/>
      <c r="F545" s="81" t="inlineStr">
        <is>
          <t>Giorno</t>
        </is>
      </c>
      <c r="G545" s="81" t="inlineStr">
        <is>
          <t>Data</t>
        </is>
      </c>
      <c r="H545" s="81" t="inlineStr">
        <is>
          <t>Ora</t>
        </is>
      </c>
      <c r="I545" s="10" t="n"/>
      <c r="J545" s="81" t="inlineStr">
        <is>
          <t>Risultato</t>
        </is>
      </c>
      <c r="K545" s="9" t="n"/>
      <c r="L545" s="10" t="n"/>
    </row>
    <row r="546" ht="24" customHeight="1">
      <c r="A546" s="83">
        <f>MAX(A$10:A545)+1</f>
        <v/>
      </c>
      <c r="B546" s="61">
        <f>IF(C546="","",IFERROR(VLOOKUP(C546,areaNomiBreviSquadre,7,FALSE),""))</f>
        <v/>
      </c>
      <c r="C546" s="62" t="inlineStr">
        <is>
          <t>C06</t>
        </is>
      </c>
      <c r="D546" s="61">
        <f>IF(E546="","",IFERROR(VLOOKUP(E546,areaNomiBreviSquadre,7,FALSE),""))</f>
        <v/>
      </c>
      <c r="E546" s="62" t="inlineStr">
        <is>
          <t>C09</t>
        </is>
      </c>
      <c r="F546" s="63" t="n">
        <v>46425.66666666666</v>
      </c>
      <c r="G546" s="9" t="n"/>
      <c r="H546" s="9" t="n"/>
      <c r="I546" s="10" t="n"/>
      <c r="J546" s="65" t="n">
        <v>20</v>
      </c>
      <c r="K546" s="66" t="inlineStr">
        <is>
          <t>-</t>
        </is>
      </c>
      <c r="L546" s="65" t="n">
        <v>40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C14</t>
        </is>
      </c>
      <c r="J547" s="141" t="n"/>
      <c r="K547" s="141" t="n"/>
      <c r="L547" s="141" t="n"/>
    </row>
    <row r="548" ht="13" customHeight="1">
      <c r="A548" s="81" t="inlineStr">
        <is>
          <t>Gara N.</t>
        </is>
      </c>
      <c r="B548" s="81" t="inlineStr">
        <is>
          <t>Squadra A</t>
        </is>
      </c>
      <c r="C548" s="10" t="n"/>
      <c r="D548" s="81" t="inlineStr">
        <is>
          <t>Squadra B</t>
        </is>
      </c>
      <c r="E548" s="10" t="n"/>
      <c r="F548" s="81" t="inlineStr">
        <is>
          <t>Giorno</t>
        </is>
      </c>
      <c r="G548" s="81" t="inlineStr">
        <is>
          <t>Data</t>
        </is>
      </c>
      <c r="H548" s="81" t="inlineStr">
        <is>
          <t>Ora</t>
        </is>
      </c>
      <c r="I548" s="10" t="n"/>
      <c r="J548" s="81" t="inlineStr">
        <is>
          <t>Risultato</t>
        </is>
      </c>
      <c r="K548" s="9" t="n"/>
      <c r="L548" s="10" t="n"/>
    </row>
    <row r="549" ht="24" customHeight="1">
      <c r="A549" s="83">
        <f>MAX(A$10:A548)+1</f>
        <v/>
      </c>
      <c r="B549" s="61">
        <f>IF(C549="","",IFERROR(VLOOKUP(C549,areaNomiBreviSquadre,7,FALSE),""))</f>
        <v/>
      </c>
      <c r="C549" s="62" t="inlineStr">
        <is>
          <t>C08</t>
        </is>
      </c>
      <c r="D549" s="61">
        <f>IF(E549="","",IFERROR(VLOOKUP(E549,areaNomiBreviSquadre,7,FALSE),""))</f>
        <v/>
      </c>
      <c r="E549" s="62" t="inlineStr">
        <is>
          <t>C07</t>
        </is>
      </c>
      <c r="F549" s="63" t="n">
        <v>46425.72916666666</v>
      </c>
      <c r="G549" s="9" t="n"/>
      <c r="H549" s="9" t="n"/>
      <c r="I549" s="10" t="n"/>
      <c r="J549" s="65" t="n">
        <v>31</v>
      </c>
      <c r="K549" s="66" t="inlineStr">
        <is>
          <t>-</t>
        </is>
      </c>
      <c r="L549" s="65" t="n">
        <v>51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C14</t>
        </is>
      </c>
      <c r="J550" s="141" t="n"/>
      <c r="K550" s="141" t="n"/>
      <c r="L550" s="141" t="n"/>
    </row>
    <row r="551" ht="8" customHeight="1"/>
    <row r="552" ht="20" customHeight="1">
      <c r="A552" s="78" t="inlineStr">
        <is>
          <t>18C</t>
        </is>
      </c>
      <c r="B552" s="79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1" t="inlineStr">
        <is>
          <t>Gara N.</t>
        </is>
      </c>
      <c r="B553" s="81" t="inlineStr">
        <is>
          <t>Squadra A</t>
        </is>
      </c>
      <c r="C553" s="10" t="n"/>
      <c r="D553" s="81" t="inlineStr">
        <is>
          <t>Squadra B</t>
        </is>
      </c>
      <c r="E553" s="10" t="n"/>
      <c r="F553" s="81" t="inlineStr">
        <is>
          <t>Giorno</t>
        </is>
      </c>
      <c r="G553" s="81" t="inlineStr">
        <is>
          <t>Data</t>
        </is>
      </c>
      <c r="H553" s="81" t="inlineStr">
        <is>
          <t>Ora</t>
        </is>
      </c>
      <c r="I553" s="10" t="n"/>
      <c r="J553" s="81" t="inlineStr">
        <is>
          <t>Risultato</t>
        </is>
      </c>
      <c r="K553" s="9" t="n"/>
      <c r="L553" s="10" t="n"/>
    </row>
    <row r="554" ht="24" customHeight="1">
      <c r="A554" s="83">
        <f>MAX(A$10:A553)+1</f>
        <v/>
      </c>
      <c r="B554" s="61">
        <f>IF(C554="","",IFERROR(VLOOKUP(C554,areaNomiBreviSquadre,7,FALSE),""))</f>
        <v/>
      </c>
      <c r="C554" s="62" t="inlineStr">
        <is>
          <t>C02</t>
        </is>
      </c>
      <c r="D554" s="61">
        <f>IF(E554="","",IFERROR(VLOOKUP(E554,areaNomiBreviSquadre,7,FALSE),""))</f>
        <v/>
      </c>
      <c r="E554" s="62" t="inlineStr">
        <is>
          <t>C15</t>
        </is>
      </c>
      <c r="F554" s="63" t="n">
        <v>46432.39583333334</v>
      </c>
      <c r="G554" s="9" t="n"/>
      <c r="H554" s="9" t="n"/>
      <c r="I554" s="10" t="n"/>
      <c r="J554" s="65" t="n">
        <v>50</v>
      </c>
      <c r="K554" s="66" t="inlineStr">
        <is>
          <t>-</t>
        </is>
      </c>
      <c r="L554" s="65" t="n">
        <v>71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C15</t>
        </is>
      </c>
      <c r="J555" s="141" t="n"/>
      <c r="K555" s="141" t="n"/>
      <c r="L555" s="141" t="n"/>
    </row>
    <row r="556" ht="13" customHeight="1">
      <c r="A556" s="81" t="inlineStr">
        <is>
          <t>Gara N.</t>
        </is>
      </c>
      <c r="B556" s="81" t="inlineStr">
        <is>
          <t>Squadra A</t>
        </is>
      </c>
      <c r="C556" s="10" t="n"/>
      <c r="D556" s="81" t="inlineStr">
        <is>
          <t>Squadra B</t>
        </is>
      </c>
      <c r="E556" s="10" t="n"/>
      <c r="F556" s="81" t="inlineStr">
        <is>
          <t>Giorno</t>
        </is>
      </c>
      <c r="G556" s="81" t="inlineStr">
        <is>
          <t>Data</t>
        </is>
      </c>
      <c r="H556" s="81" t="inlineStr">
        <is>
          <t>Ora</t>
        </is>
      </c>
      <c r="I556" s="10" t="n"/>
      <c r="J556" s="81" t="inlineStr">
        <is>
          <t>Risultato</t>
        </is>
      </c>
      <c r="K556" s="9" t="n"/>
      <c r="L556" s="10" t="n"/>
    </row>
    <row r="557" ht="24" customHeight="1">
      <c r="A557" s="83">
        <f>MAX(A$10:A556)+1</f>
        <v/>
      </c>
      <c r="B557" s="61">
        <f>IF(C557="","",IFERROR(VLOOKUP(C557,areaNomiBreviSquadre,7,FALSE),""))</f>
        <v/>
      </c>
      <c r="C557" s="62" t="inlineStr">
        <is>
          <t>C20</t>
        </is>
      </c>
      <c r="D557" s="61">
        <f>IF(E557="","",IFERROR(VLOOKUP(E557,areaNomiBreviSquadre,7,FALSE),""))</f>
        <v/>
      </c>
      <c r="E557" s="62" t="inlineStr">
        <is>
          <t>C18</t>
        </is>
      </c>
      <c r="F557" s="63" t="n">
        <v>46432.45833333334</v>
      </c>
      <c r="G557" s="9" t="n"/>
      <c r="H557" s="9" t="n"/>
      <c r="I557" s="10" t="n"/>
      <c r="J557" s="65" t="n">
        <v>56</v>
      </c>
      <c r="K557" s="66" t="inlineStr">
        <is>
          <t>-</t>
        </is>
      </c>
      <c r="L557" s="65" t="n">
        <v>33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C15</t>
        </is>
      </c>
      <c r="J558" s="141" t="n"/>
      <c r="K558" s="141" t="n"/>
      <c r="L558" s="141" t="n"/>
    </row>
    <row r="559" ht="13" customHeight="1">
      <c r="A559" s="81" t="inlineStr">
        <is>
          <t>Gara N.</t>
        </is>
      </c>
      <c r="B559" s="81" t="inlineStr">
        <is>
          <t>Squadra A</t>
        </is>
      </c>
      <c r="C559" s="10" t="n"/>
      <c r="D559" s="81" t="inlineStr">
        <is>
          <t>Squadra B</t>
        </is>
      </c>
      <c r="E559" s="10" t="n"/>
      <c r="F559" s="81" t="inlineStr">
        <is>
          <t>Giorno</t>
        </is>
      </c>
      <c r="G559" s="81" t="inlineStr">
        <is>
          <t>Data</t>
        </is>
      </c>
      <c r="H559" s="81" t="inlineStr">
        <is>
          <t>Ora</t>
        </is>
      </c>
      <c r="I559" s="10" t="n"/>
      <c r="J559" s="81" t="inlineStr">
        <is>
          <t>Risultato</t>
        </is>
      </c>
      <c r="K559" s="9" t="n"/>
      <c r="L559" s="10" t="n"/>
    </row>
    <row r="560" ht="24" customHeight="1">
      <c r="A560" s="83">
        <f>MAX(A$10:A559)+1</f>
        <v/>
      </c>
      <c r="B560" s="61">
        <f>IF(C560="","",IFERROR(VLOOKUP(C560,areaNomiBreviSquadre,7,FALSE),""))</f>
        <v/>
      </c>
      <c r="C560" s="62" t="inlineStr">
        <is>
          <t>C19</t>
        </is>
      </c>
      <c r="D560" s="61">
        <f>IF(E560="","",IFERROR(VLOOKUP(E560,areaNomiBreviSquadre,7,FALSE),""))</f>
        <v/>
      </c>
      <c r="E560" s="62" t="inlineStr">
        <is>
          <t>C17</t>
        </is>
      </c>
      <c r="F560" s="63" t="n">
        <v>46432.60416666666</v>
      </c>
      <c r="G560" s="9" t="n"/>
      <c r="H560" s="9" t="n"/>
      <c r="I560" s="10" t="n"/>
      <c r="J560" s="65" t="n">
        <v>73</v>
      </c>
      <c r="K560" s="66" t="inlineStr">
        <is>
          <t>-</t>
        </is>
      </c>
      <c r="L560" s="65" t="n">
        <v>49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C15</t>
        </is>
      </c>
      <c r="J561" s="141" t="n"/>
      <c r="K561" s="141" t="n"/>
      <c r="L561" s="141" t="n"/>
    </row>
    <row r="562" ht="13" customHeight="1">
      <c r="A562" s="81" t="inlineStr">
        <is>
          <t>Gara N.</t>
        </is>
      </c>
      <c r="B562" s="81" t="inlineStr">
        <is>
          <t>Squadra A</t>
        </is>
      </c>
      <c r="C562" s="10" t="n"/>
      <c r="D562" s="81" t="inlineStr">
        <is>
          <t>Squadra B</t>
        </is>
      </c>
      <c r="E562" s="10" t="n"/>
      <c r="F562" s="81" t="inlineStr">
        <is>
          <t>Giorno</t>
        </is>
      </c>
      <c r="G562" s="81" t="inlineStr">
        <is>
          <t>Data</t>
        </is>
      </c>
      <c r="H562" s="81" t="inlineStr">
        <is>
          <t>Ora</t>
        </is>
      </c>
      <c r="I562" s="10" t="n"/>
      <c r="J562" s="81" t="inlineStr">
        <is>
          <t>Risultato</t>
        </is>
      </c>
      <c r="K562" s="9" t="n"/>
      <c r="L562" s="10" t="n"/>
    </row>
    <row r="563" ht="24" customHeight="1">
      <c r="A563" s="83">
        <f>MAX(A$10:A562)+1</f>
        <v/>
      </c>
      <c r="B563" s="61">
        <f>IF(C563="","",IFERROR(VLOOKUP(C563,areaNomiBreviSquadre,7,FALSE),""))</f>
        <v/>
      </c>
      <c r="C563" s="62" t="inlineStr">
        <is>
          <t>C14</t>
        </is>
      </c>
      <c r="D563" s="61">
        <f>IF(E563="","",IFERROR(VLOOKUP(E563,areaNomiBreviSquadre,7,FALSE),""))</f>
        <v/>
      </c>
      <c r="E563" s="62" t="inlineStr">
        <is>
          <t>C03</t>
        </is>
      </c>
      <c r="F563" s="63" t="n">
        <v>46432.66666666666</v>
      </c>
      <c r="G563" s="9" t="n"/>
      <c r="H563" s="9" t="n"/>
      <c r="I563" s="10" t="n"/>
      <c r="J563" s="65" t="n">
        <v>77</v>
      </c>
      <c r="K563" s="66" t="inlineStr">
        <is>
          <t>-</t>
        </is>
      </c>
      <c r="L563" s="65" t="n">
        <v>52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C15</t>
        </is>
      </c>
      <c r="J564" s="141" t="n"/>
      <c r="K564" s="141" t="n"/>
      <c r="L564" s="141" t="n"/>
    </row>
    <row r="565" ht="13" customHeight="1">
      <c r="A565" s="81" t="inlineStr">
        <is>
          <t>Gara N.</t>
        </is>
      </c>
      <c r="B565" s="81" t="inlineStr">
        <is>
          <t>Squadra A</t>
        </is>
      </c>
      <c r="C565" s="10" t="n"/>
      <c r="D565" s="81" t="inlineStr">
        <is>
          <t>Squadra B</t>
        </is>
      </c>
      <c r="E565" s="10" t="n"/>
      <c r="F565" s="81" t="inlineStr">
        <is>
          <t>Giorno</t>
        </is>
      </c>
      <c r="G565" s="81" t="inlineStr">
        <is>
          <t>Data</t>
        </is>
      </c>
      <c r="H565" s="81" t="inlineStr">
        <is>
          <t>Ora</t>
        </is>
      </c>
      <c r="I565" s="10" t="n"/>
      <c r="J565" s="81" t="inlineStr">
        <is>
          <t>Risultato</t>
        </is>
      </c>
      <c r="K565" s="9" t="n"/>
      <c r="L565" s="10" t="n"/>
    </row>
    <row r="566" ht="24" customHeight="1">
      <c r="A566" s="83">
        <f>MAX(A$10:A565)+1</f>
        <v/>
      </c>
      <c r="B566" s="61">
        <f>IF(C566="","",IFERROR(VLOOKUP(C566,areaNomiBreviSquadre,7,FALSE),""))</f>
        <v/>
      </c>
      <c r="C566" s="62" t="inlineStr">
        <is>
          <t>C04</t>
        </is>
      </c>
      <c r="D566" s="61">
        <f>IF(E566="","",IFERROR(VLOOKUP(E566,areaNomiBreviSquadre,7,FALSE),""))</f>
        <v/>
      </c>
      <c r="E566" s="62" t="inlineStr">
        <is>
          <t>C13</t>
        </is>
      </c>
      <c r="F566" s="63" t="n">
        <v>46432.72916666666</v>
      </c>
      <c r="G566" s="9" t="n"/>
      <c r="H566" s="9" t="n"/>
      <c r="I566" s="10" t="n"/>
      <c r="J566" s="65" t="n">
        <v>39</v>
      </c>
      <c r="K566" s="66" t="inlineStr">
        <is>
          <t>-</t>
        </is>
      </c>
      <c r="L566" s="65" t="n">
        <v>35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C15</t>
        </is>
      </c>
      <c r="J567" s="141" t="n"/>
      <c r="K567" s="141" t="n"/>
      <c r="L567" s="141" t="n"/>
    </row>
    <row r="568" ht="13" customHeight="1">
      <c r="A568" s="81" t="inlineStr">
        <is>
          <t>Gara N.</t>
        </is>
      </c>
      <c r="B568" s="81" t="inlineStr">
        <is>
          <t>Squadra A</t>
        </is>
      </c>
      <c r="C568" s="10" t="n"/>
      <c r="D568" s="81" t="inlineStr">
        <is>
          <t>Squadra B</t>
        </is>
      </c>
      <c r="E568" s="10" t="n"/>
      <c r="F568" s="81" t="inlineStr">
        <is>
          <t>Giorno</t>
        </is>
      </c>
      <c r="G568" s="81" t="inlineStr">
        <is>
          <t>Data</t>
        </is>
      </c>
      <c r="H568" s="81" t="inlineStr">
        <is>
          <t>Ora</t>
        </is>
      </c>
      <c r="I568" s="10" t="n"/>
      <c r="J568" s="81" t="inlineStr">
        <is>
          <t>Risultato</t>
        </is>
      </c>
      <c r="K568" s="9" t="n"/>
      <c r="L568" s="10" t="n"/>
    </row>
    <row r="569" ht="24" customHeight="1">
      <c r="A569" s="83">
        <f>MAX(A$10:A568)+1</f>
        <v/>
      </c>
      <c r="B569" s="61">
        <f>IF(C569="","",IFERROR(VLOOKUP(C569,areaNomiBreviSquadre,7,FALSE),""))</f>
        <v/>
      </c>
      <c r="C569" s="62" t="inlineStr">
        <is>
          <t>C16</t>
        </is>
      </c>
      <c r="D569" s="61">
        <f>IF(E569="","",IFERROR(VLOOKUP(E569,areaNomiBreviSquadre,7,FALSE),""))</f>
        <v/>
      </c>
      <c r="E569" s="62" t="inlineStr">
        <is>
          <t>C01</t>
        </is>
      </c>
      <c r="F569" s="63" t="n">
        <v>46432.39583333334</v>
      </c>
      <c r="G569" s="9" t="n"/>
      <c r="H569" s="9" t="n"/>
      <c r="I569" s="10" t="n"/>
      <c r="J569" s="65" t="n">
        <v>63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C16</t>
        </is>
      </c>
      <c r="J570" s="141" t="n"/>
      <c r="K570" s="141" t="n"/>
      <c r="L570" s="141" t="n"/>
    </row>
    <row r="571" ht="13" customHeight="1">
      <c r="A571" s="81" t="inlineStr">
        <is>
          <t>Gara N.</t>
        </is>
      </c>
      <c r="B571" s="81" t="inlineStr">
        <is>
          <t>Squadra A</t>
        </is>
      </c>
      <c r="C571" s="10" t="n"/>
      <c r="D571" s="81" t="inlineStr">
        <is>
          <t>Squadra B</t>
        </is>
      </c>
      <c r="E571" s="10" t="n"/>
      <c r="F571" s="81" t="inlineStr">
        <is>
          <t>Giorno</t>
        </is>
      </c>
      <c r="G571" s="81" t="inlineStr">
        <is>
          <t>Data</t>
        </is>
      </c>
      <c r="H571" s="81" t="inlineStr">
        <is>
          <t>Ora</t>
        </is>
      </c>
      <c r="I571" s="10" t="n"/>
      <c r="J571" s="81" t="inlineStr">
        <is>
          <t>Risultato</t>
        </is>
      </c>
      <c r="K571" s="9" t="n"/>
      <c r="L571" s="10" t="n"/>
    </row>
    <row r="572" ht="24" customHeight="1">
      <c r="A572" s="83">
        <f>MAX(A$10:A571)+1</f>
        <v/>
      </c>
      <c r="B572" s="61">
        <f>IF(C572="","",IFERROR(VLOOKUP(C572,areaNomiBreviSquadre,7,FALSE),""))</f>
        <v/>
      </c>
      <c r="C572" s="62" t="inlineStr">
        <is>
          <t>C12</t>
        </is>
      </c>
      <c r="D572" s="61">
        <f>IF(E572="","",IFERROR(VLOOKUP(E572,areaNomiBreviSquadre,7,FALSE),""))</f>
        <v/>
      </c>
      <c r="E572" s="62" t="inlineStr">
        <is>
          <t>C05</t>
        </is>
      </c>
      <c r="F572" s="63" t="n">
        <v>46432.45833333334</v>
      </c>
      <c r="G572" s="9" t="n"/>
      <c r="H572" s="9" t="n"/>
      <c r="I572" s="10" t="n"/>
      <c r="J572" s="65" t="n">
        <v>18</v>
      </c>
      <c r="K572" s="66" t="inlineStr">
        <is>
          <t>-</t>
        </is>
      </c>
      <c r="L572" s="65" t="n">
        <v>44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C16</t>
        </is>
      </c>
      <c r="J573" s="141" t="n"/>
      <c r="K573" s="141" t="n"/>
      <c r="L573" s="141" t="n"/>
    </row>
    <row r="574" ht="13" customHeight="1">
      <c r="A574" s="81" t="inlineStr">
        <is>
          <t>Gara N.</t>
        </is>
      </c>
      <c r="B574" s="81" t="inlineStr">
        <is>
          <t>Squadra A</t>
        </is>
      </c>
      <c r="C574" s="10" t="n"/>
      <c r="D574" s="81" t="inlineStr">
        <is>
          <t>Squadra B</t>
        </is>
      </c>
      <c r="E574" s="10" t="n"/>
      <c r="F574" s="81" t="inlineStr">
        <is>
          <t>Giorno</t>
        </is>
      </c>
      <c r="G574" s="81" t="inlineStr">
        <is>
          <t>Data</t>
        </is>
      </c>
      <c r="H574" s="81" t="inlineStr">
        <is>
          <t>Ora</t>
        </is>
      </c>
      <c r="I574" s="10" t="n"/>
      <c r="J574" s="81" t="inlineStr">
        <is>
          <t>Risultato</t>
        </is>
      </c>
      <c r="K574" s="9" t="n"/>
      <c r="L574" s="10" t="n"/>
    </row>
    <row r="575" ht="24" customHeight="1">
      <c r="A575" s="83">
        <f>MAX(A$10:A574)+1</f>
        <v/>
      </c>
      <c r="B575" s="61">
        <f>IF(C575="","",IFERROR(VLOOKUP(C575,areaNomiBreviSquadre,7,FALSE),""))</f>
        <v/>
      </c>
      <c r="C575" s="62" t="inlineStr">
        <is>
          <t>C06</t>
        </is>
      </c>
      <c r="D575" s="61">
        <f>IF(E575="","",IFERROR(VLOOKUP(E575,areaNomiBreviSquadre,7,FALSE),""))</f>
        <v/>
      </c>
      <c r="E575" s="62" t="inlineStr">
        <is>
          <t>C11</t>
        </is>
      </c>
      <c r="F575" s="63" t="n">
        <v>46432.60416666666</v>
      </c>
      <c r="G575" s="9" t="n"/>
      <c r="H575" s="9" t="n"/>
      <c r="I575" s="10" t="n"/>
      <c r="J575" s="65" t="n">
        <v>50</v>
      </c>
      <c r="K575" s="66" t="inlineStr">
        <is>
          <t>-</t>
        </is>
      </c>
      <c r="L575" s="65" t="n">
        <v>24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C16</t>
        </is>
      </c>
      <c r="J576" s="141" t="n"/>
      <c r="K576" s="141" t="n"/>
      <c r="L576" s="141" t="n"/>
    </row>
    <row r="577" ht="13" customHeight="1">
      <c r="A577" s="81" t="inlineStr">
        <is>
          <t>Gara N.</t>
        </is>
      </c>
      <c r="B577" s="81" t="inlineStr">
        <is>
          <t>Squadra A</t>
        </is>
      </c>
      <c r="C577" s="10" t="n"/>
      <c r="D577" s="81" t="inlineStr">
        <is>
          <t>Squadra B</t>
        </is>
      </c>
      <c r="E577" s="10" t="n"/>
      <c r="F577" s="81" t="inlineStr">
        <is>
          <t>Giorno</t>
        </is>
      </c>
      <c r="G577" s="81" t="inlineStr">
        <is>
          <t>Data</t>
        </is>
      </c>
      <c r="H577" s="81" t="inlineStr">
        <is>
          <t>Ora</t>
        </is>
      </c>
      <c r="I577" s="10" t="n"/>
      <c r="J577" s="81" t="inlineStr">
        <is>
          <t>Risultato</t>
        </is>
      </c>
      <c r="K577" s="9" t="n"/>
      <c r="L577" s="10" t="n"/>
    </row>
    <row r="578" ht="24" customHeight="1">
      <c r="A578" s="83">
        <f>MAX(A$10:A577)+1</f>
        <v/>
      </c>
      <c r="B578" s="61">
        <f>IF(C578="","",IFERROR(VLOOKUP(C578,areaNomiBreviSquadre,7,FALSE),""))</f>
        <v/>
      </c>
      <c r="C578" s="62" t="inlineStr">
        <is>
          <t>C10</t>
        </is>
      </c>
      <c r="D578" s="61">
        <f>IF(E578="","",IFERROR(VLOOKUP(E578,areaNomiBreviSquadre,7,FALSE),""))</f>
        <v/>
      </c>
      <c r="E578" s="62" t="inlineStr">
        <is>
          <t>C07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38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C16</t>
        </is>
      </c>
      <c r="J579" s="141" t="n"/>
      <c r="K579" s="141" t="n"/>
      <c r="L579" s="141" t="n"/>
    </row>
    <row r="580" ht="13" customHeight="1">
      <c r="A580" s="81" t="inlineStr">
        <is>
          <t>Gara N.</t>
        </is>
      </c>
      <c r="B580" s="81" t="inlineStr">
        <is>
          <t>Squadra A</t>
        </is>
      </c>
      <c r="C580" s="10" t="n"/>
      <c r="D580" s="81" t="inlineStr">
        <is>
          <t>Squadra B</t>
        </is>
      </c>
      <c r="E580" s="10" t="n"/>
      <c r="F580" s="81" t="inlineStr">
        <is>
          <t>Giorno</t>
        </is>
      </c>
      <c r="G580" s="81" t="inlineStr">
        <is>
          <t>Data</t>
        </is>
      </c>
      <c r="H580" s="81" t="inlineStr">
        <is>
          <t>Ora</t>
        </is>
      </c>
      <c r="I580" s="10" t="n"/>
      <c r="J580" s="81" t="inlineStr">
        <is>
          <t>Risultato</t>
        </is>
      </c>
      <c r="K580" s="9" t="n"/>
      <c r="L580" s="10" t="n"/>
    </row>
    <row r="581" ht="24" customHeight="1">
      <c r="A581" s="83">
        <f>MAX(A$10:A580)+1</f>
        <v/>
      </c>
      <c r="B581" s="61">
        <f>IF(C581="","",IFERROR(VLOOKUP(C581,areaNomiBreviSquadre,7,FALSE),""))</f>
        <v/>
      </c>
      <c r="C581" s="62" t="inlineStr">
        <is>
          <t>C08</t>
        </is>
      </c>
      <c r="D581" s="61">
        <f>IF(E581="","",IFERROR(VLOOKUP(E581,areaNomiBreviSquadre,7,FALSE),""))</f>
        <v/>
      </c>
      <c r="E581" s="62" t="inlineStr">
        <is>
          <t>C09</t>
        </is>
      </c>
      <c r="F581" s="63" t="n">
        <v>46432.72916666666</v>
      </c>
      <c r="G581" s="9" t="n"/>
      <c r="H581" s="9" t="n"/>
      <c r="I581" s="10" t="n"/>
      <c r="J581" s="65" t="n">
        <v>44</v>
      </c>
      <c r="K581" s="66" t="inlineStr">
        <is>
          <t>-</t>
        </is>
      </c>
      <c r="L581" s="65" t="n">
        <v>27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C16</t>
        </is>
      </c>
      <c r="J582" s="141" t="n"/>
      <c r="K582" s="141" t="n"/>
      <c r="L582" s="141" t="n"/>
    </row>
    <row r="583" ht="8" customHeight="1"/>
    <row r="584" ht="20" customHeight="1">
      <c r="A584" s="78" t="inlineStr">
        <is>
          <t>19C</t>
        </is>
      </c>
      <c r="B584" s="79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1" t="inlineStr">
        <is>
          <t>Gara N.</t>
        </is>
      </c>
      <c r="B585" s="81" t="inlineStr">
        <is>
          <t>Squadra A</t>
        </is>
      </c>
      <c r="C585" s="10" t="n"/>
      <c r="D585" s="81" t="inlineStr">
        <is>
          <t>Squadra B</t>
        </is>
      </c>
      <c r="E585" s="10" t="n"/>
      <c r="F585" s="81" t="inlineStr">
        <is>
          <t>Giorno</t>
        </is>
      </c>
      <c r="G585" s="81" t="inlineStr">
        <is>
          <t>Data</t>
        </is>
      </c>
      <c r="H585" s="81" t="inlineStr">
        <is>
          <t>Ora</t>
        </is>
      </c>
      <c r="I585" s="10" t="n"/>
      <c r="J585" s="81" t="inlineStr">
        <is>
          <t>Risultato</t>
        </is>
      </c>
      <c r="K585" s="9" t="n"/>
      <c r="L585" s="10" t="n"/>
    </row>
    <row r="586" ht="24" customHeight="1">
      <c r="A586" s="83">
        <f>MAX(A$10:A585)+1</f>
        <v/>
      </c>
      <c r="B586" s="61">
        <f>IF(C586="","",IFERROR(VLOOKUP(C586,areaNomiBreviSquadre,7,FALSE),""))</f>
        <v/>
      </c>
      <c r="C586" s="62" t="inlineStr">
        <is>
          <t>C02</t>
        </is>
      </c>
      <c r="D586" s="61">
        <f>IF(E586="","",IFERROR(VLOOKUP(E586,areaNomiBreviSquadre,7,FALSE),""))</f>
        <v/>
      </c>
      <c r="E586" s="62" t="inlineStr">
        <is>
          <t>C17</t>
        </is>
      </c>
      <c r="F586" s="63" t="n">
        <v>46439.39583333334</v>
      </c>
      <c r="G586" s="9" t="n"/>
      <c r="H586" s="9" t="n"/>
      <c r="I586" s="10" t="n"/>
      <c r="J586" s="65" t="n">
        <v>59</v>
      </c>
      <c r="K586" s="66" t="inlineStr">
        <is>
          <t>-</t>
        </is>
      </c>
      <c r="L586" s="65" t="n">
        <v>70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C17</t>
        </is>
      </c>
      <c r="J587" s="141" t="n"/>
      <c r="K587" s="141" t="n"/>
      <c r="L587" s="141" t="n"/>
    </row>
    <row r="588" ht="13" customHeight="1">
      <c r="A588" s="81" t="inlineStr">
        <is>
          <t>Gara N.</t>
        </is>
      </c>
      <c r="B588" s="81" t="inlineStr">
        <is>
          <t>Squadra A</t>
        </is>
      </c>
      <c r="C588" s="10" t="n"/>
      <c r="D588" s="81" t="inlineStr">
        <is>
          <t>Squadra B</t>
        </is>
      </c>
      <c r="E588" s="10" t="n"/>
      <c r="F588" s="81" t="inlineStr">
        <is>
          <t>Giorno</t>
        </is>
      </c>
      <c r="G588" s="81" t="inlineStr">
        <is>
          <t>Data</t>
        </is>
      </c>
      <c r="H588" s="81" t="inlineStr">
        <is>
          <t>Ora</t>
        </is>
      </c>
      <c r="I588" s="10" t="n"/>
      <c r="J588" s="81" t="inlineStr">
        <is>
          <t>Risultato</t>
        </is>
      </c>
      <c r="K588" s="9" t="n"/>
      <c r="L588" s="10" t="n"/>
    </row>
    <row r="589" ht="24" customHeight="1">
      <c r="A589" s="83">
        <f>MAX(A$10:A588)+1</f>
        <v/>
      </c>
      <c r="B589" s="61">
        <f>IF(C589="","",IFERROR(VLOOKUP(C589,areaNomiBreviSquadre,7,FALSE),""))</f>
        <v/>
      </c>
      <c r="C589" s="62" t="inlineStr">
        <is>
          <t>C19</t>
        </is>
      </c>
      <c r="D589" s="61">
        <f>IF(E589="","",IFERROR(VLOOKUP(E589,areaNomiBreviSquadre,7,FALSE),""))</f>
        <v/>
      </c>
      <c r="E589" s="62" t="inlineStr">
        <is>
          <t>C20</t>
        </is>
      </c>
      <c r="F589" s="63" t="n">
        <v>46439.45833333334</v>
      </c>
      <c r="G589" s="9" t="n"/>
      <c r="H589" s="9" t="n"/>
      <c r="I589" s="10" t="n"/>
      <c r="J589" s="65" t="n">
        <v>76</v>
      </c>
      <c r="K589" s="66" t="inlineStr">
        <is>
          <t>-</t>
        </is>
      </c>
      <c r="L589" s="65" t="n">
        <v>58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C17</t>
        </is>
      </c>
      <c r="J590" s="141" t="n"/>
      <c r="K590" s="141" t="n"/>
      <c r="L590" s="141" t="n"/>
    </row>
    <row r="591" ht="13" customHeight="1">
      <c r="A591" s="81" t="inlineStr">
        <is>
          <t>Gara N.</t>
        </is>
      </c>
      <c r="B591" s="81" t="inlineStr">
        <is>
          <t>Squadra A</t>
        </is>
      </c>
      <c r="C591" s="10" t="n"/>
      <c r="D591" s="81" t="inlineStr">
        <is>
          <t>Squadra B</t>
        </is>
      </c>
      <c r="E591" s="10" t="n"/>
      <c r="F591" s="81" t="inlineStr">
        <is>
          <t>Giorno</t>
        </is>
      </c>
      <c r="G591" s="81" t="inlineStr">
        <is>
          <t>Data</t>
        </is>
      </c>
      <c r="H591" s="81" t="inlineStr">
        <is>
          <t>Ora</t>
        </is>
      </c>
      <c r="I591" s="10" t="n"/>
      <c r="J591" s="81" t="inlineStr">
        <is>
          <t>Risultato</t>
        </is>
      </c>
      <c r="K591" s="9" t="n"/>
      <c r="L591" s="10" t="n"/>
    </row>
    <row r="592" ht="24" customHeight="1">
      <c r="A592" s="83">
        <f>MAX(A$10:A591)+1</f>
        <v/>
      </c>
      <c r="B592" s="61">
        <f>IF(C592="","",IFERROR(VLOOKUP(C592,areaNomiBreviSquadre,7,FALSE),""))</f>
        <v/>
      </c>
      <c r="C592" s="62" t="inlineStr">
        <is>
          <t>C16</t>
        </is>
      </c>
      <c r="D592" s="61">
        <f>IF(E592="","",IFERROR(VLOOKUP(E592,areaNomiBreviSquadre,7,FALSE),""))</f>
        <v/>
      </c>
      <c r="E592" s="62" t="inlineStr">
        <is>
          <t>C03</t>
        </is>
      </c>
      <c r="F592" s="63" t="n">
        <v>46439.60416666666</v>
      </c>
      <c r="G592" s="9" t="n"/>
      <c r="H592" s="9" t="n"/>
      <c r="I592" s="10" t="n"/>
      <c r="J592" s="65" t="n">
        <v>54</v>
      </c>
      <c r="K592" s="66" t="inlineStr">
        <is>
          <t>-</t>
        </is>
      </c>
      <c r="L592" s="65" t="n">
        <v>64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C17</t>
        </is>
      </c>
      <c r="J593" s="141" t="n"/>
      <c r="K593" s="141" t="n"/>
      <c r="L593" s="141" t="n"/>
    </row>
    <row r="594" ht="13" customHeight="1">
      <c r="A594" s="81" t="inlineStr">
        <is>
          <t>Gara N.</t>
        </is>
      </c>
      <c r="B594" s="81" t="inlineStr">
        <is>
          <t>Squadra A</t>
        </is>
      </c>
      <c r="C594" s="10" t="n"/>
      <c r="D594" s="81" t="inlineStr">
        <is>
          <t>Squadra B</t>
        </is>
      </c>
      <c r="E594" s="10" t="n"/>
      <c r="F594" s="81" t="inlineStr">
        <is>
          <t>Giorno</t>
        </is>
      </c>
      <c r="G594" s="81" t="inlineStr">
        <is>
          <t>Data</t>
        </is>
      </c>
      <c r="H594" s="81" t="inlineStr">
        <is>
          <t>Ora</t>
        </is>
      </c>
      <c r="I594" s="10" t="n"/>
      <c r="J594" s="81" t="inlineStr">
        <is>
          <t>Risultato</t>
        </is>
      </c>
      <c r="K594" s="9" t="n"/>
      <c r="L594" s="10" t="n"/>
    </row>
    <row r="595" ht="24" customHeight="1">
      <c r="A595" s="83">
        <f>MAX(A$10:A594)+1</f>
        <v/>
      </c>
      <c r="B595" s="61">
        <f>IF(C595="","",IFERROR(VLOOKUP(C595,areaNomiBreviSquadre,7,FALSE),""))</f>
        <v/>
      </c>
      <c r="C595" s="62" t="inlineStr">
        <is>
          <t>C04</t>
        </is>
      </c>
      <c r="D595" s="61">
        <f>IF(E595="","",IFERROR(VLOOKUP(E595,areaNomiBreviSquadre,7,FALSE),""))</f>
        <v/>
      </c>
      <c r="E595" s="62" t="inlineStr">
        <is>
          <t>C15</t>
        </is>
      </c>
      <c r="F595" s="63" t="n">
        <v>46439.66666666666</v>
      </c>
      <c r="G595" s="9" t="n"/>
      <c r="H595" s="9" t="n"/>
      <c r="I595" s="10" t="n"/>
      <c r="J595" s="65" t="n">
        <v>87</v>
      </c>
      <c r="K595" s="66" t="inlineStr">
        <is>
          <t>-</t>
        </is>
      </c>
      <c r="L595" s="65" t="n">
        <v>84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C17</t>
        </is>
      </c>
      <c r="J596" s="141" t="n"/>
      <c r="K596" s="141" t="n"/>
      <c r="L596" s="141" t="n"/>
    </row>
    <row r="597" ht="13" customHeight="1">
      <c r="A597" s="81" t="inlineStr">
        <is>
          <t>Gara N.</t>
        </is>
      </c>
      <c r="B597" s="81" t="inlineStr">
        <is>
          <t>Squadra A</t>
        </is>
      </c>
      <c r="C597" s="10" t="n"/>
      <c r="D597" s="81" t="inlineStr">
        <is>
          <t>Squadra B</t>
        </is>
      </c>
      <c r="E597" s="10" t="n"/>
      <c r="F597" s="81" t="inlineStr">
        <is>
          <t>Giorno</t>
        </is>
      </c>
      <c r="G597" s="81" t="inlineStr">
        <is>
          <t>Data</t>
        </is>
      </c>
      <c r="H597" s="81" t="inlineStr">
        <is>
          <t>Ora</t>
        </is>
      </c>
      <c r="I597" s="10" t="n"/>
      <c r="J597" s="81" t="inlineStr">
        <is>
          <t>Risultato</t>
        </is>
      </c>
      <c r="K597" s="9" t="n"/>
      <c r="L597" s="10" t="n"/>
    </row>
    <row r="598" ht="24" customHeight="1">
      <c r="A598" s="83">
        <f>MAX(A$10:A597)+1</f>
        <v/>
      </c>
      <c r="B598" s="61">
        <f>IF(C598="","",IFERROR(VLOOKUP(C598,areaNomiBreviSquadre,7,FALSE),""))</f>
        <v/>
      </c>
      <c r="C598" s="62" t="inlineStr">
        <is>
          <t>C14</t>
        </is>
      </c>
      <c r="D598" s="61">
        <f>IF(E598="","",IFERROR(VLOOKUP(E598,areaNomiBreviSquadre,7,FALSE),""))</f>
        <v/>
      </c>
      <c r="E598" s="62" t="inlineStr">
        <is>
          <t>C05</t>
        </is>
      </c>
      <c r="F598" s="63" t="n">
        <v>46439.72916666666</v>
      </c>
      <c r="G598" s="9" t="n"/>
      <c r="H598" s="9" t="n"/>
      <c r="I598" s="10" t="n"/>
      <c r="J598" s="65" t="n">
        <v>61</v>
      </c>
      <c r="K598" s="66" t="inlineStr">
        <is>
          <t>-</t>
        </is>
      </c>
      <c r="L598" s="65" t="n">
        <v>63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C17</t>
        </is>
      </c>
      <c r="J599" s="141" t="n"/>
      <c r="K599" s="141" t="n"/>
      <c r="L599" s="141" t="n"/>
    </row>
    <row r="600" ht="13" customHeight="1">
      <c r="A600" s="81" t="inlineStr">
        <is>
          <t>Gara N.</t>
        </is>
      </c>
      <c r="B600" s="81" t="inlineStr">
        <is>
          <t>Squadra A</t>
        </is>
      </c>
      <c r="C600" s="10" t="n"/>
      <c r="D600" s="81" t="inlineStr">
        <is>
          <t>Squadra B</t>
        </is>
      </c>
      <c r="E600" s="10" t="n"/>
      <c r="F600" s="81" t="inlineStr">
        <is>
          <t>Giorno</t>
        </is>
      </c>
      <c r="G600" s="81" t="inlineStr">
        <is>
          <t>Data</t>
        </is>
      </c>
      <c r="H600" s="81" t="inlineStr">
        <is>
          <t>Ora</t>
        </is>
      </c>
      <c r="I600" s="10" t="n"/>
      <c r="J600" s="81" t="inlineStr">
        <is>
          <t>Risultato</t>
        </is>
      </c>
      <c r="K600" s="9" t="n"/>
      <c r="L600" s="10" t="n"/>
    </row>
    <row r="601" ht="24" customHeight="1">
      <c r="A601" s="83">
        <f>MAX(A$10:A600)+1</f>
        <v/>
      </c>
      <c r="B601" s="61">
        <f>IF(C601="","",IFERROR(VLOOKUP(C601,areaNomiBreviSquadre,7,FALSE),""))</f>
        <v/>
      </c>
      <c r="C601" s="62" t="inlineStr">
        <is>
          <t>C18</t>
        </is>
      </c>
      <c r="D601" s="61">
        <f>IF(E601="","",IFERROR(VLOOKUP(E601,areaNomiBreviSquadre,7,FALSE),""))</f>
        <v/>
      </c>
      <c r="E601" s="62" t="inlineStr">
        <is>
          <t>C01</t>
        </is>
      </c>
      <c r="F601" s="63" t="n">
        <v>46439.39583333334</v>
      </c>
      <c r="G601" s="9" t="n"/>
      <c r="H601" s="9" t="n"/>
      <c r="I601" s="10" t="n"/>
      <c r="J601" s="65" t="n">
        <v>87</v>
      </c>
      <c r="K601" s="66" t="inlineStr">
        <is>
          <t>-</t>
        </is>
      </c>
      <c r="L601" s="65" t="n">
        <v>88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C18</t>
        </is>
      </c>
      <c r="J602" s="141" t="n"/>
      <c r="K602" s="141" t="n"/>
      <c r="L602" s="141" t="n"/>
    </row>
    <row r="603" ht="13" customHeight="1">
      <c r="A603" s="81" t="inlineStr">
        <is>
          <t>Gara N.</t>
        </is>
      </c>
      <c r="B603" s="81" t="inlineStr">
        <is>
          <t>Squadra A</t>
        </is>
      </c>
      <c r="C603" s="10" t="n"/>
      <c r="D603" s="81" t="inlineStr">
        <is>
          <t>Squadra B</t>
        </is>
      </c>
      <c r="E603" s="10" t="n"/>
      <c r="F603" s="81" t="inlineStr">
        <is>
          <t>Giorno</t>
        </is>
      </c>
      <c r="G603" s="81" t="inlineStr">
        <is>
          <t>Data</t>
        </is>
      </c>
      <c r="H603" s="81" t="inlineStr">
        <is>
          <t>Ora</t>
        </is>
      </c>
      <c r="I603" s="10" t="n"/>
      <c r="J603" s="81" t="inlineStr">
        <is>
          <t>Risultato</t>
        </is>
      </c>
      <c r="K603" s="9" t="n"/>
      <c r="L603" s="10" t="n"/>
    </row>
    <row r="604" ht="24" customHeight="1">
      <c r="A604" s="83">
        <f>MAX(A$10:A603)+1</f>
        <v/>
      </c>
      <c r="B604" s="61">
        <f>IF(C604="","",IFERROR(VLOOKUP(C604,areaNomiBreviSquadre,7,FALSE),""))</f>
        <v/>
      </c>
      <c r="C604" s="62" t="inlineStr">
        <is>
          <t>C06</t>
        </is>
      </c>
      <c r="D604" s="61">
        <f>IF(E604="","",IFERROR(VLOOKUP(E604,areaNomiBreviSquadre,7,FALSE),""))</f>
        <v/>
      </c>
      <c r="E604" s="62" t="inlineStr">
        <is>
          <t>C13</t>
        </is>
      </c>
      <c r="F604" s="63" t="n">
        <v>46439.45833333334</v>
      </c>
      <c r="G604" s="9" t="n"/>
      <c r="H604" s="9" t="n"/>
      <c r="I604" s="10" t="n"/>
      <c r="J604" s="65" t="n">
        <v>46</v>
      </c>
      <c r="K604" s="66" t="inlineStr">
        <is>
          <t>-</t>
        </is>
      </c>
      <c r="L604" s="65" t="n">
        <v>26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C18</t>
        </is>
      </c>
      <c r="J605" s="141" t="n"/>
      <c r="K605" s="141" t="n"/>
      <c r="L605" s="141" t="n"/>
    </row>
    <row r="606" ht="13" customHeight="1">
      <c r="A606" s="81" t="inlineStr">
        <is>
          <t>Gara N.</t>
        </is>
      </c>
      <c r="B606" s="81" t="inlineStr">
        <is>
          <t>Squadra A</t>
        </is>
      </c>
      <c r="C606" s="10" t="n"/>
      <c r="D606" s="81" t="inlineStr">
        <is>
          <t>Squadra B</t>
        </is>
      </c>
      <c r="E606" s="10" t="n"/>
      <c r="F606" s="81" t="inlineStr">
        <is>
          <t>Giorno</t>
        </is>
      </c>
      <c r="G606" s="81" t="inlineStr">
        <is>
          <t>Data</t>
        </is>
      </c>
      <c r="H606" s="81" t="inlineStr">
        <is>
          <t>Ora</t>
        </is>
      </c>
      <c r="I606" s="10" t="n"/>
      <c r="J606" s="81" t="inlineStr">
        <is>
          <t>Risultato</t>
        </is>
      </c>
      <c r="K606" s="9" t="n"/>
      <c r="L606" s="10" t="n"/>
    </row>
    <row r="607" ht="24" customHeight="1">
      <c r="A607" s="83">
        <f>MAX(A$10:A606)+1</f>
        <v/>
      </c>
      <c r="B607" s="61">
        <f>IF(C607="","",IFERROR(VLOOKUP(C607,areaNomiBreviSquadre,7,FALSE),""))</f>
        <v/>
      </c>
      <c r="C607" s="62" t="inlineStr">
        <is>
          <t>C12</t>
        </is>
      </c>
      <c r="D607" s="61">
        <f>IF(E607="","",IFERROR(VLOOKUP(E607,areaNomiBreviSquadre,7,FALSE),""))</f>
        <v/>
      </c>
      <c r="E607" s="62" t="inlineStr">
        <is>
          <t>C07</t>
        </is>
      </c>
      <c r="F607" s="63" t="n">
        <v>46439.60416666666</v>
      </c>
      <c r="G607" s="9" t="n"/>
      <c r="H607" s="9" t="n"/>
      <c r="I607" s="10" t="n"/>
      <c r="J607" s="65" t="n">
        <v>64</v>
      </c>
      <c r="K607" s="66" t="inlineStr">
        <is>
          <t>-</t>
        </is>
      </c>
      <c r="L607" s="65" t="n">
        <v>66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C18</t>
        </is>
      </c>
      <c r="J608" s="141" t="n"/>
      <c r="K608" s="141" t="n"/>
      <c r="L608" s="141" t="n"/>
    </row>
    <row r="609" ht="13" customHeight="1">
      <c r="A609" s="81" t="inlineStr">
        <is>
          <t>Gara N.</t>
        </is>
      </c>
      <c r="B609" s="81" t="inlineStr">
        <is>
          <t>Squadra A</t>
        </is>
      </c>
      <c r="C609" s="10" t="n"/>
      <c r="D609" s="81" t="inlineStr">
        <is>
          <t>Squadra B</t>
        </is>
      </c>
      <c r="E609" s="10" t="n"/>
      <c r="F609" s="81" t="inlineStr">
        <is>
          <t>Giorno</t>
        </is>
      </c>
      <c r="G609" s="81" t="inlineStr">
        <is>
          <t>Data</t>
        </is>
      </c>
      <c r="H609" s="81" t="inlineStr">
        <is>
          <t>Ora</t>
        </is>
      </c>
      <c r="I609" s="10" t="n"/>
      <c r="J609" s="81" t="inlineStr">
        <is>
          <t>Risultato</t>
        </is>
      </c>
      <c r="K609" s="9" t="n"/>
      <c r="L609" s="10" t="n"/>
    </row>
    <row r="610" ht="24" customHeight="1">
      <c r="A610" s="83">
        <f>MAX(A$10:A609)+1</f>
        <v/>
      </c>
      <c r="B610" s="61">
        <f>IF(C610="","",IFERROR(VLOOKUP(C610,areaNomiBreviSquadre,7,FALSE),""))</f>
        <v/>
      </c>
      <c r="C610" s="62" t="inlineStr">
        <is>
          <t>C08</t>
        </is>
      </c>
      <c r="D610" s="61">
        <f>IF(E610="","",IFERROR(VLOOKUP(E610,areaNomiBreviSquadre,7,FALSE),""))</f>
        <v/>
      </c>
      <c r="E610" s="62" t="inlineStr">
        <is>
          <t>C11</t>
        </is>
      </c>
      <c r="F610" s="63" t="n">
        <v>46439.66666666666</v>
      </c>
      <c r="G610" s="9" t="n"/>
      <c r="H610" s="9" t="n"/>
      <c r="I610" s="10" t="n"/>
      <c r="J610" s="65" t="n">
        <v>44</v>
      </c>
      <c r="K610" s="66" t="inlineStr">
        <is>
          <t>-</t>
        </is>
      </c>
      <c r="L610" s="65" t="n">
        <v>43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C18</t>
        </is>
      </c>
      <c r="J611" s="141" t="n"/>
      <c r="K611" s="141" t="n"/>
      <c r="L611" s="141" t="n"/>
    </row>
    <row r="612" ht="13" customHeight="1">
      <c r="A612" s="81" t="inlineStr">
        <is>
          <t>Gara N.</t>
        </is>
      </c>
      <c r="B612" s="81" t="inlineStr">
        <is>
          <t>Squadra A</t>
        </is>
      </c>
      <c r="C612" s="10" t="n"/>
      <c r="D612" s="81" t="inlineStr">
        <is>
          <t>Squadra B</t>
        </is>
      </c>
      <c r="E612" s="10" t="n"/>
      <c r="F612" s="81" t="inlineStr">
        <is>
          <t>Giorno</t>
        </is>
      </c>
      <c r="G612" s="81" t="inlineStr">
        <is>
          <t>Data</t>
        </is>
      </c>
      <c r="H612" s="81" t="inlineStr">
        <is>
          <t>Ora</t>
        </is>
      </c>
      <c r="I612" s="10" t="n"/>
      <c r="J612" s="81" t="inlineStr">
        <is>
          <t>Risultato</t>
        </is>
      </c>
      <c r="K612" s="9" t="n"/>
      <c r="L612" s="10" t="n"/>
    </row>
    <row r="613" ht="24" customHeight="1">
      <c r="A613" s="83">
        <f>MAX(A$10:A612)+1</f>
        <v/>
      </c>
      <c r="B613" s="61">
        <f>IF(C613="","",IFERROR(VLOOKUP(C613,areaNomiBreviSquadre,7,FALSE),""))</f>
        <v/>
      </c>
      <c r="C613" s="62" t="inlineStr">
        <is>
          <t>C10</t>
        </is>
      </c>
      <c r="D613" s="61">
        <f>IF(E613="","",IFERROR(VLOOKUP(E613,areaNomiBreviSquadre,7,FALSE),""))</f>
        <v/>
      </c>
      <c r="E613" s="62" t="inlineStr">
        <is>
          <t>C09</t>
        </is>
      </c>
      <c r="F613" s="63" t="n">
        <v>46439.72916666666</v>
      </c>
      <c r="G613" s="9" t="n"/>
      <c r="H613" s="9" t="n"/>
      <c r="I613" s="10" t="n"/>
      <c r="J613" s="65" t="n">
        <v>51</v>
      </c>
      <c r="K613" s="66" t="inlineStr">
        <is>
          <t>-</t>
        </is>
      </c>
      <c r="L613" s="65" t="n">
        <v>56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C18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571</v>
      </c>
      <c r="B10" s="61">
        <f>IF(C10="","",IFERROR(VLOOKUP(C10,areaNomiBreviSquadre,7,FALSE),""))</f>
        <v/>
      </c>
      <c r="C10" s="62" t="inlineStr">
        <is>
          <t>D01</t>
        </is>
      </c>
      <c r="D10" s="61">
        <f>IF(E10="","",IFERROR(VLOOKUP(E10,areaNomiBreviSquadre,7,FALSE),""))</f>
        <v/>
      </c>
      <c r="E10" s="62" t="inlineStr">
        <is>
          <t>D20</t>
        </is>
      </c>
      <c r="F10" s="63" t="n">
        <v>46313.39583333334</v>
      </c>
      <c r="G10" s="9" t="n"/>
      <c r="H10" s="9" t="n"/>
      <c r="I10" s="10" t="n"/>
      <c r="J10" s="65" t="n">
        <v>43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D01</t>
        </is>
      </c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IF(C13="","",IFERROR(VLOOKUP(C13,areaNomiBreviSquadre,7,FALSE),""))</f>
        <v/>
      </c>
      <c r="C13" s="62" t="inlineStr">
        <is>
          <t>D03</t>
        </is>
      </c>
      <c r="D13" s="61">
        <f>IF(E13="","",IFERROR(VLOOKUP(E13,areaNomiBreviSquadre,7,FALSE),""))</f>
        <v/>
      </c>
      <c r="E13" s="62" t="inlineStr">
        <is>
          <t>D18</t>
        </is>
      </c>
      <c r="F13" s="63" t="n">
        <v>46313.45833333334</v>
      </c>
      <c r="G13" s="9" t="n"/>
      <c r="H13" s="9" t="n"/>
      <c r="I13" s="10" t="n"/>
      <c r="J13" s="65" t="n">
        <v>60</v>
      </c>
      <c r="K13" s="66" t="inlineStr">
        <is>
          <t>-</t>
        </is>
      </c>
      <c r="L13" s="65" t="n">
        <v>81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D01</t>
        </is>
      </c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IF(C16="","",IFERROR(VLOOKUP(C16,areaNomiBreviSquadre,7,FALSE),""))</f>
        <v/>
      </c>
      <c r="C16" s="62" t="inlineStr">
        <is>
          <t>D17</t>
        </is>
      </c>
      <c r="D16" s="61">
        <f>IF(E16="","",IFERROR(VLOOKUP(E16,areaNomiBreviSquadre,7,FALSE),""))</f>
        <v/>
      </c>
      <c r="E16" s="62" t="inlineStr">
        <is>
          <t>D04</t>
        </is>
      </c>
      <c r="F16" s="63" t="n">
        <v>46313.60416666666</v>
      </c>
      <c r="G16" s="9" t="n"/>
      <c r="H16" s="9" t="n"/>
      <c r="I16" s="10" t="n"/>
      <c r="J16" s="65" t="n">
        <v>83</v>
      </c>
      <c r="K16" s="66" t="inlineStr">
        <is>
          <t>-</t>
        </is>
      </c>
      <c r="L16" s="65" t="n">
        <v>65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D01</t>
        </is>
      </c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IF(C19="","",IFERROR(VLOOKUP(C19,areaNomiBreviSquadre,7,FALSE),""))</f>
        <v/>
      </c>
      <c r="C19" s="62" t="inlineStr">
        <is>
          <t>D05</t>
        </is>
      </c>
      <c r="D19" s="61">
        <f>IF(E19="","",IFERROR(VLOOKUP(E19,areaNomiBreviSquadre,7,FALSE),""))</f>
        <v/>
      </c>
      <c r="E19" s="62" t="inlineStr">
        <is>
          <t>D16</t>
        </is>
      </c>
      <c r="F19" s="63" t="n">
        <v>46313.66666666666</v>
      </c>
      <c r="G19" s="9" t="n"/>
      <c r="H19" s="9" t="n"/>
      <c r="I19" s="10" t="n"/>
      <c r="J19" s="65" t="n">
        <v>80</v>
      </c>
      <c r="K19" s="66" t="inlineStr">
        <is>
          <t>-</t>
        </is>
      </c>
      <c r="L19" s="65" t="n">
        <v>63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D01</t>
        </is>
      </c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IF(C22="","",IFERROR(VLOOKUP(C22,areaNomiBreviSquadre,7,FALSE),""))</f>
        <v/>
      </c>
      <c r="C22" s="62" t="inlineStr">
        <is>
          <t>D15</t>
        </is>
      </c>
      <c r="D22" s="61">
        <f>IF(E22="","",IFERROR(VLOOKUP(E22,areaNomiBreviSquadre,7,FALSE),""))</f>
        <v/>
      </c>
      <c r="E22" s="62" t="inlineStr">
        <is>
          <t>D06</t>
        </is>
      </c>
      <c r="F22" s="63" t="n">
        <v>46313.72916666666</v>
      </c>
      <c r="G22" s="9" t="n"/>
      <c r="H22" s="9" t="n"/>
      <c r="I22" s="10" t="n"/>
      <c r="J22" s="65" t="n">
        <v>48</v>
      </c>
      <c r="K22" s="66" t="inlineStr">
        <is>
          <t>-</t>
        </is>
      </c>
      <c r="L22" s="65" t="n">
        <v>28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D01</t>
        </is>
      </c>
      <c r="J23" s="141" t="n"/>
      <c r="K23" s="141" t="n"/>
      <c r="L23" s="141" t="n"/>
    </row>
    <row r="24" ht="13" customHeight="1">
      <c r="A24" s="88" t="inlineStr">
        <is>
          <t>Gara N.</t>
        </is>
      </c>
      <c r="B24" s="88" t="inlineStr">
        <is>
          <t>Squadra A</t>
        </is>
      </c>
      <c r="C24" s="10" t="n"/>
      <c r="D24" s="88" t="inlineStr">
        <is>
          <t>Squadra B</t>
        </is>
      </c>
      <c r="E24" s="10" t="n"/>
      <c r="F24" s="88" t="inlineStr">
        <is>
          <t>Giorno</t>
        </is>
      </c>
      <c r="G24" s="88" t="inlineStr">
        <is>
          <t>Data</t>
        </is>
      </c>
      <c r="H24" s="88" t="inlineStr">
        <is>
          <t>Ora</t>
        </is>
      </c>
      <c r="I24" s="10" t="n"/>
      <c r="J24" s="88" t="inlineStr">
        <is>
          <t>Risultato</t>
        </is>
      </c>
      <c r="K24" s="9" t="n"/>
      <c r="L24" s="10" t="n"/>
    </row>
    <row r="25" ht="24" customHeight="1">
      <c r="A25" s="90">
        <f>MAX(A$10:A24)+1</f>
        <v/>
      </c>
      <c r="B25" s="61">
        <f>IF(C25="","",IFERROR(VLOOKUP(C25,areaNomiBreviSquadre,7,FALSE),""))</f>
        <v/>
      </c>
      <c r="C25" s="62" t="inlineStr">
        <is>
          <t>D19</t>
        </is>
      </c>
      <c r="D25" s="61">
        <f>IF(E25="","",IFERROR(VLOOKUP(E25,areaNomiBreviSquadre,7,FALSE),""))</f>
        <v/>
      </c>
      <c r="E25" s="62" t="inlineStr">
        <is>
          <t>D02</t>
        </is>
      </c>
      <c r="F25" s="63" t="n">
        <v>46313.39583333334</v>
      </c>
      <c r="G25" s="9" t="n"/>
      <c r="H25" s="9" t="n"/>
      <c r="I25" s="10" t="n"/>
      <c r="J25" s="65" t="n">
        <v>53</v>
      </c>
      <c r="K25" s="66" t="inlineStr">
        <is>
          <t>-</t>
        </is>
      </c>
      <c r="L25" s="65" t="n">
        <v>27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D02</t>
        </is>
      </c>
      <c r="J26" s="141" t="n"/>
      <c r="K26" s="141" t="n"/>
      <c r="L26" s="141" t="n"/>
    </row>
    <row r="27" ht="13" customHeight="1">
      <c r="A27" s="88" t="inlineStr">
        <is>
          <t>Gara N.</t>
        </is>
      </c>
      <c r="B27" s="88" t="inlineStr">
        <is>
          <t>Squadra A</t>
        </is>
      </c>
      <c r="C27" s="10" t="n"/>
      <c r="D27" s="88" t="inlineStr">
        <is>
          <t>Squadra B</t>
        </is>
      </c>
      <c r="E27" s="10" t="n"/>
      <c r="F27" s="88" t="inlineStr">
        <is>
          <t>Giorno</t>
        </is>
      </c>
      <c r="G27" s="88" t="inlineStr">
        <is>
          <t>Data</t>
        </is>
      </c>
      <c r="H27" s="88" t="inlineStr">
        <is>
          <t>Ora</t>
        </is>
      </c>
      <c r="I27" s="10" t="n"/>
      <c r="J27" s="88" t="inlineStr">
        <is>
          <t>Risultato</t>
        </is>
      </c>
      <c r="K27" s="9" t="n"/>
      <c r="L27" s="10" t="n"/>
    </row>
    <row r="28" ht="24" customHeight="1">
      <c r="A28" s="90">
        <f>MAX(A$10:A27)+1</f>
        <v/>
      </c>
      <c r="B28" s="61">
        <f>IF(C28="","",IFERROR(VLOOKUP(C28,areaNomiBreviSquadre,7,FALSE),""))</f>
        <v/>
      </c>
      <c r="C28" s="62" t="inlineStr">
        <is>
          <t>D07</t>
        </is>
      </c>
      <c r="D28" s="61">
        <f>IF(E28="","",IFERROR(VLOOKUP(E28,areaNomiBreviSquadre,7,FALSE),""))</f>
        <v/>
      </c>
      <c r="E28" s="62" t="inlineStr">
        <is>
          <t>D14</t>
        </is>
      </c>
      <c r="F28" s="63" t="n">
        <v>46313.45833333334</v>
      </c>
      <c r="G28" s="9" t="n"/>
      <c r="H28" s="9" t="n"/>
      <c r="I28" s="10" t="n"/>
      <c r="J28" s="65" t="n">
        <v>75</v>
      </c>
      <c r="K28" s="66" t="inlineStr">
        <is>
          <t>-</t>
        </is>
      </c>
      <c r="L28" s="65" t="n">
        <v>64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D02</t>
        </is>
      </c>
      <c r="J29" s="141" t="n"/>
      <c r="K29" s="141" t="n"/>
      <c r="L29" s="141" t="n"/>
    </row>
    <row r="30" ht="13" customHeight="1">
      <c r="A30" s="88" t="inlineStr">
        <is>
          <t>Gara N.</t>
        </is>
      </c>
      <c r="B30" s="88" t="inlineStr">
        <is>
          <t>Squadra A</t>
        </is>
      </c>
      <c r="C30" s="10" t="n"/>
      <c r="D30" s="88" t="inlineStr">
        <is>
          <t>Squadra B</t>
        </is>
      </c>
      <c r="E30" s="10" t="n"/>
      <c r="F30" s="88" t="inlineStr">
        <is>
          <t>Giorno</t>
        </is>
      </c>
      <c r="G30" s="88" t="inlineStr">
        <is>
          <t>Data</t>
        </is>
      </c>
      <c r="H30" s="88" t="inlineStr">
        <is>
          <t>Ora</t>
        </is>
      </c>
      <c r="I30" s="10" t="n"/>
      <c r="J30" s="88" t="inlineStr">
        <is>
          <t>Risultato</t>
        </is>
      </c>
      <c r="K30" s="9" t="n"/>
      <c r="L30" s="10" t="n"/>
    </row>
    <row r="31" ht="24" customHeight="1">
      <c r="A31" s="90">
        <f>MAX(A$10:A30)+1</f>
        <v/>
      </c>
      <c r="B31" s="61">
        <f>IF(C31="","",IFERROR(VLOOKUP(C31,areaNomiBreviSquadre,7,FALSE),""))</f>
        <v/>
      </c>
      <c r="C31" s="62" t="inlineStr">
        <is>
          <t>D13</t>
        </is>
      </c>
      <c r="D31" s="61">
        <f>IF(E31="","",IFERROR(VLOOKUP(E31,areaNomiBreviSquadre,7,FALSE),""))</f>
        <v/>
      </c>
      <c r="E31" s="62" t="inlineStr">
        <is>
          <t>D08</t>
        </is>
      </c>
      <c r="F31" s="63" t="n">
        <v>46313.60416666666</v>
      </c>
      <c r="G31" s="9" t="n"/>
      <c r="H31" s="9" t="n"/>
      <c r="I31" s="10" t="n"/>
      <c r="J31" s="65" t="n">
        <v>86</v>
      </c>
      <c r="K31" s="66" t="inlineStr">
        <is>
          <t>-</t>
        </is>
      </c>
      <c r="L31" s="65" t="n">
        <v>70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D02</t>
        </is>
      </c>
      <c r="J32" s="141" t="n"/>
      <c r="K32" s="141" t="n"/>
      <c r="L32" s="141" t="n"/>
    </row>
    <row r="33" ht="13" customHeight="1">
      <c r="A33" s="88" t="inlineStr">
        <is>
          <t>Gara N.</t>
        </is>
      </c>
      <c r="B33" s="88" t="inlineStr">
        <is>
          <t>Squadra A</t>
        </is>
      </c>
      <c r="C33" s="10" t="n"/>
      <c r="D33" s="88" t="inlineStr">
        <is>
          <t>Squadra B</t>
        </is>
      </c>
      <c r="E33" s="10" t="n"/>
      <c r="F33" s="88" t="inlineStr">
        <is>
          <t>Giorno</t>
        </is>
      </c>
      <c r="G33" s="88" t="inlineStr">
        <is>
          <t>Data</t>
        </is>
      </c>
      <c r="H33" s="88" t="inlineStr">
        <is>
          <t>Ora</t>
        </is>
      </c>
      <c r="I33" s="10" t="n"/>
      <c r="J33" s="88" t="inlineStr">
        <is>
          <t>Risultato</t>
        </is>
      </c>
      <c r="K33" s="9" t="n"/>
      <c r="L33" s="10" t="n"/>
    </row>
    <row r="34" ht="24" customHeight="1">
      <c r="A34" s="90">
        <f>MAX(A$10:A33)+1</f>
        <v/>
      </c>
      <c r="B34" s="61">
        <f>IF(C34="","",IFERROR(VLOOKUP(C34,areaNomiBreviSquadre,7,FALSE),""))</f>
        <v/>
      </c>
      <c r="C34" s="62" t="inlineStr">
        <is>
          <t>D09</t>
        </is>
      </c>
      <c r="D34" s="61">
        <f>IF(E34="","",IFERROR(VLOOKUP(E34,areaNomiBreviSquadre,7,FALSE),""))</f>
        <v/>
      </c>
      <c r="E34" s="62" t="inlineStr">
        <is>
          <t>D12</t>
        </is>
      </c>
      <c r="F34" s="63" t="n">
        <v>46313.66666666666</v>
      </c>
      <c r="G34" s="9" t="n"/>
      <c r="H34" s="9" t="n"/>
      <c r="I34" s="10" t="n"/>
      <c r="J34" s="65" t="n">
        <v>84</v>
      </c>
      <c r="K34" s="66" t="inlineStr">
        <is>
          <t>-</t>
        </is>
      </c>
      <c r="L34" s="65" t="n">
        <v>82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D02</t>
        </is>
      </c>
      <c r="J35" s="141" t="n"/>
      <c r="K35" s="141" t="n"/>
      <c r="L35" s="141" t="n"/>
    </row>
    <row r="36" ht="13" customHeight="1">
      <c r="A36" s="88" t="inlineStr">
        <is>
          <t>Gara N.</t>
        </is>
      </c>
      <c r="B36" s="88" t="inlineStr">
        <is>
          <t>Squadra A</t>
        </is>
      </c>
      <c r="C36" s="10" t="n"/>
      <c r="D36" s="88" t="inlineStr">
        <is>
          <t>Squadra B</t>
        </is>
      </c>
      <c r="E36" s="10" t="n"/>
      <c r="F36" s="88" t="inlineStr">
        <is>
          <t>Giorno</t>
        </is>
      </c>
      <c r="G36" s="88" t="inlineStr">
        <is>
          <t>Data</t>
        </is>
      </c>
      <c r="H36" s="88" t="inlineStr">
        <is>
          <t>Ora</t>
        </is>
      </c>
      <c r="I36" s="10" t="n"/>
      <c r="J36" s="88" t="inlineStr">
        <is>
          <t>Risultato</t>
        </is>
      </c>
      <c r="K36" s="9" t="n"/>
      <c r="L36" s="10" t="n"/>
    </row>
    <row r="37" ht="24" customHeight="1">
      <c r="A37" s="90">
        <f>MAX(A$10:A36)+1</f>
        <v/>
      </c>
      <c r="B37" s="61">
        <f>IF(C37="","",IFERROR(VLOOKUP(C37,areaNomiBreviSquadre,7,FALSE),""))</f>
        <v/>
      </c>
      <c r="C37" s="62" t="inlineStr">
        <is>
          <t>D11</t>
        </is>
      </c>
      <c r="D37" s="61">
        <f>IF(E37="","",IFERROR(VLOOKUP(E37,areaNomiBreviSquadre,7,FALSE),""))</f>
        <v/>
      </c>
      <c r="E37" s="62" t="inlineStr">
        <is>
          <t>D10</t>
        </is>
      </c>
      <c r="F37" s="63" t="n">
        <v>46313.72916666666</v>
      </c>
      <c r="G37" s="9" t="n"/>
      <c r="H37" s="9" t="n"/>
      <c r="I37" s="10" t="n"/>
      <c r="J37" s="65" t="n">
        <v>91</v>
      </c>
      <c r="K37" s="66" t="inlineStr">
        <is>
          <t>-</t>
        </is>
      </c>
      <c r="L37" s="65" t="n">
        <v>88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D02</t>
        </is>
      </c>
      <c r="J38" s="141" t="n"/>
      <c r="K38" s="141" t="n"/>
      <c r="L38" s="141" t="n"/>
    </row>
    <row r="39" ht="8" customHeight="1"/>
    <row r="40" ht="20" customHeight="1">
      <c r="A40" s="85" t="inlineStr">
        <is>
          <t>2D</t>
        </is>
      </c>
      <c r="B40" s="8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8" t="inlineStr">
        <is>
          <t>Gara N.</t>
        </is>
      </c>
      <c r="B41" s="88" t="inlineStr">
        <is>
          <t>Squadra A</t>
        </is>
      </c>
      <c r="C41" s="10" t="n"/>
      <c r="D41" s="88" t="inlineStr">
        <is>
          <t>Squadra B</t>
        </is>
      </c>
      <c r="E41" s="10" t="n"/>
      <c r="F41" s="88" t="inlineStr">
        <is>
          <t>Giorno</t>
        </is>
      </c>
      <c r="G41" s="88" t="inlineStr">
        <is>
          <t>Data</t>
        </is>
      </c>
      <c r="H41" s="88" t="inlineStr">
        <is>
          <t>Ora</t>
        </is>
      </c>
      <c r="I41" s="10" t="n"/>
      <c r="J41" s="88" t="inlineStr">
        <is>
          <t>Risultato</t>
        </is>
      </c>
      <c r="K41" s="9" t="n"/>
      <c r="L41" s="10" t="n"/>
    </row>
    <row r="42" ht="24" customHeight="1">
      <c r="A42" s="90">
        <f>MAX(A$10:A41)+1</f>
        <v/>
      </c>
      <c r="B42" s="61">
        <f>IF(C42="","",IFERROR(VLOOKUP(C42,areaNomiBreviSquadre,7,FALSE),""))</f>
        <v/>
      </c>
      <c r="C42" s="62" t="inlineStr">
        <is>
          <t>D03</t>
        </is>
      </c>
      <c r="D42" s="61">
        <f>IF(E42="","",IFERROR(VLOOKUP(E42,areaNomiBreviSquadre,7,FALSE),""))</f>
        <v/>
      </c>
      <c r="E42" s="62" t="inlineStr">
        <is>
          <t>D01</t>
        </is>
      </c>
      <c r="F42" s="63" t="n">
        <v>46320.39583333334</v>
      </c>
      <c r="G42" s="9" t="n"/>
      <c r="H42" s="9" t="n"/>
      <c r="I42" s="10" t="n"/>
      <c r="J42" s="65" t="n">
        <v>51</v>
      </c>
      <c r="K42" s="66" t="inlineStr">
        <is>
          <t>-</t>
        </is>
      </c>
      <c r="L42" s="65" t="n">
        <v>78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D03</t>
        </is>
      </c>
      <c r="J43" s="141" t="n"/>
      <c r="K43" s="141" t="n"/>
      <c r="L43" s="141" t="n"/>
    </row>
    <row r="44" ht="13" customHeight="1">
      <c r="A44" s="88" t="inlineStr">
        <is>
          <t>Gara N.</t>
        </is>
      </c>
      <c r="B44" s="88" t="inlineStr">
        <is>
          <t>Squadra A</t>
        </is>
      </c>
      <c r="C44" s="10" t="n"/>
      <c r="D44" s="88" t="inlineStr">
        <is>
          <t>Squadra B</t>
        </is>
      </c>
      <c r="E44" s="10" t="n"/>
      <c r="F44" s="88" t="inlineStr">
        <is>
          <t>Giorno</t>
        </is>
      </c>
      <c r="G44" s="88" t="inlineStr">
        <is>
          <t>Data</t>
        </is>
      </c>
      <c r="H44" s="88" t="inlineStr">
        <is>
          <t>Ora</t>
        </is>
      </c>
      <c r="I44" s="10" t="n"/>
      <c r="J44" s="88" t="inlineStr">
        <is>
          <t>Risultato</t>
        </is>
      </c>
      <c r="K44" s="9" t="n"/>
      <c r="L44" s="10" t="n"/>
    </row>
    <row r="45" ht="24" customHeight="1">
      <c r="A45" s="90">
        <f>MAX(A$10:A44)+1</f>
        <v/>
      </c>
      <c r="B45" s="61">
        <f>IF(C45="","",IFERROR(VLOOKUP(C45,areaNomiBreviSquadre,7,FALSE),""))</f>
        <v/>
      </c>
      <c r="C45" s="62" t="inlineStr">
        <is>
          <t>D20</t>
        </is>
      </c>
      <c r="D45" s="61">
        <f>IF(E45="","",IFERROR(VLOOKUP(E45,areaNomiBreviSquadre,7,FALSE),""))</f>
        <v/>
      </c>
      <c r="E45" s="62" t="inlineStr">
        <is>
          <t>D02</t>
        </is>
      </c>
      <c r="F45" s="63" t="n">
        <v>46320.45833333334</v>
      </c>
      <c r="G45" s="9" t="n"/>
      <c r="H45" s="9" t="n"/>
      <c r="I45" s="10" t="n"/>
      <c r="J45" s="65" t="n">
        <v>36</v>
      </c>
      <c r="K45" s="66" t="inlineStr">
        <is>
          <t>-</t>
        </is>
      </c>
      <c r="L45" s="65" t="n">
        <v>59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D03</t>
        </is>
      </c>
      <c r="J46" s="141" t="n"/>
      <c r="K46" s="141" t="n"/>
      <c r="L46" s="141" t="n"/>
    </row>
    <row r="47" ht="13" customHeight="1">
      <c r="A47" s="88" t="inlineStr">
        <is>
          <t>Gara N.</t>
        </is>
      </c>
      <c r="B47" s="88" t="inlineStr">
        <is>
          <t>Squadra A</t>
        </is>
      </c>
      <c r="C47" s="10" t="n"/>
      <c r="D47" s="88" t="inlineStr">
        <is>
          <t>Squadra B</t>
        </is>
      </c>
      <c r="E47" s="10" t="n"/>
      <c r="F47" s="88" t="inlineStr">
        <is>
          <t>Giorno</t>
        </is>
      </c>
      <c r="G47" s="88" t="inlineStr">
        <is>
          <t>Data</t>
        </is>
      </c>
      <c r="H47" s="88" t="inlineStr">
        <is>
          <t>Ora</t>
        </is>
      </c>
      <c r="I47" s="10" t="n"/>
      <c r="J47" s="88" t="inlineStr">
        <is>
          <t>Risultato</t>
        </is>
      </c>
      <c r="K47" s="9" t="n"/>
      <c r="L47" s="10" t="n"/>
    </row>
    <row r="48" ht="24" customHeight="1">
      <c r="A48" s="90">
        <f>MAX(A$10:A47)+1</f>
        <v/>
      </c>
      <c r="B48" s="61">
        <f>IF(C48="","",IFERROR(VLOOKUP(C48,areaNomiBreviSquadre,7,FALSE),""))</f>
        <v/>
      </c>
      <c r="C48" s="62" t="inlineStr">
        <is>
          <t>D05</t>
        </is>
      </c>
      <c r="D48" s="61">
        <f>IF(E48="","",IFERROR(VLOOKUP(E48,areaNomiBreviSquadre,7,FALSE),""))</f>
        <v/>
      </c>
      <c r="E48" s="62" t="inlineStr">
        <is>
          <t>D18</t>
        </is>
      </c>
      <c r="F48" s="63" t="n">
        <v>46320.60416666666</v>
      </c>
      <c r="G48" s="9" t="n"/>
      <c r="H48" s="9" t="n"/>
      <c r="I48" s="10" t="n"/>
      <c r="J48" s="65" t="n">
        <v>83</v>
      </c>
      <c r="K48" s="66" t="inlineStr">
        <is>
          <t>-</t>
        </is>
      </c>
      <c r="L48" s="65" t="n">
        <v>87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D03</t>
        </is>
      </c>
      <c r="J49" s="141" t="n"/>
      <c r="K49" s="141" t="n"/>
      <c r="L49" s="141" t="n"/>
    </row>
    <row r="50" ht="13" customHeight="1">
      <c r="A50" s="88" t="inlineStr">
        <is>
          <t>Gara N.</t>
        </is>
      </c>
      <c r="B50" s="88" t="inlineStr">
        <is>
          <t>Squadra A</t>
        </is>
      </c>
      <c r="C50" s="10" t="n"/>
      <c r="D50" s="88" t="inlineStr">
        <is>
          <t>Squadra B</t>
        </is>
      </c>
      <c r="E50" s="10" t="n"/>
      <c r="F50" s="88" t="inlineStr">
        <is>
          <t>Giorno</t>
        </is>
      </c>
      <c r="G50" s="88" t="inlineStr">
        <is>
          <t>Data</t>
        </is>
      </c>
      <c r="H50" s="88" t="inlineStr">
        <is>
          <t>Ora</t>
        </is>
      </c>
      <c r="I50" s="10" t="n"/>
      <c r="J50" s="88" t="inlineStr">
        <is>
          <t>Risultato</t>
        </is>
      </c>
      <c r="K50" s="9" t="n"/>
      <c r="L50" s="10" t="n"/>
    </row>
    <row r="51" ht="24" customHeight="1">
      <c r="A51" s="90">
        <f>MAX(A$10:A50)+1</f>
        <v/>
      </c>
      <c r="B51" s="61">
        <f>IF(C51="","",IFERROR(VLOOKUP(C51,areaNomiBreviSquadre,7,FALSE),""))</f>
        <v/>
      </c>
      <c r="C51" s="62" t="inlineStr">
        <is>
          <t>D17</t>
        </is>
      </c>
      <c r="D51" s="61">
        <f>IF(E51="","",IFERROR(VLOOKUP(E51,areaNomiBreviSquadre,7,FALSE),""))</f>
        <v/>
      </c>
      <c r="E51" s="62" t="inlineStr">
        <is>
          <t>D06</t>
        </is>
      </c>
      <c r="F51" s="63" t="n">
        <v>46320.66666666666</v>
      </c>
      <c r="G51" s="9" t="n"/>
      <c r="H51" s="9" t="n"/>
      <c r="I51" s="10" t="n"/>
      <c r="J51" s="65" t="n">
        <v>57</v>
      </c>
      <c r="K51" s="66" t="inlineStr">
        <is>
          <t>-</t>
        </is>
      </c>
      <c r="L51" s="65" t="n">
        <v>70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D03</t>
        </is>
      </c>
      <c r="J52" s="141" t="n"/>
      <c r="K52" s="141" t="n"/>
      <c r="L52" s="141" t="n"/>
    </row>
    <row r="53" ht="13" customHeight="1">
      <c r="A53" s="88" t="inlineStr">
        <is>
          <t>Gara N.</t>
        </is>
      </c>
      <c r="B53" s="88" t="inlineStr">
        <is>
          <t>Squadra A</t>
        </is>
      </c>
      <c r="C53" s="10" t="n"/>
      <c r="D53" s="88" t="inlineStr">
        <is>
          <t>Squadra B</t>
        </is>
      </c>
      <c r="E53" s="10" t="n"/>
      <c r="F53" s="88" t="inlineStr">
        <is>
          <t>Giorno</t>
        </is>
      </c>
      <c r="G53" s="88" t="inlineStr">
        <is>
          <t>Data</t>
        </is>
      </c>
      <c r="H53" s="88" t="inlineStr">
        <is>
          <t>Ora</t>
        </is>
      </c>
      <c r="I53" s="10" t="n"/>
      <c r="J53" s="88" t="inlineStr">
        <is>
          <t>Risultato</t>
        </is>
      </c>
      <c r="K53" s="9" t="n"/>
      <c r="L53" s="10" t="n"/>
    </row>
    <row r="54" ht="24" customHeight="1">
      <c r="A54" s="90">
        <f>MAX(A$10:A53)+1</f>
        <v/>
      </c>
      <c r="B54" s="61">
        <f>IF(C54="","",IFERROR(VLOOKUP(C54,areaNomiBreviSquadre,7,FALSE),""))</f>
        <v/>
      </c>
      <c r="C54" s="62" t="inlineStr">
        <is>
          <t>D07</t>
        </is>
      </c>
      <c r="D54" s="61">
        <f>IF(E54="","",IFERROR(VLOOKUP(E54,areaNomiBreviSquadre,7,FALSE),""))</f>
        <v/>
      </c>
      <c r="E54" s="62" t="inlineStr">
        <is>
          <t>D16</t>
        </is>
      </c>
      <c r="F54" s="63" t="n">
        <v>46320.72916666666</v>
      </c>
      <c r="G54" s="9" t="n"/>
      <c r="H54" s="9" t="n"/>
      <c r="I54" s="10" t="n"/>
      <c r="J54" s="65" t="n">
        <v>61</v>
      </c>
      <c r="K54" s="66" t="inlineStr">
        <is>
          <t>-</t>
        </is>
      </c>
      <c r="L54" s="65" t="n">
        <v>66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D03</t>
        </is>
      </c>
      <c r="J55" s="141" t="n"/>
      <c r="K55" s="141" t="n"/>
      <c r="L55" s="141" t="n"/>
    </row>
    <row r="56" ht="13" customHeight="1">
      <c r="A56" s="88" t="inlineStr">
        <is>
          <t>Gara N.</t>
        </is>
      </c>
      <c r="B56" s="88" t="inlineStr">
        <is>
          <t>Squadra A</t>
        </is>
      </c>
      <c r="C56" s="10" t="n"/>
      <c r="D56" s="88" t="inlineStr">
        <is>
          <t>Squadra B</t>
        </is>
      </c>
      <c r="E56" s="10" t="n"/>
      <c r="F56" s="88" t="inlineStr">
        <is>
          <t>Giorno</t>
        </is>
      </c>
      <c r="G56" s="88" t="inlineStr">
        <is>
          <t>Data</t>
        </is>
      </c>
      <c r="H56" s="88" t="inlineStr">
        <is>
          <t>Ora</t>
        </is>
      </c>
      <c r="I56" s="10" t="n"/>
      <c r="J56" s="88" t="inlineStr">
        <is>
          <t>Risultato</t>
        </is>
      </c>
      <c r="K56" s="9" t="n"/>
      <c r="L56" s="10" t="n"/>
    </row>
    <row r="57" ht="24" customHeight="1">
      <c r="A57" s="90">
        <f>MAX(A$10:A56)+1</f>
        <v/>
      </c>
      <c r="B57" s="61">
        <f>IF(C57="","",IFERROR(VLOOKUP(C57,areaNomiBreviSquadre,7,FALSE),""))</f>
        <v/>
      </c>
      <c r="C57" s="62" t="inlineStr">
        <is>
          <t>D19</t>
        </is>
      </c>
      <c r="D57" s="61">
        <f>IF(E57="","",IFERROR(VLOOKUP(E57,areaNomiBreviSquadre,7,FALSE),""))</f>
        <v/>
      </c>
      <c r="E57" s="62" t="inlineStr">
        <is>
          <t>D04</t>
        </is>
      </c>
      <c r="F57" s="63" t="n">
        <v>46320.39583333334</v>
      </c>
      <c r="G57" s="9" t="n"/>
      <c r="H57" s="9" t="n"/>
      <c r="I57" s="10" t="n"/>
      <c r="J57" s="65" t="n">
        <v>75</v>
      </c>
      <c r="K57" s="66" t="inlineStr">
        <is>
          <t>-</t>
        </is>
      </c>
      <c r="L57" s="65" t="n">
        <v>77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D04</t>
        </is>
      </c>
      <c r="J58" s="141" t="n"/>
      <c r="K58" s="141" t="n"/>
      <c r="L58" s="141" t="n"/>
    </row>
    <row r="59" ht="13" customHeight="1">
      <c r="A59" s="88" t="inlineStr">
        <is>
          <t>Gara N.</t>
        </is>
      </c>
      <c r="B59" s="88" t="inlineStr">
        <is>
          <t>Squadra A</t>
        </is>
      </c>
      <c r="C59" s="10" t="n"/>
      <c r="D59" s="88" t="inlineStr">
        <is>
          <t>Squadra B</t>
        </is>
      </c>
      <c r="E59" s="10" t="n"/>
      <c r="F59" s="88" t="inlineStr">
        <is>
          <t>Giorno</t>
        </is>
      </c>
      <c r="G59" s="88" t="inlineStr">
        <is>
          <t>Data</t>
        </is>
      </c>
      <c r="H59" s="88" t="inlineStr">
        <is>
          <t>Ora</t>
        </is>
      </c>
      <c r="I59" s="10" t="n"/>
      <c r="J59" s="88" t="inlineStr">
        <is>
          <t>Risultato</t>
        </is>
      </c>
      <c r="K59" s="9" t="n"/>
      <c r="L59" s="10" t="n"/>
    </row>
    <row r="60" ht="24" customHeight="1">
      <c r="A60" s="90">
        <f>MAX(A$10:A59)+1</f>
        <v/>
      </c>
      <c r="B60" s="61">
        <f>IF(C60="","",IFERROR(VLOOKUP(C60,areaNomiBreviSquadre,7,FALSE),""))</f>
        <v/>
      </c>
      <c r="C60" s="62" t="inlineStr">
        <is>
          <t>D15</t>
        </is>
      </c>
      <c r="D60" s="61">
        <f>IF(E60="","",IFERROR(VLOOKUP(E60,areaNomiBreviSquadre,7,FALSE),""))</f>
        <v/>
      </c>
      <c r="E60" s="62" t="inlineStr">
        <is>
          <t>D08</t>
        </is>
      </c>
      <c r="F60" s="63" t="n">
        <v>46320.45833333334</v>
      </c>
      <c r="G60" s="9" t="n"/>
      <c r="H60" s="9" t="n"/>
      <c r="I60" s="10" t="n"/>
      <c r="J60" s="65" t="n">
        <v>51</v>
      </c>
      <c r="K60" s="66" t="inlineStr">
        <is>
          <t>-</t>
        </is>
      </c>
      <c r="L60" s="65" t="n">
        <v>60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D04</t>
        </is>
      </c>
      <c r="J61" s="141" t="n"/>
      <c r="K61" s="141" t="n"/>
      <c r="L61" s="141" t="n"/>
    </row>
    <row r="62" ht="13" customHeight="1">
      <c r="A62" s="88" t="inlineStr">
        <is>
          <t>Gara N.</t>
        </is>
      </c>
      <c r="B62" s="88" t="inlineStr">
        <is>
          <t>Squadra A</t>
        </is>
      </c>
      <c r="C62" s="10" t="n"/>
      <c r="D62" s="88" t="inlineStr">
        <is>
          <t>Squadra B</t>
        </is>
      </c>
      <c r="E62" s="10" t="n"/>
      <c r="F62" s="88" t="inlineStr">
        <is>
          <t>Giorno</t>
        </is>
      </c>
      <c r="G62" s="88" t="inlineStr">
        <is>
          <t>Data</t>
        </is>
      </c>
      <c r="H62" s="88" t="inlineStr">
        <is>
          <t>Ora</t>
        </is>
      </c>
      <c r="I62" s="10" t="n"/>
      <c r="J62" s="88" t="inlineStr">
        <is>
          <t>Risultato</t>
        </is>
      </c>
      <c r="K62" s="9" t="n"/>
      <c r="L62" s="10" t="n"/>
    </row>
    <row r="63" ht="24" customHeight="1">
      <c r="A63" s="90">
        <f>MAX(A$10:A62)+1</f>
        <v/>
      </c>
      <c r="B63" s="61">
        <f>IF(C63="","",IFERROR(VLOOKUP(C63,areaNomiBreviSquadre,7,FALSE),""))</f>
        <v/>
      </c>
      <c r="C63" s="62" t="inlineStr">
        <is>
          <t>D09</t>
        </is>
      </c>
      <c r="D63" s="61">
        <f>IF(E63="","",IFERROR(VLOOKUP(E63,areaNomiBreviSquadre,7,FALSE),""))</f>
        <v/>
      </c>
      <c r="E63" s="62" t="inlineStr">
        <is>
          <t>D14</t>
        </is>
      </c>
      <c r="F63" s="63" t="n">
        <v>46320.60416666666</v>
      </c>
      <c r="G63" s="9" t="n"/>
      <c r="H63" s="9" t="n"/>
      <c r="I63" s="10" t="n"/>
      <c r="J63" s="65" t="n">
        <v>53</v>
      </c>
      <c r="K63" s="66" t="inlineStr">
        <is>
          <t>-</t>
        </is>
      </c>
      <c r="L63" s="65" t="n">
        <v>73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D04</t>
        </is>
      </c>
      <c r="J64" s="141" t="n"/>
      <c r="K64" s="141" t="n"/>
      <c r="L64" s="141" t="n"/>
    </row>
    <row r="65" ht="13" customHeight="1">
      <c r="A65" s="88" t="inlineStr">
        <is>
          <t>Gara N.</t>
        </is>
      </c>
      <c r="B65" s="88" t="inlineStr">
        <is>
          <t>Squadra A</t>
        </is>
      </c>
      <c r="C65" s="10" t="n"/>
      <c r="D65" s="88" t="inlineStr">
        <is>
          <t>Squadra B</t>
        </is>
      </c>
      <c r="E65" s="10" t="n"/>
      <c r="F65" s="88" t="inlineStr">
        <is>
          <t>Giorno</t>
        </is>
      </c>
      <c r="G65" s="88" t="inlineStr">
        <is>
          <t>Data</t>
        </is>
      </c>
      <c r="H65" s="88" t="inlineStr">
        <is>
          <t>Ora</t>
        </is>
      </c>
      <c r="I65" s="10" t="n"/>
      <c r="J65" s="88" t="inlineStr">
        <is>
          <t>Risultato</t>
        </is>
      </c>
      <c r="K65" s="9" t="n"/>
      <c r="L65" s="10" t="n"/>
    </row>
    <row r="66" ht="24" customHeight="1">
      <c r="A66" s="90">
        <f>MAX(A$10:A65)+1</f>
        <v/>
      </c>
      <c r="B66" s="61">
        <f>IF(C66="","",IFERROR(VLOOKUP(C66,areaNomiBreviSquadre,7,FALSE),""))</f>
        <v/>
      </c>
      <c r="C66" s="62" t="inlineStr">
        <is>
          <t>D13</t>
        </is>
      </c>
      <c r="D66" s="61">
        <f>IF(E66="","",IFERROR(VLOOKUP(E66,areaNomiBreviSquadre,7,FALSE),""))</f>
        <v/>
      </c>
      <c r="E66" s="62" t="inlineStr">
        <is>
          <t>D10</t>
        </is>
      </c>
      <c r="F66" s="63" t="n">
        <v>46320.66666666666</v>
      </c>
      <c r="G66" s="9" t="n"/>
      <c r="H66" s="9" t="n"/>
      <c r="I66" s="10" t="n"/>
      <c r="J66" s="65" t="n">
        <v>68</v>
      </c>
      <c r="K66" s="66" t="inlineStr">
        <is>
          <t>-</t>
        </is>
      </c>
      <c r="L66" s="65" t="n">
        <v>74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D04</t>
        </is>
      </c>
      <c r="J67" s="141" t="n"/>
      <c r="K67" s="141" t="n"/>
      <c r="L67" s="141" t="n"/>
    </row>
    <row r="68" ht="13" customHeight="1">
      <c r="A68" s="88" t="inlineStr">
        <is>
          <t>Gara N.</t>
        </is>
      </c>
      <c r="B68" s="88" t="inlineStr">
        <is>
          <t>Squadra A</t>
        </is>
      </c>
      <c r="C68" s="10" t="n"/>
      <c r="D68" s="88" t="inlineStr">
        <is>
          <t>Squadra B</t>
        </is>
      </c>
      <c r="E68" s="10" t="n"/>
      <c r="F68" s="88" t="inlineStr">
        <is>
          <t>Giorno</t>
        </is>
      </c>
      <c r="G68" s="88" t="inlineStr">
        <is>
          <t>Data</t>
        </is>
      </c>
      <c r="H68" s="88" t="inlineStr">
        <is>
          <t>Ora</t>
        </is>
      </c>
      <c r="I68" s="10" t="n"/>
      <c r="J68" s="88" t="inlineStr">
        <is>
          <t>Risultato</t>
        </is>
      </c>
      <c r="K68" s="9" t="n"/>
      <c r="L68" s="10" t="n"/>
    </row>
    <row r="69" ht="24" customHeight="1">
      <c r="A69" s="90">
        <f>MAX(A$10:A68)+1</f>
        <v/>
      </c>
      <c r="B69" s="61">
        <f>IF(C69="","",IFERROR(VLOOKUP(C69,areaNomiBreviSquadre,7,FALSE),""))</f>
        <v/>
      </c>
      <c r="C69" s="62" t="inlineStr">
        <is>
          <t>D11</t>
        </is>
      </c>
      <c r="D69" s="61">
        <f>IF(E69="","",IFERROR(VLOOKUP(E69,areaNomiBreviSquadre,7,FALSE),""))</f>
        <v/>
      </c>
      <c r="E69" s="62" t="inlineStr">
        <is>
          <t>D12</t>
        </is>
      </c>
      <c r="F69" s="63" t="n">
        <v>46320.72916666666</v>
      </c>
      <c r="G69" s="9" t="n"/>
      <c r="H69" s="9" t="n"/>
      <c r="I69" s="10" t="n"/>
      <c r="J69" s="65" t="n">
        <v>88</v>
      </c>
      <c r="K69" s="66" t="inlineStr">
        <is>
          <t>-</t>
        </is>
      </c>
      <c r="L69" s="65" t="n">
        <v>60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D04</t>
        </is>
      </c>
      <c r="J70" s="141" t="n"/>
      <c r="K70" s="141" t="n"/>
      <c r="L70" s="141" t="n"/>
    </row>
    <row r="71" ht="8" customHeight="1"/>
    <row r="72" ht="20" customHeight="1">
      <c r="A72" s="85" t="inlineStr">
        <is>
          <t>3D</t>
        </is>
      </c>
      <c r="B72" s="8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8" t="inlineStr">
        <is>
          <t>Gara N.</t>
        </is>
      </c>
      <c r="B73" s="88" t="inlineStr">
        <is>
          <t>Squadra A</t>
        </is>
      </c>
      <c r="C73" s="10" t="n"/>
      <c r="D73" s="88" t="inlineStr">
        <is>
          <t>Squadra B</t>
        </is>
      </c>
      <c r="E73" s="10" t="n"/>
      <c r="F73" s="88" t="inlineStr">
        <is>
          <t>Giorno</t>
        </is>
      </c>
      <c r="G73" s="88" t="inlineStr">
        <is>
          <t>Data</t>
        </is>
      </c>
      <c r="H73" s="88" t="inlineStr">
        <is>
          <t>Ora</t>
        </is>
      </c>
      <c r="I73" s="10" t="n"/>
      <c r="J73" s="88" t="inlineStr">
        <is>
          <t>Risultato</t>
        </is>
      </c>
      <c r="K73" s="9" t="n"/>
      <c r="L73" s="10" t="n"/>
    </row>
    <row r="74" ht="24" customHeight="1">
      <c r="A74" s="90">
        <f>MAX(A$10:A73)+1</f>
        <v/>
      </c>
      <c r="B74" s="61">
        <f>IF(C74="","",IFERROR(VLOOKUP(C74,areaNomiBreviSquadre,7,FALSE),""))</f>
        <v/>
      </c>
      <c r="C74" s="62" t="inlineStr">
        <is>
          <t>D05</t>
        </is>
      </c>
      <c r="D74" s="61">
        <f>IF(E74="","",IFERROR(VLOOKUP(E74,areaNomiBreviSquadre,7,FALSE),""))</f>
        <v/>
      </c>
      <c r="E74" s="62" t="inlineStr">
        <is>
          <t>D01</t>
        </is>
      </c>
      <c r="F74" s="63" t="n">
        <v>46327.39583333334</v>
      </c>
      <c r="G74" s="9" t="n"/>
      <c r="H74" s="9" t="n"/>
      <c r="I74" s="10" t="n"/>
      <c r="J74" s="65" t="n">
        <v>17</v>
      </c>
      <c r="K74" s="66" t="inlineStr">
        <is>
          <t>-</t>
        </is>
      </c>
      <c r="L74" s="65" t="n">
        <v>38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D05</t>
        </is>
      </c>
      <c r="J75" s="141" t="n"/>
      <c r="K75" s="141" t="n"/>
      <c r="L75" s="141" t="n"/>
    </row>
    <row r="76" ht="13" customHeight="1">
      <c r="A76" s="88" t="inlineStr">
        <is>
          <t>Gara N.</t>
        </is>
      </c>
      <c r="B76" s="88" t="inlineStr">
        <is>
          <t>Squadra A</t>
        </is>
      </c>
      <c r="C76" s="10" t="n"/>
      <c r="D76" s="88" t="inlineStr">
        <is>
          <t>Squadra B</t>
        </is>
      </c>
      <c r="E76" s="10" t="n"/>
      <c r="F76" s="88" t="inlineStr">
        <is>
          <t>Giorno</t>
        </is>
      </c>
      <c r="G76" s="88" t="inlineStr">
        <is>
          <t>Data</t>
        </is>
      </c>
      <c r="H76" s="88" t="inlineStr">
        <is>
          <t>Ora</t>
        </is>
      </c>
      <c r="I76" s="10" t="n"/>
      <c r="J76" s="88" t="inlineStr">
        <is>
          <t>Risultato</t>
        </is>
      </c>
      <c r="K76" s="9" t="n"/>
      <c r="L76" s="10" t="n"/>
    </row>
    <row r="77" ht="24" customHeight="1">
      <c r="A77" s="90">
        <f>MAX(A$10:A76)+1</f>
        <v/>
      </c>
      <c r="B77" s="61">
        <f>IF(C77="","",IFERROR(VLOOKUP(C77,areaNomiBreviSquadre,7,FALSE),""))</f>
        <v/>
      </c>
      <c r="C77" s="62" t="inlineStr">
        <is>
          <t>D03</t>
        </is>
      </c>
      <c r="D77" s="61">
        <f>IF(E77="","",IFERROR(VLOOKUP(E77,areaNomiBreviSquadre,7,FALSE),""))</f>
        <v/>
      </c>
      <c r="E77" s="62" t="inlineStr">
        <is>
          <t>D20</t>
        </is>
      </c>
      <c r="F77" s="63" t="n">
        <v>46327.45833333334</v>
      </c>
      <c r="G77" s="9" t="n"/>
      <c r="H77" s="9" t="n"/>
      <c r="I77" s="10" t="n"/>
      <c r="J77" s="65" t="n">
        <v>75</v>
      </c>
      <c r="K77" s="66" t="inlineStr">
        <is>
          <t>-</t>
        </is>
      </c>
      <c r="L77" s="65" t="n">
        <v>59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D05</t>
        </is>
      </c>
      <c r="J78" s="141" t="n"/>
      <c r="K78" s="141" t="n"/>
      <c r="L78" s="141" t="n"/>
    </row>
    <row r="79" ht="13" customHeight="1">
      <c r="A79" s="88" t="inlineStr">
        <is>
          <t>Gara N.</t>
        </is>
      </c>
      <c r="B79" s="88" t="inlineStr">
        <is>
          <t>Squadra A</t>
        </is>
      </c>
      <c r="C79" s="10" t="n"/>
      <c r="D79" s="88" t="inlineStr">
        <is>
          <t>Squadra B</t>
        </is>
      </c>
      <c r="E79" s="10" t="n"/>
      <c r="F79" s="88" t="inlineStr">
        <is>
          <t>Giorno</t>
        </is>
      </c>
      <c r="G79" s="88" t="inlineStr">
        <is>
          <t>Data</t>
        </is>
      </c>
      <c r="H79" s="88" t="inlineStr">
        <is>
          <t>Ora</t>
        </is>
      </c>
      <c r="I79" s="10" t="n"/>
      <c r="J79" s="88" t="inlineStr">
        <is>
          <t>Risultato</t>
        </is>
      </c>
      <c r="K79" s="9" t="n"/>
      <c r="L79" s="10" t="n"/>
    </row>
    <row r="80" ht="24" customHeight="1">
      <c r="A80" s="90">
        <f>MAX(A$10:A79)+1</f>
        <v/>
      </c>
      <c r="B80" s="61">
        <f>IF(C80="","",IFERROR(VLOOKUP(C80,areaNomiBreviSquadre,7,FALSE),""))</f>
        <v/>
      </c>
      <c r="C80" s="62" t="inlineStr">
        <is>
          <t>D02</t>
        </is>
      </c>
      <c r="D80" s="61">
        <f>IF(E80="","",IFERROR(VLOOKUP(E80,areaNomiBreviSquadre,7,FALSE),""))</f>
        <v/>
      </c>
      <c r="E80" s="62" t="inlineStr">
        <is>
          <t>D04</t>
        </is>
      </c>
      <c r="F80" s="63" t="n">
        <v>46327.60416666666</v>
      </c>
      <c r="G80" s="9" t="n"/>
      <c r="H80" s="9" t="n"/>
      <c r="I80" s="10" t="n"/>
      <c r="J80" s="65" t="n">
        <v>43</v>
      </c>
      <c r="K80" s="66" t="inlineStr">
        <is>
          <t>-</t>
        </is>
      </c>
      <c r="L80" s="65" t="n">
        <v>30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D05</t>
        </is>
      </c>
      <c r="J81" s="141" t="n"/>
      <c r="K81" s="141" t="n"/>
      <c r="L81" s="141" t="n"/>
    </row>
    <row r="82" ht="13" customHeight="1">
      <c r="A82" s="88" t="inlineStr">
        <is>
          <t>Gara N.</t>
        </is>
      </c>
      <c r="B82" s="88" t="inlineStr">
        <is>
          <t>Squadra A</t>
        </is>
      </c>
      <c r="C82" s="10" t="n"/>
      <c r="D82" s="88" t="inlineStr">
        <is>
          <t>Squadra B</t>
        </is>
      </c>
      <c r="E82" s="10" t="n"/>
      <c r="F82" s="88" t="inlineStr">
        <is>
          <t>Giorno</t>
        </is>
      </c>
      <c r="G82" s="88" t="inlineStr">
        <is>
          <t>Data</t>
        </is>
      </c>
      <c r="H82" s="88" t="inlineStr">
        <is>
          <t>Ora</t>
        </is>
      </c>
      <c r="I82" s="10" t="n"/>
      <c r="J82" s="88" t="inlineStr">
        <is>
          <t>Risultato</t>
        </is>
      </c>
      <c r="K82" s="9" t="n"/>
      <c r="L82" s="10" t="n"/>
    </row>
    <row r="83" ht="24" customHeight="1">
      <c r="A83" s="90">
        <f>MAX(A$10:A82)+1</f>
        <v/>
      </c>
      <c r="B83" s="61">
        <f>IF(C83="","",IFERROR(VLOOKUP(C83,areaNomiBreviSquadre,7,FALSE),""))</f>
        <v/>
      </c>
      <c r="C83" s="62" t="inlineStr">
        <is>
          <t>D07</t>
        </is>
      </c>
      <c r="D83" s="61">
        <f>IF(E83="","",IFERROR(VLOOKUP(E83,areaNomiBreviSquadre,7,FALSE),""))</f>
        <v/>
      </c>
      <c r="E83" s="62" t="inlineStr">
        <is>
          <t>D18</t>
        </is>
      </c>
      <c r="F83" s="63" t="n">
        <v>46327.66666666666</v>
      </c>
      <c r="G83" s="9" t="n"/>
      <c r="H83" s="9" t="n"/>
      <c r="I83" s="10" t="n"/>
      <c r="J83" s="65" t="n">
        <v>72</v>
      </c>
      <c r="K83" s="66" t="inlineStr">
        <is>
          <t>-</t>
        </is>
      </c>
      <c r="L83" s="65" t="n">
        <v>68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D05</t>
        </is>
      </c>
      <c r="J84" s="141" t="n"/>
      <c r="K84" s="141" t="n"/>
      <c r="L84" s="141" t="n"/>
    </row>
    <row r="85" ht="13" customHeight="1">
      <c r="A85" s="88" t="inlineStr">
        <is>
          <t>Gara N.</t>
        </is>
      </c>
      <c r="B85" s="88" t="inlineStr">
        <is>
          <t>Squadra A</t>
        </is>
      </c>
      <c r="C85" s="10" t="n"/>
      <c r="D85" s="88" t="inlineStr">
        <is>
          <t>Squadra B</t>
        </is>
      </c>
      <c r="E85" s="10" t="n"/>
      <c r="F85" s="88" t="inlineStr">
        <is>
          <t>Giorno</t>
        </is>
      </c>
      <c r="G85" s="88" t="inlineStr">
        <is>
          <t>Data</t>
        </is>
      </c>
      <c r="H85" s="88" t="inlineStr">
        <is>
          <t>Ora</t>
        </is>
      </c>
      <c r="I85" s="10" t="n"/>
      <c r="J85" s="88" t="inlineStr">
        <is>
          <t>Risultato</t>
        </is>
      </c>
      <c r="K85" s="9" t="n"/>
      <c r="L85" s="10" t="n"/>
    </row>
    <row r="86" ht="24" customHeight="1">
      <c r="A86" s="90">
        <f>MAX(A$10:A85)+1</f>
        <v/>
      </c>
      <c r="B86" s="61">
        <f>IF(C86="","",IFERROR(VLOOKUP(C86,areaNomiBreviSquadre,7,FALSE),""))</f>
        <v/>
      </c>
      <c r="C86" s="62" t="inlineStr">
        <is>
          <t>D17</t>
        </is>
      </c>
      <c r="D86" s="61">
        <f>IF(E86="","",IFERROR(VLOOKUP(E86,areaNomiBreviSquadre,7,FALSE),""))</f>
        <v/>
      </c>
      <c r="E86" s="62" t="inlineStr">
        <is>
          <t>D08</t>
        </is>
      </c>
      <c r="F86" s="63" t="n">
        <v>46327.72916666666</v>
      </c>
      <c r="G86" s="9" t="n"/>
      <c r="H86" s="9" t="n"/>
      <c r="I86" s="10" t="n"/>
      <c r="J86" s="65" t="n">
        <v>60</v>
      </c>
      <c r="K86" s="66" t="inlineStr">
        <is>
          <t>-</t>
        </is>
      </c>
      <c r="L86" s="65" t="n">
        <v>67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D05</t>
        </is>
      </c>
      <c r="J87" s="141" t="n"/>
      <c r="K87" s="141" t="n"/>
      <c r="L87" s="141" t="n"/>
    </row>
    <row r="88" ht="13" customHeight="1">
      <c r="A88" s="88" t="inlineStr">
        <is>
          <t>Gara N.</t>
        </is>
      </c>
      <c r="B88" s="88" t="inlineStr">
        <is>
          <t>Squadra A</t>
        </is>
      </c>
      <c r="C88" s="10" t="n"/>
      <c r="D88" s="88" t="inlineStr">
        <is>
          <t>Squadra B</t>
        </is>
      </c>
      <c r="E88" s="10" t="n"/>
      <c r="F88" s="88" t="inlineStr">
        <is>
          <t>Giorno</t>
        </is>
      </c>
      <c r="G88" s="88" t="inlineStr">
        <is>
          <t>Data</t>
        </is>
      </c>
      <c r="H88" s="88" t="inlineStr">
        <is>
          <t>Ora</t>
        </is>
      </c>
      <c r="I88" s="10" t="n"/>
      <c r="J88" s="88" t="inlineStr">
        <is>
          <t>Risultato</t>
        </is>
      </c>
      <c r="K88" s="9" t="n"/>
      <c r="L88" s="10" t="n"/>
    </row>
    <row r="89" ht="24" customHeight="1">
      <c r="A89" s="90">
        <f>MAX(A$10:A88)+1</f>
        <v/>
      </c>
      <c r="B89" s="61">
        <f>IF(C89="","",IFERROR(VLOOKUP(C89,areaNomiBreviSquadre,7,FALSE),""))</f>
        <v/>
      </c>
      <c r="C89" s="62" t="inlineStr">
        <is>
          <t>D19</t>
        </is>
      </c>
      <c r="D89" s="61">
        <f>IF(E89="","",IFERROR(VLOOKUP(E89,areaNomiBreviSquadre,7,FALSE),""))</f>
        <v/>
      </c>
      <c r="E89" s="62" t="inlineStr">
        <is>
          <t>D06</t>
        </is>
      </c>
      <c r="F89" s="63" t="n">
        <v>46327.39583333334</v>
      </c>
      <c r="G89" s="9" t="n"/>
      <c r="H89" s="9" t="n"/>
      <c r="I89" s="10" t="n"/>
      <c r="J89" s="65" t="n">
        <v>56</v>
      </c>
      <c r="K89" s="66" t="inlineStr">
        <is>
          <t>-</t>
        </is>
      </c>
      <c r="L89" s="65" t="n">
        <v>75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D06</t>
        </is>
      </c>
      <c r="J90" s="141" t="n"/>
      <c r="K90" s="141" t="n"/>
      <c r="L90" s="141" t="n"/>
    </row>
    <row r="91" ht="13" customHeight="1">
      <c r="A91" s="88" t="inlineStr">
        <is>
          <t>Gara N.</t>
        </is>
      </c>
      <c r="B91" s="88" t="inlineStr">
        <is>
          <t>Squadra A</t>
        </is>
      </c>
      <c r="C91" s="10" t="n"/>
      <c r="D91" s="88" t="inlineStr">
        <is>
          <t>Squadra B</t>
        </is>
      </c>
      <c r="E91" s="10" t="n"/>
      <c r="F91" s="88" t="inlineStr">
        <is>
          <t>Giorno</t>
        </is>
      </c>
      <c r="G91" s="88" t="inlineStr">
        <is>
          <t>Data</t>
        </is>
      </c>
      <c r="H91" s="88" t="inlineStr">
        <is>
          <t>Ora</t>
        </is>
      </c>
      <c r="I91" s="10" t="n"/>
      <c r="J91" s="88" t="inlineStr">
        <is>
          <t>Risultato</t>
        </is>
      </c>
      <c r="K91" s="9" t="n"/>
      <c r="L91" s="10" t="n"/>
    </row>
    <row r="92" ht="24" customHeight="1">
      <c r="A92" s="90">
        <f>MAX(A$10:A91)+1</f>
        <v/>
      </c>
      <c r="B92" s="61">
        <f>IF(C92="","",IFERROR(VLOOKUP(C92,areaNomiBreviSquadre,7,FALSE),""))</f>
        <v/>
      </c>
      <c r="C92" s="62" t="inlineStr">
        <is>
          <t>D09</t>
        </is>
      </c>
      <c r="D92" s="61">
        <f>IF(E92="","",IFERROR(VLOOKUP(E92,areaNomiBreviSquadre,7,FALSE),""))</f>
        <v/>
      </c>
      <c r="E92" s="62" t="inlineStr">
        <is>
          <t>D16</t>
        </is>
      </c>
      <c r="F92" s="63" t="n">
        <v>46327.45833333334</v>
      </c>
      <c r="G92" s="9" t="n"/>
      <c r="H92" s="9" t="n"/>
      <c r="I92" s="10" t="n"/>
      <c r="J92" s="65" t="n">
        <v>40</v>
      </c>
      <c r="K92" s="66" t="inlineStr">
        <is>
          <t>-</t>
        </is>
      </c>
      <c r="L92" s="65" t="n">
        <v>56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D06</t>
        </is>
      </c>
      <c r="J93" s="141" t="n"/>
      <c r="K93" s="141" t="n"/>
      <c r="L93" s="141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IF(C95="","",IFERROR(VLOOKUP(C95,areaNomiBreviSquadre,7,FALSE),""))</f>
        <v/>
      </c>
      <c r="C95" s="62" t="inlineStr">
        <is>
          <t>D15</t>
        </is>
      </c>
      <c r="D95" s="61">
        <f>IF(E95="","",IFERROR(VLOOKUP(E95,areaNomiBreviSquadre,7,FALSE),""))</f>
        <v/>
      </c>
      <c r="E95" s="62" t="inlineStr">
        <is>
          <t>D10</t>
        </is>
      </c>
      <c r="F95" s="63" t="n">
        <v>46327.60416666666</v>
      </c>
      <c r="G95" s="9" t="n"/>
      <c r="H95" s="9" t="n"/>
      <c r="I95" s="10" t="n"/>
      <c r="J95" s="65" t="n">
        <v>41</v>
      </c>
      <c r="K95" s="66" t="inlineStr">
        <is>
          <t>-</t>
        </is>
      </c>
      <c r="L95" s="65" t="n">
        <v>56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D06</t>
        </is>
      </c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IF(C98="","",IFERROR(VLOOKUP(C98,areaNomiBreviSquadre,7,FALSE),""))</f>
        <v/>
      </c>
      <c r="C98" s="62" t="inlineStr">
        <is>
          <t>D11</t>
        </is>
      </c>
      <c r="D98" s="61">
        <f>IF(E98="","",IFERROR(VLOOKUP(E98,areaNomiBreviSquadre,7,FALSE),""))</f>
        <v/>
      </c>
      <c r="E98" s="62" t="inlineStr">
        <is>
          <t>D14</t>
        </is>
      </c>
      <c r="F98" s="63" t="n">
        <v>46327.66666666666</v>
      </c>
      <c r="G98" s="9" t="n"/>
      <c r="H98" s="9" t="n"/>
      <c r="I98" s="10" t="n"/>
      <c r="J98" s="65" t="n">
        <v>69</v>
      </c>
      <c r="K98" s="66" t="inlineStr">
        <is>
          <t>-</t>
        </is>
      </c>
      <c r="L98" s="65" t="n">
        <v>89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D06</t>
        </is>
      </c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IF(C101="","",IFERROR(VLOOKUP(C101,areaNomiBreviSquadre,7,FALSE),""))</f>
        <v/>
      </c>
      <c r="C101" s="62" t="inlineStr">
        <is>
          <t>D13</t>
        </is>
      </c>
      <c r="D101" s="61">
        <f>IF(E101="","",IFERROR(VLOOKUP(E101,areaNomiBreviSquadre,7,FALSE),""))</f>
        <v/>
      </c>
      <c r="E101" s="62" t="inlineStr">
        <is>
          <t>D12</t>
        </is>
      </c>
      <c r="F101" s="63" t="n">
        <v>46327.72916666666</v>
      </c>
      <c r="G101" s="9" t="n"/>
      <c r="H101" s="9" t="n"/>
      <c r="I101" s="10" t="n"/>
      <c r="J101" s="65" t="n">
        <v>77</v>
      </c>
      <c r="K101" s="66" t="inlineStr">
        <is>
          <t>-</t>
        </is>
      </c>
      <c r="L101" s="65" t="n">
        <v>57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D06</t>
        </is>
      </c>
      <c r="J102" s="141" t="n"/>
      <c r="K102" s="141" t="n"/>
      <c r="L102" s="141" t="n"/>
    </row>
    <row r="103" ht="8" customHeight="1"/>
    <row r="104" ht="20" customHeight="1">
      <c r="A104" s="85" t="inlineStr">
        <is>
          <t>4D</t>
        </is>
      </c>
      <c r="B104" s="8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8" t="inlineStr">
        <is>
          <t>Gara N.</t>
        </is>
      </c>
      <c r="B105" s="88" t="inlineStr">
        <is>
          <t>Squadra A</t>
        </is>
      </c>
      <c r="C105" s="10" t="n"/>
      <c r="D105" s="88" t="inlineStr">
        <is>
          <t>Squadra B</t>
        </is>
      </c>
      <c r="E105" s="10" t="n"/>
      <c r="F105" s="88" t="inlineStr">
        <is>
          <t>Giorno</t>
        </is>
      </c>
      <c r="G105" s="88" t="inlineStr">
        <is>
          <t>Data</t>
        </is>
      </c>
      <c r="H105" s="88" t="inlineStr">
        <is>
          <t>Ora</t>
        </is>
      </c>
      <c r="I105" s="10" t="n"/>
      <c r="J105" s="88" t="inlineStr">
        <is>
          <t>Risultato</t>
        </is>
      </c>
      <c r="K105" s="9" t="n"/>
      <c r="L105" s="10" t="n"/>
    </row>
    <row r="106" ht="24" customHeight="1">
      <c r="A106" s="90">
        <f>MAX(A$10:A105)+1</f>
        <v/>
      </c>
      <c r="B106" s="61">
        <f>IF(C106="","",IFERROR(VLOOKUP(C106,areaNomiBreviSquadre,7,FALSE),""))</f>
        <v/>
      </c>
      <c r="C106" s="62" t="inlineStr">
        <is>
          <t>D07</t>
        </is>
      </c>
      <c r="D106" s="61">
        <f>IF(E106="","",IFERROR(VLOOKUP(E106,areaNomiBreviSquadre,7,FALSE),""))</f>
        <v/>
      </c>
      <c r="E106" s="62" t="inlineStr">
        <is>
          <t>D01</t>
        </is>
      </c>
      <c r="F106" s="63" t="n">
        <v>46334.39583333334</v>
      </c>
      <c r="G106" s="9" t="n"/>
      <c r="H106" s="9" t="n"/>
      <c r="I106" s="10" t="n"/>
      <c r="J106" s="65" t="n">
        <v>66</v>
      </c>
      <c r="K106" s="66" t="inlineStr">
        <is>
          <t>-</t>
        </is>
      </c>
      <c r="L106" s="65" t="n">
        <v>48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D07</t>
        </is>
      </c>
      <c r="J107" s="141" t="n"/>
      <c r="K107" s="141" t="n"/>
      <c r="L107" s="141" t="n"/>
    </row>
    <row r="108" ht="13" customHeight="1">
      <c r="A108" s="88" t="inlineStr">
        <is>
          <t>Gara N.</t>
        </is>
      </c>
      <c r="B108" s="88" t="inlineStr">
        <is>
          <t>Squadra A</t>
        </is>
      </c>
      <c r="C108" s="10" t="n"/>
      <c r="D108" s="88" t="inlineStr">
        <is>
          <t>Squadra B</t>
        </is>
      </c>
      <c r="E108" s="10" t="n"/>
      <c r="F108" s="88" t="inlineStr">
        <is>
          <t>Giorno</t>
        </is>
      </c>
      <c r="G108" s="88" t="inlineStr">
        <is>
          <t>Data</t>
        </is>
      </c>
      <c r="H108" s="88" t="inlineStr">
        <is>
          <t>Ora</t>
        </is>
      </c>
      <c r="I108" s="10" t="n"/>
      <c r="J108" s="88" t="inlineStr">
        <is>
          <t>Risultato</t>
        </is>
      </c>
      <c r="K108" s="9" t="n"/>
      <c r="L108" s="10" t="n"/>
    </row>
    <row r="109" ht="24" customHeight="1">
      <c r="A109" s="90">
        <f>MAX(A$10:A108)+1</f>
        <v/>
      </c>
      <c r="B109" s="61">
        <f>IF(C109="","",IFERROR(VLOOKUP(C109,areaNomiBreviSquadre,7,FALSE),""))</f>
        <v/>
      </c>
      <c r="C109" s="62" t="inlineStr">
        <is>
          <t>D20</t>
        </is>
      </c>
      <c r="D109" s="61">
        <f>IF(E109="","",IFERROR(VLOOKUP(E109,areaNomiBreviSquadre,7,FALSE),""))</f>
        <v/>
      </c>
      <c r="E109" s="62" t="inlineStr">
        <is>
          <t>D04</t>
        </is>
      </c>
      <c r="F109" s="63" t="n">
        <v>46334.45833333334</v>
      </c>
      <c r="G109" s="9" t="n"/>
      <c r="H109" s="9" t="n"/>
      <c r="I109" s="10" t="n"/>
      <c r="J109" s="65" t="n">
        <v>62</v>
      </c>
      <c r="K109" s="66" t="inlineStr">
        <is>
          <t>-</t>
        </is>
      </c>
      <c r="L109" s="65" t="n">
        <v>89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D07</t>
        </is>
      </c>
      <c r="J110" s="141" t="n"/>
      <c r="K110" s="141" t="n"/>
      <c r="L110" s="141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IF(C112="","",IFERROR(VLOOKUP(C112,areaNomiBreviSquadre,7,FALSE),""))</f>
        <v/>
      </c>
      <c r="C112" s="62" t="inlineStr">
        <is>
          <t>D05</t>
        </is>
      </c>
      <c r="D112" s="61">
        <f>IF(E112="","",IFERROR(VLOOKUP(E112,areaNomiBreviSquadre,7,FALSE),""))</f>
        <v/>
      </c>
      <c r="E112" s="62" t="inlineStr">
        <is>
          <t>D03</t>
        </is>
      </c>
      <c r="F112" s="63" t="n">
        <v>46334.60416666666</v>
      </c>
      <c r="G112" s="9" t="n"/>
      <c r="H112" s="9" t="n"/>
      <c r="I112" s="10" t="n"/>
      <c r="J112" s="65" t="n">
        <v>79</v>
      </c>
      <c r="K112" s="66" t="inlineStr">
        <is>
          <t>-</t>
        </is>
      </c>
      <c r="L112" s="65" t="n">
        <v>72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D07</t>
        </is>
      </c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IF(C115="","",IFERROR(VLOOKUP(C115,areaNomiBreviSquadre,7,FALSE),""))</f>
        <v/>
      </c>
      <c r="C115" s="62" t="inlineStr">
        <is>
          <t>D02</t>
        </is>
      </c>
      <c r="D115" s="61">
        <f>IF(E115="","",IFERROR(VLOOKUP(E115,areaNomiBreviSquadre,7,FALSE),""))</f>
        <v/>
      </c>
      <c r="E115" s="62" t="inlineStr">
        <is>
          <t>D06</t>
        </is>
      </c>
      <c r="F115" s="63" t="n">
        <v>46334.66666666666</v>
      </c>
      <c r="G115" s="9" t="n"/>
      <c r="H115" s="9" t="n"/>
      <c r="I115" s="10" t="n"/>
      <c r="J115" s="65" t="n">
        <v>14</v>
      </c>
      <c r="K115" s="66" t="inlineStr">
        <is>
          <t>-</t>
        </is>
      </c>
      <c r="L115" s="65" t="n">
        <v>38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D07</t>
        </is>
      </c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IF(C118="","",IFERROR(VLOOKUP(C118,areaNomiBreviSquadre,7,FALSE),""))</f>
        <v/>
      </c>
      <c r="C118" s="62" t="inlineStr">
        <is>
          <t>D09</t>
        </is>
      </c>
      <c r="D118" s="61">
        <f>IF(E118="","",IFERROR(VLOOKUP(E118,areaNomiBreviSquadre,7,FALSE),""))</f>
        <v/>
      </c>
      <c r="E118" s="62" t="inlineStr">
        <is>
          <t>D18</t>
        </is>
      </c>
      <c r="F118" s="63" t="n">
        <v>46334.72916666666</v>
      </c>
      <c r="G118" s="9" t="n"/>
      <c r="H118" s="9" t="n"/>
      <c r="I118" s="10" t="n"/>
      <c r="J118" s="65" t="n">
        <v>27</v>
      </c>
      <c r="K118" s="66" t="inlineStr">
        <is>
          <t>-</t>
        </is>
      </c>
      <c r="L118" s="65" t="n">
        <v>39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D07</t>
        </is>
      </c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IF(C121="","",IFERROR(VLOOKUP(C121,areaNomiBreviSquadre,7,FALSE),""))</f>
        <v/>
      </c>
      <c r="C121" s="62" t="inlineStr">
        <is>
          <t>D19</t>
        </is>
      </c>
      <c r="D121" s="61">
        <f>IF(E121="","",IFERROR(VLOOKUP(E121,areaNomiBreviSquadre,7,FALSE),""))</f>
        <v/>
      </c>
      <c r="E121" s="62" t="inlineStr">
        <is>
          <t>D08</t>
        </is>
      </c>
      <c r="F121" s="63" t="n">
        <v>46334.39583333334</v>
      </c>
      <c r="G121" s="9" t="n"/>
      <c r="H121" s="9" t="n"/>
      <c r="I121" s="10" t="n"/>
      <c r="J121" s="65" t="n">
        <v>49</v>
      </c>
      <c r="K121" s="66" t="inlineStr">
        <is>
          <t>-</t>
        </is>
      </c>
      <c r="L121" s="65" t="n">
        <v>37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D08</t>
        </is>
      </c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IF(C124="","",IFERROR(VLOOKUP(C124,areaNomiBreviSquadre,7,FALSE),""))</f>
        <v/>
      </c>
      <c r="C124" s="62" t="inlineStr">
        <is>
          <t>D17</t>
        </is>
      </c>
      <c r="D124" s="61">
        <f>IF(E124="","",IFERROR(VLOOKUP(E124,areaNomiBreviSquadre,7,FALSE),""))</f>
        <v/>
      </c>
      <c r="E124" s="62" t="inlineStr">
        <is>
          <t>D10</t>
        </is>
      </c>
      <c r="F124" s="63" t="n">
        <v>46334.45833333334</v>
      </c>
      <c r="G124" s="9" t="n"/>
      <c r="H124" s="9" t="n"/>
      <c r="I124" s="10" t="n"/>
      <c r="J124" s="65" t="n">
        <v>27</v>
      </c>
      <c r="K124" s="66" t="inlineStr">
        <is>
          <t>-</t>
        </is>
      </c>
      <c r="L124" s="65" t="n">
        <v>41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D08</t>
        </is>
      </c>
      <c r="J125" s="141" t="n"/>
      <c r="K125" s="141" t="n"/>
      <c r="L125" s="141" t="n"/>
    </row>
    <row r="126" ht="13" customHeight="1">
      <c r="A126" s="88" t="inlineStr">
        <is>
          <t>Gara N.</t>
        </is>
      </c>
      <c r="B126" s="88" t="inlineStr">
        <is>
          <t>Squadra A</t>
        </is>
      </c>
      <c r="C126" s="10" t="n"/>
      <c r="D126" s="88" t="inlineStr">
        <is>
          <t>Squadra B</t>
        </is>
      </c>
      <c r="E126" s="10" t="n"/>
      <c r="F126" s="88" t="inlineStr">
        <is>
          <t>Giorno</t>
        </is>
      </c>
      <c r="G126" s="88" t="inlineStr">
        <is>
          <t>Data</t>
        </is>
      </c>
      <c r="H126" s="88" t="inlineStr">
        <is>
          <t>Ora</t>
        </is>
      </c>
      <c r="I126" s="10" t="n"/>
      <c r="J126" s="88" t="inlineStr">
        <is>
          <t>Risultato</t>
        </is>
      </c>
      <c r="K126" s="9" t="n"/>
      <c r="L126" s="10" t="n"/>
    </row>
    <row r="127" ht="24" customHeight="1">
      <c r="A127" s="90">
        <f>MAX(A$10:A126)+1</f>
        <v/>
      </c>
      <c r="B127" s="61">
        <f>IF(C127="","",IFERROR(VLOOKUP(C127,areaNomiBreviSquadre,7,FALSE),""))</f>
        <v/>
      </c>
      <c r="C127" s="62" t="inlineStr">
        <is>
          <t>D11</t>
        </is>
      </c>
      <c r="D127" s="61">
        <f>IF(E127="","",IFERROR(VLOOKUP(E127,areaNomiBreviSquadre,7,FALSE),""))</f>
        <v/>
      </c>
      <c r="E127" s="62" t="inlineStr">
        <is>
          <t>D16</t>
        </is>
      </c>
      <c r="F127" s="63" t="n">
        <v>46334.60416666666</v>
      </c>
      <c r="G127" s="9" t="n"/>
      <c r="H127" s="9" t="n"/>
      <c r="I127" s="10" t="n"/>
      <c r="J127" s="65" t="n">
        <v>90</v>
      </c>
      <c r="K127" s="66" t="inlineStr">
        <is>
          <t>-</t>
        </is>
      </c>
      <c r="L127" s="65" t="n">
        <v>68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D08</t>
        </is>
      </c>
      <c r="J128" s="141" t="n"/>
      <c r="K128" s="141" t="n"/>
      <c r="L128" s="141" t="n"/>
    </row>
    <row r="129" ht="13" customHeight="1">
      <c r="A129" s="88" t="inlineStr">
        <is>
          <t>Gara N.</t>
        </is>
      </c>
      <c r="B129" s="88" t="inlineStr">
        <is>
          <t>Squadra A</t>
        </is>
      </c>
      <c r="C129" s="10" t="n"/>
      <c r="D129" s="88" t="inlineStr">
        <is>
          <t>Squadra B</t>
        </is>
      </c>
      <c r="E129" s="10" t="n"/>
      <c r="F129" s="88" t="inlineStr">
        <is>
          <t>Giorno</t>
        </is>
      </c>
      <c r="G129" s="88" t="inlineStr">
        <is>
          <t>Data</t>
        </is>
      </c>
      <c r="H129" s="88" t="inlineStr">
        <is>
          <t>Ora</t>
        </is>
      </c>
      <c r="I129" s="10" t="n"/>
      <c r="J129" s="88" t="inlineStr">
        <is>
          <t>Risultato</t>
        </is>
      </c>
      <c r="K129" s="9" t="n"/>
      <c r="L129" s="10" t="n"/>
    </row>
    <row r="130" ht="24" customHeight="1">
      <c r="A130" s="90">
        <f>MAX(A$10:A129)+1</f>
        <v/>
      </c>
      <c r="B130" s="61">
        <f>IF(C130="","",IFERROR(VLOOKUP(C130,areaNomiBreviSquadre,7,FALSE),""))</f>
        <v/>
      </c>
      <c r="C130" s="62" t="inlineStr">
        <is>
          <t>D15</t>
        </is>
      </c>
      <c r="D130" s="61">
        <f>IF(E130="","",IFERROR(VLOOKUP(E130,areaNomiBreviSquadre,7,FALSE),""))</f>
        <v/>
      </c>
      <c r="E130" s="62" t="inlineStr">
        <is>
          <t>D12</t>
        </is>
      </c>
      <c r="F130" s="63" t="n">
        <v>46334.66666666666</v>
      </c>
      <c r="G130" s="9" t="n"/>
      <c r="H130" s="9" t="n"/>
      <c r="I130" s="10" t="n"/>
      <c r="J130" s="65" t="n">
        <v>72</v>
      </c>
      <c r="K130" s="66" t="inlineStr">
        <is>
          <t>-</t>
        </is>
      </c>
      <c r="L130" s="65" t="n">
        <v>89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D08</t>
        </is>
      </c>
      <c r="J131" s="141" t="n"/>
      <c r="K131" s="141" t="n"/>
      <c r="L131" s="141" t="n"/>
    </row>
    <row r="132" ht="13" customHeight="1">
      <c r="A132" s="88" t="inlineStr">
        <is>
          <t>Gara N.</t>
        </is>
      </c>
      <c r="B132" s="88" t="inlineStr">
        <is>
          <t>Squadra A</t>
        </is>
      </c>
      <c r="C132" s="10" t="n"/>
      <c r="D132" s="88" t="inlineStr">
        <is>
          <t>Squadra B</t>
        </is>
      </c>
      <c r="E132" s="10" t="n"/>
      <c r="F132" s="88" t="inlineStr">
        <is>
          <t>Giorno</t>
        </is>
      </c>
      <c r="G132" s="88" t="inlineStr">
        <is>
          <t>Data</t>
        </is>
      </c>
      <c r="H132" s="88" t="inlineStr">
        <is>
          <t>Ora</t>
        </is>
      </c>
      <c r="I132" s="10" t="n"/>
      <c r="J132" s="88" t="inlineStr">
        <is>
          <t>Risultato</t>
        </is>
      </c>
      <c r="K132" s="9" t="n"/>
      <c r="L132" s="10" t="n"/>
    </row>
    <row r="133" ht="24" customHeight="1">
      <c r="A133" s="90">
        <f>MAX(A$10:A132)+1</f>
        <v/>
      </c>
      <c r="B133" s="61">
        <f>IF(C133="","",IFERROR(VLOOKUP(C133,areaNomiBreviSquadre,7,FALSE),""))</f>
        <v/>
      </c>
      <c r="C133" s="62" t="inlineStr">
        <is>
          <t>D13</t>
        </is>
      </c>
      <c r="D133" s="61">
        <f>IF(E133="","",IFERROR(VLOOKUP(E133,areaNomiBreviSquadre,7,FALSE),""))</f>
        <v/>
      </c>
      <c r="E133" s="62" t="inlineStr">
        <is>
          <t>D14</t>
        </is>
      </c>
      <c r="F133" s="63" t="n">
        <v>46334.72916666666</v>
      </c>
      <c r="G133" s="9" t="n"/>
      <c r="H133" s="9" t="n"/>
      <c r="I133" s="10" t="n"/>
      <c r="J133" s="65" t="n">
        <v>38</v>
      </c>
      <c r="K133" s="66" t="inlineStr">
        <is>
          <t>-</t>
        </is>
      </c>
      <c r="L133" s="65" t="n">
        <v>33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D08</t>
        </is>
      </c>
      <c r="J134" s="141" t="n"/>
      <c r="K134" s="141" t="n"/>
      <c r="L134" s="141" t="n"/>
    </row>
    <row r="135" ht="8" customHeight="1"/>
    <row r="136" ht="20" customHeight="1">
      <c r="A136" s="85" t="inlineStr">
        <is>
          <t>5D</t>
        </is>
      </c>
      <c r="B136" s="8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IF(C138="","",IFERROR(VLOOKUP(C138,areaNomiBreviSquadre,7,FALSE),""))</f>
        <v/>
      </c>
      <c r="C138" s="62" t="inlineStr">
        <is>
          <t>D09</t>
        </is>
      </c>
      <c r="D138" s="61">
        <f>IF(E138="","",IFERROR(VLOOKUP(E138,areaNomiBreviSquadre,7,FALSE),""))</f>
        <v/>
      </c>
      <c r="E138" s="62" t="inlineStr">
        <is>
          <t>D01</t>
        </is>
      </c>
      <c r="F138" s="63" t="n">
        <v>46341.39583333334</v>
      </c>
      <c r="G138" s="9" t="n"/>
      <c r="H138" s="9" t="n"/>
      <c r="I138" s="10" t="n"/>
      <c r="J138" s="65" t="n">
        <v>89</v>
      </c>
      <c r="K138" s="66" t="inlineStr">
        <is>
          <t>-</t>
        </is>
      </c>
      <c r="L138" s="65" t="n">
        <v>88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D09</t>
        </is>
      </c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IF(C141="","",IFERROR(VLOOKUP(C141,areaNomiBreviSquadre,7,FALSE),""))</f>
        <v/>
      </c>
      <c r="C141" s="62" t="inlineStr">
        <is>
          <t>D05</t>
        </is>
      </c>
      <c r="D141" s="61">
        <f>IF(E141="","",IFERROR(VLOOKUP(E141,areaNomiBreviSquadre,7,FALSE),""))</f>
        <v/>
      </c>
      <c r="E141" s="62" t="inlineStr">
        <is>
          <t>D20</t>
        </is>
      </c>
      <c r="F141" s="63" t="n">
        <v>46341.45833333334</v>
      </c>
      <c r="G141" s="9" t="n"/>
      <c r="H141" s="9" t="n"/>
      <c r="I141" s="10" t="n"/>
      <c r="J141" s="65" t="n">
        <v>70</v>
      </c>
      <c r="K141" s="66" t="inlineStr">
        <is>
          <t>-</t>
        </is>
      </c>
      <c r="L141" s="65" t="n">
        <v>50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D09</t>
        </is>
      </c>
      <c r="J142" s="141" t="n"/>
      <c r="K142" s="141" t="n"/>
      <c r="L142" s="141" t="n"/>
    </row>
    <row r="143" ht="13" customHeight="1">
      <c r="A143" s="88" t="inlineStr">
        <is>
          <t>Gara N.</t>
        </is>
      </c>
      <c r="B143" s="88" t="inlineStr">
        <is>
          <t>Squadra A</t>
        </is>
      </c>
      <c r="C143" s="10" t="n"/>
      <c r="D143" s="88" t="inlineStr">
        <is>
          <t>Squadra B</t>
        </is>
      </c>
      <c r="E143" s="10" t="n"/>
      <c r="F143" s="88" t="inlineStr">
        <is>
          <t>Giorno</t>
        </is>
      </c>
      <c r="G143" s="88" t="inlineStr">
        <is>
          <t>Data</t>
        </is>
      </c>
      <c r="H143" s="88" t="inlineStr">
        <is>
          <t>Ora</t>
        </is>
      </c>
      <c r="I143" s="10" t="n"/>
      <c r="J143" s="88" t="inlineStr">
        <is>
          <t>Risultato</t>
        </is>
      </c>
      <c r="K143" s="9" t="n"/>
      <c r="L143" s="10" t="n"/>
    </row>
    <row r="144" ht="24" customHeight="1">
      <c r="A144" s="90">
        <f>MAX(A$10:A143)+1</f>
        <v/>
      </c>
      <c r="B144" s="61">
        <f>IF(C144="","",IFERROR(VLOOKUP(C144,areaNomiBreviSquadre,7,FALSE),""))</f>
        <v/>
      </c>
      <c r="C144" s="62" t="inlineStr">
        <is>
          <t>D04</t>
        </is>
      </c>
      <c r="D144" s="61">
        <f>IF(E144="","",IFERROR(VLOOKUP(E144,areaNomiBreviSquadre,7,FALSE),""))</f>
        <v/>
      </c>
      <c r="E144" s="62" t="inlineStr">
        <is>
          <t>D06</t>
        </is>
      </c>
      <c r="F144" s="63" t="n">
        <v>46341.60416666666</v>
      </c>
      <c r="G144" s="9" t="n"/>
      <c r="H144" s="9" t="n"/>
      <c r="I144" s="10" t="n"/>
      <c r="J144" s="65" t="n">
        <v>51</v>
      </c>
      <c r="K144" s="66" t="inlineStr">
        <is>
          <t>-</t>
        </is>
      </c>
      <c r="L144" s="65" t="n">
        <v>64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D09</t>
        </is>
      </c>
      <c r="J145" s="141" t="n"/>
      <c r="K145" s="141" t="n"/>
      <c r="L145" s="141" t="n"/>
    </row>
    <row r="146" ht="13" customHeight="1">
      <c r="A146" s="88" t="inlineStr">
        <is>
          <t>Gara N.</t>
        </is>
      </c>
      <c r="B146" s="88" t="inlineStr">
        <is>
          <t>Squadra A</t>
        </is>
      </c>
      <c r="C146" s="10" t="n"/>
      <c r="D146" s="88" t="inlineStr">
        <is>
          <t>Squadra B</t>
        </is>
      </c>
      <c r="E146" s="10" t="n"/>
      <c r="F146" s="88" t="inlineStr">
        <is>
          <t>Giorno</t>
        </is>
      </c>
      <c r="G146" s="88" t="inlineStr">
        <is>
          <t>Data</t>
        </is>
      </c>
      <c r="H146" s="88" t="inlineStr">
        <is>
          <t>Ora</t>
        </is>
      </c>
      <c r="I146" s="10" t="n"/>
      <c r="J146" s="88" t="inlineStr">
        <is>
          <t>Risultato</t>
        </is>
      </c>
      <c r="K146" s="9" t="n"/>
      <c r="L146" s="10" t="n"/>
    </row>
    <row r="147" ht="24" customHeight="1">
      <c r="A147" s="90">
        <f>MAX(A$10:A146)+1</f>
        <v/>
      </c>
      <c r="B147" s="61">
        <f>IF(C147="","",IFERROR(VLOOKUP(C147,areaNomiBreviSquadre,7,FALSE),""))</f>
        <v/>
      </c>
      <c r="C147" s="62" t="inlineStr">
        <is>
          <t>D07</t>
        </is>
      </c>
      <c r="D147" s="61">
        <f>IF(E147="","",IFERROR(VLOOKUP(E147,areaNomiBreviSquadre,7,FALSE),""))</f>
        <v/>
      </c>
      <c r="E147" s="62" t="inlineStr">
        <is>
          <t>D03</t>
        </is>
      </c>
      <c r="F147" s="63" t="n">
        <v>46341.66666666666</v>
      </c>
      <c r="G147" s="9" t="n"/>
      <c r="H147" s="9" t="n"/>
      <c r="I147" s="10" t="n"/>
      <c r="J147" s="65" t="n">
        <v>40</v>
      </c>
      <c r="K147" s="66" t="inlineStr">
        <is>
          <t>-</t>
        </is>
      </c>
      <c r="L147" s="65" t="n">
        <v>44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D09</t>
        </is>
      </c>
      <c r="J148" s="141" t="n"/>
      <c r="K148" s="141" t="n"/>
      <c r="L148" s="141" t="n"/>
    </row>
    <row r="149" ht="13" customHeight="1">
      <c r="A149" s="88" t="inlineStr">
        <is>
          <t>Gara N.</t>
        </is>
      </c>
      <c r="B149" s="88" t="inlineStr">
        <is>
          <t>Squadra A</t>
        </is>
      </c>
      <c r="C149" s="10" t="n"/>
      <c r="D149" s="88" t="inlineStr">
        <is>
          <t>Squadra B</t>
        </is>
      </c>
      <c r="E149" s="10" t="n"/>
      <c r="F149" s="88" t="inlineStr">
        <is>
          <t>Giorno</t>
        </is>
      </c>
      <c r="G149" s="88" t="inlineStr">
        <is>
          <t>Data</t>
        </is>
      </c>
      <c r="H149" s="88" t="inlineStr">
        <is>
          <t>Ora</t>
        </is>
      </c>
      <c r="I149" s="10" t="n"/>
      <c r="J149" s="88" t="inlineStr">
        <is>
          <t>Risultato</t>
        </is>
      </c>
      <c r="K149" s="9" t="n"/>
      <c r="L149" s="10" t="n"/>
    </row>
    <row r="150" ht="24" customHeight="1">
      <c r="A150" s="90">
        <f>MAX(A$10:A149)+1</f>
        <v/>
      </c>
      <c r="B150" s="61">
        <f>IF(C150="","",IFERROR(VLOOKUP(C150,areaNomiBreviSquadre,7,FALSE),""))</f>
        <v/>
      </c>
      <c r="C150" s="62" t="inlineStr">
        <is>
          <t>D02</t>
        </is>
      </c>
      <c r="D150" s="61">
        <f>IF(E150="","",IFERROR(VLOOKUP(E150,areaNomiBreviSquadre,7,FALSE),""))</f>
        <v/>
      </c>
      <c r="E150" s="62" t="inlineStr">
        <is>
          <t>D08</t>
        </is>
      </c>
      <c r="F150" s="63" t="n">
        <v>46341.72916666666</v>
      </c>
      <c r="G150" s="9" t="n"/>
      <c r="H150" s="9" t="n"/>
      <c r="I150" s="10" t="n"/>
      <c r="J150" s="65" t="n">
        <v>69</v>
      </c>
      <c r="K150" s="66" t="inlineStr">
        <is>
          <t>-</t>
        </is>
      </c>
      <c r="L150" s="65" t="n">
        <v>75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D09</t>
        </is>
      </c>
      <c r="J151" s="141" t="n"/>
      <c r="K151" s="141" t="n"/>
      <c r="L151" s="141" t="n"/>
    </row>
    <row r="152" ht="13" customHeight="1">
      <c r="A152" s="88" t="inlineStr">
        <is>
          <t>Gara N.</t>
        </is>
      </c>
      <c r="B152" s="88" t="inlineStr">
        <is>
          <t>Squadra A</t>
        </is>
      </c>
      <c r="C152" s="10" t="n"/>
      <c r="D152" s="88" t="inlineStr">
        <is>
          <t>Squadra B</t>
        </is>
      </c>
      <c r="E152" s="10" t="n"/>
      <c r="F152" s="88" t="inlineStr">
        <is>
          <t>Giorno</t>
        </is>
      </c>
      <c r="G152" s="88" t="inlineStr">
        <is>
          <t>Data</t>
        </is>
      </c>
      <c r="H152" s="88" t="inlineStr">
        <is>
          <t>Ora</t>
        </is>
      </c>
      <c r="I152" s="10" t="n"/>
      <c r="J152" s="88" t="inlineStr">
        <is>
          <t>Risultato</t>
        </is>
      </c>
      <c r="K152" s="9" t="n"/>
      <c r="L152" s="10" t="n"/>
    </row>
    <row r="153" ht="24" customHeight="1">
      <c r="A153" s="90">
        <f>MAX(A$10:A152)+1</f>
        <v/>
      </c>
      <c r="B153" s="61">
        <f>IF(C153="","",IFERROR(VLOOKUP(C153,areaNomiBreviSquadre,7,FALSE),""))</f>
        <v/>
      </c>
      <c r="C153" s="62" t="inlineStr">
        <is>
          <t>D19</t>
        </is>
      </c>
      <c r="D153" s="61">
        <f>IF(E153="","",IFERROR(VLOOKUP(E153,areaNomiBreviSquadre,7,FALSE),""))</f>
        <v/>
      </c>
      <c r="E153" s="62" t="inlineStr">
        <is>
          <t>D10</t>
        </is>
      </c>
      <c r="F153" s="63" t="n">
        <v>46341.39583333334</v>
      </c>
      <c r="G153" s="9" t="n"/>
      <c r="H153" s="9" t="n"/>
      <c r="I153" s="10" t="n"/>
      <c r="J153" s="65" t="n">
        <v>79</v>
      </c>
      <c r="K153" s="66" t="inlineStr">
        <is>
          <t>-</t>
        </is>
      </c>
      <c r="L153" s="65" t="n">
        <v>87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D10</t>
        </is>
      </c>
      <c r="J154" s="141" t="n"/>
      <c r="K154" s="141" t="n"/>
      <c r="L154" s="141" t="n"/>
    </row>
    <row r="155" ht="13" customHeight="1">
      <c r="A155" s="88" t="inlineStr">
        <is>
          <t>Gara N.</t>
        </is>
      </c>
      <c r="B155" s="88" t="inlineStr">
        <is>
          <t>Squadra A</t>
        </is>
      </c>
      <c r="C155" s="10" t="n"/>
      <c r="D155" s="88" t="inlineStr">
        <is>
          <t>Squadra B</t>
        </is>
      </c>
      <c r="E155" s="10" t="n"/>
      <c r="F155" s="88" t="inlineStr">
        <is>
          <t>Giorno</t>
        </is>
      </c>
      <c r="G155" s="88" t="inlineStr">
        <is>
          <t>Data</t>
        </is>
      </c>
      <c r="H155" s="88" t="inlineStr">
        <is>
          <t>Ora</t>
        </is>
      </c>
      <c r="I155" s="10" t="n"/>
      <c r="J155" s="88" t="inlineStr">
        <is>
          <t>Risultato</t>
        </is>
      </c>
      <c r="K155" s="9" t="n"/>
      <c r="L155" s="10" t="n"/>
    </row>
    <row r="156" ht="24" customHeight="1">
      <c r="A156" s="90">
        <f>MAX(A$10:A155)+1</f>
        <v/>
      </c>
      <c r="B156" s="61">
        <f>IF(C156="","",IFERROR(VLOOKUP(C156,areaNomiBreviSquadre,7,FALSE),""))</f>
        <v/>
      </c>
      <c r="C156" s="62" t="inlineStr">
        <is>
          <t>D11</t>
        </is>
      </c>
      <c r="D156" s="61">
        <f>IF(E156="","",IFERROR(VLOOKUP(E156,areaNomiBreviSquadre,7,FALSE),""))</f>
        <v/>
      </c>
      <c r="E156" s="62" t="inlineStr">
        <is>
          <t>D18</t>
        </is>
      </c>
      <c r="F156" s="63" t="n">
        <v>46341.45833333334</v>
      </c>
      <c r="G156" s="9" t="n"/>
      <c r="H156" s="9" t="n"/>
      <c r="I156" s="10" t="n"/>
      <c r="J156" s="65" t="n">
        <v>76</v>
      </c>
      <c r="K156" s="66" t="inlineStr">
        <is>
          <t>-</t>
        </is>
      </c>
      <c r="L156" s="65" t="n">
        <v>54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D10</t>
        </is>
      </c>
      <c r="J157" s="141" t="n"/>
      <c r="K157" s="141" t="n"/>
      <c r="L157" s="141" t="n"/>
    </row>
    <row r="158" ht="13" customHeight="1">
      <c r="A158" s="88" t="inlineStr">
        <is>
          <t>Gara N.</t>
        </is>
      </c>
      <c r="B158" s="88" t="inlineStr">
        <is>
          <t>Squadra A</t>
        </is>
      </c>
      <c r="C158" s="10" t="n"/>
      <c r="D158" s="88" t="inlineStr">
        <is>
          <t>Squadra B</t>
        </is>
      </c>
      <c r="E158" s="10" t="n"/>
      <c r="F158" s="88" t="inlineStr">
        <is>
          <t>Giorno</t>
        </is>
      </c>
      <c r="G158" s="88" t="inlineStr">
        <is>
          <t>Data</t>
        </is>
      </c>
      <c r="H158" s="88" t="inlineStr">
        <is>
          <t>Ora</t>
        </is>
      </c>
      <c r="I158" s="10" t="n"/>
      <c r="J158" s="88" t="inlineStr">
        <is>
          <t>Risultato</t>
        </is>
      </c>
      <c r="K158" s="9" t="n"/>
      <c r="L158" s="10" t="n"/>
    </row>
    <row r="159" ht="24" customHeight="1">
      <c r="A159" s="90">
        <f>MAX(A$10:A158)+1</f>
        <v/>
      </c>
      <c r="B159" s="61">
        <f>IF(C159="","",IFERROR(VLOOKUP(C159,areaNomiBreviSquadre,7,FALSE),""))</f>
        <v/>
      </c>
      <c r="C159" s="62" t="inlineStr">
        <is>
          <t>D17</t>
        </is>
      </c>
      <c r="D159" s="61">
        <f>IF(E159="","",IFERROR(VLOOKUP(E159,areaNomiBreviSquadre,7,FALSE),""))</f>
        <v/>
      </c>
      <c r="E159" s="62" t="inlineStr">
        <is>
          <t>D12</t>
        </is>
      </c>
      <c r="F159" s="63" t="n">
        <v>46341.60416666666</v>
      </c>
      <c r="G159" s="9" t="n"/>
      <c r="H159" s="9" t="n"/>
      <c r="I159" s="10" t="n"/>
      <c r="J159" s="65" t="n">
        <v>68</v>
      </c>
      <c r="K159" s="66" t="inlineStr">
        <is>
          <t>-</t>
        </is>
      </c>
      <c r="L159" s="65" t="n">
        <v>70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D10</t>
        </is>
      </c>
      <c r="J160" s="141" t="n"/>
      <c r="K160" s="141" t="n"/>
      <c r="L160" s="141" t="n"/>
    </row>
    <row r="161" ht="13" customHeight="1">
      <c r="A161" s="88" t="inlineStr">
        <is>
          <t>Gara N.</t>
        </is>
      </c>
      <c r="B161" s="88" t="inlineStr">
        <is>
          <t>Squadra A</t>
        </is>
      </c>
      <c r="C161" s="10" t="n"/>
      <c r="D161" s="88" t="inlineStr">
        <is>
          <t>Squadra B</t>
        </is>
      </c>
      <c r="E161" s="10" t="n"/>
      <c r="F161" s="88" t="inlineStr">
        <is>
          <t>Giorno</t>
        </is>
      </c>
      <c r="G161" s="88" t="inlineStr">
        <is>
          <t>Data</t>
        </is>
      </c>
      <c r="H161" s="88" t="inlineStr">
        <is>
          <t>Ora</t>
        </is>
      </c>
      <c r="I161" s="10" t="n"/>
      <c r="J161" s="88" t="inlineStr">
        <is>
          <t>Risultato</t>
        </is>
      </c>
      <c r="K161" s="9" t="n"/>
      <c r="L161" s="10" t="n"/>
    </row>
    <row r="162" ht="24" customHeight="1">
      <c r="A162" s="90">
        <f>MAX(A$10:A161)+1</f>
        <v/>
      </c>
      <c r="B162" s="61">
        <f>IF(C162="","",IFERROR(VLOOKUP(C162,areaNomiBreviSquadre,7,FALSE),""))</f>
        <v/>
      </c>
      <c r="C162" s="62" t="inlineStr">
        <is>
          <t>D13</t>
        </is>
      </c>
      <c r="D162" s="61">
        <f>IF(E162="","",IFERROR(VLOOKUP(E162,areaNomiBreviSquadre,7,FALSE),""))</f>
        <v/>
      </c>
      <c r="E162" s="62" t="inlineStr">
        <is>
          <t>D16</t>
        </is>
      </c>
      <c r="F162" s="63" t="n">
        <v>46341.66666666666</v>
      </c>
      <c r="G162" s="9" t="n"/>
      <c r="H162" s="9" t="n"/>
      <c r="I162" s="10" t="n"/>
      <c r="J162" s="65" t="n">
        <v>39</v>
      </c>
      <c r="K162" s="66" t="inlineStr">
        <is>
          <t>-</t>
        </is>
      </c>
      <c r="L162" s="65" t="n">
        <v>34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D10</t>
        </is>
      </c>
      <c r="J163" s="141" t="n"/>
      <c r="K163" s="141" t="n"/>
      <c r="L163" s="141" t="n"/>
    </row>
    <row r="164" ht="13" customHeight="1">
      <c r="A164" s="88" t="inlineStr">
        <is>
          <t>Gara N.</t>
        </is>
      </c>
      <c r="B164" s="88" t="inlineStr">
        <is>
          <t>Squadra A</t>
        </is>
      </c>
      <c r="C164" s="10" t="n"/>
      <c r="D164" s="88" t="inlineStr">
        <is>
          <t>Squadra B</t>
        </is>
      </c>
      <c r="E164" s="10" t="n"/>
      <c r="F164" s="88" t="inlineStr">
        <is>
          <t>Giorno</t>
        </is>
      </c>
      <c r="G164" s="88" t="inlineStr">
        <is>
          <t>Data</t>
        </is>
      </c>
      <c r="H164" s="88" t="inlineStr">
        <is>
          <t>Ora</t>
        </is>
      </c>
      <c r="I164" s="10" t="n"/>
      <c r="J164" s="88" t="inlineStr">
        <is>
          <t>Risultato</t>
        </is>
      </c>
      <c r="K164" s="9" t="n"/>
      <c r="L164" s="10" t="n"/>
    </row>
    <row r="165" ht="24" customHeight="1">
      <c r="A165" s="90">
        <f>MAX(A$10:A164)+1</f>
        <v/>
      </c>
      <c r="B165" s="61">
        <f>IF(C165="","",IFERROR(VLOOKUP(C165,areaNomiBreviSquadre,7,FALSE),""))</f>
        <v/>
      </c>
      <c r="C165" s="62" t="inlineStr">
        <is>
          <t>D15</t>
        </is>
      </c>
      <c r="D165" s="61">
        <f>IF(E165="","",IFERROR(VLOOKUP(E165,areaNomiBreviSquadre,7,FALSE),""))</f>
        <v/>
      </c>
      <c r="E165" s="62" t="inlineStr">
        <is>
          <t>D14</t>
        </is>
      </c>
      <c r="F165" s="63" t="n">
        <v>46341.72916666666</v>
      </c>
      <c r="G165" s="9" t="n"/>
      <c r="H165" s="9" t="n"/>
      <c r="I165" s="10" t="n"/>
      <c r="J165" s="65" t="n">
        <v>59</v>
      </c>
      <c r="K165" s="66" t="inlineStr">
        <is>
          <t>-</t>
        </is>
      </c>
      <c r="L165" s="65" t="n">
        <v>40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D10</t>
        </is>
      </c>
      <c r="J166" s="141" t="n"/>
      <c r="K166" s="141" t="n"/>
      <c r="L166" s="141" t="n"/>
    </row>
    <row r="167" ht="8" customHeight="1"/>
    <row r="168" ht="20" customHeight="1">
      <c r="A168" s="85" t="inlineStr">
        <is>
          <t>6D</t>
        </is>
      </c>
      <c r="B168" s="8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8" t="inlineStr">
        <is>
          <t>Gara N.</t>
        </is>
      </c>
      <c r="B169" s="88" t="inlineStr">
        <is>
          <t>Squadra A</t>
        </is>
      </c>
      <c r="C169" s="10" t="n"/>
      <c r="D169" s="88" t="inlineStr">
        <is>
          <t>Squadra B</t>
        </is>
      </c>
      <c r="E169" s="10" t="n"/>
      <c r="F169" s="88" t="inlineStr">
        <is>
          <t>Giorno</t>
        </is>
      </c>
      <c r="G169" s="88" t="inlineStr">
        <is>
          <t>Data</t>
        </is>
      </c>
      <c r="H169" s="88" t="inlineStr">
        <is>
          <t>Ora</t>
        </is>
      </c>
      <c r="I169" s="10" t="n"/>
      <c r="J169" s="88" t="inlineStr">
        <is>
          <t>Risultato</t>
        </is>
      </c>
      <c r="K169" s="9" t="n"/>
      <c r="L169" s="10" t="n"/>
    </row>
    <row r="170" ht="24" customHeight="1">
      <c r="A170" s="90">
        <f>MAX(A$10:A169)+1</f>
        <v/>
      </c>
      <c r="B170" s="61">
        <f>IF(C170="","",IFERROR(VLOOKUP(C170,areaNomiBreviSquadre,7,FALSE),""))</f>
        <v/>
      </c>
      <c r="C170" s="62" t="inlineStr">
        <is>
          <t>D11</t>
        </is>
      </c>
      <c r="D170" s="61">
        <f>IF(E170="","",IFERROR(VLOOKUP(E170,areaNomiBreviSquadre,7,FALSE),""))</f>
        <v/>
      </c>
      <c r="E170" s="62" t="inlineStr">
        <is>
          <t>D01</t>
        </is>
      </c>
      <c r="F170" s="63" t="n">
        <v>46348.39583333334</v>
      </c>
      <c r="G170" s="9" t="n"/>
      <c r="H170" s="9" t="n"/>
      <c r="I170" s="10" t="n"/>
      <c r="J170" s="65" t="n">
        <v>77</v>
      </c>
      <c r="K170" s="66" t="inlineStr">
        <is>
          <t>-</t>
        </is>
      </c>
      <c r="L170" s="65" t="n">
        <v>63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D11</t>
        </is>
      </c>
      <c r="J171" s="141" t="n"/>
      <c r="K171" s="141" t="n"/>
      <c r="L171" s="141" t="n"/>
    </row>
    <row r="172" ht="13" customHeight="1">
      <c r="A172" s="88" t="inlineStr">
        <is>
          <t>Gara N.</t>
        </is>
      </c>
      <c r="B172" s="88" t="inlineStr">
        <is>
          <t>Squadra A</t>
        </is>
      </c>
      <c r="C172" s="10" t="n"/>
      <c r="D172" s="88" t="inlineStr">
        <is>
          <t>Squadra B</t>
        </is>
      </c>
      <c r="E172" s="10" t="n"/>
      <c r="F172" s="88" t="inlineStr">
        <is>
          <t>Giorno</t>
        </is>
      </c>
      <c r="G172" s="88" t="inlineStr">
        <is>
          <t>Data</t>
        </is>
      </c>
      <c r="H172" s="88" t="inlineStr">
        <is>
          <t>Ora</t>
        </is>
      </c>
      <c r="I172" s="10" t="n"/>
      <c r="J172" s="88" t="inlineStr">
        <is>
          <t>Risultato</t>
        </is>
      </c>
      <c r="K172" s="9" t="n"/>
      <c r="L172" s="10" t="n"/>
    </row>
    <row r="173" ht="24" customHeight="1">
      <c r="A173" s="90">
        <f>MAX(A$10:A172)+1</f>
        <v/>
      </c>
      <c r="B173" s="61">
        <f>IF(C173="","",IFERROR(VLOOKUP(C173,areaNomiBreviSquadre,7,FALSE),""))</f>
        <v/>
      </c>
      <c r="C173" s="62" t="inlineStr">
        <is>
          <t>D20</t>
        </is>
      </c>
      <c r="D173" s="61">
        <f>IF(E173="","",IFERROR(VLOOKUP(E173,areaNomiBreviSquadre,7,FALSE),""))</f>
        <v/>
      </c>
      <c r="E173" s="62" t="inlineStr">
        <is>
          <t>D06</t>
        </is>
      </c>
      <c r="F173" s="63" t="n">
        <v>46348.45833333334</v>
      </c>
      <c r="G173" s="9" t="n"/>
      <c r="H173" s="9" t="n"/>
      <c r="I173" s="10" t="n"/>
      <c r="J173" s="65" t="n">
        <v>59</v>
      </c>
      <c r="K173" s="66" t="inlineStr">
        <is>
          <t>-</t>
        </is>
      </c>
      <c r="L173" s="65" t="n">
        <v>65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D11</t>
        </is>
      </c>
      <c r="J174" s="141" t="n"/>
      <c r="K174" s="141" t="n"/>
      <c r="L174" s="141" t="n"/>
    </row>
    <row r="175" ht="13" customHeight="1">
      <c r="A175" s="88" t="inlineStr">
        <is>
          <t>Gara N.</t>
        </is>
      </c>
      <c r="B175" s="88" t="inlineStr">
        <is>
          <t>Squadra A</t>
        </is>
      </c>
      <c r="C175" s="10" t="n"/>
      <c r="D175" s="88" t="inlineStr">
        <is>
          <t>Squadra B</t>
        </is>
      </c>
      <c r="E175" s="10" t="n"/>
      <c r="F175" s="88" t="inlineStr">
        <is>
          <t>Giorno</t>
        </is>
      </c>
      <c r="G175" s="88" t="inlineStr">
        <is>
          <t>Data</t>
        </is>
      </c>
      <c r="H175" s="88" t="inlineStr">
        <is>
          <t>Ora</t>
        </is>
      </c>
      <c r="I175" s="10" t="n"/>
      <c r="J175" s="88" t="inlineStr">
        <is>
          <t>Risultato</t>
        </is>
      </c>
      <c r="K175" s="9" t="n"/>
      <c r="L175" s="10" t="n"/>
    </row>
    <row r="176" ht="24" customHeight="1">
      <c r="A176" s="90">
        <f>MAX(A$10:A175)+1</f>
        <v/>
      </c>
      <c r="B176" s="61">
        <f>IF(C176="","",IFERROR(VLOOKUP(C176,areaNomiBreviSquadre,7,FALSE),""))</f>
        <v/>
      </c>
      <c r="C176" s="62" t="inlineStr">
        <is>
          <t>D07</t>
        </is>
      </c>
      <c r="D176" s="61">
        <f>IF(E176="","",IFERROR(VLOOKUP(E176,areaNomiBreviSquadre,7,FALSE),""))</f>
        <v/>
      </c>
      <c r="E176" s="62" t="inlineStr">
        <is>
          <t>D05</t>
        </is>
      </c>
      <c r="F176" s="63" t="n">
        <v>46348.60416666666</v>
      </c>
      <c r="G176" s="9" t="n"/>
      <c r="H176" s="9" t="n"/>
      <c r="I176" s="10" t="n"/>
      <c r="J176" s="65" t="n">
        <v>86</v>
      </c>
      <c r="K176" s="66" t="inlineStr">
        <is>
          <t>-</t>
        </is>
      </c>
      <c r="L176" s="65" t="n">
        <v>77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D11</t>
        </is>
      </c>
      <c r="J177" s="141" t="n"/>
      <c r="K177" s="141" t="n"/>
      <c r="L177" s="141" t="n"/>
    </row>
    <row r="178" ht="13" customHeight="1">
      <c r="A178" s="88" t="inlineStr">
        <is>
          <t>Gara N.</t>
        </is>
      </c>
      <c r="B178" s="88" t="inlineStr">
        <is>
          <t>Squadra A</t>
        </is>
      </c>
      <c r="C178" s="10" t="n"/>
      <c r="D178" s="88" t="inlineStr">
        <is>
          <t>Squadra B</t>
        </is>
      </c>
      <c r="E178" s="10" t="n"/>
      <c r="F178" s="88" t="inlineStr">
        <is>
          <t>Giorno</t>
        </is>
      </c>
      <c r="G178" s="88" t="inlineStr">
        <is>
          <t>Data</t>
        </is>
      </c>
      <c r="H178" s="88" t="inlineStr">
        <is>
          <t>Ora</t>
        </is>
      </c>
      <c r="I178" s="10" t="n"/>
      <c r="J178" s="88" t="inlineStr">
        <is>
          <t>Risultato</t>
        </is>
      </c>
      <c r="K178" s="9" t="n"/>
      <c r="L178" s="10" t="n"/>
    </row>
    <row r="179" ht="24" customHeight="1">
      <c r="A179" s="90">
        <f>MAX(A$10:A178)+1</f>
        <v/>
      </c>
      <c r="B179" s="61">
        <f>IF(C179="","",IFERROR(VLOOKUP(C179,areaNomiBreviSquadre,7,FALSE),""))</f>
        <v/>
      </c>
      <c r="C179" s="62" t="inlineStr">
        <is>
          <t>D04</t>
        </is>
      </c>
      <c r="D179" s="61">
        <f>IF(E179="","",IFERROR(VLOOKUP(E179,areaNomiBreviSquadre,7,FALSE),""))</f>
        <v/>
      </c>
      <c r="E179" s="62" t="inlineStr">
        <is>
          <t>D08</t>
        </is>
      </c>
      <c r="F179" s="63" t="n">
        <v>46348.66666666666</v>
      </c>
      <c r="G179" s="9" t="n"/>
      <c r="H179" s="9" t="n"/>
      <c r="I179" s="10" t="n"/>
      <c r="J179" s="65" t="n">
        <v>54</v>
      </c>
      <c r="K179" s="66" t="inlineStr">
        <is>
          <t>-</t>
        </is>
      </c>
      <c r="L179" s="65" t="n">
        <v>51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D11</t>
        </is>
      </c>
      <c r="J180" s="141" t="n"/>
      <c r="K180" s="141" t="n"/>
      <c r="L180" s="141" t="n"/>
    </row>
    <row r="181" ht="13" customHeight="1">
      <c r="A181" s="88" t="inlineStr">
        <is>
          <t>Gara N.</t>
        </is>
      </c>
      <c r="B181" s="88" t="inlineStr">
        <is>
          <t>Squadra A</t>
        </is>
      </c>
      <c r="C181" s="10" t="n"/>
      <c r="D181" s="88" t="inlineStr">
        <is>
          <t>Squadra B</t>
        </is>
      </c>
      <c r="E181" s="10" t="n"/>
      <c r="F181" s="88" t="inlineStr">
        <is>
          <t>Giorno</t>
        </is>
      </c>
      <c r="G181" s="88" t="inlineStr">
        <is>
          <t>Data</t>
        </is>
      </c>
      <c r="H181" s="88" t="inlineStr">
        <is>
          <t>Ora</t>
        </is>
      </c>
      <c r="I181" s="10" t="n"/>
      <c r="J181" s="88" t="inlineStr">
        <is>
          <t>Risultato</t>
        </is>
      </c>
      <c r="K181" s="9" t="n"/>
      <c r="L181" s="10" t="n"/>
    </row>
    <row r="182" ht="24" customHeight="1">
      <c r="A182" s="90">
        <f>MAX(A$10:A181)+1</f>
        <v/>
      </c>
      <c r="B182" s="61">
        <f>IF(C182="","",IFERROR(VLOOKUP(C182,areaNomiBreviSquadre,7,FALSE),""))</f>
        <v/>
      </c>
      <c r="C182" s="62" t="inlineStr">
        <is>
          <t>D09</t>
        </is>
      </c>
      <c r="D182" s="61">
        <f>IF(E182="","",IFERROR(VLOOKUP(E182,areaNomiBreviSquadre,7,FALSE),""))</f>
        <v/>
      </c>
      <c r="E182" s="62" t="inlineStr">
        <is>
          <t>D03</t>
        </is>
      </c>
      <c r="F182" s="63" t="n">
        <v>46348.72916666666</v>
      </c>
      <c r="G182" s="9" t="n"/>
      <c r="H182" s="9" t="n"/>
      <c r="I182" s="10" t="n"/>
      <c r="J182" s="65" t="n">
        <v>66</v>
      </c>
      <c r="K182" s="66" t="inlineStr">
        <is>
          <t>-</t>
        </is>
      </c>
      <c r="L182" s="65" t="n">
        <v>45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D11</t>
        </is>
      </c>
      <c r="J183" s="141" t="n"/>
      <c r="K183" s="141" t="n"/>
      <c r="L183" s="141" t="n"/>
    </row>
    <row r="184" ht="13" customHeight="1">
      <c r="A184" s="88" t="inlineStr">
        <is>
          <t>Gara N.</t>
        </is>
      </c>
      <c r="B184" s="88" t="inlineStr">
        <is>
          <t>Squadra A</t>
        </is>
      </c>
      <c r="C184" s="10" t="n"/>
      <c r="D184" s="88" t="inlineStr">
        <is>
          <t>Squadra B</t>
        </is>
      </c>
      <c r="E184" s="10" t="n"/>
      <c r="F184" s="88" t="inlineStr">
        <is>
          <t>Giorno</t>
        </is>
      </c>
      <c r="G184" s="88" t="inlineStr">
        <is>
          <t>Data</t>
        </is>
      </c>
      <c r="H184" s="88" t="inlineStr">
        <is>
          <t>Ora</t>
        </is>
      </c>
      <c r="I184" s="10" t="n"/>
      <c r="J184" s="88" t="inlineStr">
        <is>
          <t>Risultato</t>
        </is>
      </c>
      <c r="K184" s="9" t="n"/>
      <c r="L184" s="10" t="n"/>
    </row>
    <row r="185" ht="24" customHeight="1">
      <c r="A185" s="90">
        <f>MAX(A$10:A184)+1</f>
        <v/>
      </c>
      <c r="B185" s="61">
        <f>IF(C185="","",IFERROR(VLOOKUP(C185,areaNomiBreviSquadre,7,FALSE),""))</f>
        <v/>
      </c>
      <c r="C185" s="62" t="inlineStr">
        <is>
          <t>D19</t>
        </is>
      </c>
      <c r="D185" s="61">
        <f>IF(E185="","",IFERROR(VLOOKUP(E185,areaNomiBreviSquadre,7,FALSE),""))</f>
        <v/>
      </c>
      <c r="E185" s="62" t="inlineStr">
        <is>
          <t>D12</t>
        </is>
      </c>
      <c r="F185" s="63" t="n">
        <v>46348.39583333334</v>
      </c>
      <c r="G185" s="9" t="n"/>
      <c r="H185" s="9" t="n"/>
      <c r="I185" s="10" t="n"/>
      <c r="J185" s="65" t="n">
        <v>81</v>
      </c>
      <c r="K185" s="66" t="inlineStr">
        <is>
          <t>-</t>
        </is>
      </c>
      <c r="L185" s="65" t="n">
        <v>55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D12</t>
        </is>
      </c>
      <c r="J186" s="141" t="n"/>
      <c r="K186" s="141" t="n"/>
      <c r="L186" s="141" t="n"/>
    </row>
    <row r="187" ht="13" customHeight="1">
      <c r="A187" s="88" t="inlineStr">
        <is>
          <t>Gara N.</t>
        </is>
      </c>
      <c r="B187" s="88" t="inlineStr">
        <is>
          <t>Squadra A</t>
        </is>
      </c>
      <c r="C187" s="10" t="n"/>
      <c r="D187" s="88" t="inlineStr">
        <is>
          <t>Squadra B</t>
        </is>
      </c>
      <c r="E187" s="10" t="n"/>
      <c r="F187" s="88" t="inlineStr">
        <is>
          <t>Giorno</t>
        </is>
      </c>
      <c r="G187" s="88" t="inlineStr">
        <is>
          <t>Data</t>
        </is>
      </c>
      <c r="H187" s="88" t="inlineStr">
        <is>
          <t>Ora</t>
        </is>
      </c>
      <c r="I187" s="10" t="n"/>
      <c r="J187" s="88" t="inlineStr">
        <is>
          <t>Risultato</t>
        </is>
      </c>
      <c r="K187" s="9" t="n"/>
      <c r="L187" s="10" t="n"/>
    </row>
    <row r="188" ht="24" customHeight="1">
      <c r="A188" s="90">
        <f>MAX(A$10:A187)+1</f>
        <v/>
      </c>
      <c r="B188" s="61">
        <f>IF(C188="","",IFERROR(VLOOKUP(C188,areaNomiBreviSquadre,7,FALSE),""))</f>
        <v/>
      </c>
      <c r="C188" s="62" t="inlineStr">
        <is>
          <t>D02</t>
        </is>
      </c>
      <c r="D188" s="61">
        <f>IF(E188="","",IFERROR(VLOOKUP(E188,areaNomiBreviSquadre,7,FALSE),""))</f>
        <v/>
      </c>
      <c r="E188" s="62" t="inlineStr">
        <is>
          <t>D10</t>
        </is>
      </c>
      <c r="F188" s="63" t="n">
        <v>46348.45833333334</v>
      </c>
      <c r="G188" s="9" t="n"/>
      <c r="H188" s="9" t="n"/>
      <c r="I188" s="10" t="n"/>
      <c r="J188" s="65" t="n">
        <v>73</v>
      </c>
      <c r="K188" s="66" t="inlineStr">
        <is>
          <t>-</t>
        </is>
      </c>
      <c r="L188" s="65" t="n">
        <v>78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D12</t>
        </is>
      </c>
      <c r="J189" s="141" t="n"/>
      <c r="K189" s="141" t="n"/>
      <c r="L189" s="141" t="n"/>
    </row>
    <row r="190" ht="13" customHeight="1">
      <c r="A190" s="88" t="inlineStr">
        <is>
          <t>Gara N.</t>
        </is>
      </c>
      <c r="B190" s="88" t="inlineStr">
        <is>
          <t>Squadra A</t>
        </is>
      </c>
      <c r="C190" s="10" t="n"/>
      <c r="D190" s="88" t="inlineStr">
        <is>
          <t>Squadra B</t>
        </is>
      </c>
      <c r="E190" s="10" t="n"/>
      <c r="F190" s="88" t="inlineStr">
        <is>
          <t>Giorno</t>
        </is>
      </c>
      <c r="G190" s="88" t="inlineStr">
        <is>
          <t>Data</t>
        </is>
      </c>
      <c r="H190" s="88" t="inlineStr">
        <is>
          <t>Ora</t>
        </is>
      </c>
      <c r="I190" s="10" t="n"/>
      <c r="J190" s="88" t="inlineStr">
        <is>
          <t>Risultato</t>
        </is>
      </c>
      <c r="K190" s="9" t="n"/>
      <c r="L190" s="10" t="n"/>
    </row>
    <row r="191" ht="24" customHeight="1">
      <c r="A191" s="90">
        <f>MAX(A$10:A190)+1</f>
        <v/>
      </c>
      <c r="B191" s="61">
        <f>IF(C191="","",IFERROR(VLOOKUP(C191,areaNomiBreviSquadre,7,FALSE),""))</f>
        <v/>
      </c>
      <c r="C191" s="62" t="inlineStr">
        <is>
          <t>D13</t>
        </is>
      </c>
      <c r="D191" s="61">
        <f>IF(E191="","",IFERROR(VLOOKUP(E191,areaNomiBreviSquadre,7,FALSE),""))</f>
        <v/>
      </c>
      <c r="E191" s="62" t="inlineStr">
        <is>
          <t>D18</t>
        </is>
      </c>
      <c r="F191" s="63" t="n">
        <v>46348.60416666666</v>
      </c>
      <c r="G191" s="9" t="n"/>
      <c r="H191" s="9" t="n"/>
      <c r="I191" s="10" t="n"/>
      <c r="J191" s="65" t="n">
        <v>22</v>
      </c>
      <c r="K191" s="66" t="inlineStr">
        <is>
          <t>-</t>
        </is>
      </c>
      <c r="L191" s="65" t="n">
        <v>42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D12</t>
        </is>
      </c>
      <c r="J192" s="141" t="n"/>
      <c r="K192" s="141" t="n"/>
      <c r="L192" s="141" t="n"/>
    </row>
    <row r="193" ht="13" customHeight="1">
      <c r="A193" s="88" t="inlineStr">
        <is>
          <t>Gara N.</t>
        </is>
      </c>
      <c r="B193" s="88" t="inlineStr">
        <is>
          <t>Squadra A</t>
        </is>
      </c>
      <c r="C193" s="10" t="n"/>
      <c r="D193" s="88" t="inlineStr">
        <is>
          <t>Squadra B</t>
        </is>
      </c>
      <c r="E193" s="10" t="n"/>
      <c r="F193" s="88" t="inlineStr">
        <is>
          <t>Giorno</t>
        </is>
      </c>
      <c r="G193" s="88" t="inlineStr">
        <is>
          <t>Data</t>
        </is>
      </c>
      <c r="H193" s="88" t="inlineStr">
        <is>
          <t>Ora</t>
        </is>
      </c>
      <c r="I193" s="10" t="n"/>
      <c r="J193" s="88" t="inlineStr">
        <is>
          <t>Risultato</t>
        </is>
      </c>
      <c r="K193" s="9" t="n"/>
      <c r="L193" s="10" t="n"/>
    </row>
    <row r="194" ht="24" customHeight="1">
      <c r="A194" s="90">
        <f>MAX(A$10:A193)+1</f>
        <v/>
      </c>
      <c r="B194" s="61">
        <f>IF(C194="","",IFERROR(VLOOKUP(C194,areaNomiBreviSquadre,7,FALSE),""))</f>
        <v/>
      </c>
      <c r="C194" s="62" t="inlineStr">
        <is>
          <t>D17</t>
        </is>
      </c>
      <c r="D194" s="61">
        <f>IF(E194="","",IFERROR(VLOOKUP(E194,areaNomiBreviSquadre,7,FALSE),""))</f>
        <v/>
      </c>
      <c r="E194" s="62" t="inlineStr">
        <is>
          <t>D14</t>
        </is>
      </c>
      <c r="F194" s="63" t="n">
        <v>46348.66666666666</v>
      </c>
      <c r="G194" s="9" t="n"/>
      <c r="H194" s="9" t="n"/>
      <c r="I194" s="10" t="n"/>
      <c r="J194" s="65" t="n">
        <v>59</v>
      </c>
      <c r="K194" s="66" t="inlineStr">
        <is>
          <t>-</t>
        </is>
      </c>
      <c r="L194" s="65" t="n">
        <v>49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D12</t>
        </is>
      </c>
      <c r="J195" s="141" t="n"/>
      <c r="K195" s="141" t="n"/>
      <c r="L195" s="141" t="n"/>
    </row>
    <row r="196" ht="13" customHeight="1">
      <c r="A196" s="88" t="inlineStr">
        <is>
          <t>Gara N.</t>
        </is>
      </c>
      <c r="B196" s="88" t="inlineStr">
        <is>
          <t>Squadra A</t>
        </is>
      </c>
      <c r="C196" s="10" t="n"/>
      <c r="D196" s="88" t="inlineStr">
        <is>
          <t>Squadra B</t>
        </is>
      </c>
      <c r="E196" s="10" t="n"/>
      <c r="F196" s="88" t="inlineStr">
        <is>
          <t>Giorno</t>
        </is>
      </c>
      <c r="G196" s="88" t="inlineStr">
        <is>
          <t>Data</t>
        </is>
      </c>
      <c r="H196" s="88" t="inlineStr">
        <is>
          <t>Ora</t>
        </is>
      </c>
      <c r="I196" s="10" t="n"/>
      <c r="J196" s="88" t="inlineStr">
        <is>
          <t>Risultato</t>
        </is>
      </c>
      <c r="K196" s="9" t="n"/>
      <c r="L196" s="10" t="n"/>
    </row>
    <row r="197" ht="24" customHeight="1">
      <c r="A197" s="90">
        <f>MAX(A$10:A196)+1</f>
        <v/>
      </c>
      <c r="B197" s="61">
        <f>IF(C197="","",IFERROR(VLOOKUP(C197,areaNomiBreviSquadre,7,FALSE),""))</f>
        <v/>
      </c>
      <c r="C197" s="62" t="inlineStr">
        <is>
          <t>D15</t>
        </is>
      </c>
      <c r="D197" s="61">
        <f>IF(E197="","",IFERROR(VLOOKUP(E197,areaNomiBreviSquadre,7,FALSE),""))</f>
        <v/>
      </c>
      <c r="E197" s="62" t="inlineStr">
        <is>
          <t>D16</t>
        </is>
      </c>
      <c r="F197" s="63" t="n">
        <v>46348.72916666666</v>
      </c>
      <c r="G197" s="9" t="n"/>
      <c r="H197" s="9" t="n"/>
      <c r="I197" s="10" t="n"/>
      <c r="J197" s="65" t="n">
        <v>49</v>
      </c>
      <c r="K197" s="66" t="inlineStr">
        <is>
          <t>-</t>
        </is>
      </c>
      <c r="L197" s="65" t="n">
        <v>39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D12</t>
        </is>
      </c>
      <c r="J198" s="141" t="n"/>
      <c r="K198" s="141" t="n"/>
      <c r="L198" s="141" t="n"/>
    </row>
    <row r="199" ht="8" customHeight="1"/>
    <row r="200" ht="20" customHeight="1">
      <c r="A200" s="85" t="inlineStr">
        <is>
          <t>7D</t>
        </is>
      </c>
      <c r="B200" s="8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8" t="inlineStr">
        <is>
          <t>Gara N.</t>
        </is>
      </c>
      <c r="B201" s="88" t="inlineStr">
        <is>
          <t>Squadra A</t>
        </is>
      </c>
      <c r="C201" s="10" t="n"/>
      <c r="D201" s="88" t="inlineStr">
        <is>
          <t>Squadra B</t>
        </is>
      </c>
      <c r="E201" s="10" t="n"/>
      <c r="F201" s="88" t="inlineStr">
        <is>
          <t>Giorno</t>
        </is>
      </c>
      <c r="G201" s="88" t="inlineStr">
        <is>
          <t>Data</t>
        </is>
      </c>
      <c r="H201" s="88" t="inlineStr">
        <is>
          <t>Ora</t>
        </is>
      </c>
      <c r="I201" s="10" t="n"/>
      <c r="J201" s="88" t="inlineStr">
        <is>
          <t>Risultato</t>
        </is>
      </c>
      <c r="K201" s="9" t="n"/>
      <c r="L201" s="10" t="n"/>
    </row>
    <row r="202" ht="24" customHeight="1">
      <c r="A202" s="90">
        <f>MAX(A$10:A201)+1</f>
        <v/>
      </c>
      <c r="B202" s="61">
        <f>IF(C202="","",IFERROR(VLOOKUP(C202,areaNomiBreviSquadre,7,FALSE),""))</f>
        <v/>
      </c>
      <c r="C202" s="62" t="inlineStr">
        <is>
          <t>D13</t>
        </is>
      </c>
      <c r="D202" s="61">
        <f>IF(E202="","",IFERROR(VLOOKUP(E202,areaNomiBreviSquadre,7,FALSE),""))</f>
        <v/>
      </c>
      <c r="E202" s="62" t="inlineStr">
        <is>
          <t>D01</t>
        </is>
      </c>
      <c r="F202" s="63" t="n">
        <v>46355.39583333334</v>
      </c>
      <c r="G202" s="9" t="n"/>
      <c r="H202" s="9" t="n"/>
      <c r="I202" s="10" t="n"/>
      <c r="J202" s="65" t="n">
        <v>34</v>
      </c>
      <c r="K202" s="66" t="inlineStr">
        <is>
          <t>-</t>
        </is>
      </c>
      <c r="L202" s="65" t="n">
        <v>46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D13</t>
        </is>
      </c>
      <c r="J203" s="141" t="n"/>
      <c r="K203" s="141" t="n"/>
      <c r="L203" s="141" t="n"/>
    </row>
    <row r="204" ht="13" customHeight="1">
      <c r="A204" s="88" t="inlineStr">
        <is>
          <t>Gara N.</t>
        </is>
      </c>
      <c r="B204" s="88" t="inlineStr">
        <is>
          <t>Squadra A</t>
        </is>
      </c>
      <c r="C204" s="10" t="n"/>
      <c r="D204" s="88" t="inlineStr">
        <is>
          <t>Squadra B</t>
        </is>
      </c>
      <c r="E204" s="10" t="n"/>
      <c r="F204" s="88" t="inlineStr">
        <is>
          <t>Giorno</t>
        </is>
      </c>
      <c r="G204" s="88" t="inlineStr">
        <is>
          <t>Data</t>
        </is>
      </c>
      <c r="H204" s="88" t="inlineStr">
        <is>
          <t>Ora</t>
        </is>
      </c>
      <c r="I204" s="10" t="n"/>
      <c r="J204" s="88" t="inlineStr">
        <is>
          <t>Risultato</t>
        </is>
      </c>
      <c r="K204" s="9" t="n"/>
      <c r="L204" s="10" t="n"/>
    </row>
    <row r="205" ht="24" customHeight="1">
      <c r="A205" s="90">
        <f>MAX(A$10:A204)+1</f>
        <v/>
      </c>
      <c r="B205" s="61">
        <f>IF(C205="","",IFERROR(VLOOKUP(C205,areaNomiBreviSquadre,7,FALSE),""))</f>
        <v/>
      </c>
      <c r="C205" s="62" t="inlineStr">
        <is>
          <t>D07</t>
        </is>
      </c>
      <c r="D205" s="61">
        <f>IF(E205="","",IFERROR(VLOOKUP(E205,areaNomiBreviSquadre,7,FALSE),""))</f>
        <v/>
      </c>
      <c r="E205" s="62" t="inlineStr">
        <is>
          <t>D20</t>
        </is>
      </c>
      <c r="F205" s="63" t="n">
        <v>46355.45833333334</v>
      </c>
      <c r="G205" s="9" t="n"/>
      <c r="H205" s="9" t="n"/>
      <c r="I205" s="10" t="n"/>
      <c r="J205" s="65" t="n">
        <v>76</v>
      </c>
      <c r="K205" s="66" t="inlineStr">
        <is>
          <t>-</t>
        </is>
      </c>
      <c r="L205" s="65" t="n">
        <v>50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D13</t>
        </is>
      </c>
      <c r="J206" s="141" t="n"/>
      <c r="K206" s="141" t="n"/>
      <c r="L206" s="141" t="n"/>
    </row>
    <row r="207" ht="13" customHeight="1">
      <c r="A207" s="88" t="inlineStr">
        <is>
          <t>Gara N.</t>
        </is>
      </c>
      <c r="B207" s="88" t="inlineStr">
        <is>
          <t>Squadra A</t>
        </is>
      </c>
      <c r="C207" s="10" t="n"/>
      <c r="D207" s="88" t="inlineStr">
        <is>
          <t>Squadra B</t>
        </is>
      </c>
      <c r="E207" s="10" t="n"/>
      <c r="F207" s="88" t="inlineStr">
        <is>
          <t>Giorno</t>
        </is>
      </c>
      <c r="G207" s="88" t="inlineStr">
        <is>
          <t>Data</t>
        </is>
      </c>
      <c r="H207" s="88" t="inlineStr">
        <is>
          <t>Ora</t>
        </is>
      </c>
      <c r="I207" s="10" t="n"/>
      <c r="J207" s="88" t="inlineStr">
        <is>
          <t>Risultato</t>
        </is>
      </c>
      <c r="K207" s="9" t="n"/>
      <c r="L207" s="10" t="n"/>
    </row>
    <row r="208" ht="24" customHeight="1">
      <c r="A208" s="90">
        <f>MAX(A$10:A207)+1</f>
        <v/>
      </c>
      <c r="B208" s="61">
        <f>IF(C208="","",IFERROR(VLOOKUP(C208,areaNomiBreviSquadre,7,FALSE),""))</f>
        <v/>
      </c>
      <c r="C208" s="62" t="inlineStr">
        <is>
          <t>D06</t>
        </is>
      </c>
      <c r="D208" s="61">
        <f>IF(E208="","",IFERROR(VLOOKUP(E208,areaNomiBreviSquadre,7,FALSE),""))</f>
        <v/>
      </c>
      <c r="E208" s="62" t="inlineStr">
        <is>
          <t>D08</t>
        </is>
      </c>
      <c r="F208" s="63" t="n">
        <v>46355.60416666666</v>
      </c>
      <c r="G208" s="9" t="n"/>
      <c r="H208" s="9" t="n"/>
      <c r="I208" s="10" t="n"/>
      <c r="J208" s="65" t="n">
        <v>50</v>
      </c>
      <c r="K208" s="66" t="inlineStr">
        <is>
          <t>-</t>
        </is>
      </c>
      <c r="L208" s="65" t="n">
        <v>38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D13</t>
        </is>
      </c>
      <c r="J209" s="141" t="n"/>
      <c r="K209" s="141" t="n"/>
      <c r="L209" s="141" t="n"/>
    </row>
    <row r="210" ht="13" customHeight="1">
      <c r="A210" s="88" t="inlineStr">
        <is>
          <t>Gara N.</t>
        </is>
      </c>
      <c r="B210" s="88" t="inlineStr">
        <is>
          <t>Squadra A</t>
        </is>
      </c>
      <c r="C210" s="10" t="n"/>
      <c r="D210" s="88" t="inlineStr">
        <is>
          <t>Squadra B</t>
        </is>
      </c>
      <c r="E210" s="10" t="n"/>
      <c r="F210" s="88" t="inlineStr">
        <is>
          <t>Giorno</t>
        </is>
      </c>
      <c r="G210" s="88" t="inlineStr">
        <is>
          <t>Data</t>
        </is>
      </c>
      <c r="H210" s="88" t="inlineStr">
        <is>
          <t>Ora</t>
        </is>
      </c>
      <c r="I210" s="10" t="n"/>
      <c r="J210" s="88" t="inlineStr">
        <is>
          <t>Risultato</t>
        </is>
      </c>
      <c r="K210" s="9" t="n"/>
      <c r="L210" s="10" t="n"/>
    </row>
    <row r="211" ht="24" customHeight="1">
      <c r="A211" s="90">
        <f>MAX(A$10:A210)+1</f>
        <v/>
      </c>
      <c r="B211" s="61">
        <f>IF(C211="","",IFERROR(VLOOKUP(C211,areaNomiBreviSquadre,7,FALSE),""))</f>
        <v/>
      </c>
      <c r="C211" s="62" t="inlineStr">
        <is>
          <t>D09</t>
        </is>
      </c>
      <c r="D211" s="61">
        <f>IF(E211="","",IFERROR(VLOOKUP(E211,areaNomiBreviSquadre,7,FALSE),""))</f>
        <v/>
      </c>
      <c r="E211" s="62" t="inlineStr">
        <is>
          <t>D05</t>
        </is>
      </c>
      <c r="F211" s="63" t="n">
        <v>46355.66666666666</v>
      </c>
      <c r="G211" s="9" t="n"/>
      <c r="H211" s="9" t="n"/>
      <c r="I211" s="10" t="n"/>
      <c r="J211" s="65" t="n">
        <v>78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D13</t>
        </is>
      </c>
      <c r="J212" s="141" t="n"/>
      <c r="K212" s="141" t="n"/>
      <c r="L212" s="141" t="n"/>
    </row>
    <row r="213" ht="13" customHeight="1">
      <c r="A213" s="88" t="inlineStr">
        <is>
          <t>Gara N.</t>
        </is>
      </c>
      <c r="B213" s="88" t="inlineStr">
        <is>
          <t>Squadra A</t>
        </is>
      </c>
      <c r="C213" s="10" t="n"/>
      <c r="D213" s="88" t="inlineStr">
        <is>
          <t>Squadra B</t>
        </is>
      </c>
      <c r="E213" s="10" t="n"/>
      <c r="F213" s="88" t="inlineStr">
        <is>
          <t>Giorno</t>
        </is>
      </c>
      <c r="G213" s="88" t="inlineStr">
        <is>
          <t>Data</t>
        </is>
      </c>
      <c r="H213" s="88" t="inlineStr">
        <is>
          <t>Ora</t>
        </is>
      </c>
      <c r="I213" s="10" t="n"/>
      <c r="J213" s="88" t="inlineStr">
        <is>
          <t>Risultato</t>
        </is>
      </c>
      <c r="K213" s="9" t="n"/>
      <c r="L213" s="10" t="n"/>
    </row>
    <row r="214" ht="24" customHeight="1">
      <c r="A214" s="90">
        <f>MAX(A$10:A213)+1</f>
        <v/>
      </c>
      <c r="B214" s="61">
        <f>IF(C214="","",IFERROR(VLOOKUP(C214,areaNomiBreviSquadre,7,FALSE),""))</f>
        <v/>
      </c>
      <c r="C214" s="62" t="inlineStr">
        <is>
          <t>D04</t>
        </is>
      </c>
      <c r="D214" s="61">
        <f>IF(E214="","",IFERROR(VLOOKUP(E214,areaNomiBreviSquadre,7,FALSE),""))</f>
        <v/>
      </c>
      <c r="E214" s="62" t="inlineStr">
        <is>
          <t>D10</t>
        </is>
      </c>
      <c r="F214" s="63" t="n">
        <v>46355.72916666666</v>
      </c>
      <c r="G214" s="9" t="n"/>
      <c r="H214" s="9" t="n"/>
      <c r="I214" s="10" t="n"/>
      <c r="J214" s="65" t="n">
        <v>68</v>
      </c>
      <c r="K214" s="66" t="inlineStr">
        <is>
          <t>-</t>
        </is>
      </c>
      <c r="L214" s="65" t="n">
        <v>77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D13</t>
        </is>
      </c>
      <c r="J215" s="141" t="n"/>
      <c r="K215" s="141" t="n"/>
      <c r="L215" s="141" t="n"/>
    </row>
    <row r="216" ht="13" customHeight="1">
      <c r="A216" s="88" t="inlineStr">
        <is>
          <t>Gara N.</t>
        </is>
      </c>
      <c r="B216" s="88" t="inlineStr">
        <is>
          <t>Squadra A</t>
        </is>
      </c>
      <c r="C216" s="10" t="n"/>
      <c r="D216" s="88" t="inlineStr">
        <is>
          <t>Squadra B</t>
        </is>
      </c>
      <c r="E216" s="10" t="n"/>
      <c r="F216" s="88" t="inlineStr">
        <is>
          <t>Giorno</t>
        </is>
      </c>
      <c r="G216" s="88" t="inlineStr">
        <is>
          <t>Data</t>
        </is>
      </c>
      <c r="H216" s="88" t="inlineStr">
        <is>
          <t>Ora</t>
        </is>
      </c>
      <c r="I216" s="10" t="n"/>
      <c r="J216" s="88" t="inlineStr">
        <is>
          <t>Risultato</t>
        </is>
      </c>
      <c r="K216" s="9" t="n"/>
      <c r="L216" s="10" t="n"/>
    </row>
    <row r="217" ht="24" customHeight="1">
      <c r="A217" s="90">
        <f>MAX(A$10:A216)+1</f>
        <v/>
      </c>
      <c r="B217" s="61">
        <f>IF(C217="","",IFERROR(VLOOKUP(C217,areaNomiBreviSquadre,7,FALSE),""))</f>
        <v/>
      </c>
      <c r="C217" s="62" t="inlineStr">
        <is>
          <t>D19</t>
        </is>
      </c>
      <c r="D217" s="61">
        <f>IF(E217="","",IFERROR(VLOOKUP(E217,areaNomiBreviSquadre,7,FALSE),""))</f>
        <v/>
      </c>
      <c r="E217" s="62" t="inlineStr">
        <is>
          <t>D14</t>
        </is>
      </c>
      <c r="F217" s="63" t="n">
        <v>46355.39583333334</v>
      </c>
      <c r="G217" s="9" t="n"/>
      <c r="H217" s="9" t="n"/>
      <c r="I217" s="10" t="n"/>
      <c r="J217" s="65" t="n">
        <v>26</v>
      </c>
      <c r="K217" s="66" t="inlineStr">
        <is>
          <t>-</t>
        </is>
      </c>
      <c r="L217" s="65" t="n">
        <v>38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D14</t>
        </is>
      </c>
      <c r="J218" s="141" t="n"/>
      <c r="K218" s="141" t="n"/>
      <c r="L218" s="141" t="n"/>
    </row>
    <row r="219" ht="13" customHeight="1">
      <c r="A219" s="88" t="inlineStr">
        <is>
          <t>Gara N.</t>
        </is>
      </c>
      <c r="B219" s="88" t="inlineStr">
        <is>
          <t>Squadra A</t>
        </is>
      </c>
      <c r="C219" s="10" t="n"/>
      <c r="D219" s="88" t="inlineStr">
        <is>
          <t>Squadra B</t>
        </is>
      </c>
      <c r="E219" s="10" t="n"/>
      <c r="F219" s="88" t="inlineStr">
        <is>
          <t>Giorno</t>
        </is>
      </c>
      <c r="G219" s="88" t="inlineStr">
        <is>
          <t>Data</t>
        </is>
      </c>
      <c r="H219" s="88" t="inlineStr">
        <is>
          <t>Ora</t>
        </is>
      </c>
      <c r="I219" s="10" t="n"/>
      <c r="J219" s="88" t="inlineStr">
        <is>
          <t>Risultato</t>
        </is>
      </c>
      <c r="K219" s="9" t="n"/>
      <c r="L219" s="10" t="n"/>
    </row>
    <row r="220" ht="24" customHeight="1">
      <c r="A220" s="90">
        <f>MAX(A$10:A219)+1</f>
        <v/>
      </c>
      <c r="B220" s="61">
        <f>IF(C220="","",IFERROR(VLOOKUP(C220,areaNomiBreviSquadre,7,FALSE),""))</f>
        <v/>
      </c>
      <c r="C220" s="62" t="inlineStr">
        <is>
          <t>D11</t>
        </is>
      </c>
      <c r="D220" s="61">
        <f>IF(E220="","",IFERROR(VLOOKUP(E220,areaNomiBreviSquadre,7,FALSE),""))</f>
        <v/>
      </c>
      <c r="E220" s="62" t="inlineStr">
        <is>
          <t>D03</t>
        </is>
      </c>
      <c r="F220" s="63" t="n">
        <v>46355.45833333334</v>
      </c>
      <c r="G220" s="9" t="n"/>
      <c r="H220" s="9" t="n"/>
      <c r="I220" s="10" t="n"/>
      <c r="J220" s="65" t="n">
        <v>41</v>
      </c>
      <c r="K220" s="66" t="inlineStr">
        <is>
          <t>-</t>
        </is>
      </c>
      <c r="L220" s="65" t="n">
        <v>48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D14</t>
        </is>
      </c>
      <c r="J221" s="141" t="n"/>
      <c r="K221" s="141" t="n"/>
      <c r="L221" s="141" t="n"/>
    </row>
    <row r="222" ht="13" customHeight="1">
      <c r="A222" s="88" t="inlineStr">
        <is>
          <t>Gara N.</t>
        </is>
      </c>
      <c r="B222" s="88" t="inlineStr">
        <is>
          <t>Squadra A</t>
        </is>
      </c>
      <c r="C222" s="10" t="n"/>
      <c r="D222" s="88" t="inlineStr">
        <is>
          <t>Squadra B</t>
        </is>
      </c>
      <c r="E222" s="10" t="n"/>
      <c r="F222" s="88" t="inlineStr">
        <is>
          <t>Giorno</t>
        </is>
      </c>
      <c r="G222" s="88" t="inlineStr">
        <is>
          <t>Data</t>
        </is>
      </c>
      <c r="H222" s="88" t="inlineStr">
        <is>
          <t>Ora</t>
        </is>
      </c>
      <c r="I222" s="10" t="n"/>
      <c r="J222" s="88" t="inlineStr">
        <is>
          <t>Risultato</t>
        </is>
      </c>
      <c r="K222" s="9" t="n"/>
      <c r="L222" s="10" t="n"/>
    </row>
    <row r="223" ht="24" customHeight="1">
      <c r="A223" s="90">
        <f>MAX(A$10:A222)+1</f>
        <v/>
      </c>
      <c r="B223" s="61">
        <f>IF(C223="","",IFERROR(VLOOKUP(C223,areaNomiBreviSquadre,7,FALSE),""))</f>
        <v/>
      </c>
      <c r="C223" s="62" t="inlineStr">
        <is>
          <t>D02</t>
        </is>
      </c>
      <c r="D223" s="61">
        <f>IF(E223="","",IFERROR(VLOOKUP(E223,areaNomiBreviSquadre,7,FALSE),""))</f>
        <v/>
      </c>
      <c r="E223" s="62" t="inlineStr">
        <is>
          <t>D12</t>
        </is>
      </c>
      <c r="F223" s="63" t="n">
        <v>46355.60416666666</v>
      </c>
      <c r="G223" s="9" t="n"/>
      <c r="H223" s="9" t="n"/>
      <c r="I223" s="10" t="n"/>
      <c r="J223" s="65" t="n">
        <v>73</v>
      </c>
      <c r="K223" s="66" t="inlineStr">
        <is>
          <t>-</t>
        </is>
      </c>
      <c r="L223" s="65" t="n">
        <v>59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D14</t>
        </is>
      </c>
      <c r="J224" s="141" t="n"/>
      <c r="K224" s="141" t="n"/>
      <c r="L224" s="141" t="n"/>
    </row>
    <row r="225" ht="13" customHeight="1">
      <c r="A225" s="88" t="inlineStr">
        <is>
          <t>Gara N.</t>
        </is>
      </c>
      <c r="B225" s="88" t="inlineStr">
        <is>
          <t>Squadra A</t>
        </is>
      </c>
      <c r="C225" s="10" t="n"/>
      <c r="D225" s="88" t="inlineStr">
        <is>
          <t>Squadra B</t>
        </is>
      </c>
      <c r="E225" s="10" t="n"/>
      <c r="F225" s="88" t="inlineStr">
        <is>
          <t>Giorno</t>
        </is>
      </c>
      <c r="G225" s="88" t="inlineStr">
        <is>
          <t>Data</t>
        </is>
      </c>
      <c r="H225" s="88" t="inlineStr">
        <is>
          <t>Ora</t>
        </is>
      </c>
      <c r="I225" s="10" t="n"/>
      <c r="J225" s="88" t="inlineStr">
        <is>
          <t>Risultato</t>
        </is>
      </c>
      <c r="K225" s="9" t="n"/>
      <c r="L225" s="10" t="n"/>
    </row>
    <row r="226" ht="24" customHeight="1">
      <c r="A226" s="90">
        <f>MAX(A$10:A225)+1</f>
        <v/>
      </c>
      <c r="B226" s="61">
        <f>IF(C226="","",IFERROR(VLOOKUP(C226,areaNomiBreviSquadre,7,FALSE),""))</f>
        <v/>
      </c>
      <c r="C226" s="62" t="inlineStr">
        <is>
          <t>D15</t>
        </is>
      </c>
      <c r="D226" s="61">
        <f>IF(E226="","",IFERROR(VLOOKUP(E226,areaNomiBreviSquadre,7,FALSE),""))</f>
        <v/>
      </c>
      <c r="E226" s="62" t="inlineStr">
        <is>
          <t>D18</t>
        </is>
      </c>
      <c r="F226" s="63" t="n">
        <v>46355.66666666666</v>
      </c>
      <c r="G226" s="9" t="n"/>
      <c r="H226" s="9" t="n"/>
      <c r="I226" s="10" t="n"/>
      <c r="J226" s="65" t="n">
        <v>91</v>
      </c>
      <c r="K226" s="66" t="inlineStr">
        <is>
          <t>-</t>
        </is>
      </c>
      <c r="L226" s="65" t="n">
        <v>90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D14</t>
        </is>
      </c>
      <c r="J227" s="141" t="n"/>
      <c r="K227" s="141" t="n"/>
      <c r="L227" s="141" t="n"/>
    </row>
    <row r="228" ht="13" customHeight="1">
      <c r="A228" s="88" t="inlineStr">
        <is>
          <t>Gara N.</t>
        </is>
      </c>
      <c r="B228" s="88" t="inlineStr">
        <is>
          <t>Squadra A</t>
        </is>
      </c>
      <c r="C228" s="10" t="n"/>
      <c r="D228" s="88" t="inlineStr">
        <is>
          <t>Squadra B</t>
        </is>
      </c>
      <c r="E228" s="10" t="n"/>
      <c r="F228" s="88" t="inlineStr">
        <is>
          <t>Giorno</t>
        </is>
      </c>
      <c r="G228" s="88" t="inlineStr">
        <is>
          <t>Data</t>
        </is>
      </c>
      <c r="H228" s="88" t="inlineStr">
        <is>
          <t>Ora</t>
        </is>
      </c>
      <c r="I228" s="10" t="n"/>
      <c r="J228" s="88" t="inlineStr">
        <is>
          <t>Risultato</t>
        </is>
      </c>
      <c r="K228" s="9" t="n"/>
      <c r="L228" s="10" t="n"/>
    </row>
    <row r="229" ht="24" customHeight="1">
      <c r="A229" s="90">
        <f>MAX(A$10:A228)+1</f>
        <v/>
      </c>
      <c r="B229" s="61">
        <f>IF(C229="","",IFERROR(VLOOKUP(C229,areaNomiBreviSquadre,7,FALSE),""))</f>
        <v/>
      </c>
      <c r="C229" s="62" t="inlineStr">
        <is>
          <t>D17</t>
        </is>
      </c>
      <c r="D229" s="61">
        <f>IF(E229="","",IFERROR(VLOOKUP(E229,areaNomiBreviSquadre,7,FALSE),""))</f>
        <v/>
      </c>
      <c r="E229" s="62" t="inlineStr">
        <is>
          <t>D16</t>
        </is>
      </c>
      <c r="F229" s="63" t="n">
        <v>46355.72916666666</v>
      </c>
      <c r="G229" s="9" t="n"/>
      <c r="H229" s="9" t="n"/>
      <c r="I229" s="10" t="n"/>
      <c r="J229" s="65" t="n">
        <v>40</v>
      </c>
      <c r="K229" s="66" t="inlineStr">
        <is>
          <t>-</t>
        </is>
      </c>
      <c r="L229" s="65" t="n">
        <v>30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D14</t>
        </is>
      </c>
      <c r="J230" s="141" t="n"/>
      <c r="K230" s="141" t="n"/>
      <c r="L230" s="141" t="n"/>
    </row>
    <row r="231" ht="8" customHeight="1"/>
    <row r="232" ht="20" customHeight="1">
      <c r="A232" s="85" t="inlineStr">
        <is>
          <t>8D</t>
        </is>
      </c>
      <c r="B232" s="8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8" t="inlineStr">
        <is>
          <t>Gara N.</t>
        </is>
      </c>
      <c r="B233" s="88" t="inlineStr">
        <is>
          <t>Squadra A</t>
        </is>
      </c>
      <c r="C233" s="10" t="n"/>
      <c r="D233" s="88" t="inlineStr">
        <is>
          <t>Squadra B</t>
        </is>
      </c>
      <c r="E233" s="10" t="n"/>
      <c r="F233" s="88" t="inlineStr">
        <is>
          <t>Giorno</t>
        </is>
      </c>
      <c r="G233" s="88" t="inlineStr">
        <is>
          <t>Data</t>
        </is>
      </c>
      <c r="H233" s="88" t="inlineStr">
        <is>
          <t>Ora</t>
        </is>
      </c>
      <c r="I233" s="10" t="n"/>
      <c r="J233" s="88" t="inlineStr">
        <is>
          <t>Risultato</t>
        </is>
      </c>
      <c r="K233" s="9" t="n"/>
      <c r="L233" s="10" t="n"/>
    </row>
    <row r="234" ht="24" customHeight="1">
      <c r="A234" s="90">
        <f>MAX(A$10:A233)+1</f>
        <v/>
      </c>
      <c r="B234" s="61">
        <f>IF(C234="","",IFERROR(VLOOKUP(C234,areaNomiBreviSquadre,7,FALSE),""))</f>
        <v/>
      </c>
      <c r="C234" s="62" t="inlineStr">
        <is>
          <t>D15</t>
        </is>
      </c>
      <c r="D234" s="61">
        <f>IF(E234="","",IFERROR(VLOOKUP(E234,areaNomiBreviSquadre,7,FALSE),""))</f>
        <v/>
      </c>
      <c r="E234" s="62" t="inlineStr">
        <is>
          <t>D01</t>
        </is>
      </c>
      <c r="F234" s="63" t="n">
        <v>46362.39583333334</v>
      </c>
      <c r="G234" s="9" t="n"/>
      <c r="H234" s="9" t="n"/>
      <c r="I234" s="10" t="n"/>
      <c r="J234" s="65" t="n">
        <v>67</v>
      </c>
      <c r="K234" s="66" t="inlineStr">
        <is>
          <t>-</t>
        </is>
      </c>
      <c r="L234" s="65" t="n">
        <v>58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D15</t>
        </is>
      </c>
      <c r="J235" s="141" t="n"/>
      <c r="K235" s="141" t="n"/>
      <c r="L235" s="141" t="n"/>
    </row>
    <row r="236" ht="13" customHeight="1">
      <c r="A236" s="88" t="inlineStr">
        <is>
          <t>Gara N.</t>
        </is>
      </c>
      <c r="B236" s="88" t="inlineStr">
        <is>
          <t>Squadra A</t>
        </is>
      </c>
      <c r="C236" s="10" t="n"/>
      <c r="D236" s="88" t="inlineStr">
        <is>
          <t>Squadra B</t>
        </is>
      </c>
      <c r="E236" s="10" t="n"/>
      <c r="F236" s="88" t="inlineStr">
        <is>
          <t>Giorno</t>
        </is>
      </c>
      <c r="G236" s="88" t="inlineStr">
        <is>
          <t>Data</t>
        </is>
      </c>
      <c r="H236" s="88" t="inlineStr">
        <is>
          <t>Ora</t>
        </is>
      </c>
      <c r="I236" s="10" t="n"/>
      <c r="J236" s="88" t="inlineStr">
        <is>
          <t>Risultato</t>
        </is>
      </c>
      <c r="K236" s="9" t="n"/>
      <c r="L236" s="10" t="n"/>
    </row>
    <row r="237" ht="24" customHeight="1">
      <c r="A237" s="90">
        <f>MAX(A$10:A236)+1</f>
        <v/>
      </c>
      <c r="B237" s="61">
        <f>IF(C237="","",IFERROR(VLOOKUP(C237,areaNomiBreviSquadre,7,FALSE),""))</f>
        <v/>
      </c>
      <c r="C237" s="62" t="inlineStr">
        <is>
          <t>D20</t>
        </is>
      </c>
      <c r="D237" s="61">
        <f>IF(E237="","",IFERROR(VLOOKUP(E237,areaNomiBreviSquadre,7,FALSE),""))</f>
        <v/>
      </c>
      <c r="E237" s="62" t="inlineStr">
        <is>
          <t>D08</t>
        </is>
      </c>
      <c r="F237" s="63" t="n">
        <v>46362.45833333334</v>
      </c>
      <c r="G237" s="9" t="n"/>
      <c r="H237" s="9" t="n"/>
      <c r="I237" s="10" t="n"/>
      <c r="J237" s="65" t="n">
        <v>57</v>
      </c>
      <c r="K237" s="66" t="inlineStr">
        <is>
          <t>-</t>
        </is>
      </c>
      <c r="L237" s="65" t="n">
        <v>44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D15</t>
        </is>
      </c>
      <c r="J238" s="141" t="n"/>
      <c r="K238" s="141" t="n"/>
      <c r="L238" s="141" t="n"/>
    </row>
    <row r="239" ht="13" customHeight="1">
      <c r="A239" s="88" t="inlineStr">
        <is>
          <t>Gara N.</t>
        </is>
      </c>
      <c r="B239" s="88" t="inlineStr">
        <is>
          <t>Squadra A</t>
        </is>
      </c>
      <c r="C239" s="10" t="n"/>
      <c r="D239" s="88" t="inlineStr">
        <is>
          <t>Squadra B</t>
        </is>
      </c>
      <c r="E239" s="10" t="n"/>
      <c r="F239" s="88" t="inlineStr">
        <is>
          <t>Giorno</t>
        </is>
      </c>
      <c r="G239" s="88" t="inlineStr">
        <is>
          <t>Data</t>
        </is>
      </c>
      <c r="H239" s="88" t="inlineStr">
        <is>
          <t>Ora</t>
        </is>
      </c>
      <c r="I239" s="10" t="n"/>
      <c r="J239" s="88" t="inlineStr">
        <is>
          <t>Risultato</t>
        </is>
      </c>
      <c r="K239" s="9" t="n"/>
      <c r="L239" s="10" t="n"/>
    </row>
    <row r="240" ht="24" customHeight="1">
      <c r="A240" s="90">
        <f>MAX(A$10:A239)+1</f>
        <v/>
      </c>
      <c r="B240" s="61">
        <f>IF(C240="","",IFERROR(VLOOKUP(C240,areaNomiBreviSquadre,7,FALSE),""))</f>
        <v/>
      </c>
      <c r="C240" s="62" t="inlineStr">
        <is>
          <t>D09</t>
        </is>
      </c>
      <c r="D240" s="61">
        <f>IF(E240="","",IFERROR(VLOOKUP(E240,areaNomiBreviSquadre,7,FALSE),""))</f>
        <v/>
      </c>
      <c r="E240" s="62" t="inlineStr">
        <is>
          <t>D07</t>
        </is>
      </c>
      <c r="F240" s="63" t="n">
        <v>46362.60416666666</v>
      </c>
      <c r="G240" s="9" t="n"/>
      <c r="H240" s="9" t="n"/>
      <c r="I240" s="10" t="n"/>
      <c r="J240" s="65" t="n">
        <v>72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D15</t>
        </is>
      </c>
      <c r="J241" s="141" t="n"/>
      <c r="K241" s="141" t="n"/>
      <c r="L241" s="141" t="n"/>
    </row>
    <row r="242" ht="13" customHeight="1">
      <c r="A242" s="88" t="inlineStr">
        <is>
          <t>Gara N.</t>
        </is>
      </c>
      <c r="B242" s="88" t="inlineStr">
        <is>
          <t>Squadra A</t>
        </is>
      </c>
      <c r="C242" s="10" t="n"/>
      <c r="D242" s="88" t="inlineStr">
        <is>
          <t>Squadra B</t>
        </is>
      </c>
      <c r="E242" s="10" t="n"/>
      <c r="F242" s="88" t="inlineStr">
        <is>
          <t>Giorno</t>
        </is>
      </c>
      <c r="G242" s="88" t="inlineStr">
        <is>
          <t>Data</t>
        </is>
      </c>
      <c r="H242" s="88" t="inlineStr">
        <is>
          <t>Ora</t>
        </is>
      </c>
      <c r="I242" s="10" t="n"/>
      <c r="J242" s="88" t="inlineStr">
        <is>
          <t>Risultato</t>
        </is>
      </c>
      <c r="K242" s="9" t="n"/>
      <c r="L242" s="10" t="n"/>
    </row>
    <row r="243" ht="24" customHeight="1">
      <c r="A243" s="90">
        <f>MAX(A$10:A242)+1</f>
        <v/>
      </c>
      <c r="B243" s="61">
        <f>IF(C243="","",IFERROR(VLOOKUP(C243,areaNomiBreviSquadre,7,FALSE),""))</f>
        <v/>
      </c>
      <c r="C243" s="62" t="inlineStr">
        <is>
          <t>D06</t>
        </is>
      </c>
      <c r="D243" s="61">
        <f>IF(E243="","",IFERROR(VLOOKUP(E243,areaNomiBreviSquadre,7,FALSE),""))</f>
        <v/>
      </c>
      <c r="E243" s="62" t="inlineStr">
        <is>
          <t>D10</t>
        </is>
      </c>
      <c r="F243" s="63" t="n">
        <v>46362.66666666666</v>
      </c>
      <c r="G243" s="9" t="n"/>
      <c r="H243" s="9" t="n"/>
      <c r="I243" s="10" t="n"/>
      <c r="J243" s="65" t="n">
        <v>45</v>
      </c>
      <c r="K243" s="66" t="inlineStr">
        <is>
          <t>-</t>
        </is>
      </c>
      <c r="L243" s="65" t="n">
        <v>52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D15</t>
        </is>
      </c>
      <c r="J244" s="141" t="n"/>
      <c r="K244" s="141" t="n"/>
      <c r="L244" s="141" t="n"/>
    </row>
    <row r="245" ht="13" customHeight="1">
      <c r="A245" s="88" t="inlineStr">
        <is>
          <t>Gara N.</t>
        </is>
      </c>
      <c r="B245" s="88" t="inlineStr">
        <is>
          <t>Squadra A</t>
        </is>
      </c>
      <c r="C245" s="10" t="n"/>
      <c r="D245" s="88" t="inlineStr">
        <is>
          <t>Squadra B</t>
        </is>
      </c>
      <c r="E245" s="10" t="n"/>
      <c r="F245" s="88" t="inlineStr">
        <is>
          <t>Giorno</t>
        </is>
      </c>
      <c r="G245" s="88" t="inlineStr">
        <is>
          <t>Data</t>
        </is>
      </c>
      <c r="H245" s="88" t="inlineStr">
        <is>
          <t>Ora</t>
        </is>
      </c>
      <c r="I245" s="10" t="n"/>
      <c r="J245" s="88" t="inlineStr">
        <is>
          <t>Risultato</t>
        </is>
      </c>
      <c r="K245" s="9" t="n"/>
      <c r="L245" s="10" t="n"/>
    </row>
    <row r="246" ht="24" customHeight="1">
      <c r="A246" s="90">
        <f>MAX(A$10:A245)+1</f>
        <v/>
      </c>
      <c r="B246" s="61">
        <f>IF(C246="","",IFERROR(VLOOKUP(C246,areaNomiBreviSquadre,7,FALSE),""))</f>
        <v/>
      </c>
      <c r="C246" s="62" t="inlineStr">
        <is>
          <t>D11</t>
        </is>
      </c>
      <c r="D246" s="61">
        <f>IF(E246="","",IFERROR(VLOOKUP(E246,areaNomiBreviSquadre,7,FALSE),""))</f>
        <v/>
      </c>
      <c r="E246" s="62" t="inlineStr">
        <is>
          <t>D05</t>
        </is>
      </c>
      <c r="F246" s="63" t="n">
        <v>46362.72916666666</v>
      </c>
      <c r="G246" s="9" t="n"/>
      <c r="H246" s="9" t="n"/>
      <c r="I246" s="10" t="n"/>
      <c r="J246" s="65" t="n">
        <v>24</v>
      </c>
      <c r="K246" s="66" t="inlineStr">
        <is>
          <t>-</t>
        </is>
      </c>
      <c r="L246" s="65" t="n">
        <v>39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D15</t>
        </is>
      </c>
      <c r="J247" s="141" t="n"/>
      <c r="K247" s="141" t="n"/>
      <c r="L247" s="141" t="n"/>
    </row>
    <row r="248" ht="13" customHeight="1">
      <c r="A248" s="88" t="inlineStr">
        <is>
          <t>Gara N.</t>
        </is>
      </c>
      <c r="B248" s="88" t="inlineStr">
        <is>
          <t>Squadra A</t>
        </is>
      </c>
      <c r="C248" s="10" t="n"/>
      <c r="D248" s="88" t="inlineStr">
        <is>
          <t>Squadra B</t>
        </is>
      </c>
      <c r="E248" s="10" t="n"/>
      <c r="F248" s="88" t="inlineStr">
        <is>
          <t>Giorno</t>
        </is>
      </c>
      <c r="G248" s="88" t="inlineStr">
        <is>
          <t>Data</t>
        </is>
      </c>
      <c r="H248" s="88" t="inlineStr">
        <is>
          <t>Ora</t>
        </is>
      </c>
      <c r="I248" s="10" t="n"/>
      <c r="J248" s="88" t="inlineStr">
        <is>
          <t>Risultato</t>
        </is>
      </c>
      <c r="K248" s="9" t="n"/>
      <c r="L248" s="10" t="n"/>
    </row>
    <row r="249" ht="24" customHeight="1">
      <c r="A249" s="90">
        <f>MAX(A$10:A248)+1</f>
        <v/>
      </c>
      <c r="B249" s="61">
        <f>IF(C249="","",IFERROR(VLOOKUP(C249,areaNomiBreviSquadre,7,FALSE),""))</f>
        <v/>
      </c>
      <c r="C249" s="62" t="inlineStr">
        <is>
          <t>D19</t>
        </is>
      </c>
      <c r="D249" s="61">
        <f>IF(E249="","",IFERROR(VLOOKUP(E249,areaNomiBreviSquadre,7,FALSE),""))</f>
        <v/>
      </c>
      <c r="E249" s="62" t="inlineStr">
        <is>
          <t>D16</t>
        </is>
      </c>
      <c r="F249" s="63" t="n">
        <v>46362.39583333334</v>
      </c>
      <c r="G249" s="9" t="n"/>
      <c r="H249" s="9" t="n"/>
      <c r="I249" s="10" t="n"/>
      <c r="J249" s="65" t="n">
        <v>77</v>
      </c>
      <c r="K249" s="66" t="inlineStr">
        <is>
          <t>-</t>
        </is>
      </c>
      <c r="L249" s="65" t="n">
        <v>72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D16</t>
        </is>
      </c>
      <c r="J250" s="141" t="n"/>
      <c r="K250" s="141" t="n"/>
      <c r="L250" s="141" t="n"/>
    </row>
    <row r="251" ht="13" customHeight="1">
      <c r="A251" s="88" t="inlineStr">
        <is>
          <t>Gara N.</t>
        </is>
      </c>
      <c r="B251" s="88" t="inlineStr">
        <is>
          <t>Squadra A</t>
        </is>
      </c>
      <c r="C251" s="10" t="n"/>
      <c r="D251" s="88" t="inlineStr">
        <is>
          <t>Squadra B</t>
        </is>
      </c>
      <c r="E251" s="10" t="n"/>
      <c r="F251" s="88" t="inlineStr">
        <is>
          <t>Giorno</t>
        </is>
      </c>
      <c r="G251" s="88" t="inlineStr">
        <is>
          <t>Data</t>
        </is>
      </c>
      <c r="H251" s="88" t="inlineStr">
        <is>
          <t>Ora</t>
        </is>
      </c>
      <c r="I251" s="10" t="n"/>
      <c r="J251" s="88" t="inlineStr">
        <is>
          <t>Risultato</t>
        </is>
      </c>
      <c r="K251" s="9" t="n"/>
      <c r="L251" s="10" t="n"/>
    </row>
    <row r="252" ht="24" customHeight="1">
      <c r="A252" s="90">
        <f>MAX(A$10:A251)+1</f>
        <v/>
      </c>
      <c r="B252" s="61">
        <f>IF(C252="","",IFERROR(VLOOKUP(C252,areaNomiBreviSquadre,7,FALSE),""))</f>
        <v/>
      </c>
      <c r="C252" s="62" t="inlineStr">
        <is>
          <t>D04</t>
        </is>
      </c>
      <c r="D252" s="61">
        <f>IF(E252="","",IFERROR(VLOOKUP(E252,areaNomiBreviSquadre,7,FALSE),""))</f>
        <v/>
      </c>
      <c r="E252" s="62" t="inlineStr">
        <is>
          <t>D12</t>
        </is>
      </c>
      <c r="F252" s="63" t="n">
        <v>46362.45833333334</v>
      </c>
      <c r="G252" s="9" t="n"/>
      <c r="H252" s="9" t="n"/>
      <c r="I252" s="10" t="n"/>
      <c r="J252" s="65" t="n">
        <v>44</v>
      </c>
      <c r="K252" s="66" t="inlineStr">
        <is>
          <t>-</t>
        </is>
      </c>
      <c r="L252" s="65" t="n">
        <v>62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D16</t>
        </is>
      </c>
      <c r="J253" s="141" t="n"/>
      <c r="K253" s="141" t="n"/>
      <c r="L253" s="141" t="n"/>
    </row>
    <row r="254" ht="13" customHeight="1">
      <c r="A254" s="88" t="inlineStr">
        <is>
          <t>Gara N.</t>
        </is>
      </c>
      <c r="B254" s="88" t="inlineStr">
        <is>
          <t>Squadra A</t>
        </is>
      </c>
      <c r="C254" s="10" t="n"/>
      <c r="D254" s="88" t="inlineStr">
        <is>
          <t>Squadra B</t>
        </is>
      </c>
      <c r="E254" s="10" t="n"/>
      <c r="F254" s="88" t="inlineStr">
        <is>
          <t>Giorno</t>
        </is>
      </c>
      <c r="G254" s="88" t="inlineStr">
        <is>
          <t>Data</t>
        </is>
      </c>
      <c r="H254" s="88" t="inlineStr">
        <is>
          <t>Ora</t>
        </is>
      </c>
      <c r="I254" s="10" t="n"/>
      <c r="J254" s="88" t="inlineStr">
        <is>
          <t>Risultato</t>
        </is>
      </c>
      <c r="K254" s="9" t="n"/>
      <c r="L254" s="10" t="n"/>
    </row>
    <row r="255" ht="24" customHeight="1">
      <c r="A255" s="90">
        <f>MAX(A$10:A254)+1</f>
        <v/>
      </c>
      <c r="B255" s="61">
        <f>IF(C255="","",IFERROR(VLOOKUP(C255,areaNomiBreviSquadre,7,FALSE),""))</f>
        <v/>
      </c>
      <c r="C255" s="62" t="inlineStr">
        <is>
          <t>D13</t>
        </is>
      </c>
      <c r="D255" s="61">
        <f>IF(E255="","",IFERROR(VLOOKUP(E255,areaNomiBreviSquadre,7,FALSE),""))</f>
        <v/>
      </c>
      <c r="E255" s="62" t="inlineStr">
        <is>
          <t>D03</t>
        </is>
      </c>
      <c r="F255" s="63" t="n">
        <v>46362.60416666666</v>
      </c>
      <c r="G255" s="9" t="n"/>
      <c r="H255" s="9" t="n"/>
      <c r="I255" s="10" t="n"/>
      <c r="J255" s="65" t="n">
        <v>70</v>
      </c>
      <c r="K255" s="66" t="inlineStr">
        <is>
          <t>-</t>
        </is>
      </c>
      <c r="L255" s="65" t="n">
        <v>66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D16</t>
        </is>
      </c>
      <c r="J256" s="141" t="n"/>
      <c r="K256" s="141" t="n"/>
      <c r="L256" s="141" t="n"/>
    </row>
    <row r="257" ht="13" customHeight="1">
      <c r="A257" s="88" t="inlineStr">
        <is>
          <t>Gara N.</t>
        </is>
      </c>
      <c r="B257" s="88" t="inlineStr">
        <is>
          <t>Squadra A</t>
        </is>
      </c>
      <c r="C257" s="10" t="n"/>
      <c r="D257" s="88" t="inlineStr">
        <is>
          <t>Squadra B</t>
        </is>
      </c>
      <c r="E257" s="10" t="n"/>
      <c r="F257" s="88" t="inlineStr">
        <is>
          <t>Giorno</t>
        </is>
      </c>
      <c r="G257" s="88" t="inlineStr">
        <is>
          <t>Data</t>
        </is>
      </c>
      <c r="H257" s="88" t="inlineStr">
        <is>
          <t>Ora</t>
        </is>
      </c>
      <c r="I257" s="10" t="n"/>
      <c r="J257" s="88" t="inlineStr">
        <is>
          <t>Risultato</t>
        </is>
      </c>
      <c r="K257" s="9" t="n"/>
      <c r="L257" s="10" t="n"/>
    </row>
    <row r="258" ht="24" customHeight="1">
      <c r="A258" s="90">
        <f>MAX(A$10:A257)+1</f>
        <v/>
      </c>
      <c r="B258" s="61">
        <f>IF(C258="","",IFERROR(VLOOKUP(C258,areaNomiBreviSquadre,7,FALSE),""))</f>
        <v/>
      </c>
      <c r="C258" s="62" t="inlineStr">
        <is>
          <t>D02</t>
        </is>
      </c>
      <c r="D258" s="61">
        <f>IF(E258="","",IFERROR(VLOOKUP(E258,areaNomiBreviSquadre,7,FALSE),""))</f>
        <v/>
      </c>
      <c r="E258" s="62" t="inlineStr">
        <is>
          <t>D14</t>
        </is>
      </c>
      <c r="F258" s="63" t="n">
        <v>46362.66666666666</v>
      </c>
      <c r="G258" s="9" t="n"/>
      <c r="H258" s="9" t="n"/>
      <c r="I258" s="10" t="n"/>
      <c r="J258" s="65" t="n">
        <v>64</v>
      </c>
      <c r="K258" s="66" t="inlineStr">
        <is>
          <t>-</t>
        </is>
      </c>
      <c r="L258" s="65" t="n">
        <v>76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D16</t>
        </is>
      </c>
      <c r="J259" s="141" t="n"/>
      <c r="K259" s="141" t="n"/>
      <c r="L259" s="141" t="n"/>
    </row>
    <row r="260" ht="13" customHeight="1">
      <c r="A260" s="88" t="inlineStr">
        <is>
          <t>Gara N.</t>
        </is>
      </c>
      <c r="B260" s="88" t="inlineStr">
        <is>
          <t>Squadra A</t>
        </is>
      </c>
      <c r="C260" s="10" t="n"/>
      <c r="D260" s="88" t="inlineStr">
        <is>
          <t>Squadra B</t>
        </is>
      </c>
      <c r="E260" s="10" t="n"/>
      <c r="F260" s="88" t="inlineStr">
        <is>
          <t>Giorno</t>
        </is>
      </c>
      <c r="G260" s="88" t="inlineStr">
        <is>
          <t>Data</t>
        </is>
      </c>
      <c r="H260" s="88" t="inlineStr">
        <is>
          <t>Ora</t>
        </is>
      </c>
      <c r="I260" s="10" t="n"/>
      <c r="J260" s="88" t="inlineStr">
        <is>
          <t>Risultato</t>
        </is>
      </c>
      <c r="K260" s="9" t="n"/>
      <c r="L260" s="10" t="n"/>
    </row>
    <row r="261" ht="24" customHeight="1">
      <c r="A261" s="90">
        <f>MAX(A$10:A260)+1</f>
        <v/>
      </c>
      <c r="B261" s="61">
        <f>IF(C261="","",IFERROR(VLOOKUP(C261,areaNomiBreviSquadre,7,FALSE),""))</f>
        <v/>
      </c>
      <c r="C261" s="62" t="inlineStr">
        <is>
          <t>D17</t>
        </is>
      </c>
      <c r="D261" s="61">
        <f>IF(E261="","",IFERROR(VLOOKUP(E261,areaNomiBreviSquadre,7,FALSE),""))</f>
        <v/>
      </c>
      <c r="E261" s="62" t="inlineStr">
        <is>
          <t>D18</t>
        </is>
      </c>
      <c r="F261" s="63" t="n">
        <v>46362.72916666666</v>
      </c>
      <c r="G261" s="9" t="n"/>
      <c r="H261" s="9" t="n"/>
      <c r="I261" s="10" t="n"/>
      <c r="J261" s="65" t="n">
        <v>88</v>
      </c>
      <c r="K261" s="66" t="inlineStr">
        <is>
          <t>-</t>
        </is>
      </c>
      <c r="L261" s="65" t="n">
        <v>92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D16</t>
        </is>
      </c>
      <c r="J262" s="141" t="n"/>
      <c r="K262" s="141" t="n"/>
      <c r="L262" s="141" t="n"/>
    </row>
    <row r="263" ht="8" customHeight="1"/>
    <row r="264" ht="20" customHeight="1">
      <c r="A264" s="85" t="inlineStr">
        <is>
          <t>9D</t>
        </is>
      </c>
      <c r="B264" s="8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8" t="inlineStr">
        <is>
          <t>Gara N.</t>
        </is>
      </c>
      <c r="B265" s="88" t="inlineStr">
        <is>
          <t>Squadra A</t>
        </is>
      </c>
      <c r="C265" s="10" t="n"/>
      <c r="D265" s="88" t="inlineStr">
        <is>
          <t>Squadra B</t>
        </is>
      </c>
      <c r="E265" s="10" t="n"/>
      <c r="F265" s="88" t="inlineStr">
        <is>
          <t>Giorno</t>
        </is>
      </c>
      <c r="G265" s="88" t="inlineStr">
        <is>
          <t>Data</t>
        </is>
      </c>
      <c r="H265" s="88" t="inlineStr">
        <is>
          <t>Ora</t>
        </is>
      </c>
      <c r="I265" s="10" t="n"/>
      <c r="J265" s="88" t="inlineStr">
        <is>
          <t>Risultato</t>
        </is>
      </c>
      <c r="K265" s="9" t="n"/>
      <c r="L265" s="10" t="n"/>
    </row>
    <row r="266" ht="24" customHeight="1">
      <c r="A266" s="90">
        <f>MAX(A$10:A265)+1</f>
        <v/>
      </c>
      <c r="B266" s="61">
        <f>IF(C266="","",IFERROR(VLOOKUP(C266,areaNomiBreviSquadre,7,FALSE),""))</f>
        <v/>
      </c>
      <c r="C266" s="62" t="inlineStr">
        <is>
          <t>D17</t>
        </is>
      </c>
      <c r="D266" s="61">
        <f>IF(E266="","",IFERROR(VLOOKUP(E266,areaNomiBreviSquadre,7,FALSE),""))</f>
        <v/>
      </c>
      <c r="E266" s="62" t="inlineStr">
        <is>
          <t>D01</t>
        </is>
      </c>
      <c r="F266" s="63" t="n">
        <v>46369.39583333334</v>
      </c>
      <c r="G266" s="9" t="n"/>
      <c r="H266" s="9" t="n"/>
      <c r="I266" s="10" t="n"/>
      <c r="J266" s="65" t="n">
        <v>54</v>
      </c>
      <c r="K266" s="66" t="inlineStr">
        <is>
          <t>-</t>
        </is>
      </c>
      <c r="L266" s="65" t="n">
        <v>45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D17</t>
        </is>
      </c>
      <c r="J267" s="141" t="n"/>
      <c r="K267" s="141" t="n"/>
      <c r="L267" s="141" t="n"/>
    </row>
    <row r="268" ht="13" customHeight="1">
      <c r="A268" s="88" t="inlineStr">
        <is>
          <t>Gara N.</t>
        </is>
      </c>
      <c r="B268" s="88" t="inlineStr">
        <is>
          <t>Squadra A</t>
        </is>
      </c>
      <c r="C268" s="10" t="n"/>
      <c r="D268" s="88" t="inlineStr">
        <is>
          <t>Squadra B</t>
        </is>
      </c>
      <c r="E268" s="10" t="n"/>
      <c r="F268" s="88" t="inlineStr">
        <is>
          <t>Giorno</t>
        </is>
      </c>
      <c r="G268" s="88" t="inlineStr">
        <is>
          <t>Data</t>
        </is>
      </c>
      <c r="H268" s="88" t="inlineStr">
        <is>
          <t>Ora</t>
        </is>
      </c>
      <c r="I268" s="10" t="n"/>
      <c r="J268" s="88" t="inlineStr">
        <is>
          <t>Risultato</t>
        </is>
      </c>
      <c r="K268" s="9" t="n"/>
      <c r="L268" s="10" t="n"/>
    </row>
    <row r="269" ht="24" customHeight="1">
      <c r="A269" s="90">
        <f>MAX(A$10:A268)+1</f>
        <v/>
      </c>
      <c r="B269" s="61">
        <f>IF(C269="","",IFERROR(VLOOKUP(C269,areaNomiBreviSquadre,7,FALSE),""))</f>
        <v/>
      </c>
      <c r="C269" s="62" t="inlineStr">
        <is>
          <t>D09</t>
        </is>
      </c>
      <c r="D269" s="61">
        <f>IF(E269="","",IFERROR(VLOOKUP(E269,areaNomiBreviSquadre,7,FALSE),""))</f>
        <v/>
      </c>
      <c r="E269" s="62" t="inlineStr">
        <is>
          <t>D20</t>
        </is>
      </c>
      <c r="F269" s="63" t="n">
        <v>46369.45833333334</v>
      </c>
      <c r="G269" s="9" t="n"/>
      <c r="H269" s="9" t="n"/>
      <c r="I269" s="10" t="n"/>
      <c r="J269" s="65" t="n">
        <v>75</v>
      </c>
      <c r="K269" s="66" t="inlineStr">
        <is>
          <t>-</t>
        </is>
      </c>
      <c r="L269" s="65" t="n">
        <v>77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D17</t>
        </is>
      </c>
      <c r="J270" s="141" t="n"/>
      <c r="K270" s="141" t="n"/>
      <c r="L270" s="141" t="n"/>
    </row>
    <row r="271" ht="13" customHeight="1">
      <c r="A271" s="88" t="inlineStr">
        <is>
          <t>Gara N.</t>
        </is>
      </c>
      <c r="B271" s="88" t="inlineStr">
        <is>
          <t>Squadra A</t>
        </is>
      </c>
      <c r="C271" s="10" t="n"/>
      <c r="D271" s="88" t="inlineStr">
        <is>
          <t>Squadra B</t>
        </is>
      </c>
      <c r="E271" s="10" t="n"/>
      <c r="F271" s="88" t="inlineStr">
        <is>
          <t>Giorno</t>
        </is>
      </c>
      <c r="G271" s="88" t="inlineStr">
        <is>
          <t>Data</t>
        </is>
      </c>
      <c r="H271" s="88" t="inlineStr">
        <is>
          <t>Ora</t>
        </is>
      </c>
      <c r="I271" s="10" t="n"/>
      <c r="J271" s="88" t="inlineStr">
        <is>
          <t>Risultato</t>
        </is>
      </c>
      <c r="K271" s="9" t="n"/>
      <c r="L271" s="10" t="n"/>
    </row>
    <row r="272" ht="24" customHeight="1">
      <c r="A272" s="90">
        <f>MAX(A$10:A271)+1</f>
        <v/>
      </c>
      <c r="B272" s="61">
        <f>IF(C272="","",IFERROR(VLOOKUP(C272,areaNomiBreviSquadre,7,FALSE),""))</f>
        <v/>
      </c>
      <c r="C272" s="62" t="inlineStr">
        <is>
          <t>D08</t>
        </is>
      </c>
      <c r="D272" s="61">
        <f>IF(E272="","",IFERROR(VLOOKUP(E272,areaNomiBreviSquadre,7,FALSE),""))</f>
        <v/>
      </c>
      <c r="E272" s="62" t="inlineStr">
        <is>
          <t>D10</t>
        </is>
      </c>
      <c r="F272" s="63" t="n">
        <v>46369.60416666666</v>
      </c>
      <c r="G272" s="9" t="n"/>
      <c r="H272" s="9" t="n"/>
      <c r="I272" s="10" t="n"/>
      <c r="J272" s="65" t="n">
        <v>70</v>
      </c>
      <c r="K272" s="66" t="inlineStr">
        <is>
          <t>-</t>
        </is>
      </c>
      <c r="L272" s="65" t="n">
        <v>91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D17</t>
        </is>
      </c>
      <c r="J273" s="141" t="n"/>
      <c r="K273" s="141" t="n"/>
      <c r="L273" s="141" t="n"/>
    </row>
    <row r="274" ht="13" customHeight="1">
      <c r="A274" s="88" t="inlineStr">
        <is>
          <t>Gara N.</t>
        </is>
      </c>
      <c r="B274" s="88" t="inlineStr">
        <is>
          <t>Squadra A</t>
        </is>
      </c>
      <c r="C274" s="10" t="n"/>
      <c r="D274" s="88" t="inlineStr">
        <is>
          <t>Squadra B</t>
        </is>
      </c>
      <c r="E274" s="10" t="n"/>
      <c r="F274" s="88" t="inlineStr">
        <is>
          <t>Giorno</t>
        </is>
      </c>
      <c r="G274" s="88" t="inlineStr">
        <is>
          <t>Data</t>
        </is>
      </c>
      <c r="H274" s="88" t="inlineStr">
        <is>
          <t>Ora</t>
        </is>
      </c>
      <c r="I274" s="10" t="n"/>
      <c r="J274" s="88" t="inlineStr">
        <is>
          <t>Risultato</t>
        </is>
      </c>
      <c r="K274" s="9" t="n"/>
      <c r="L274" s="10" t="n"/>
    </row>
    <row r="275" ht="24" customHeight="1">
      <c r="A275" s="90">
        <f>MAX(A$10:A274)+1</f>
        <v/>
      </c>
      <c r="B275" s="61">
        <f>IF(C275="","",IFERROR(VLOOKUP(C275,areaNomiBreviSquadre,7,FALSE),""))</f>
        <v/>
      </c>
      <c r="C275" s="62" t="inlineStr">
        <is>
          <t>D11</t>
        </is>
      </c>
      <c r="D275" s="61">
        <f>IF(E275="","",IFERROR(VLOOKUP(E275,areaNomiBreviSquadre,7,FALSE),""))</f>
        <v/>
      </c>
      <c r="E275" s="62" t="inlineStr">
        <is>
          <t>D07</t>
        </is>
      </c>
      <c r="F275" s="63" t="n">
        <v>46369.66666666666</v>
      </c>
      <c r="G275" s="9" t="n"/>
      <c r="H275" s="9" t="n"/>
      <c r="I275" s="10" t="n"/>
      <c r="J275" s="65" t="n">
        <v>41</v>
      </c>
      <c r="K275" s="66" t="inlineStr">
        <is>
          <t>-</t>
        </is>
      </c>
      <c r="L275" s="65" t="n">
        <v>16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D17</t>
        </is>
      </c>
      <c r="J276" s="141" t="n"/>
      <c r="K276" s="141" t="n"/>
      <c r="L276" s="141" t="n"/>
    </row>
    <row r="277" ht="13" customHeight="1">
      <c r="A277" s="88" t="inlineStr">
        <is>
          <t>Gara N.</t>
        </is>
      </c>
      <c r="B277" s="88" t="inlineStr">
        <is>
          <t>Squadra A</t>
        </is>
      </c>
      <c r="C277" s="10" t="n"/>
      <c r="D277" s="88" t="inlineStr">
        <is>
          <t>Squadra B</t>
        </is>
      </c>
      <c r="E277" s="10" t="n"/>
      <c r="F277" s="88" t="inlineStr">
        <is>
          <t>Giorno</t>
        </is>
      </c>
      <c r="G277" s="88" t="inlineStr">
        <is>
          <t>Data</t>
        </is>
      </c>
      <c r="H277" s="88" t="inlineStr">
        <is>
          <t>Ora</t>
        </is>
      </c>
      <c r="I277" s="10" t="n"/>
      <c r="J277" s="88" t="inlineStr">
        <is>
          <t>Risultato</t>
        </is>
      </c>
      <c r="K277" s="9" t="n"/>
      <c r="L277" s="10" t="n"/>
    </row>
    <row r="278" ht="24" customHeight="1">
      <c r="A278" s="90">
        <f>MAX(A$10:A277)+1</f>
        <v/>
      </c>
      <c r="B278" s="61">
        <f>IF(C278="","",IFERROR(VLOOKUP(C278,areaNomiBreviSquadre,7,FALSE),""))</f>
        <v/>
      </c>
      <c r="C278" s="62" t="inlineStr">
        <is>
          <t>D06</t>
        </is>
      </c>
      <c r="D278" s="61">
        <f>IF(E278="","",IFERROR(VLOOKUP(E278,areaNomiBreviSquadre,7,FALSE),""))</f>
        <v/>
      </c>
      <c r="E278" s="62" t="inlineStr">
        <is>
          <t>D12</t>
        </is>
      </c>
      <c r="F278" s="63" t="n">
        <v>46369.72916666666</v>
      </c>
      <c r="G278" s="9" t="n"/>
      <c r="H278" s="9" t="n"/>
      <c r="I278" s="10" t="n"/>
      <c r="J278" s="65" t="n">
        <v>70</v>
      </c>
      <c r="K278" s="66" t="inlineStr">
        <is>
          <t>-</t>
        </is>
      </c>
      <c r="L278" s="65" t="n">
        <v>53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D17</t>
        </is>
      </c>
      <c r="J279" s="141" t="n"/>
      <c r="K279" s="141" t="n"/>
      <c r="L279" s="141" t="n"/>
    </row>
    <row r="280" ht="13" customHeight="1">
      <c r="A280" s="88" t="inlineStr">
        <is>
          <t>Gara N.</t>
        </is>
      </c>
      <c r="B280" s="88" t="inlineStr">
        <is>
          <t>Squadra A</t>
        </is>
      </c>
      <c r="C280" s="10" t="n"/>
      <c r="D280" s="88" t="inlineStr">
        <is>
          <t>Squadra B</t>
        </is>
      </c>
      <c r="E280" s="10" t="n"/>
      <c r="F280" s="88" t="inlineStr">
        <is>
          <t>Giorno</t>
        </is>
      </c>
      <c r="G280" s="88" t="inlineStr">
        <is>
          <t>Data</t>
        </is>
      </c>
      <c r="H280" s="88" t="inlineStr">
        <is>
          <t>Ora</t>
        </is>
      </c>
      <c r="I280" s="10" t="n"/>
      <c r="J280" s="88" t="inlineStr">
        <is>
          <t>Risultato</t>
        </is>
      </c>
      <c r="K280" s="9" t="n"/>
      <c r="L280" s="10" t="n"/>
    </row>
    <row r="281" ht="24" customHeight="1">
      <c r="A281" s="90">
        <f>MAX(A$10:A280)+1</f>
        <v/>
      </c>
      <c r="B281" s="61">
        <f>IF(C281="","",IFERROR(VLOOKUP(C281,areaNomiBreviSquadre,7,FALSE),""))</f>
        <v/>
      </c>
      <c r="C281" s="62" t="inlineStr">
        <is>
          <t>D19</t>
        </is>
      </c>
      <c r="D281" s="61">
        <f>IF(E281="","",IFERROR(VLOOKUP(E281,areaNomiBreviSquadre,7,FALSE),""))</f>
        <v/>
      </c>
      <c r="E281" s="62" t="inlineStr">
        <is>
          <t>D18</t>
        </is>
      </c>
      <c r="F281" s="63" t="n">
        <v>46369.39583333334</v>
      </c>
      <c r="G281" s="9" t="n"/>
      <c r="H281" s="9" t="n"/>
      <c r="I281" s="10" t="n"/>
      <c r="J281" s="65" t="n">
        <v>70</v>
      </c>
      <c r="K281" s="66" t="inlineStr">
        <is>
          <t>-</t>
        </is>
      </c>
      <c r="L281" s="65" t="n">
        <v>79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D18</t>
        </is>
      </c>
      <c r="J282" s="141" t="n"/>
      <c r="K282" s="141" t="n"/>
      <c r="L282" s="141" t="n"/>
    </row>
    <row r="283" ht="13" customHeight="1">
      <c r="A283" s="88" t="inlineStr">
        <is>
          <t>Gara N.</t>
        </is>
      </c>
      <c r="B283" s="88" t="inlineStr">
        <is>
          <t>Squadra A</t>
        </is>
      </c>
      <c r="C283" s="10" t="n"/>
      <c r="D283" s="88" t="inlineStr">
        <is>
          <t>Squadra B</t>
        </is>
      </c>
      <c r="E283" s="10" t="n"/>
      <c r="F283" s="88" t="inlineStr">
        <is>
          <t>Giorno</t>
        </is>
      </c>
      <c r="G283" s="88" t="inlineStr">
        <is>
          <t>Data</t>
        </is>
      </c>
      <c r="H283" s="88" t="inlineStr">
        <is>
          <t>Ora</t>
        </is>
      </c>
      <c r="I283" s="10" t="n"/>
      <c r="J283" s="88" t="inlineStr">
        <is>
          <t>Risultato</t>
        </is>
      </c>
      <c r="K283" s="9" t="n"/>
      <c r="L283" s="10" t="n"/>
    </row>
    <row r="284" ht="24" customHeight="1">
      <c r="A284" s="90">
        <f>MAX(A$10:A283)+1</f>
        <v/>
      </c>
      <c r="B284" s="61">
        <f>IF(C284="","",IFERROR(VLOOKUP(C284,areaNomiBreviSquadre,7,FALSE),""))</f>
        <v/>
      </c>
      <c r="C284" s="62" t="inlineStr">
        <is>
          <t>D13</t>
        </is>
      </c>
      <c r="D284" s="61">
        <f>IF(E284="","",IFERROR(VLOOKUP(E284,areaNomiBreviSquadre,7,FALSE),""))</f>
        <v/>
      </c>
      <c r="E284" s="62" t="inlineStr">
        <is>
          <t>D05</t>
        </is>
      </c>
      <c r="F284" s="63" t="n">
        <v>46369.45833333334</v>
      </c>
      <c r="G284" s="9" t="n"/>
      <c r="H284" s="9" t="n"/>
      <c r="I284" s="10" t="n"/>
      <c r="J284" s="65" t="n">
        <v>47</v>
      </c>
      <c r="K284" s="66" t="inlineStr">
        <is>
          <t>-</t>
        </is>
      </c>
      <c r="L284" s="65" t="n">
        <v>33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D18</t>
        </is>
      </c>
      <c r="J285" s="141" t="n"/>
      <c r="K285" s="141" t="n"/>
      <c r="L285" s="141" t="n"/>
    </row>
    <row r="286" ht="13" customHeight="1">
      <c r="A286" s="88" t="inlineStr">
        <is>
          <t>Gara N.</t>
        </is>
      </c>
      <c r="B286" s="88" t="inlineStr">
        <is>
          <t>Squadra A</t>
        </is>
      </c>
      <c r="C286" s="10" t="n"/>
      <c r="D286" s="88" t="inlineStr">
        <is>
          <t>Squadra B</t>
        </is>
      </c>
      <c r="E286" s="10" t="n"/>
      <c r="F286" s="88" t="inlineStr">
        <is>
          <t>Giorno</t>
        </is>
      </c>
      <c r="G286" s="88" t="inlineStr">
        <is>
          <t>Data</t>
        </is>
      </c>
      <c r="H286" s="88" t="inlineStr">
        <is>
          <t>Ora</t>
        </is>
      </c>
      <c r="I286" s="10" t="n"/>
      <c r="J286" s="88" t="inlineStr">
        <is>
          <t>Risultato</t>
        </is>
      </c>
      <c r="K286" s="9" t="n"/>
      <c r="L286" s="10" t="n"/>
    </row>
    <row r="287" ht="24" customHeight="1">
      <c r="A287" s="90">
        <f>MAX(A$10:A286)+1</f>
        <v/>
      </c>
      <c r="B287" s="61">
        <f>IF(C287="","",IFERROR(VLOOKUP(C287,areaNomiBreviSquadre,7,FALSE),""))</f>
        <v/>
      </c>
      <c r="C287" s="62" t="inlineStr">
        <is>
          <t>D04</t>
        </is>
      </c>
      <c r="D287" s="61">
        <f>IF(E287="","",IFERROR(VLOOKUP(E287,areaNomiBreviSquadre,7,FALSE),""))</f>
        <v/>
      </c>
      <c r="E287" s="62" t="inlineStr">
        <is>
          <t>D14</t>
        </is>
      </c>
      <c r="F287" s="63" t="n">
        <v>46369.60416666666</v>
      </c>
      <c r="G287" s="9" t="n"/>
      <c r="H287" s="9" t="n"/>
      <c r="I287" s="10" t="n"/>
      <c r="J287" s="65" t="n">
        <v>32</v>
      </c>
      <c r="K287" s="66" t="inlineStr">
        <is>
          <t>-</t>
        </is>
      </c>
      <c r="L287" s="65" t="n">
        <v>48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D18</t>
        </is>
      </c>
      <c r="J288" s="141" t="n"/>
      <c r="K288" s="141" t="n"/>
      <c r="L288" s="141" t="n"/>
    </row>
    <row r="289" ht="13" customHeight="1">
      <c r="A289" s="88" t="inlineStr">
        <is>
          <t>Gara N.</t>
        </is>
      </c>
      <c r="B289" s="88" t="inlineStr">
        <is>
          <t>Squadra A</t>
        </is>
      </c>
      <c r="C289" s="10" t="n"/>
      <c r="D289" s="88" t="inlineStr">
        <is>
          <t>Squadra B</t>
        </is>
      </c>
      <c r="E289" s="10" t="n"/>
      <c r="F289" s="88" t="inlineStr">
        <is>
          <t>Giorno</t>
        </is>
      </c>
      <c r="G289" s="88" t="inlineStr">
        <is>
          <t>Data</t>
        </is>
      </c>
      <c r="H289" s="88" t="inlineStr">
        <is>
          <t>Ora</t>
        </is>
      </c>
      <c r="I289" s="10" t="n"/>
      <c r="J289" s="88" t="inlineStr">
        <is>
          <t>Risultato</t>
        </is>
      </c>
      <c r="K289" s="9" t="n"/>
      <c r="L289" s="10" t="n"/>
    </row>
    <row r="290" ht="24" customHeight="1">
      <c r="A290" s="90">
        <f>MAX(A$10:A289)+1</f>
        <v/>
      </c>
      <c r="B290" s="61">
        <f>IF(C290="","",IFERROR(VLOOKUP(C290,areaNomiBreviSquadre,7,FALSE),""))</f>
        <v/>
      </c>
      <c r="C290" s="62" t="inlineStr">
        <is>
          <t>D15</t>
        </is>
      </c>
      <c r="D290" s="61">
        <f>IF(E290="","",IFERROR(VLOOKUP(E290,areaNomiBreviSquadre,7,FALSE),""))</f>
        <v/>
      </c>
      <c r="E290" s="62" t="inlineStr">
        <is>
          <t>D03</t>
        </is>
      </c>
      <c r="F290" s="63" t="n">
        <v>46369.66666666666</v>
      </c>
      <c r="G290" s="9" t="n"/>
      <c r="H290" s="9" t="n"/>
      <c r="I290" s="10" t="n"/>
      <c r="J290" s="65" t="n">
        <v>83</v>
      </c>
      <c r="K290" s="66" t="inlineStr">
        <is>
          <t>-</t>
        </is>
      </c>
      <c r="L290" s="65" t="n">
        <v>67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D18</t>
        </is>
      </c>
      <c r="J291" s="141" t="n"/>
      <c r="K291" s="141" t="n"/>
      <c r="L291" s="141" t="n"/>
    </row>
    <row r="292" ht="13" customHeight="1">
      <c r="A292" s="88" t="inlineStr">
        <is>
          <t>Gara N.</t>
        </is>
      </c>
      <c r="B292" s="88" t="inlineStr">
        <is>
          <t>Squadra A</t>
        </is>
      </c>
      <c r="C292" s="10" t="n"/>
      <c r="D292" s="88" t="inlineStr">
        <is>
          <t>Squadra B</t>
        </is>
      </c>
      <c r="E292" s="10" t="n"/>
      <c r="F292" s="88" t="inlineStr">
        <is>
          <t>Giorno</t>
        </is>
      </c>
      <c r="G292" s="88" t="inlineStr">
        <is>
          <t>Data</t>
        </is>
      </c>
      <c r="H292" s="88" t="inlineStr">
        <is>
          <t>Ora</t>
        </is>
      </c>
      <c r="I292" s="10" t="n"/>
      <c r="J292" s="88" t="inlineStr">
        <is>
          <t>Risultato</t>
        </is>
      </c>
      <c r="K292" s="9" t="n"/>
      <c r="L292" s="10" t="n"/>
    </row>
    <row r="293" ht="24" customHeight="1">
      <c r="A293" s="90">
        <f>MAX(A$10:A292)+1</f>
        <v/>
      </c>
      <c r="B293" s="61">
        <f>IF(C293="","",IFERROR(VLOOKUP(C293,areaNomiBreviSquadre,7,FALSE),""))</f>
        <v/>
      </c>
      <c r="C293" s="62" t="inlineStr">
        <is>
          <t>D02</t>
        </is>
      </c>
      <c r="D293" s="61">
        <f>IF(E293="","",IFERROR(VLOOKUP(E293,areaNomiBreviSquadre,7,FALSE),""))</f>
        <v/>
      </c>
      <c r="E293" s="62" t="inlineStr">
        <is>
          <t>D16</t>
        </is>
      </c>
      <c r="F293" s="63" t="n">
        <v>46369.72916666666</v>
      </c>
      <c r="G293" s="9" t="n"/>
      <c r="H293" s="9" t="n"/>
      <c r="I293" s="10" t="n"/>
      <c r="J293" s="65" t="n">
        <v>0</v>
      </c>
      <c r="K293" s="66" t="inlineStr">
        <is>
          <t>-</t>
        </is>
      </c>
      <c r="L293" s="65" t="n">
        <v>40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D18</t>
        </is>
      </c>
      <c r="J294" s="141" t="n"/>
      <c r="K294" s="141" t="n"/>
      <c r="L294" s="141" t="n"/>
    </row>
    <row r="295" ht="8" customHeight="1"/>
    <row r="296" ht="20" customHeight="1">
      <c r="A296" s="85" t="inlineStr">
        <is>
          <t>10D</t>
        </is>
      </c>
      <c r="B296" s="8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8" t="inlineStr">
        <is>
          <t>Gara N.</t>
        </is>
      </c>
      <c r="B297" s="88" t="inlineStr">
        <is>
          <t>Squadra A</t>
        </is>
      </c>
      <c r="C297" s="10" t="n"/>
      <c r="D297" s="88" t="inlineStr">
        <is>
          <t>Squadra B</t>
        </is>
      </c>
      <c r="E297" s="10" t="n"/>
      <c r="F297" s="88" t="inlineStr">
        <is>
          <t>Giorno</t>
        </is>
      </c>
      <c r="G297" s="88" t="inlineStr">
        <is>
          <t>Data</t>
        </is>
      </c>
      <c r="H297" s="88" t="inlineStr">
        <is>
          <t>Ora</t>
        </is>
      </c>
      <c r="I297" s="10" t="n"/>
      <c r="J297" s="88" t="inlineStr">
        <is>
          <t>Risultato</t>
        </is>
      </c>
      <c r="K297" s="9" t="n"/>
      <c r="L297" s="10" t="n"/>
    </row>
    <row r="298" ht="24" customHeight="1">
      <c r="A298" s="90">
        <f>MAX(A$10:A297)+1</f>
        <v/>
      </c>
      <c r="B298" s="61">
        <f>IF(C298="","",IFERROR(VLOOKUP(C298,areaNomiBreviSquadre,7,FALSE),""))</f>
        <v/>
      </c>
      <c r="C298" s="62" t="inlineStr">
        <is>
          <t>D19</t>
        </is>
      </c>
      <c r="D298" s="61">
        <f>IF(E298="","",IFERROR(VLOOKUP(E298,areaNomiBreviSquadre,7,FALSE),""))</f>
        <v/>
      </c>
      <c r="E298" s="62" t="inlineStr">
        <is>
          <t>D01</t>
        </is>
      </c>
      <c r="F298" s="63" t="n">
        <v>46376.39583333334</v>
      </c>
      <c r="G298" s="9" t="n"/>
      <c r="H298" s="9" t="n"/>
      <c r="I298" s="10" t="n"/>
      <c r="J298" s="65" t="n">
        <v>84</v>
      </c>
      <c r="K298" s="66" t="inlineStr">
        <is>
          <t>-</t>
        </is>
      </c>
      <c r="L298" s="65" t="n">
        <v>63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D19</t>
        </is>
      </c>
      <c r="J299" s="141" t="n"/>
      <c r="K299" s="141" t="n"/>
      <c r="L299" s="141" t="n"/>
    </row>
    <row r="300" ht="13" customHeight="1">
      <c r="A300" s="88" t="inlineStr">
        <is>
          <t>Gara N.</t>
        </is>
      </c>
      <c r="B300" s="88" t="inlineStr">
        <is>
          <t>Squadra A</t>
        </is>
      </c>
      <c r="C300" s="10" t="n"/>
      <c r="D300" s="88" t="inlineStr">
        <is>
          <t>Squadra B</t>
        </is>
      </c>
      <c r="E300" s="10" t="n"/>
      <c r="F300" s="88" t="inlineStr">
        <is>
          <t>Giorno</t>
        </is>
      </c>
      <c r="G300" s="88" t="inlineStr">
        <is>
          <t>Data</t>
        </is>
      </c>
      <c r="H300" s="88" t="inlineStr">
        <is>
          <t>Ora</t>
        </is>
      </c>
      <c r="I300" s="10" t="n"/>
      <c r="J300" s="88" t="inlineStr">
        <is>
          <t>Risultato</t>
        </is>
      </c>
      <c r="K300" s="9" t="n"/>
      <c r="L300" s="10" t="n"/>
    </row>
    <row r="301" ht="24" customHeight="1">
      <c r="A301" s="90">
        <f>MAX(A$10:A300)+1</f>
        <v/>
      </c>
      <c r="B301" s="61">
        <f>IF(C301="","",IFERROR(VLOOKUP(C301,areaNomiBreviSquadre,7,FALSE),""))</f>
        <v/>
      </c>
      <c r="C301" s="62" t="inlineStr">
        <is>
          <t>D11</t>
        </is>
      </c>
      <c r="D301" s="61">
        <f>IF(E301="","",IFERROR(VLOOKUP(E301,areaNomiBreviSquadre,7,FALSE),""))</f>
        <v/>
      </c>
      <c r="E301" s="62" t="inlineStr">
        <is>
          <t>D09</t>
        </is>
      </c>
      <c r="F301" s="63" t="n">
        <v>46376.45833333334</v>
      </c>
      <c r="G301" s="9" t="n"/>
      <c r="H301" s="9" t="n"/>
      <c r="I301" s="10" t="n"/>
      <c r="J301" s="65" t="n">
        <v>49</v>
      </c>
      <c r="K301" s="66" t="inlineStr">
        <is>
          <t>-</t>
        </is>
      </c>
      <c r="L301" s="65" t="n">
        <v>53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D19</t>
        </is>
      </c>
      <c r="J302" s="141" t="n"/>
      <c r="K302" s="141" t="n"/>
      <c r="L302" s="141" t="n"/>
    </row>
    <row r="303" ht="13" customHeight="1">
      <c r="A303" s="88" t="inlineStr">
        <is>
          <t>Gara N.</t>
        </is>
      </c>
      <c r="B303" s="88" t="inlineStr">
        <is>
          <t>Squadra A</t>
        </is>
      </c>
      <c r="C303" s="10" t="n"/>
      <c r="D303" s="88" t="inlineStr">
        <is>
          <t>Squadra B</t>
        </is>
      </c>
      <c r="E303" s="10" t="n"/>
      <c r="F303" s="88" t="inlineStr">
        <is>
          <t>Giorno</t>
        </is>
      </c>
      <c r="G303" s="88" t="inlineStr">
        <is>
          <t>Data</t>
        </is>
      </c>
      <c r="H303" s="88" t="inlineStr">
        <is>
          <t>Ora</t>
        </is>
      </c>
      <c r="I303" s="10" t="n"/>
      <c r="J303" s="88" t="inlineStr">
        <is>
          <t>Risultato</t>
        </is>
      </c>
      <c r="K303" s="9" t="n"/>
      <c r="L303" s="10" t="n"/>
    </row>
    <row r="304" ht="24" customHeight="1">
      <c r="A304" s="90">
        <f>MAX(A$10:A303)+1</f>
        <v/>
      </c>
      <c r="B304" s="61">
        <f>IF(C304="","",IFERROR(VLOOKUP(C304,areaNomiBreviSquadre,7,FALSE),""))</f>
        <v/>
      </c>
      <c r="C304" s="62" t="inlineStr">
        <is>
          <t>D08</t>
        </is>
      </c>
      <c r="D304" s="61">
        <f>IF(E304="","",IFERROR(VLOOKUP(E304,areaNomiBreviSquadre,7,FALSE),""))</f>
        <v/>
      </c>
      <c r="E304" s="62" t="inlineStr">
        <is>
          <t>D12</t>
        </is>
      </c>
      <c r="F304" s="63" t="n">
        <v>46376.60416666666</v>
      </c>
      <c r="G304" s="9" t="n"/>
      <c r="H304" s="9" t="n"/>
      <c r="I304" s="10" t="n"/>
      <c r="J304" s="65" t="n">
        <v>49</v>
      </c>
      <c r="K304" s="66" t="inlineStr">
        <is>
          <t>-</t>
        </is>
      </c>
      <c r="L304" s="65" t="n">
        <v>35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D19</t>
        </is>
      </c>
      <c r="J305" s="141" t="n"/>
      <c r="K305" s="141" t="n"/>
      <c r="L305" s="141" t="n"/>
    </row>
    <row r="306" ht="13" customHeight="1">
      <c r="A306" s="88" t="inlineStr">
        <is>
          <t>Gara N.</t>
        </is>
      </c>
      <c r="B306" s="88" t="inlineStr">
        <is>
          <t>Squadra A</t>
        </is>
      </c>
      <c r="C306" s="10" t="n"/>
      <c r="D306" s="88" t="inlineStr">
        <is>
          <t>Squadra B</t>
        </is>
      </c>
      <c r="E306" s="10" t="n"/>
      <c r="F306" s="88" t="inlineStr">
        <is>
          <t>Giorno</t>
        </is>
      </c>
      <c r="G306" s="88" t="inlineStr">
        <is>
          <t>Data</t>
        </is>
      </c>
      <c r="H306" s="88" t="inlineStr">
        <is>
          <t>Ora</t>
        </is>
      </c>
      <c r="I306" s="10" t="n"/>
      <c r="J306" s="88" t="inlineStr">
        <is>
          <t>Risultato</t>
        </is>
      </c>
      <c r="K306" s="9" t="n"/>
      <c r="L306" s="10" t="n"/>
    </row>
    <row r="307" ht="24" customHeight="1">
      <c r="A307" s="90">
        <f>MAX(A$10:A306)+1</f>
        <v/>
      </c>
      <c r="B307" s="61">
        <f>IF(C307="","",IFERROR(VLOOKUP(C307,areaNomiBreviSquadre,7,FALSE),""))</f>
        <v/>
      </c>
      <c r="C307" s="62" t="inlineStr">
        <is>
          <t>D13</t>
        </is>
      </c>
      <c r="D307" s="61">
        <f>IF(E307="","",IFERROR(VLOOKUP(E307,areaNomiBreviSquadre,7,FALSE),""))</f>
        <v/>
      </c>
      <c r="E307" s="62" t="inlineStr">
        <is>
          <t>D07</t>
        </is>
      </c>
      <c r="F307" s="63" t="n">
        <v>46376.66666666666</v>
      </c>
      <c r="G307" s="9" t="n"/>
      <c r="H307" s="9" t="n"/>
      <c r="I307" s="10" t="n"/>
      <c r="J307" s="65" t="n">
        <v>61</v>
      </c>
      <c r="K307" s="66" t="inlineStr">
        <is>
          <t>-</t>
        </is>
      </c>
      <c r="L307" s="65" t="n">
        <v>64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D19</t>
        </is>
      </c>
      <c r="J308" s="141" t="n"/>
      <c r="K308" s="141" t="n"/>
      <c r="L308" s="141" t="n"/>
    </row>
    <row r="309" ht="13" customHeight="1">
      <c r="A309" s="88" t="inlineStr">
        <is>
          <t>Gara N.</t>
        </is>
      </c>
      <c r="B309" s="88" t="inlineStr">
        <is>
          <t>Squadra A</t>
        </is>
      </c>
      <c r="C309" s="10" t="n"/>
      <c r="D309" s="88" t="inlineStr">
        <is>
          <t>Squadra B</t>
        </is>
      </c>
      <c r="E309" s="10" t="n"/>
      <c r="F309" s="88" t="inlineStr">
        <is>
          <t>Giorno</t>
        </is>
      </c>
      <c r="G309" s="88" t="inlineStr">
        <is>
          <t>Data</t>
        </is>
      </c>
      <c r="H309" s="88" t="inlineStr">
        <is>
          <t>Ora</t>
        </is>
      </c>
      <c r="I309" s="10" t="n"/>
      <c r="J309" s="88" t="inlineStr">
        <is>
          <t>Risultato</t>
        </is>
      </c>
      <c r="K309" s="9" t="n"/>
      <c r="L309" s="10" t="n"/>
    </row>
    <row r="310" ht="24" customHeight="1">
      <c r="A310" s="90">
        <f>MAX(A$10:A309)+1</f>
        <v/>
      </c>
      <c r="B310" s="61">
        <f>IF(C310="","",IFERROR(VLOOKUP(C310,areaNomiBreviSquadre,7,FALSE),""))</f>
        <v/>
      </c>
      <c r="C310" s="62" t="inlineStr">
        <is>
          <t>D06</t>
        </is>
      </c>
      <c r="D310" s="61">
        <f>IF(E310="","",IFERROR(VLOOKUP(E310,areaNomiBreviSquadre,7,FALSE),""))</f>
        <v/>
      </c>
      <c r="E310" s="62" t="inlineStr">
        <is>
          <t>D14</t>
        </is>
      </c>
      <c r="F310" s="63" t="n">
        <v>46376.72916666666</v>
      </c>
      <c r="G310" s="9" t="n"/>
      <c r="H310" s="9" t="n"/>
      <c r="I310" s="10" t="n"/>
      <c r="J310" s="65" t="n">
        <v>32</v>
      </c>
      <c r="K310" s="66" t="inlineStr">
        <is>
          <t>-</t>
        </is>
      </c>
      <c r="L310" s="65" t="n">
        <v>44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D19</t>
        </is>
      </c>
      <c r="J311" s="141" t="n"/>
      <c r="K311" s="141" t="n"/>
      <c r="L311" s="141" t="n"/>
    </row>
    <row r="312" ht="13" customHeight="1">
      <c r="A312" s="88" t="inlineStr">
        <is>
          <t>Gara N.</t>
        </is>
      </c>
      <c r="B312" s="88" t="inlineStr">
        <is>
          <t>Squadra A</t>
        </is>
      </c>
      <c r="C312" s="10" t="n"/>
      <c r="D312" s="88" t="inlineStr">
        <is>
          <t>Squadra B</t>
        </is>
      </c>
      <c r="E312" s="10" t="n"/>
      <c r="F312" s="88" t="inlineStr">
        <is>
          <t>Giorno</t>
        </is>
      </c>
      <c r="G312" s="88" t="inlineStr">
        <is>
          <t>Data</t>
        </is>
      </c>
      <c r="H312" s="88" t="inlineStr">
        <is>
          <t>Ora</t>
        </is>
      </c>
      <c r="I312" s="10" t="n"/>
      <c r="J312" s="88" t="inlineStr">
        <is>
          <t>Risultato</t>
        </is>
      </c>
      <c r="K312" s="9" t="n"/>
      <c r="L312" s="10" t="n"/>
    </row>
    <row r="313" ht="24" customHeight="1">
      <c r="A313" s="90">
        <f>MAX(A$10:A312)+1</f>
        <v/>
      </c>
      <c r="B313" s="61">
        <f>IF(C313="","",IFERROR(VLOOKUP(C313,areaNomiBreviSquadre,7,FALSE),""))</f>
        <v/>
      </c>
      <c r="C313" s="62" t="inlineStr">
        <is>
          <t>D20</t>
        </is>
      </c>
      <c r="D313" s="61">
        <f>IF(E313="","",IFERROR(VLOOKUP(E313,areaNomiBreviSquadre,7,FALSE),""))</f>
        <v/>
      </c>
      <c r="E313" s="62" t="inlineStr">
        <is>
          <t>D10</t>
        </is>
      </c>
      <c r="F313" s="63" t="n">
        <v>46376.39583333334</v>
      </c>
      <c r="G313" s="9" t="n"/>
      <c r="H313" s="9" t="n"/>
      <c r="I313" s="10" t="n"/>
      <c r="J313" s="65" t="n">
        <v>50</v>
      </c>
      <c r="K313" s="66" t="inlineStr">
        <is>
          <t>-</t>
        </is>
      </c>
      <c r="L313" s="65" t="n">
        <v>46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D20</t>
        </is>
      </c>
      <c r="J314" s="141" t="n"/>
      <c r="K314" s="141" t="n"/>
      <c r="L314" s="141" t="n"/>
    </row>
    <row r="315" ht="13" customHeight="1">
      <c r="A315" s="88" t="inlineStr">
        <is>
          <t>Gara N.</t>
        </is>
      </c>
      <c r="B315" s="88" t="inlineStr">
        <is>
          <t>Squadra A</t>
        </is>
      </c>
      <c r="C315" s="10" t="n"/>
      <c r="D315" s="88" t="inlineStr">
        <is>
          <t>Squadra B</t>
        </is>
      </c>
      <c r="E315" s="10" t="n"/>
      <c r="F315" s="88" t="inlineStr">
        <is>
          <t>Giorno</t>
        </is>
      </c>
      <c r="G315" s="88" t="inlineStr">
        <is>
          <t>Data</t>
        </is>
      </c>
      <c r="H315" s="88" t="inlineStr">
        <is>
          <t>Ora</t>
        </is>
      </c>
      <c r="I315" s="10" t="n"/>
      <c r="J315" s="88" t="inlineStr">
        <is>
          <t>Risultato</t>
        </is>
      </c>
      <c r="K315" s="9" t="n"/>
      <c r="L315" s="10" t="n"/>
    </row>
    <row r="316" ht="24" customHeight="1">
      <c r="A316" s="90">
        <f>MAX(A$10:A315)+1</f>
        <v/>
      </c>
      <c r="B316" s="61">
        <f>IF(C316="","",IFERROR(VLOOKUP(C316,areaNomiBreviSquadre,7,FALSE),""))</f>
        <v/>
      </c>
      <c r="C316" s="62" t="inlineStr">
        <is>
          <t>D15</t>
        </is>
      </c>
      <c r="D316" s="61">
        <f>IF(E316="","",IFERROR(VLOOKUP(E316,areaNomiBreviSquadre,7,FALSE),""))</f>
        <v/>
      </c>
      <c r="E316" s="62" t="inlineStr">
        <is>
          <t>D05</t>
        </is>
      </c>
      <c r="F316" s="63" t="n">
        <v>46376.45833333334</v>
      </c>
      <c r="G316" s="9" t="n"/>
      <c r="H316" s="9" t="n"/>
      <c r="I316" s="10" t="n"/>
      <c r="J316" s="65" t="n">
        <v>90</v>
      </c>
      <c r="K316" s="66" t="inlineStr">
        <is>
          <t>-</t>
        </is>
      </c>
      <c r="L316" s="65" t="n">
        <v>85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D20</t>
        </is>
      </c>
      <c r="J317" s="141" t="n"/>
      <c r="K317" s="141" t="n"/>
      <c r="L317" s="141" t="n"/>
    </row>
    <row r="318" ht="13" customHeight="1">
      <c r="A318" s="88" t="inlineStr">
        <is>
          <t>Gara N.</t>
        </is>
      </c>
      <c r="B318" s="88" t="inlineStr">
        <is>
          <t>Squadra A</t>
        </is>
      </c>
      <c r="C318" s="10" t="n"/>
      <c r="D318" s="88" t="inlineStr">
        <is>
          <t>Squadra B</t>
        </is>
      </c>
      <c r="E318" s="10" t="n"/>
      <c r="F318" s="88" t="inlineStr">
        <is>
          <t>Giorno</t>
        </is>
      </c>
      <c r="G318" s="88" t="inlineStr">
        <is>
          <t>Data</t>
        </is>
      </c>
      <c r="H318" s="88" t="inlineStr">
        <is>
          <t>Ora</t>
        </is>
      </c>
      <c r="I318" s="10" t="n"/>
      <c r="J318" s="88" t="inlineStr">
        <is>
          <t>Risultato</t>
        </is>
      </c>
      <c r="K318" s="9" t="n"/>
      <c r="L318" s="10" t="n"/>
    </row>
    <row r="319" ht="24" customHeight="1">
      <c r="A319" s="90">
        <f>MAX(A$10:A318)+1</f>
        <v/>
      </c>
      <c r="B319" s="61">
        <f>IF(C319="","",IFERROR(VLOOKUP(C319,areaNomiBreviSquadre,7,FALSE),""))</f>
        <v/>
      </c>
      <c r="C319" s="62" t="inlineStr">
        <is>
          <t>D04</t>
        </is>
      </c>
      <c r="D319" s="61">
        <f>IF(E319="","",IFERROR(VLOOKUP(E319,areaNomiBreviSquadre,7,FALSE),""))</f>
        <v/>
      </c>
      <c r="E319" s="62" t="inlineStr">
        <is>
          <t>D16</t>
        </is>
      </c>
      <c r="F319" s="63" t="n">
        <v>46376.60416666666</v>
      </c>
      <c r="G319" s="9" t="n"/>
      <c r="H319" s="9" t="n"/>
      <c r="I319" s="10" t="n"/>
      <c r="J319" s="65" t="n">
        <v>73</v>
      </c>
      <c r="K319" s="66" t="inlineStr">
        <is>
          <t>-</t>
        </is>
      </c>
      <c r="L319" s="65" t="n">
        <v>88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D20</t>
        </is>
      </c>
      <c r="J320" s="141" t="n"/>
      <c r="K320" s="141" t="n"/>
      <c r="L320" s="141" t="n"/>
    </row>
    <row r="321" ht="13" customHeight="1">
      <c r="A321" s="88" t="inlineStr">
        <is>
          <t>Gara N.</t>
        </is>
      </c>
      <c r="B321" s="88" t="inlineStr">
        <is>
          <t>Squadra A</t>
        </is>
      </c>
      <c r="C321" s="10" t="n"/>
      <c r="D321" s="88" t="inlineStr">
        <is>
          <t>Squadra B</t>
        </is>
      </c>
      <c r="E321" s="10" t="n"/>
      <c r="F321" s="88" t="inlineStr">
        <is>
          <t>Giorno</t>
        </is>
      </c>
      <c r="G321" s="88" t="inlineStr">
        <is>
          <t>Data</t>
        </is>
      </c>
      <c r="H321" s="88" t="inlineStr">
        <is>
          <t>Ora</t>
        </is>
      </c>
      <c r="I321" s="10" t="n"/>
      <c r="J321" s="88" t="inlineStr">
        <is>
          <t>Risultato</t>
        </is>
      </c>
      <c r="K321" s="9" t="n"/>
      <c r="L321" s="10" t="n"/>
    </row>
    <row r="322" ht="24" customHeight="1">
      <c r="A322" s="90">
        <f>MAX(A$10:A321)+1</f>
        <v/>
      </c>
      <c r="B322" s="61">
        <f>IF(C322="","",IFERROR(VLOOKUP(C322,areaNomiBreviSquadre,7,FALSE),""))</f>
        <v/>
      </c>
      <c r="C322" s="62" t="inlineStr">
        <is>
          <t>D17</t>
        </is>
      </c>
      <c r="D322" s="61">
        <f>IF(E322="","",IFERROR(VLOOKUP(E322,areaNomiBreviSquadre,7,FALSE),""))</f>
        <v/>
      </c>
      <c r="E322" s="62" t="inlineStr">
        <is>
          <t>D03</t>
        </is>
      </c>
      <c r="F322" s="63" t="n">
        <v>46376.66666666666</v>
      </c>
      <c r="G322" s="9" t="n"/>
      <c r="H322" s="9" t="n"/>
      <c r="I322" s="10" t="n"/>
      <c r="J322" s="65" t="n">
        <v>54</v>
      </c>
      <c r="K322" s="66" t="inlineStr">
        <is>
          <t>-</t>
        </is>
      </c>
      <c r="L322" s="65" t="n">
        <v>55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D20</t>
        </is>
      </c>
      <c r="J323" s="141" t="n"/>
      <c r="K323" s="141" t="n"/>
      <c r="L323" s="141" t="n"/>
    </row>
    <row r="324" ht="13" customHeight="1">
      <c r="A324" s="88" t="inlineStr">
        <is>
          <t>Gara N.</t>
        </is>
      </c>
      <c r="B324" s="88" t="inlineStr">
        <is>
          <t>Squadra A</t>
        </is>
      </c>
      <c r="C324" s="10" t="n"/>
      <c r="D324" s="88" t="inlineStr">
        <is>
          <t>Squadra B</t>
        </is>
      </c>
      <c r="E324" s="10" t="n"/>
      <c r="F324" s="88" t="inlineStr">
        <is>
          <t>Giorno</t>
        </is>
      </c>
      <c r="G324" s="88" t="inlineStr">
        <is>
          <t>Data</t>
        </is>
      </c>
      <c r="H324" s="88" t="inlineStr">
        <is>
          <t>Ora</t>
        </is>
      </c>
      <c r="I324" s="10" t="n"/>
      <c r="J324" s="88" t="inlineStr">
        <is>
          <t>Risultato</t>
        </is>
      </c>
      <c r="K324" s="9" t="n"/>
      <c r="L324" s="10" t="n"/>
    </row>
    <row r="325" ht="24" customHeight="1">
      <c r="A325" s="90">
        <f>MAX(A$10:A324)+1</f>
        <v/>
      </c>
      <c r="B325" s="61">
        <f>IF(C325="","",IFERROR(VLOOKUP(C325,areaNomiBreviSquadre,7,FALSE),""))</f>
        <v/>
      </c>
      <c r="C325" s="62" t="inlineStr">
        <is>
          <t>D02</t>
        </is>
      </c>
      <c r="D325" s="61">
        <f>IF(E325="","",IFERROR(VLOOKUP(E325,areaNomiBreviSquadre,7,FALSE),""))</f>
        <v/>
      </c>
      <c r="E325" s="62" t="inlineStr">
        <is>
          <t>D18</t>
        </is>
      </c>
      <c r="F325" s="63" t="n">
        <v>46376.72916666666</v>
      </c>
      <c r="G325" s="9" t="n"/>
      <c r="H325" s="9" t="n"/>
      <c r="I325" s="10" t="n"/>
      <c r="J325" s="65" t="n">
        <v>76</v>
      </c>
      <c r="K325" s="66" t="inlineStr">
        <is>
          <t>-</t>
        </is>
      </c>
      <c r="L325" s="65" t="n">
        <v>82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D20</t>
        </is>
      </c>
      <c r="J326" s="141" t="n"/>
      <c r="K326" s="141" t="n"/>
      <c r="L326" s="141" t="n"/>
    </row>
    <row r="327" ht="8" customHeight="1"/>
    <row r="328" ht="20" customHeight="1">
      <c r="A328" s="85" t="inlineStr">
        <is>
          <t>11D</t>
        </is>
      </c>
      <c r="B328" s="8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8" t="inlineStr">
        <is>
          <t>Gara N.</t>
        </is>
      </c>
      <c r="B329" s="88" t="inlineStr">
        <is>
          <t>Squadra A</t>
        </is>
      </c>
      <c r="C329" s="10" t="n"/>
      <c r="D329" s="88" t="inlineStr">
        <is>
          <t>Squadra B</t>
        </is>
      </c>
      <c r="E329" s="10" t="n"/>
      <c r="F329" s="88" t="inlineStr">
        <is>
          <t>Giorno</t>
        </is>
      </c>
      <c r="G329" s="88" t="inlineStr">
        <is>
          <t>Data</t>
        </is>
      </c>
      <c r="H329" s="88" t="inlineStr">
        <is>
          <t>Ora</t>
        </is>
      </c>
      <c r="I329" s="10" t="n"/>
      <c r="J329" s="88" t="inlineStr">
        <is>
          <t>Risultato</t>
        </is>
      </c>
      <c r="K329" s="9" t="n"/>
      <c r="L329" s="10" t="n"/>
    </row>
    <row r="330" ht="24" customHeight="1">
      <c r="A330" s="90">
        <f>MAX(A$10:A329)+1</f>
        <v/>
      </c>
      <c r="B330" s="61">
        <f>IF(C330="","",IFERROR(VLOOKUP(C330,areaNomiBreviSquadre,7,FALSE),""))</f>
        <v/>
      </c>
      <c r="C330" s="62" t="inlineStr">
        <is>
          <t>D02</t>
        </is>
      </c>
      <c r="D330" s="61">
        <f>IF(E330="","",IFERROR(VLOOKUP(E330,areaNomiBreviSquadre,7,FALSE),""))</f>
        <v/>
      </c>
      <c r="E330" s="62" t="inlineStr">
        <is>
          <t>D01</t>
        </is>
      </c>
      <c r="F330" s="63" t="n">
        <v>46383.39583333334</v>
      </c>
      <c r="G330" s="9" t="n"/>
      <c r="H330" s="9" t="n"/>
      <c r="I330" s="10" t="n"/>
      <c r="J330" s="65" t="n">
        <v>60</v>
      </c>
      <c r="K330" s="66" t="inlineStr">
        <is>
          <t>-</t>
        </is>
      </c>
      <c r="L330" s="65" t="n">
        <v>67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D01</t>
        </is>
      </c>
      <c r="J331" s="141" t="n"/>
      <c r="K331" s="141" t="n"/>
      <c r="L331" s="141" t="n"/>
    </row>
    <row r="332" ht="13" customHeight="1">
      <c r="A332" s="88" t="inlineStr">
        <is>
          <t>Gara N.</t>
        </is>
      </c>
      <c r="B332" s="88" t="inlineStr">
        <is>
          <t>Squadra A</t>
        </is>
      </c>
      <c r="C332" s="10" t="n"/>
      <c r="D332" s="88" t="inlineStr">
        <is>
          <t>Squadra B</t>
        </is>
      </c>
      <c r="E332" s="10" t="n"/>
      <c r="F332" s="88" t="inlineStr">
        <is>
          <t>Giorno</t>
        </is>
      </c>
      <c r="G332" s="88" t="inlineStr">
        <is>
          <t>Data</t>
        </is>
      </c>
      <c r="H332" s="88" t="inlineStr">
        <is>
          <t>Ora</t>
        </is>
      </c>
      <c r="I332" s="10" t="n"/>
      <c r="J332" s="88" t="inlineStr">
        <is>
          <t>Risultato</t>
        </is>
      </c>
      <c r="K332" s="9" t="n"/>
      <c r="L332" s="10" t="n"/>
    </row>
    <row r="333" ht="24" customHeight="1">
      <c r="A333" s="90">
        <f>MAX(A$10:A332)+1</f>
        <v/>
      </c>
      <c r="B333" s="61">
        <f>IF(C333="","",IFERROR(VLOOKUP(C333,areaNomiBreviSquadre,7,FALSE),""))</f>
        <v/>
      </c>
      <c r="C333" s="62" t="inlineStr">
        <is>
          <t>D11</t>
        </is>
      </c>
      <c r="D333" s="61">
        <f>IF(E333="","",IFERROR(VLOOKUP(E333,areaNomiBreviSquadre,7,FALSE),""))</f>
        <v/>
      </c>
      <c r="E333" s="62" t="inlineStr">
        <is>
          <t>D20</t>
        </is>
      </c>
      <c r="F333" s="63" t="n">
        <v>46383.45833333334</v>
      </c>
      <c r="G333" s="9" t="n"/>
      <c r="H333" s="9" t="n"/>
      <c r="I333" s="10" t="n"/>
      <c r="J333" s="65" t="n">
        <v>45</v>
      </c>
      <c r="K333" s="66" t="inlineStr">
        <is>
          <t>-</t>
        </is>
      </c>
      <c r="L333" s="65" t="n">
        <v>35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D01</t>
        </is>
      </c>
      <c r="J334" s="141" t="n"/>
      <c r="K334" s="141" t="n"/>
      <c r="L334" s="141" t="n"/>
    </row>
    <row r="335" ht="13" customHeight="1">
      <c r="A335" s="88" t="inlineStr">
        <is>
          <t>Gara N.</t>
        </is>
      </c>
      <c r="B335" s="88" t="inlineStr">
        <is>
          <t>Squadra A</t>
        </is>
      </c>
      <c r="C335" s="10" t="n"/>
      <c r="D335" s="88" t="inlineStr">
        <is>
          <t>Squadra B</t>
        </is>
      </c>
      <c r="E335" s="10" t="n"/>
      <c r="F335" s="88" t="inlineStr">
        <is>
          <t>Giorno</t>
        </is>
      </c>
      <c r="G335" s="88" t="inlineStr">
        <is>
          <t>Data</t>
        </is>
      </c>
      <c r="H335" s="88" t="inlineStr">
        <is>
          <t>Ora</t>
        </is>
      </c>
      <c r="I335" s="10" t="n"/>
      <c r="J335" s="88" t="inlineStr">
        <is>
          <t>Risultato</t>
        </is>
      </c>
      <c r="K335" s="9" t="n"/>
      <c r="L335" s="10" t="n"/>
    </row>
    <row r="336" ht="24" customHeight="1">
      <c r="A336" s="90">
        <f>MAX(A$10:A335)+1</f>
        <v/>
      </c>
      <c r="B336" s="61">
        <f>IF(C336="","",IFERROR(VLOOKUP(C336,areaNomiBreviSquadre,7,FALSE),""))</f>
        <v/>
      </c>
      <c r="C336" s="62" t="inlineStr">
        <is>
          <t>D10</t>
        </is>
      </c>
      <c r="D336" s="61">
        <f>IF(E336="","",IFERROR(VLOOKUP(E336,areaNomiBreviSquadre,7,FALSE),""))</f>
        <v/>
      </c>
      <c r="E336" s="62" t="inlineStr">
        <is>
          <t>D12</t>
        </is>
      </c>
      <c r="F336" s="63" t="n">
        <v>46383.60416666666</v>
      </c>
      <c r="G336" s="9" t="n"/>
      <c r="H336" s="9" t="n"/>
      <c r="I336" s="10" t="n"/>
      <c r="J336" s="65" t="n">
        <v>81</v>
      </c>
      <c r="K336" s="66" t="inlineStr">
        <is>
          <t>-</t>
        </is>
      </c>
      <c r="L336" s="65" t="n">
        <v>76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D01</t>
        </is>
      </c>
      <c r="J337" s="141" t="n"/>
      <c r="K337" s="141" t="n"/>
      <c r="L337" s="141" t="n"/>
    </row>
    <row r="338" ht="13" customHeight="1">
      <c r="A338" s="88" t="inlineStr">
        <is>
          <t>Gara N.</t>
        </is>
      </c>
      <c r="B338" s="88" t="inlineStr">
        <is>
          <t>Squadra A</t>
        </is>
      </c>
      <c r="C338" s="10" t="n"/>
      <c r="D338" s="88" t="inlineStr">
        <is>
          <t>Squadra B</t>
        </is>
      </c>
      <c r="E338" s="10" t="n"/>
      <c r="F338" s="88" t="inlineStr">
        <is>
          <t>Giorno</t>
        </is>
      </c>
      <c r="G338" s="88" t="inlineStr">
        <is>
          <t>Data</t>
        </is>
      </c>
      <c r="H338" s="88" t="inlineStr">
        <is>
          <t>Ora</t>
        </is>
      </c>
      <c r="I338" s="10" t="n"/>
      <c r="J338" s="88" t="inlineStr">
        <is>
          <t>Risultato</t>
        </is>
      </c>
      <c r="K338" s="9" t="n"/>
      <c r="L338" s="10" t="n"/>
    </row>
    <row r="339" ht="24" customHeight="1">
      <c r="A339" s="90">
        <f>MAX(A$10:A338)+1</f>
        <v/>
      </c>
      <c r="B339" s="61">
        <f>IF(C339="","",IFERROR(VLOOKUP(C339,areaNomiBreviSquadre,7,FALSE),""))</f>
        <v/>
      </c>
      <c r="C339" s="62" t="inlineStr">
        <is>
          <t>D13</t>
        </is>
      </c>
      <c r="D339" s="61">
        <f>IF(E339="","",IFERROR(VLOOKUP(E339,areaNomiBreviSquadre,7,FALSE),""))</f>
        <v/>
      </c>
      <c r="E339" s="62" t="inlineStr">
        <is>
          <t>D09</t>
        </is>
      </c>
      <c r="F339" s="63" t="n">
        <v>46383.66666666666</v>
      </c>
      <c r="G339" s="9" t="n"/>
      <c r="H339" s="9" t="n"/>
      <c r="I339" s="10" t="n"/>
      <c r="J339" s="65" t="n">
        <v>18</v>
      </c>
      <c r="K339" s="66" t="inlineStr">
        <is>
          <t>-</t>
        </is>
      </c>
      <c r="L339" s="65" t="n">
        <v>42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D01</t>
        </is>
      </c>
      <c r="J340" s="141" t="n"/>
      <c r="K340" s="141" t="n"/>
      <c r="L340" s="141" t="n"/>
    </row>
    <row r="341" ht="13" customHeight="1">
      <c r="A341" s="88" t="inlineStr">
        <is>
          <t>Gara N.</t>
        </is>
      </c>
      <c r="B341" s="88" t="inlineStr">
        <is>
          <t>Squadra A</t>
        </is>
      </c>
      <c r="C341" s="10" t="n"/>
      <c r="D341" s="88" t="inlineStr">
        <is>
          <t>Squadra B</t>
        </is>
      </c>
      <c r="E341" s="10" t="n"/>
      <c r="F341" s="88" t="inlineStr">
        <is>
          <t>Giorno</t>
        </is>
      </c>
      <c r="G341" s="88" t="inlineStr">
        <is>
          <t>Data</t>
        </is>
      </c>
      <c r="H341" s="88" t="inlineStr">
        <is>
          <t>Ora</t>
        </is>
      </c>
      <c r="I341" s="10" t="n"/>
      <c r="J341" s="88" t="inlineStr">
        <is>
          <t>Risultato</t>
        </is>
      </c>
      <c r="K341" s="9" t="n"/>
      <c r="L341" s="10" t="n"/>
    </row>
    <row r="342" ht="24" customHeight="1">
      <c r="A342" s="90">
        <f>MAX(A$10:A341)+1</f>
        <v/>
      </c>
      <c r="B342" s="61">
        <f>IF(C342="","",IFERROR(VLOOKUP(C342,areaNomiBreviSquadre,7,FALSE),""))</f>
        <v/>
      </c>
      <c r="C342" s="62" t="inlineStr">
        <is>
          <t>D08</t>
        </is>
      </c>
      <c r="D342" s="61">
        <f>IF(E342="","",IFERROR(VLOOKUP(E342,areaNomiBreviSquadre,7,FALSE),""))</f>
        <v/>
      </c>
      <c r="E342" s="62" t="inlineStr">
        <is>
          <t>D14</t>
        </is>
      </c>
      <c r="F342" s="63" t="n">
        <v>46383.72916666666</v>
      </c>
      <c r="G342" s="9" t="n"/>
      <c r="H342" s="9" t="n"/>
      <c r="I342" s="10" t="n"/>
      <c r="J342" s="65" t="n">
        <v>83</v>
      </c>
      <c r="K342" s="66" t="inlineStr">
        <is>
          <t>-</t>
        </is>
      </c>
      <c r="L342" s="65" t="n">
        <v>65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D01</t>
        </is>
      </c>
      <c r="J343" s="141" t="n"/>
      <c r="K343" s="141" t="n"/>
      <c r="L343" s="141" t="n"/>
    </row>
    <row r="344" ht="13" customHeight="1">
      <c r="A344" s="88" t="inlineStr">
        <is>
          <t>Gara N.</t>
        </is>
      </c>
      <c r="B344" s="88" t="inlineStr">
        <is>
          <t>Squadra A</t>
        </is>
      </c>
      <c r="C344" s="10" t="n"/>
      <c r="D344" s="88" t="inlineStr">
        <is>
          <t>Squadra B</t>
        </is>
      </c>
      <c r="E344" s="10" t="n"/>
      <c r="F344" s="88" t="inlineStr">
        <is>
          <t>Giorno</t>
        </is>
      </c>
      <c r="G344" s="88" t="inlineStr">
        <is>
          <t>Data</t>
        </is>
      </c>
      <c r="H344" s="88" t="inlineStr">
        <is>
          <t>Ora</t>
        </is>
      </c>
      <c r="I344" s="10" t="n"/>
      <c r="J344" s="88" t="inlineStr">
        <is>
          <t>Risultato</t>
        </is>
      </c>
      <c r="K344" s="9" t="n"/>
      <c r="L344" s="10" t="n"/>
    </row>
    <row r="345" ht="24" customHeight="1">
      <c r="A345" s="90">
        <f>MAX(A$10:A344)+1</f>
        <v/>
      </c>
      <c r="B345" s="61">
        <f>IF(C345="","",IFERROR(VLOOKUP(C345,areaNomiBreviSquadre,7,FALSE),""))</f>
        <v/>
      </c>
      <c r="C345" s="62" t="inlineStr">
        <is>
          <t>D19</t>
        </is>
      </c>
      <c r="D345" s="61">
        <f>IF(E345="","",IFERROR(VLOOKUP(E345,areaNomiBreviSquadre,7,FALSE),""))</f>
        <v/>
      </c>
      <c r="E345" s="62" t="inlineStr">
        <is>
          <t>D03</t>
        </is>
      </c>
      <c r="F345" s="63" t="n">
        <v>46383.39583333334</v>
      </c>
      <c r="G345" s="9" t="n"/>
      <c r="H345" s="9" t="n"/>
      <c r="I345" s="10" t="n"/>
      <c r="J345" s="65" t="n">
        <v>72</v>
      </c>
      <c r="K345" s="66" t="inlineStr">
        <is>
          <t>-</t>
        </is>
      </c>
      <c r="L345" s="65" t="n">
        <v>91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D03</t>
        </is>
      </c>
      <c r="J346" s="141" t="n"/>
      <c r="K346" s="141" t="n"/>
      <c r="L346" s="141" t="n"/>
    </row>
    <row r="347" ht="13" customHeight="1">
      <c r="A347" s="88" t="inlineStr">
        <is>
          <t>Gara N.</t>
        </is>
      </c>
      <c r="B347" s="88" t="inlineStr">
        <is>
          <t>Squadra A</t>
        </is>
      </c>
      <c r="C347" s="10" t="n"/>
      <c r="D347" s="88" t="inlineStr">
        <is>
          <t>Squadra B</t>
        </is>
      </c>
      <c r="E347" s="10" t="n"/>
      <c r="F347" s="88" t="inlineStr">
        <is>
          <t>Giorno</t>
        </is>
      </c>
      <c r="G347" s="88" t="inlineStr">
        <is>
          <t>Data</t>
        </is>
      </c>
      <c r="H347" s="88" t="inlineStr">
        <is>
          <t>Ora</t>
        </is>
      </c>
      <c r="I347" s="10" t="n"/>
      <c r="J347" s="88" t="inlineStr">
        <is>
          <t>Risultato</t>
        </is>
      </c>
      <c r="K347" s="9" t="n"/>
      <c r="L347" s="10" t="n"/>
    </row>
    <row r="348" ht="24" customHeight="1">
      <c r="A348" s="90">
        <f>MAX(A$10:A347)+1</f>
        <v/>
      </c>
      <c r="B348" s="61">
        <f>IF(C348="","",IFERROR(VLOOKUP(C348,areaNomiBreviSquadre,7,FALSE),""))</f>
        <v/>
      </c>
      <c r="C348" s="62" t="inlineStr">
        <is>
          <t>D15</t>
        </is>
      </c>
      <c r="D348" s="61">
        <f>IF(E348="","",IFERROR(VLOOKUP(E348,areaNomiBreviSquadre,7,FALSE),""))</f>
        <v/>
      </c>
      <c r="E348" s="62" t="inlineStr">
        <is>
          <t>D07</t>
        </is>
      </c>
      <c r="F348" s="63" t="n">
        <v>46383.45833333334</v>
      </c>
      <c r="G348" s="9" t="n"/>
      <c r="H348" s="9" t="n"/>
      <c r="I348" s="10" t="n"/>
      <c r="J348" s="65" t="n">
        <v>74</v>
      </c>
      <c r="K348" s="66" t="inlineStr">
        <is>
          <t>-</t>
        </is>
      </c>
      <c r="L348" s="65" t="n">
        <v>90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D03</t>
        </is>
      </c>
      <c r="J349" s="141" t="n"/>
      <c r="K349" s="141" t="n"/>
      <c r="L349" s="141" t="n"/>
    </row>
    <row r="350" ht="13" customHeight="1">
      <c r="A350" s="88" t="inlineStr">
        <is>
          <t>Gara N.</t>
        </is>
      </c>
      <c r="B350" s="88" t="inlineStr">
        <is>
          <t>Squadra A</t>
        </is>
      </c>
      <c r="C350" s="10" t="n"/>
      <c r="D350" s="88" t="inlineStr">
        <is>
          <t>Squadra B</t>
        </is>
      </c>
      <c r="E350" s="10" t="n"/>
      <c r="F350" s="88" t="inlineStr">
        <is>
          <t>Giorno</t>
        </is>
      </c>
      <c r="G350" s="88" t="inlineStr">
        <is>
          <t>Data</t>
        </is>
      </c>
      <c r="H350" s="88" t="inlineStr">
        <is>
          <t>Ora</t>
        </is>
      </c>
      <c r="I350" s="10" t="n"/>
      <c r="J350" s="88" t="inlineStr">
        <is>
          <t>Risultato</t>
        </is>
      </c>
      <c r="K350" s="9" t="n"/>
      <c r="L350" s="10" t="n"/>
    </row>
    <row r="351" ht="24" customHeight="1">
      <c r="A351" s="90">
        <f>MAX(A$10:A350)+1</f>
        <v/>
      </c>
      <c r="B351" s="61">
        <f>IF(C351="","",IFERROR(VLOOKUP(C351,areaNomiBreviSquadre,7,FALSE),""))</f>
        <v/>
      </c>
      <c r="C351" s="62" t="inlineStr">
        <is>
          <t>D06</t>
        </is>
      </c>
      <c r="D351" s="61">
        <f>IF(E351="","",IFERROR(VLOOKUP(E351,areaNomiBreviSquadre,7,FALSE),""))</f>
        <v/>
      </c>
      <c r="E351" s="62" t="inlineStr">
        <is>
          <t>D16</t>
        </is>
      </c>
      <c r="F351" s="63" t="n">
        <v>46383.60416666666</v>
      </c>
      <c r="G351" s="9" t="n"/>
      <c r="H351" s="9" t="n"/>
      <c r="I351" s="10" t="n"/>
      <c r="J351" s="65" t="n">
        <v>66</v>
      </c>
      <c r="K351" s="66" t="inlineStr">
        <is>
          <t>-</t>
        </is>
      </c>
      <c r="L351" s="65" t="n">
        <v>84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D03</t>
        </is>
      </c>
      <c r="J352" s="141" t="n"/>
      <c r="K352" s="141" t="n"/>
      <c r="L352" s="141" t="n"/>
    </row>
    <row r="353" ht="13" customHeight="1">
      <c r="A353" s="88" t="inlineStr">
        <is>
          <t>Gara N.</t>
        </is>
      </c>
      <c r="B353" s="88" t="inlineStr">
        <is>
          <t>Squadra A</t>
        </is>
      </c>
      <c r="C353" s="10" t="n"/>
      <c r="D353" s="88" t="inlineStr">
        <is>
          <t>Squadra B</t>
        </is>
      </c>
      <c r="E353" s="10" t="n"/>
      <c r="F353" s="88" t="inlineStr">
        <is>
          <t>Giorno</t>
        </is>
      </c>
      <c r="G353" s="88" t="inlineStr">
        <is>
          <t>Data</t>
        </is>
      </c>
      <c r="H353" s="88" t="inlineStr">
        <is>
          <t>Ora</t>
        </is>
      </c>
      <c r="I353" s="10" t="n"/>
      <c r="J353" s="88" t="inlineStr">
        <is>
          <t>Risultato</t>
        </is>
      </c>
      <c r="K353" s="9" t="n"/>
      <c r="L353" s="10" t="n"/>
    </row>
    <row r="354" ht="24" customHeight="1">
      <c r="A354" s="90">
        <f>MAX(A$10:A353)+1</f>
        <v/>
      </c>
      <c r="B354" s="61">
        <f>IF(C354="","",IFERROR(VLOOKUP(C354,areaNomiBreviSquadre,7,FALSE),""))</f>
        <v/>
      </c>
      <c r="C354" s="62" t="inlineStr">
        <is>
          <t>D17</t>
        </is>
      </c>
      <c r="D354" s="61">
        <f>IF(E354="","",IFERROR(VLOOKUP(E354,areaNomiBreviSquadre,7,FALSE),""))</f>
        <v/>
      </c>
      <c r="E354" s="62" t="inlineStr">
        <is>
          <t>D05</t>
        </is>
      </c>
      <c r="F354" s="63" t="n">
        <v>46383.66666666666</v>
      </c>
      <c r="G354" s="9" t="n"/>
      <c r="H354" s="9" t="n"/>
      <c r="I354" s="10" t="n"/>
      <c r="J354" s="65" t="n">
        <v>60</v>
      </c>
      <c r="K354" s="66" t="inlineStr">
        <is>
          <t>-</t>
        </is>
      </c>
      <c r="L354" s="65" t="n">
        <v>35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D03</t>
        </is>
      </c>
      <c r="J355" s="141" t="n"/>
      <c r="K355" s="141" t="n"/>
      <c r="L355" s="141" t="n"/>
    </row>
    <row r="356" ht="13" customHeight="1">
      <c r="A356" s="88" t="inlineStr">
        <is>
          <t>Gara N.</t>
        </is>
      </c>
      <c r="B356" s="88" t="inlineStr">
        <is>
          <t>Squadra A</t>
        </is>
      </c>
      <c r="C356" s="10" t="n"/>
      <c r="D356" s="88" t="inlineStr">
        <is>
          <t>Squadra B</t>
        </is>
      </c>
      <c r="E356" s="10" t="n"/>
      <c r="F356" s="88" t="inlineStr">
        <is>
          <t>Giorno</t>
        </is>
      </c>
      <c r="G356" s="88" t="inlineStr">
        <is>
          <t>Data</t>
        </is>
      </c>
      <c r="H356" s="88" t="inlineStr">
        <is>
          <t>Ora</t>
        </is>
      </c>
      <c r="I356" s="10" t="n"/>
      <c r="J356" s="88" t="inlineStr">
        <is>
          <t>Risultato</t>
        </is>
      </c>
      <c r="K356" s="9" t="n"/>
      <c r="L356" s="10" t="n"/>
    </row>
    <row r="357" ht="24" customHeight="1">
      <c r="A357" s="90">
        <f>MAX(A$10:A356)+1</f>
        <v/>
      </c>
      <c r="B357" s="61">
        <f>IF(C357="","",IFERROR(VLOOKUP(C357,areaNomiBreviSquadre,7,FALSE),""))</f>
        <v/>
      </c>
      <c r="C357" s="62" t="inlineStr">
        <is>
          <t>D04</t>
        </is>
      </c>
      <c r="D357" s="61">
        <f>IF(E357="","",IFERROR(VLOOKUP(E357,areaNomiBreviSquadre,7,FALSE),""))</f>
        <v/>
      </c>
      <c r="E357" s="62" t="inlineStr">
        <is>
          <t>D18</t>
        </is>
      </c>
      <c r="F357" s="63" t="n">
        <v>46383.72916666666</v>
      </c>
      <c r="G357" s="9" t="n"/>
      <c r="H357" s="9" t="n"/>
      <c r="I357" s="10" t="n"/>
      <c r="J357" s="65" t="n">
        <v>21</v>
      </c>
      <c r="K357" s="66" t="inlineStr">
        <is>
          <t>-</t>
        </is>
      </c>
      <c r="L357" s="65" t="n">
        <v>48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D03</t>
        </is>
      </c>
      <c r="J358" s="141" t="n"/>
      <c r="K358" s="141" t="n"/>
      <c r="L358" s="141" t="n"/>
    </row>
    <row r="359" ht="8" customHeight="1"/>
    <row r="360" ht="20" customHeight="1">
      <c r="A360" s="85" t="inlineStr">
        <is>
          <t>12D</t>
        </is>
      </c>
      <c r="B360" s="8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8" t="inlineStr">
        <is>
          <t>Gara N.</t>
        </is>
      </c>
      <c r="B361" s="88" t="inlineStr">
        <is>
          <t>Squadra A</t>
        </is>
      </c>
      <c r="C361" s="10" t="n"/>
      <c r="D361" s="88" t="inlineStr">
        <is>
          <t>Squadra B</t>
        </is>
      </c>
      <c r="E361" s="10" t="n"/>
      <c r="F361" s="88" t="inlineStr">
        <is>
          <t>Giorno</t>
        </is>
      </c>
      <c r="G361" s="88" t="inlineStr">
        <is>
          <t>Data</t>
        </is>
      </c>
      <c r="H361" s="88" t="inlineStr">
        <is>
          <t>Ora</t>
        </is>
      </c>
      <c r="I361" s="10" t="n"/>
      <c r="J361" s="88" t="inlineStr">
        <is>
          <t>Risultato</t>
        </is>
      </c>
      <c r="K361" s="9" t="n"/>
      <c r="L361" s="10" t="n"/>
    </row>
    <row r="362" ht="24" customHeight="1">
      <c r="A362" s="90">
        <f>MAX(A$10:A361)+1</f>
        <v/>
      </c>
      <c r="B362" s="61">
        <f>IF(C362="","",IFERROR(VLOOKUP(C362,areaNomiBreviSquadre,7,FALSE),""))</f>
        <v/>
      </c>
      <c r="C362" s="62" t="inlineStr">
        <is>
          <t>D02</t>
        </is>
      </c>
      <c r="D362" s="61">
        <f>IF(E362="","",IFERROR(VLOOKUP(E362,areaNomiBreviSquadre,7,FALSE),""))</f>
        <v/>
      </c>
      <c r="E362" s="62" t="inlineStr">
        <is>
          <t>D03</t>
        </is>
      </c>
      <c r="F362" s="63" t="n">
        <v>46390.39583333334</v>
      </c>
      <c r="G362" s="9" t="n"/>
      <c r="H362" s="9" t="n"/>
      <c r="I362" s="10" t="n"/>
      <c r="J362" s="65" t="n">
        <v>60</v>
      </c>
      <c r="K362" s="66" t="inlineStr">
        <is>
          <t>-</t>
        </is>
      </c>
      <c r="L362" s="65" t="n">
        <v>39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D03</t>
        </is>
      </c>
      <c r="J363" s="141" t="n"/>
      <c r="K363" s="141" t="n"/>
      <c r="L363" s="141" t="n"/>
    </row>
    <row r="364" ht="13" customHeight="1">
      <c r="A364" s="88" t="inlineStr">
        <is>
          <t>Gara N.</t>
        </is>
      </c>
      <c r="B364" s="88" t="inlineStr">
        <is>
          <t>Squadra A</t>
        </is>
      </c>
      <c r="C364" s="10" t="n"/>
      <c r="D364" s="88" t="inlineStr">
        <is>
          <t>Squadra B</t>
        </is>
      </c>
      <c r="E364" s="10" t="n"/>
      <c r="F364" s="88" t="inlineStr">
        <is>
          <t>Giorno</t>
        </is>
      </c>
      <c r="G364" s="88" t="inlineStr">
        <is>
          <t>Data</t>
        </is>
      </c>
      <c r="H364" s="88" t="inlineStr">
        <is>
          <t>Ora</t>
        </is>
      </c>
      <c r="I364" s="10" t="n"/>
      <c r="J364" s="88" t="inlineStr">
        <is>
          <t>Risultato</t>
        </is>
      </c>
      <c r="K364" s="9" t="n"/>
      <c r="L364" s="10" t="n"/>
    </row>
    <row r="365" ht="24" customHeight="1">
      <c r="A365" s="90">
        <f>MAX(A$10:A364)+1</f>
        <v/>
      </c>
      <c r="B365" s="61">
        <f>IF(C365="","",IFERROR(VLOOKUP(C365,areaNomiBreviSquadre,7,FALSE),""))</f>
        <v/>
      </c>
      <c r="C365" s="62" t="inlineStr">
        <is>
          <t>D20</t>
        </is>
      </c>
      <c r="D365" s="61">
        <f>IF(E365="","",IFERROR(VLOOKUP(E365,areaNomiBreviSquadre,7,FALSE),""))</f>
        <v/>
      </c>
      <c r="E365" s="62" t="inlineStr">
        <is>
          <t>D12</t>
        </is>
      </c>
      <c r="F365" s="63" t="n">
        <v>46390.45833333334</v>
      </c>
      <c r="G365" s="9" t="n"/>
      <c r="H365" s="9" t="n"/>
      <c r="I365" s="10" t="n"/>
      <c r="J365" s="65" t="n">
        <v>26</v>
      </c>
      <c r="K365" s="66" t="inlineStr">
        <is>
          <t>-</t>
        </is>
      </c>
      <c r="L365" s="65" t="n">
        <v>50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D03</t>
        </is>
      </c>
      <c r="J366" s="141" t="n"/>
      <c r="K366" s="141" t="n"/>
      <c r="L366" s="141" t="n"/>
    </row>
    <row r="367" ht="13" customHeight="1">
      <c r="A367" s="88" t="inlineStr">
        <is>
          <t>Gara N.</t>
        </is>
      </c>
      <c r="B367" s="88" t="inlineStr">
        <is>
          <t>Squadra A</t>
        </is>
      </c>
      <c r="C367" s="10" t="n"/>
      <c r="D367" s="88" t="inlineStr">
        <is>
          <t>Squadra B</t>
        </is>
      </c>
      <c r="E367" s="10" t="n"/>
      <c r="F367" s="88" t="inlineStr">
        <is>
          <t>Giorno</t>
        </is>
      </c>
      <c r="G367" s="88" t="inlineStr">
        <is>
          <t>Data</t>
        </is>
      </c>
      <c r="H367" s="88" t="inlineStr">
        <is>
          <t>Ora</t>
        </is>
      </c>
      <c r="I367" s="10" t="n"/>
      <c r="J367" s="88" t="inlineStr">
        <is>
          <t>Risultato</t>
        </is>
      </c>
      <c r="K367" s="9" t="n"/>
      <c r="L367" s="10" t="n"/>
    </row>
    <row r="368" ht="24" customHeight="1">
      <c r="A368" s="90">
        <f>MAX(A$10:A367)+1</f>
        <v/>
      </c>
      <c r="B368" s="61">
        <f>IF(C368="","",IFERROR(VLOOKUP(C368,areaNomiBreviSquadre,7,FALSE),""))</f>
        <v/>
      </c>
      <c r="C368" s="62" t="inlineStr">
        <is>
          <t>D13</t>
        </is>
      </c>
      <c r="D368" s="61">
        <f>IF(E368="","",IFERROR(VLOOKUP(E368,areaNomiBreviSquadre,7,FALSE),""))</f>
        <v/>
      </c>
      <c r="E368" s="62" t="inlineStr">
        <is>
          <t>D11</t>
        </is>
      </c>
      <c r="F368" s="63" t="n">
        <v>46390.60416666666</v>
      </c>
      <c r="G368" s="9" t="n"/>
      <c r="H368" s="9" t="n"/>
      <c r="I368" s="10" t="n"/>
      <c r="J368" s="65" t="n">
        <v>59</v>
      </c>
      <c r="K368" s="66" t="inlineStr">
        <is>
          <t>-</t>
        </is>
      </c>
      <c r="L368" s="65" t="n">
        <v>70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D03</t>
        </is>
      </c>
      <c r="J369" s="141" t="n"/>
      <c r="K369" s="141" t="n"/>
      <c r="L369" s="141" t="n"/>
    </row>
    <row r="370" ht="13" customHeight="1">
      <c r="A370" s="88" t="inlineStr">
        <is>
          <t>Gara N.</t>
        </is>
      </c>
      <c r="B370" s="88" t="inlineStr">
        <is>
          <t>Squadra A</t>
        </is>
      </c>
      <c r="C370" s="10" t="n"/>
      <c r="D370" s="88" t="inlineStr">
        <is>
          <t>Squadra B</t>
        </is>
      </c>
      <c r="E370" s="10" t="n"/>
      <c r="F370" s="88" t="inlineStr">
        <is>
          <t>Giorno</t>
        </is>
      </c>
      <c r="G370" s="88" t="inlineStr">
        <is>
          <t>Data</t>
        </is>
      </c>
      <c r="H370" s="88" t="inlineStr">
        <is>
          <t>Ora</t>
        </is>
      </c>
      <c r="I370" s="10" t="n"/>
      <c r="J370" s="88" t="inlineStr">
        <is>
          <t>Risultato</t>
        </is>
      </c>
      <c r="K370" s="9" t="n"/>
      <c r="L370" s="10" t="n"/>
    </row>
    <row r="371" ht="24" customHeight="1">
      <c r="A371" s="90">
        <f>MAX(A$10:A370)+1</f>
        <v/>
      </c>
      <c r="B371" s="61">
        <f>IF(C371="","",IFERROR(VLOOKUP(C371,areaNomiBreviSquadre,7,FALSE),""))</f>
        <v/>
      </c>
      <c r="C371" s="62" t="inlineStr">
        <is>
          <t>D10</t>
        </is>
      </c>
      <c r="D371" s="61">
        <f>IF(E371="","",IFERROR(VLOOKUP(E371,areaNomiBreviSquadre,7,FALSE),""))</f>
        <v/>
      </c>
      <c r="E371" s="62" t="inlineStr">
        <is>
          <t>D14</t>
        </is>
      </c>
      <c r="F371" s="63" t="n">
        <v>46390.66666666666</v>
      </c>
      <c r="G371" s="9" t="n"/>
      <c r="H371" s="9" t="n"/>
      <c r="I371" s="10" t="n"/>
      <c r="J371" s="65" t="n">
        <v>39</v>
      </c>
      <c r="K371" s="66" t="inlineStr">
        <is>
          <t>-</t>
        </is>
      </c>
      <c r="L371" s="65" t="n">
        <v>16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D03</t>
        </is>
      </c>
      <c r="J372" s="141" t="n"/>
      <c r="K372" s="141" t="n"/>
      <c r="L372" s="141" t="n"/>
    </row>
    <row r="373" ht="13" customHeight="1">
      <c r="A373" s="88" t="inlineStr">
        <is>
          <t>Gara N.</t>
        </is>
      </c>
      <c r="B373" s="88" t="inlineStr">
        <is>
          <t>Squadra A</t>
        </is>
      </c>
      <c r="C373" s="10" t="n"/>
      <c r="D373" s="88" t="inlineStr">
        <is>
          <t>Squadra B</t>
        </is>
      </c>
      <c r="E373" s="10" t="n"/>
      <c r="F373" s="88" t="inlineStr">
        <is>
          <t>Giorno</t>
        </is>
      </c>
      <c r="G373" s="88" t="inlineStr">
        <is>
          <t>Data</t>
        </is>
      </c>
      <c r="H373" s="88" t="inlineStr">
        <is>
          <t>Ora</t>
        </is>
      </c>
      <c r="I373" s="10" t="n"/>
      <c r="J373" s="88" t="inlineStr">
        <is>
          <t>Risultato</t>
        </is>
      </c>
      <c r="K373" s="9" t="n"/>
      <c r="L373" s="10" t="n"/>
    </row>
    <row r="374" ht="24" customHeight="1">
      <c r="A374" s="90">
        <f>MAX(A$10:A373)+1</f>
        <v/>
      </c>
      <c r="B374" s="61">
        <f>IF(C374="","",IFERROR(VLOOKUP(C374,areaNomiBreviSquadre,7,FALSE),""))</f>
        <v/>
      </c>
      <c r="C374" s="62" t="inlineStr">
        <is>
          <t>D15</t>
        </is>
      </c>
      <c r="D374" s="61">
        <f>IF(E374="","",IFERROR(VLOOKUP(E374,areaNomiBreviSquadre,7,FALSE),""))</f>
        <v/>
      </c>
      <c r="E374" s="62" t="inlineStr">
        <is>
          <t>D09</t>
        </is>
      </c>
      <c r="F374" s="63" t="n">
        <v>46390.72916666666</v>
      </c>
      <c r="G374" s="9" t="n"/>
      <c r="H374" s="9" t="n"/>
      <c r="I374" s="10" t="n"/>
      <c r="J374" s="65" t="n">
        <v>41</v>
      </c>
      <c r="K374" s="66" t="inlineStr">
        <is>
          <t>-</t>
        </is>
      </c>
      <c r="L374" s="65" t="n">
        <v>25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D03</t>
        </is>
      </c>
      <c r="J375" s="141" t="n"/>
      <c r="K375" s="141" t="n"/>
      <c r="L375" s="141" t="n"/>
    </row>
    <row r="376" ht="13" customHeight="1">
      <c r="A376" s="88" t="inlineStr">
        <is>
          <t>Gara N.</t>
        </is>
      </c>
      <c r="B376" s="88" t="inlineStr">
        <is>
          <t>Squadra A</t>
        </is>
      </c>
      <c r="C376" s="10" t="n"/>
      <c r="D376" s="88" t="inlineStr">
        <is>
          <t>Squadra B</t>
        </is>
      </c>
      <c r="E376" s="10" t="n"/>
      <c r="F376" s="88" t="inlineStr">
        <is>
          <t>Giorno</t>
        </is>
      </c>
      <c r="G376" s="88" t="inlineStr">
        <is>
          <t>Data</t>
        </is>
      </c>
      <c r="H376" s="88" t="inlineStr">
        <is>
          <t>Ora</t>
        </is>
      </c>
      <c r="I376" s="10" t="n"/>
      <c r="J376" s="88" t="inlineStr">
        <is>
          <t>Risultato</t>
        </is>
      </c>
      <c r="K376" s="9" t="n"/>
      <c r="L376" s="10" t="n"/>
    </row>
    <row r="377" ht="24" customHeight="1">
      <c r="A377" s="90">
        <f>MAX(A$10:A376)+1</f>
        <v/>
      </c>
      <c r="B377" s="61">
        <f>IF(C377="","",IFERROR(VLOOKUP(C377,areaNomiBreviSquadre,7,FALSE),""))</f>
        <v/>
      </c>
      <c r="C377" s="62" t="inlineStr">
        <is>
          <t>D04</t>
        </is>
      </c>
      <c r="D377" s="61">
        <f>IF(E377="","",IFERROR(VLOOKUP(E377,areaNomiBreviSquadre,7,FALSE),""))</f>
        <v/>
      </c>
      <c r="E377" s="62" t="inlineStr">
        <is>
          <t>D01</t>
        </is>
      </c>
      <c r="F377" s="63" t="n">
        <v>46390.39583333334</v>
      </c>
      <c r="G377" s="9" t="n"/>
      <c r="H377" s="9" t="n"/>
      <c r="I377" s="10" t="n"/>
      <c r="J377" s="65" t="n">
        <v>91</v>
      </c>
      <c r="K377" s="66" t="inlineStr">
        <is>
          <t>-</t>
        </is>
      </c>
      <c r="L377" s="65" t="n">
        <v>65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D04</t>
        </is>
      </c>
      <c r="J378" s="141" t="n"/>
      <c r="K378" s="141" t="n"/>
      <c r="L378" s="141" t="n"/>
    </row>
    <row r="379" ht="13" customHeight="1">
      <c r="A379" s="88" t="inlineStr">
        <is>
          <t>Gara N.</t>
        </is>
      </c>
      <c r="B379" s="88" t="inlineStr">
        <is>
          <t>Squadra A</t>
        </is>
      </c>
      <c r="C379" s="10" t="n"/>
      <c r="D379" s="88" t="inlineStr">
        <is>
          <t>Squadra B</t>
        </is>
      </c>
      <c r="E379" s="10" t="n"/>
      <c r="F379" s="88" t="inlineStr">
        <is>
          <t>Giorno</t>
        </is>
      </c>
      <c r="G379" s="88" t="inlineStr">
        <is>
          <t>Data</t>
        </is>
      </c>
      <c r="H379" s="88" t="inlineStr">
        <is>
          <t>Ora</t>
        </is>
      </c>
      <c r="I379" s="10" t="n"/>
      <c r="J379" s="88" t="inlineStr">
        <is>
          <t>Risultato</t>
        </is>
      </c>
      <c r="K379" s="9" t="n"/>
      <c r="L379" s="10" t="n"/>
    </row>
    <row r="380" ht="24" customHeight="1">
      <c r="A380" s="90">
        <f>MAX(A$10:A379)+1</f>
        <v/>
      </c>
      <c r="B380" s="61">
        <f>IF(C380="","",IFERROR(VLOOKUP(C380,areaNomiBreviSquadre,7,FALSE),""))</f>
        <v/>
      </c>
      <c r="C380" s="62" t="inlineStr">
        <is>
          <t>D08</t>
        </is>
      </c>
      <c r="D380" s="61">
        <f>IF(E380="","",IFERROR(VLOOKUP(E380,areaNomiBreviSquadre,7,FALSE),""))</f>
        <v/>
      </c>
      <c r="E380" s="62" t="inlineStr">
        <is>
          <t>D16</t>
        </is>
      </c>
      <c r="F380" s="63" t="n">
        <v>46390.45833333334</v>
      </c>
      <c r="G380" s="9" t="n"/>
      <c r="H380" s="9" t="n"/>
      <c r="I380" s="10" t="n"/>
      <c r="J380" s="65" t="n">
        <v>56</v>
      </c>
      <c r="K380" s="66" t="inlineStr">
        <is>
          <t>-</t>
        </is>
      </c>
      <c r="L380" s="65" t="n">
        <v>59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D04</t>
        </is>
      </c>
      <c r="J381" s="141" t="n"/>
      <c r="K381" s="141" t="n"/>
      <c r="L381" s="141" t="n"/>
    </row>
    <row r="382" ht="13" customHeight="1">
      <c r="A382" s="88" t="inlineStr">
        <is>
          <t>Gara N.</t>
        </is>
      </c>
      <c r="B382" s="88" t="inlineStr">
        <is>
          <t>Squadra A</t>
        </is>
      </c>
      <c r="C382" s="10" t="n"/>
      <c r="D382" s="88" t="inlineStr">
        <is>
          <t>Squadra B</t>
        </is>
      </c>
      <c r="E382" s="10" t="n"/>
      <c r="F382" s="88" t="inlineStr">
        <is>
          <t>Giorno</t>
        </is>
      </c>
      <c r="G382" s="88" t="inlineStr">
        <is>
          <t>Data</t>
        </is>
      </c>
      <c r="H382" s="88" t="inlineStr">
        <is>
          <t>Ora</t>
        </is>
      </c>
      <c r="I382" s="10" t="n"/>
      <c r="J382" s="88" t="inlineStr">
        <is>
          <t>Risultato</t>
        </is>
      </c>
      <c r="K382" s="9" t="n"/>
      <c r="L382" s="10" t="n"/>
    </row>
    <row r="383" ht="24" customHeight="1">
      <c r="A383" s="90">
        <f>MAX(A$10:A382)+1</f>
        <v/>
      </c>
      <c r="B383" s="61">
        <f>IF(C383="","",IFERROR(VLOOKUP(C383,areaNomiBreviSquadre,7,FALSE),""))</f>
        <v/>
      </c>
      <c r="C383" s="62" t="inlineStr">
        <is>
          <t>D17</t>
        </is>
      </c>
      <c r="D383" s="61">
        <f>IF(E383="","",IFERROR(VLOOKUP(E383,areaNomiBreviSquadre,7,FALSE),""))</f>
        <v/>
      </c>
      <c r="E383" s="62" t="inlineStr">
        <is>
          <t>D07</t>
        </is>
      </c>
      <c r="F383" s="63" t="n">
        <v>46390.60416666666</v>
      </c>
      <c r="G383" s="9" t="n"/>
      <c r="H383" s="9" t="n"/>
      <c r="I383" s="10" t="n"/>
      <c r="J383" s="65" t="n">
        <v>76</v>
      </c>
      <c r="K383" s="66" t="inlineStr">
        <is>
          <t>-</t>
        </is>
      </c>
      <c r="L383" s="65" t="n">
        <v>69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D04</t>
        </is>
      </c>
      <c r="J384" s="141" t="n"/>
      <c r="K384" s="141" t="n"/>
      <c r="L384" s="141" t="n"/>
    </row>
    <row r="385" ht="13" customHeight="1">
      <c r="A385" s="88" t="inlineStr">
        <is>
          <t>Gara N.</t>
        </is>
      </c>
      <c r="B385" s="88" t="inlineStr">
        <is>
          <t>Squadra A</t>
        </is>
      </c>
      <c r="C385" s="10" t="n"/>
      <c r="D385" s="88" t="inlineStr">
        <is>
          <t>Squadra B</t>
        </is>
      </c>
      <c r="E385" s="10" t="n"/>
      <c r="F385" s="88" t="inlineStr">
        <is>
          <t>Giorno</t>
        </is>
      </c>
      <c r="G385" s="88" t="inlineStr">
        <is>
          <t>Data</t>
        </is>
      </c>
      <c r="H385" s="88" t="inlineStr">
        <is>
          <t>Ora</t>
        </is>
      </c>
      <c r="I385" s="10" t="n"/>
      <c r="J385" s="88" t="inlineStr">
        <is>
          <t>Risultato</t>
        </is>
      </c>
      <c r="K385" s="9" t="n"/>
      <c r="L385" s="10" t="n"/>
    </row>
    <row r="386" ht="24" customHeight="1">
      <c r="A386" s="90">
        <f>MAX(A$10:A385)+1</f>
        <v/>
      </c>
      <c r="B386" s="61">
        <f>IF(C386="","",IFERROR(VLOOKUP(C386,areaNomiBreviSquadre,7,FALSE),""))</f>
        <v/>
      </c>
      <c r="C386" s="62" t="inlineStr">
        <is>
          <t>D06</t>
        </is>
      </c>
      <c r="D386" s="61">
        <f>IF(E386="","",IFERROR(VLOOKUP(E386,areaNomiBreviSquadre,7,FALSE),""))</f>
        <v/>
      </c>
      <c r="E386" s="62" t="inlineStr">
        <is>
          <t>D18</t>
        </is>
      </c>
      <c r="F386" s="63" t="n">
        <v>46390.66666666666</v>
      </c>
      <c r="G386" s="9" t="n"/>
      <c r="H386" s="9" t="n"/>
      <c r="I386" s="10" t="n"/>
      <c r="J386" s="65" t="n">
        <v>59</v>
      </c>
      <c r="K386" s="66" t="inlineStr">
        <is>
          <t>-</t>
        </is>
      </c>
      <c r="L386" s="65" t="n">
        <v>40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D04</t>
        </is>
      </c>
      <c r="J387" s="141" t="n"/>
      <c r="K387" s="141" t="n"/>
      <c r="L387" s="141" t="n"/>
    </row>
    <row r="388" ht="13" customHeight="1">
      <c r="A388" s="88" t="inlineStr">
        <is>
          <t>Gara N.</t>
        </is>
      </c>
      <c r="B388" s="88" t="inlineStr">
        <is>
          <t>Squadra A</t>
        </is>
      </c>
      <c r="C388" s="10" t="n"/>
      <c r="D388" s="88" t="inlineStr">
        <is>
          <t>Squadra B</t>
        </is>
      </c>
      <c r="E388" s="10" t="n"/>
      <c r="F388" s="88" t="inlineStr">
        <is>
          <t>Giorno</t>
        </is>
      </c>
      <c r="G388" s="88" t="inlineStr">
        <is>
          <t>Data</t>
        </is>
      </c>
      <c r="H388" s="88" t="inlineStr">
        <is>
          <t>Ora</t>
        </is>
      </c>
      <c r="I388" s="10" t="n"/>
      <c r="J388" s="88" t="inlineStr">
        <is>
          <t>Risultato</t>
        </is>
      </c>
      <c r="K388" s="9" t="n"/>
      <c r="L388" s="10" t="n"/>
    </row>
    <row r="389" ht="24" customHeight="1">
      <c r="A389" s="90">
        <f>MAX(A$10:A388)+1</f>
        <v/>
      </c>
      <c r="B389" s="61">
        <f>IF(C389="","",IFERROR(VLOOKUP(C389,areaNomiBreviSquadre,7,FALSE),""))</f>
        <v/>
      </c>
      <c r="C389" s="62" t="inlineStr">
        <is>
          <t>D19</t>
        </is>
      </c>
      <c r="D389" s="61">
        <f>IF(E389="","",IFERROR(VLOOKUP(E389,areaNomiBreviSquadre,7,FALSE),""))</f>
        <v/>
      </c>
      <c r="E389" s="62" t="inlineStr">
        <is>
          <t>D05</t>
        </is>
      </c>
      <c r="F389" s="63" t="n">
        <v>46390.72916666666</v>
      </c>
      <c r="G389" s="9" t="n"/>
      <c r="H389" s="9" t="n"/>
      <c r="I389" s="10" t="n"/>
      <c r="J389" s="65" t="n">
        <v>60</v>
      </c>
      <c r="K389" s="66" t="inlineStr">
        <is>
          <t>-</t>
        </is>
      </c>
      <c r="L389" s="65" t="n">
        <v>82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D04</t>
        </is>
      </c>
      <c r="J390" s="141" t="n"/>
      <c r="K390" s="141" t="n"/>
      <c r="L390" s="141" t="n"/>
    </row>
    <row r="391" ht="8" customHeight="1"/>
    <row r="392" ht="20" customHeight="1">
      <c r="A392" s="85" t="inlineStr">
        <is>
          <t>13D</t>
        </is>
      </c>
      <c r="B392" s="8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8" t="inlineStr">
        <is>
          <t>Gara N.</t>
        </is>
      </c>
      <c r="B393" s="88" t="inlineStr">
        <is>
          <t>Squadra A</t>
        </is>
      </c>
      <c r="C393" s="10" t="n"/>
      <c r="D393" s="88" t="inlineStr">
        <is>
          <t>Squadra B</t>
        </is>
      </c>
      <c r="E393" s="10" t="n"/>
      <c r="F393" s="88" t="inlineStr">
        <is>
          <t>Giorno</t>
        </is>
      </c>
      <c r="G393" s="88" t="inlineStr">
        <is>
          <t>Data</t>
        </is>
      </c>
      <c r="H393" s="88" t="inlineStr">
        <is>
          <t>Ora</t>
        </is>
      </c>
      <c r="I393" s="10" t="n"/>
      <c r="J393" s="88" t="inlineStr">
        <is>
          <t>Risultato</t>
        </is>
      </c>
      <c r="K393" s="9" t="n"/>
      <c r="L393" s="10" t="n"/>
    </row>
    <row r="394" ht="24" customHeight="1">
      <c r="A394" s="90">
        <f>MAX(A$10:A393)+1</f>
        <v/>
      </c>
      <c r="B394" s="61">
        <f>IF(C394="","",IFERROR(VLOOKUP(C394,areaNomiBreviSquadre,7,FALSE),""))</f>
        <v/>
      </c>
      <c r="C394" s="62" t="inlineStr">
        <is>
          <t>D02</t>
        </is>
      </c>
      <c r="D394" s="61">
        <f>IF(E394="","",IFERROR(VLOOKUP(E394,areaNomiBreviSquadre,7,FALSE),""))</f>
        <v/>
      </c>
      <c r="E394" s="62" t="inlineStr">
        <is>
          <t>D05</t>
        </is>
      </c>
      <c r="F394" s="63" t="n">
        <v>46397.39583333334</v>
      </c>
      <c r="G394" s="9" t="n"/>
      <c r="H394" s="9" t="n"/>
      <c r="I394" s="10" t="n"/>
      <c r="J394" s="65" t="n">
        <v>51</v>
      </c>
      <c r="K394" s="66" t="inlineStr">
        <is>
          <t>-</t>
        </is>
      </c>
      <c r="L394" s="65" t="n">
        <v>24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D05</t>
        </is>
      </c>
      <c r="J395" s="141" t="n"/>
      <c r="K395" s="141" t="n"/>
      <c r="L395" s="141" t="n"/>
    </row>
    <row r="396" ht="13" customHeight="1">
      <c r="A396" s="88" t="inlineStr">
        <is>
          <t>Gara N.</t>
        </is>
      </c>
      <c r="B396" s="88" t="inlineStr">
        <is>
          <t>Squadra A</t>
        </is>
      </c>
      <c r="C396" s="10" t="n"/>
      <c r="D396" s="88" t="inlineStr">
        <is>
          <t>Squadra B</t>
        </is>
      </c>
      <c r="E396" s="10" t="n"/>
      <c r="F396" s="88" t="inlineStr">
        <is>
          <t>Giorno</t>
        </is>
      </c>
      <c r="G396" s="88" t="inlineStr">
        <is>
          <t>Data</t>
        </is>
      </c>
      <c r="H396" s="88" t="inlineStr">
        <is>
          <t>Ora</t>
        </is>
      </c>
      <c r="I396" s="10" t="n"/>
      <c r="J396" s="88" t="inlineStr">
        <is>
          <t>Risultato</t>
        </is>
      </c>
      <c r="K396" s="9" t="n"/>
      <c r="L396" s="10" t="n"/>
    </row>
    <row r="397" ht="24" customHeight="1">
      <c r="A397" s="90">
        <f>MAX(A$10:A396)+1</f>
        <v/>
      </c>
      <c r="B397" s="61">
        <f>IF(C397="","",IFERROR(VLOOKUP(C397,areaNomiBreviSquadre,7,FALSE),""))</f>
        <v/>
      </c>
      <c r="C397" s="62" t="inlineStr">
        <is>
          <t>D13</t>
        </is>
      </c>
      <c r="D397" s="61">
        <f>IF(E397="","",IFERROR(VLOOKUP(E397,areaNomiBreviSquadre,7,FALSE),""))</f>
        <v/>
      </c>
      <c r="E397" s="62" t="inlineStr">
        <is>
          <t>D20</t>
        </is>
      </c>
      <c r="F397" s="63" t="n">
        <v>46397.45833333334</v>
      </c>
      <c r="G397" s="9" t="n"/>
      <c r="H397" s="9" t="n"/>
      <c r="I397" s="10" t="n"/>
      <c r="J397" s="65" t="n">
        <v>64</v>
      </c>
      <c r="K397" s="66" t="inlineStr">
        <is>
          <t>-</t>
        </is>
      </c>
      <c r="L397" s="65" t="n">
        <v>51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D05</t>
        </is>
      </c>
      <c r="J398" s="141" t="n"/>
      <c r="K398" s="141" t="n"/>
      <c r="L398" s="141" t="n"/>
    </row>
    <row r="399" ht="13" customHeight="1">
      <c r="A399" s="88" t="inlineStr">
        <is>
          <t>Gara N.</t>
        </is>
      </c>
      <c r="B399" s="88" t="inlineStr">
        <is>
          <t>Squadra A</t>
        </is>
      </c>
      <c r="C399" s="10" t="n"/>
      <c r="D399" s="88" t="inlineStr">
        <is>
          <t>Squadra B</t>
        </is>
      </c>
      <c r="E399" s="10" t="n"/>
      <c r="F399" s="88" t="inlineStr">
        <is>
          <t>Giorno</t>
        </is>
      </c>
      <c r="G399" s="88" t="inlineStr">
        <is>
          <t>Data</t>
        </is>
      </c>
      <c r="H399" s="88" t="inlineStr">
        <is>
          <t>Ora</t>
        </is>
      </c>
      <c r="I399" s="10" t="n"/>
      <c r="J399" s="88" t="inlineStr">
        <is>
          <t>Risultato</t>
        </is>
      </c>
      <c r="K399" s="9" t="n"/>
      <c r="L399" s="10" t="n"/>
    </row>
    <row r="400" ht="24" customHeight="1">
      <c r="A400" s="90">
        <f>MAX(A$10:A399)+1</f>
        <v/>
      </c>
      <c r="B400" s="61">
        <f>IF(C400="","",IFERROR(VLOOKUP(C400,areaNomiBreviSquadre,7,FALSE),""))</f>
        <v/>
      </c>
      <c r="C400" s="62" t="inlineStr">
        <is>
          <t>D12</t>
        </is>
      </c>
      <c r="D400" s="61">
        <f>IF(E400="","",IFERROR(VLOOKUP(E400,areaNomiBreviSquadre,7,FALSE),""))</f>
        <v/>
      </c>
      <c r="E400" s="62" t="inlineStr">
        <is>
          <t>D14</t>
        </is>
      </c>
      <c r="F400" s="63" t="n">
        <v>46397.60416666666</v>
      </c>
      <c r="G400" s="9" t="n"/>
      <c r="H400" s="9" t="n"/>
      <c r="I400" s="10" t="n"/>
      <c r="J400" s="65" t="n">
        <v>59</v>
      </c>
      <c r="K400" s="66" t="inlineStr">
        <is>
          <t>-</t>
        </is>
      </c>
      <c r="L400" s="65" t="n">
        <v>44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D05</t>
        </is>
      </c>
      <c r="J401" s="141" t="n"/>
      <c r="K401" s="141" t="n"/>
      <c r="L401" s="141" t="n"/>
    </row>
    <row r="402" ht="13" customHeight="1">
      <c r="A402" s="88" t="inlineStr">
        <is>
          <t>Gara N.</t>
        </is>
      </c>
      <c r="B402" s="88" t="inlineStr">
        <is>
          <t>Squadra A</t>
        </is>
      </c>
      <c r="C402" s="10" t="n"/>
      <c r="D402" s="88" t="inlineStr">
        <is>
          <t>Squadra B</t>
        </is>
      </c>
      <c r="E402" s="10" t="n"/>
      <c r="F402" s="88" t="inlineStr">
        <is>
          <t>Giorno</t>
        </is>
      </c>
      <c r="G402" s="88" t="inlineStr">
        <is>
          <t>Data</t>
        </is>
      </c>
      <c r="H402" s="88" t="inlineStr">
        <is>
          <t>Ora</t>
        </is>
      </c>
      <c r="I402" s="10" t="n"/>
      <c r="J402" s="88" t="inlineStr">
        <is>
          <t>Risultato</t>
        </is>
      </c>
      <c r="K402" s="9" t="n"/>
      <c r="L402" s="10" t="n"/>
    </row>
    <row r="403" ht="24" customHeight="1">
      <c r="A403" s="90">
        <f>MAX(A$10:A402)+1</f>
        <v/>
      </c>
      <c r="B403" s="61">
        <f>IF(C403="","",IFERROR(VLOOKUP(C403,areaNomiBreviSquadre,7,FALSE),""))</f>
        <v/>
      </c>
      <c r="C403" s="62" t="inlineStr">
        <is>
          <t>D15</t>
        </is>
      </c>
      <c r="D403" s="61">
        <f>IF(E403="","",IFERROR(VLOOKUP(E403,areaNomiBreviSquadre,7,FALSE),""))</f>
        <v/>
      </c>
      <c r="E403" s="62" t="inlineStr">
        <is>
          <t>D11</t>
        </is>
      </c>
      <c r="F403" s="63" t="n">
        <v>46397.66666666666</v>
      </c>
      <c r="G403" s="9" t="n"/>
      <c r="H403" s="9" t="n"/>
      <c r="I403" s="10" t="n"/>
      <c r="J403" s="65" t="n">
        <v>53</v>
      </c>
      <c r="K403" s="66" t="inlineStr">
        <is>
          <t>-</t>
        </is>
      </c>
      <c r="L403" s="65" t="n">
        <v>80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D05</t>
        </is>
      </c>
      <c r="J404" s="141" t="n"/>
      <c r="K404" s="141" t="n"/>
      <c r="L404" s="141" t="n"/>
    </row>
    <row r="405" ht="13" customHeight="1">
      <c r="A405" s="88" t="inlineStr">
        <is>
          <t>Gara N.</t>
        </is>
      </c>
      <c r="B405" s="88" t="inlineStr">
        <is>
          <t>Squadra A</t>
        </is>
      </c>
      <c r="C405" s="10" t="n"/>
      <c r="D405" s="88" t="inlineStr">
        <is>
          <t>Squadra B</t>
        </is>
      </c>
      <c r="E405" s="10" t="n"/>
      <c r="F405" s="88" t="inlineStr">
        <is>
          <t>Giorno</t>
        </is>
      </c>
      <c r="G405" s="88" t="inlineStr">
        <is>
          <t>Data</t>
        </is>
      </c>
      <c r="H405" s="88" t="inlineStr">
        <is>
          <t>Ora</t>
        </is>
      </c>
      <c r="I405" s="10" t="n"/>
      <c r="J405" s="88" t="inlineStr">
        <is>
          <t>Risultato</t>
        </is>
      </c>
      <c r="K405" s="9" t="n"/>
      <c r="L405" s="10" t="n"/>
    </row>
    <row r="406" ht="24" customHeight="1">
      <c r="A406" s="90">
        <f>MAX(A$10:A405)+1</f>
        <v/>
      </c>
      <c r="B406" s="61">
        <f>IF(C406="","",IFERROR(VLOOKUP(C406,areaNomiBreviSquadre,7,FALSE),""))</f>
        <v/>
      </c>
      <c r="C406" s="62" t="inlineStr">
        <is>
          <t>D10</t>
        </is>
      </c>
      <c r="D406" s="61">
        <f>IF(E406="","",IFERROR(VLOOKUP(E406,areaNomiBreviSquadre,7,FALSE),""))</f>
        <v/>
      </c>
      <c r="E406" s="62" t="inlineStr">
        <is>
          <t>D16</t>
        </is>
      </c>
      <c r="F406" s="63" t="n">
        <v>46397.72916666666</v>
      </c>
      <c r="G406" s="9" t="n"/>
      <c r="H406" s="9" t="n"/>
      <c r="I406" s="10" t="n"/>
      <c r="J406" s="65" t="n">
        <v>31</v>
      </c>
      <c r="K406" s="66" t="inlineStr">
        <is>
          <t>-</t>
        </is>
      </c>
      <c r="L406" s="65" t="n">
        <v>45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D05</t>
        </is>
      </c>
      <c r="J407" s="141" t="n"/>
      <c r="K407" s="141" t="n"/>
      <c r="L407" s="141" t="n"/>
    </row>
    <row r="408" ht="13" customHeight="1">
      <c r="A408" s="88" t="inlineStr">
        <is>
          <t>Gara N.</t>
        </is>
      </c>
      <c r="B408" s="88" t="inlineStr">
        <is>
          <t>Squadra A</t>
        </is>
      </c>
      <c r="C408" s="10" t="n"/>
      <c r="D408" s="88" t="inlineStr">
        <is>
          <t>Squadra B</t>
        </is>
      </c>
      <c r="E408" s="10" t="n"/>
      <c r="F408" s="88" t="inlineStr">
        <is>
          <t>Giorno</t>
        </is>
      </c>
      <c r="G408" s="88" t="inlineStr">
        <is>
          <t>Data</t>
        </is>
      </c>
      <c r="H408" s="88" t="inlineStr">
        <is>
          <t>Ora</t>
        </is>
      </c>
      <c r="I408" s="10" t="n"/>
      <c r="J408" s="88" t="inlineStr">
        <is>
          <t>Risultato</t>
        </is>
      </c>
      <c r="K408" s="9" t="n"/>
      <c r="L408" s="10" t="n"/>
    </row>
    <row r="409" ht="24" customHeight="1">
      <c r="A409" s="90">
        <f>MAX(A$10:A408)+1</f>
        <v/>
      </c>
      <c r="B409" s="61">
        <f>IF(C409="","",IFERROR(VLOOKUP(C409,areaNomiBreviSquadre,7,FALSE),""))</f>
        <v/>
      </c>
      <c r="C409" s="62" t="inlineStr">
        <is>
          <t>D06</t>
        </is>
      </c>
      <c r="D409" s="61">
        <f>IF(E409="","",IFERROR(VLOOKUP(E409,areaNomiBreviSquadre,7,FALSE),""))</f>
        <v/>
      </c>
      <c r="E409" s="62" t="inlineStr">
        <is>
          <t>D01</t>
        </is>
      </c>
      <c r="F409" s="63" t="n">
        <v>46397.39583333334</v>
      </c>
      <c r="G409" s="9" t="n"/>
      <c r="H409" s="9" t="n"/>
      <c r="I409" s="10" t="n"/>
      <c r="J409" s="65" t="n">
        <v>92</v>
      </c>
      <c r="K409" s="66" t="inlineStr">
        <is>
          <t>-</t>
        </is>
      </c>
      <c r="L409" s="65" t="n">
        <v>69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D06</t>
        </is>
      </c>
      <c r="J410" s="141" t="n"/>
      <c r="K410" s="141" t="n"/>
      <c r="L410" s="141" t="n"/>
    </row>
    <row r="411" ht="13" customHeight="1">
      <c r="A411" s="88" t="inlineStr">
        <is>
          <t>Gara N.</t>
        </is>
      </c>
      <c r="B411" s="88" t="inlineStr">
        <is>
          <t>Squadra A</t>
        </is>
      </c>
      <c r="C411" s="10" t="n"/>
      <c r="D411" s="88" t="inlineStr">
        <is>
          <t>Squadra B</t>
        </is>
      </c>
      <c r="E411" s="10" t="n"/>
      <c r="F411" s="88" t="inlineStr">
        <is>
          <t>Giorno</t>
        </is>
      </c>
      <c r="G411" s="88" t="inlineStr">
        <is>
          <t>Data</t>
        </is>
      </c>
      <c r="H411" s="88" t="inlineStr">
        <is>
          <t>Ora</t>
        </is>
      </c>
      <c r="I411" s="10" t="n"/>
      <c r="J411" s="88" t="inlineStr">
        <is>
          <t>Risultato</t>
        </is>
      </c>
      <c r="K411" s="9" t="n"/>
      <c r="L411" s="10" t="n"/>
    </row>
    <row r="412" ht="24" customHeight="1">
      <c r="A412" s="90">
        <f>MAX(A$10:A411)+1</f>
        <v/>
      </c>
      <c r="B412" s="61">
        <f>IF(C412="","",IFERROR(VLOOKUP(C412,areaNomiBreviSquadre,7,FALSE),""))</f>
        <v/>
      </c>
      <c r="C412" s="62" t="inlineStr">
        <is>
          <t>D17</t>
        </is>
      </c>
      <c r="D412" s="61">
        <f>IF(E412="","",IFERROR(VLOOKUP(E412,areaNomiBreviSquadre,7,FALSE),""))</f>
        <v/>
      </c>
      <c r="E412" s="62" t="inlineStr">
        <is>
          <t>D09</t>
        </is>
      </c>
      <c r="F412" s="63" t="n">
        <v>46397.45833333334</v>
      </c>
      <c r="G412" s="9" t="n"/>
      <c r="H412" s="9" t="n"/>
      <c r="I412" s="10" t="n"/>
      <c r="J412" s="65" t="n">
        <v>74</v>
      </c>
      <c r="K412" s="66" t="inlineStr">
        <is>
          <t>-</t>
        </is>
      </c>
      <c r="L412" s="65" t="n">
        <v>85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D06</t>
        </is>
      </c>
      <c r="J413" s="141" t="n"/>
      <c r="K413" s="141" t="n"/>
      <c r="L413" s="141" t="n"/>
    </row>
    <row r="414" ht="13" customHeight="1">
      <c r="A414" s="88" t="inlineStr">
        <is>
          <t>Gara N.</t>
        </is>
      </c>
      <c r="B414" s="88" t="inlineStr">
        <is>
          <t>Squadra A</t>
        </is>
      </c>
      <c r="C414" s="10" t="n"/>
      <c r="D414" s="88" t="inlineStr">
        <is>
          <t>Squadra B</t>
        </is>
      </c>
      <c r="E414" s="10" t="n"/>
      <c r="F414" s="88" t="inlineStr">
        <is>
          <t>Giorno</t>
        </is>
      </c>
      <c r="G414" s="88" t="inlineStr">
        <is>
          <t>Data</t>
        </is>
      </c>
      <c r="H414" s="88" t="inlineStr">
        <is>
          <t>Ora</t>
        </is>
      </c>
      <c r="I414" s="10" t="n"/>
      <c r="J414" s="88" t="inlineStr">
        <is>
          <t>Risultato</t>
        </is>
      </c>
      <c r="K414" s="9" t="n"/>
      <c r="L414" s="10" t="n"/>
    </row>
    <row r="415" ht="24" customHeight="1">
      <c r="A415" s="90">
        <f>MAX(A$10:A414)+1</f>
        <v/>
      </c>
      <c r="B415" s="61">
        <f>IF(C415="","",IFERROR(VLOOKUP(C415,areaNomiBreviSquadre,7,FALSE),""))</f>
        <v/>
      </c>
      <c r="C415" s="62" t="inlineStr">
        <is>
          <t>D08</t>
        </is>
      </c>
      <c r="D415" s="61">
        <f>IF(E415="","",IFERROR(VLOOKUP(E415,areaNomiBreviSquadre,7,FALSE),""))</f>
        <v/>
      </c>
      <c r="E415" s="62" t="inlineStr">
        <is>
          <t>D18</t>
        </is>
      </c>
      <c r="F415" s="63" t="n">
        <v>46397.60416666666</v>
      </c>
      <c r="G415" s="9" t="n"/>
      <c r="H415" s="9" t="n"/>
      <c r="I415" s="10" t="n"/>
      <c r="J415" s="65" t="n">
        <v>70</v>
      </c>
      <c r="K415" s="66" t="inlineStr">
        <is>
          <t>-</t>
        </is>
      </c>
      <c r="L415" s="65" t="n">
        <v>55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D06</t>
        </is>
      </c>
      <c r="J416" s="141" t="n"/>
      <c r="K416" s="141" t="n"/>
      <c r="L416" s="141" t="n"/>
    </row>
    <row r="417" ht="13" customHeight="1">
      <c r="A417" s="88" t="inlineStr">
        <is>
          <t>Gara N.</t>
        </is>
      </c>
      <c r="B417" s="88" t="inlineStr">
        <is>
          <t>Squadra A</t>
        </is>
      </c>
      <c r="C417" s="10" t="n"/>
      <c r="D417" s="88" t="inlineStr">
        <is>
          <t>Squadra B</t>
        </is>
      </c>
      <c r="E417" s="10" t="n"/>
      <c r="F417" s="88" t="inlineStr">
        <is>
          <t>Giorno</t>
        </is>
      </c>
      <c r="G417" s="88" t="inlineStr">
        <is>
          <t>Data</t>
        </is>
      </c>
      <c r="H417" s="88" t="inlineStr">
        <is>
          <t>Ora</t>
        </is>
      </c>
      <c r="I417" s="10" t="n"/>
      <c r="J417" s="88" t="inlineStr">
        <is>
          <t>Risultato</t>
        </is>
      </c>
      <c r="K417" s="9" t="n"/>
      <c r="L417" s="10" t="n"/>
    </row>
    <row r="418" ht="24" customHeight="1">
      <c r="A418" s="90">
        <f>MAX(A$10:A417)+1</f>
        <v/>
      </c>
      <c r="B418" s="61">
        <f>IF(C418="","",IFERROR(VLOOKUP(C418,areaNomiBreviSquadre,7,FALSE),""))</f>
        <v/>
      </c>
      <c r="C418" s="62" t="inlineStr">
        <is>
          <t>D19</t>
        </is>
      </c>
      <c r="D418" s="61">
        <f>IF(E418="","",IFERROR(VLOOKUP(E418,areaNomiBreviSquadre,7,FALSE),""))</f>
        <v/>
      </c>
      <c r="E418" s="62" t="inlineStr">
        <is>
          <t>D07</t>
        </is>
      </c>
      <c r="F418" s="63" t="n">
        <v>46397.66666666666</v>
      </c>
      <c r="G418" s="9" t="n"/>
      <c r="H418" s="9" t="n"/>
      <c r="I418" s="10" t="n"/>
      <c r="J418" s="65" t="n">
        <v>47</v>
      </c>
      <c r="K418" s="66" t="inlineStr">
        <is>
          <t>-</t>
        </is>
      </c>
      <c r="L418" s="65" t="n">
        <v>20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D06</t>
        </is>
      </c>
      <c r="J419" s="141" t="n"/>
      <c r="K419" s="141" t="n"/>
      <c r="L419" s="141" t="n"/>
    </row>
    <row r="420" ht="13" customHeight="1">
      <c r="A420" s="88" t="inlineStr">
        <is>
          <t>Gara N.</t>
        </is>
      </c>
      <c r="B420" s="88" t="inlineStr">
        <is>
          <t>Squadra A</t>
        </is>
      </c>
      <c r="C420" s="10" t="n"/>
      <c r="D420" s="88" t="inlineStr">
        <is>
          <t>Squadra B</t>
        </is>
      </c>
      <c r="E420" s="10" t="n"/>
      <c r="F420" s="88" t="inlineStr">
        <is>
          <t>Giorno</t>
        </is>
      </c>
      <c r="G420" s="88" t="inlineStr">
        <is>
          <t>Data</t>
        </is>
      </c>
      <c r="H420" s="88" t="inlineStr">
        <is>
          <t>Ora</t>
        </is>
      </c>
      <c r="I420" s="10" t="n"/>
      <c r="J420" s="88" t="inlineStr">
        <is>
          <t>Risultato</t>
        </is>
      </c>
      <c r="K420" s="9" t="n"/>
      <c r="L420" s="10" t="n"/>
    </row>
    <row r="421" ht="24" customHeight="1">
      <c r="A421" s="90">
        <f>MAX(A$10:A420)+1</f>
        <v/>
      </c>
      <c r="B421" s="61">
        <f>IF(C421="","",IFERROR(VLOOKUP(C421,areaNomiBreviSquadre,7,FALSE),""))</f>
        <v/>
      </c>
      <c r="C421" s="62" t="inlineStr">
        <is>
          <t>D04</t>
        </is>
      </c>
      <c r="D421" s="61">
        <f>IF(E421="","",IFERROR(VLOOKUP(E421,areaNomiBreviSquadre,7,FALSE),""))</f>
        <v/>
      </c>
      <c r="E421" s="62" t="inlineStr">
        <is>
          <t>D03</t>
        </is>
      </c>
      <c r="F421" s="63" t="n">
        <v>46397.72916666666</v>
      </c>
      <c r="G421" s="9" t="n"/>
      <c r="H421" s="9" t="n"/>
      <c r="I421" s="10" t="n"/>
      <c r="J421" s="65" t="n">
        <v>66</v>
      </c>
      <c r="K421" s="66" t="inlineStr">
        <is>
          <t>-</t>
        </is>
      </c>
      <c r="L421" s="65" t="n">
        <v>91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D06</t>
        </is>
      </c>
      <c r="J422" s="141" t="n"/>
      <c r="K422" s="141" t="n"/>
      <c r="L422" s="141" t="n"/>
    </row>
    <row r="423" ht="8" customHeight="1"/>
    <row r="424" ht="20" customHeight="1">
      <c r="A424" s="85" t="inlineStr">
        <is>
          <t>14D</t>
        </is>
      </c>
      <c r="B424" s="8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8" t="inlineStr">
        <is>
          <t>Gara N.</t>
        </is>
      </c>
      <c r="B425" s="88" t="inlineStr">
        <is>
          <t>Squadra A</t>
        </is>
      </c>
      <c r="C425" s="10" t="n"/>
      <c r="D425" s="88" t="inlineStr">
        <is>
          <t>Squadra B</t>
        </is>
      </c>
      <c r="E425" s="10" t="n"/>
      <c r="F425" s="88" t="inlineStr">
        <is>
          <t>Giorno</t>
        </is>
      </c>
      <c r="G425" s="88" t="inlineStr">
        <is>
          <t>Data</t>
        </is>
      </c>
      <c r="H425" s="88" t="inlineStr">
        <is>
          <t>Ora</t>
        </is>
      </c>
      <c r="I425" s="10" t="n"/>
      <c r="J425" s="88" t="inlineStr">
        <is>
          <t>Risultato</t>
        </is>
      </c>
      <c r="K425" s="9" t="n"/>
      <c r="L425" s="10" t="n"/>
    </row>
    <row r="426" ht="24" customHeight="1">
      <c r="A426" s="90">
        <f>MAX(A$10:A425)+1</f>
        <v/>
      </c>
      <c r="B426" s="61">
        <f>IF(C426="","",IFERROR(VLOOKUP(C426,areaNomiBreviSquadre,7,FALSE),""))</f>
        <v/>
      </c>
      <c r="C426" s="62" t="inlineStr">
        <is>
          <t>D02</t>
        </is>
      </c>
      <c r="D426" s="61">
        <f>IF(E426="","",IFERROR(VLOOKUP(E426,areaNomiBreviSquadre,7,FALSE),""))</f>
        <v/>
      </c>
      <c r="E426" s="62" t="inlineStr">
        <is>
          <t>D07</t>
        </is>
      </c>
      <c r="F426" s="63" t="n">
        <v>46404.39583333334</v>
      </c>
      <c r="G426" s="9" t="n"/>
      <c r="H426" s="9" t="n"/>
      <c r="I426" s="10" t="n"/>
      <c r="J426" s="65" t="n">
        <v>48</v>
      </c>
      <c r="K426" s="66" t="inlineStr">
        <is>
          <t>-</t>
        </is>
      </c>
      <c r="L426" s="65" t="n">
        <v>37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D07</t>
        </is>
      </c>
      <c r="J427" s="141" t="n"/>
      <c r="K427" s="141" t="n"/>
      <c r="L427" s="141" t="n"/>
    </row>
    <row r="428" ht="13" customHeight="1">
      <c r="A428" s="88" t="inlineStr">
        <is>
          <t>Gara N.</t>
        </is>
      </c>
      <c r="B428" s="88" t="inlineStr">
        <is>
          <t>Squadra A</t>
        </is>
      </c>
      <c r="C428" s="10" t="n"/>
      <c r="D428" s="88" t="inlineStr">
        <is>
          <t>Squadra B</t>
        </is>
      </c>
      <c r="E428" s="10" t="n"/>
      <c r="F428" s="88" t="inlineStr">
        <is>
          <t>Giorno</t>
        </is>
      </c>
      <c r="G428" s="88" t="inlineStr">
        <is>
          <t>Data</t>
        </is>
      </c>
      <c r="H428" s="88" t="inlineStr">
        <is>
          <t>Ora</t>
        </is>
      </c>
      <c r="I428" s="10" t="n"/>
      <c r="J428" s="88" t="inlineStr">
        <is>
          <t>Risultato</t>
        </is>
      </c>
      <c r="K428" s="9" t="n"/>
      <c r="L428" s="10" t="n"/>
    </row>
    <row r="429" ht="24" customHeight="1">
      <c r="A429" s="90">
        <f>MAX(A$10:A428)+1</f>
        <v/>
      </c>
      <c r="B429" s="61">
        <f>IF(C429="","",IFERROR(VLOOKUP(C429,areaNomiBreviSquadre,7,FALSE),""))</f>
        <v/>
      </c>
      <c r="C429" s="62" t="inlineStr">
        <is>
          <t>D20</t>
        </is>
      </c>
      <c r="D429" s="61">
        <f>IF(E429="","",IFERROR(VLOOKUP(E429,areaNomiBreviSquadre,7,FALSE),""))</f>
        <v/>
      </c>
      <c r="E429" s="62" t="inlineStr">
        <is>
          <t>D14</t>
        </is>
      </c>
      <c r="F429" s="63" t="n">
        <v>46404.45833333334</v>
      </c>
      <c r="G429" s="9" t="n"/>
      <c r="H429" s="9" t="n"/>
      <c r="I429" s="10" t="n"/>
      <c r="J429" s="65" t="n">
        <v>55</v>
      </c>
      <c r="K429" s="66" t="inlineStr">
        <is>
          <t>-</t>
        </is>
      </c>
      <c r="L429" s="65" t="n">
        <v>31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D07</t>
        </is>
      </c>
      <c r="J430" s="141" t="n"/>
      <c r="K430" s="141" t="n"/>
      <c r="L430" s="141" t="n"/>
    </row>
    <row r="431" ht="13" customHeight="1">
      <c r="A431" s="88" t="inlineStr">
        <is>
          <t>Gara N.</t>
        </is>
      </c>
      <c r="B431" s="88" t="inlineStr">
        <is>
          <t>Squadra A</t>
        </is>
      </c>
      <c r="C431" s="10" t="n"/>
      <c r="D431" s="88" t="inlineStr">
        <is>
          <t>Squadra B</t>
        </is>
      </c>
      <c r="E431" s="10" t="n"/>
      <c r="F431" s="88" t="inlineStr">
        <is>
          <t>Giorno</t>
        </is>
      </c>
      <c r="G431" s="88" t="inlineStr">
        <is>
          <t>Data</t>
        </is>
      </c>
      <c r="H431" s="88" t="inlineStr">
        <is>
          <t>Ora</t>
        </is>
      </c>
      <c r="I431" s="10" t="n"/>
      <c r="J431" s="88" t="inlineStr">
        <is>
          <t>Risultato</t>
        </is>
      </c>
      <c r="K431" s="9" t="n"/>
      <c r="L431" s="10" t="n"/>
    </row>
    <row r="432" ht="24" customHeight="1">
      <c r="A432" s="90">
        <f>MAX(A$10:A431)+1</f>
        <v/>
      </c>
      <c r="B432" s="61">
        <f>IF(C432="","",IFERROR(VLOOKUP(C432,areaNomiBreviSquadre,7,FALSE),""))</f>
        <v/>
      </c>
      <c r="C432" s="62" t="inlineStr">
        <is>
          <t>D15</t>
        </is>
      </c>
      <c r="D432" s="61">
        <f>IF(E432="","",IFERROR(VLOOKUP(E432,areaNomiBreviSquadre,7,FALSE),""))</f>
        <v/>
      </c>
      <c r="E432" s="62" t="inlineStr">
        <is>
          <t>D13</t>
        </is>
      </c>
      <c r="F432" s="63" t="n">
        <v>46404.60416666666</v>
      </c>
      <c r="G432" s="9" t="n"/>
      <c r="H432" s="9" t="n"/>
      <c r="I432" s="10" t="n"/>
      <c r="J432" s="65" t="n">
        <v>40</v>
      </c>
      <c r="K432" s="66" t="inlineStr">
        <is>
          <t>-</t>
        </is>
      </c>
      <c r="L432" s="65" t="n">
        <v>66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D07</t>
        </is>
      </c>
      <c r="J433" s="141" t="n"/>
      <c r="K433" s="141" t="n"/>
      <c r="L433" s="141" t="n"/>
    </row>
    <row r="434" ht="13" customHeight="1">
      <c r="A434" s="88" t="inlineStr">
        <is>
          <t>Gara N.</t>
        </is>
      </c>
      <c r="B434" s="88" t="inlineStr">
        <is>
          <t>Squadra A</t>
        </is>
      </c>
      <c r="C434" s="10" t="n"/>
      <c r="D434" s="88" t="inlineStr">
        <is>
          <t>Squadra B</t>
        </is>
      </c>
      <c r="E434" s="10" t="n"/>
      <c r="F434" s="88" t="inlineStr">
        <is>
          <t>Giorno</t>
        </is>
      </c>
      <c r="G434" s="88" t="inlineStr">
        <is>
          <t>Data</t>
        </is>
      </c>
      <c r="H434" s="88" t="inlineStr">
        <is>
          <t>Ora</t>
        </is>
      </c>
      <c r="I434" s="10" t="n"/>
      <c r="J434" s="88" t="inlineStr">
        <is>
          <t>Risultato</t>
        </is>
      </c>
      <c r="K434" s="9" t="n"/>
      <c r="L434" s="10" t="n"/>
    </row>
    <row r="435" ht="24" customHeight="1">
      <c r="A435" s="90">
        <f>MAX(A$10:A434)+1</f>
        <v/>
      </c>
      <c r="B435" s="61">
        <f>IF(C435="","",IFERROR(VLOOKUP(C435,areaNomiBreviSquadre,7,FALSE),""))</f>
        <v/>
      </c>
      <c r="C435" s="62" t="inlineStr">
        <is>
          <t>D12</t>
        </is>
      </c>
      <c r="D435" s="61">
        <f>IF(E435="","",IFERROR(VLOOKUP(E435,areaNomiBreviSquadre,7,FALSE),""))</f>
        <v/>
      </c>
      <c r="E435" s="62" t="inlineStr">
        <is>
          <t>D16</t>
        </is>
      </c>
      <c r="F435" s="63" t="n">
        <v>46404.66666666666</v>
      </c>
      <c r="G435" s="9" t="n"/>
      <c r="H435" s="9" t="n"/>
      <c r="I435" s="10" t="n"/>
      <c r="J435" s="65" t="n">
        <v>42</v>
      </c>
      <c r="K435" s="66" t="inlineStr">
        <is>
          <t>-</t>
        </is>
      </c>
      <c r="L435" s="65" t="n">
        <v>23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D07</t>
        </is>
      </c>
      <c r="J436" s="141" t="n"/>
      <c r="K436" s="141" t="n"/>
      <c r="L436" s="141" t="n"/>
    </row>
    <row r="437" ht="13" customHeight="1">
      <c r="A437" s="88" t="inlineStr">
        <is>
          <t>Gara N.</t>
        </is>
      </c>
      <c r="B437" s="88" t="inlineStr">
        <is>
          <t>Squadra A</t>
        </is>
      </c>
      <c r="C437" s="10" t="n"/>
      <c r="D437" s="88" t="inlineStr">
        <is>
          <t>Squadra B</t>
        </is>
      </c>
      <c r="E437" s="10" t="n"/>
      <c r="F437" s="88" t="inlineStr">
        <is>
          <t>Giorno</t>
        </is>
      </c>
      <c r="G437" s="88" t="inlineStr">
        <is>
          <t>Data</t>
        </is>
      </c>
      <c r="H437" s="88" t="inlineStr">
        <is>
          <t>Ora</t>
        </is>
      </c>
      <c r="I437" s="10" t="n"/>
      <c r="J437" s="88" t="inlineStr">
        <is>
          <t>Risultato</t>
        </is>
      </c>
      <c r="K437" s="9" t="n"/>
      <c r="L437" s="10" t="n"/>
    </row>
    <row r="438" ht="24" customHeight="1">
      <c r="A438" s="90">
        <f>MAX(A$10:A437)+1</f>
        <v/>
      </c>
      <c r="B438" s="61">
        <f>IF(C438="","",IFERROR(VLOOKUP(C438,areaNomiBreviSquadre,7,FALSE),""))</f>
        <v/>
      </c>
      <c r="C438" s="62" t="inlineStr">
        <is>
          <t>D17</t>
        </is>
      </c>
      <c r="D438" s="61">
        <f>IF(E438="","",IFERROR(VLOOKUP(E438,areaNomiBreviSquadre,7,FALSE),""))</f>
        <v/>
      </c>
      <c r="E438" s="62" t="inlineStr">
        <is>
          <t>D11</t>
        </is>
      </c>
      <c r="F438" s="63" t="n">
        <v>46404.72916666666</v>
      </c>
      <c r="G438" s="9" t="n"/>
      <c r="H438" s="9" t="n"/>
      <c r="I438" s="10" t="n"/>
      <c r="J438" s="65" t="n">
        <v>48</v>
      </c>
      <c r="K438" s="66" t="inlineStr">
        <is>
          <t>-</t>
        </is>
      </c>
      <c r="L438" s="65" t="n">
        <v>31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D07</t>
        </is>
      </c>
      <c r="J439" s="141" t="n"/>
      <c r="K439" s="141" t="n"/>
      <c r="L439" s="141" t="n"/>
    </row>
    <row r="440" ht="13" customHeight="1">
      <c r="A440" s="88" t="inlineStr">
        <is>
          <t>Gara N.</t>
        </is>
      </c>
      <c r="B440" s="88" t="inlineStr">
        <is>
          <t>Squadra A</t>
        </is>
      </c>
      <c r="C440" s="10" t="n"/>
      <c r="D440" s="88" t="inlineStr">
        <is>
          <t>Squadra B</t>
        </is>
      </c>
      <c r="E440" s="10" t="n"/>
      <c r="F440" s="88" t="inlineStr">
        <is>
          <t>Giorno</t>
        </is>
      </c>
      <c r="G440" s="88" t="inlineStr">
        <is>
          <t>Data</t>
        </is>
      </c>
      <c r="H440" s="88" t="inlineStr">
        <is>
          <t>Ora</t>
        </is>
      </c>
      <c r="I440" s="10" t="n"/>
      <c r="J440" s="88" t="inlineStr">
        <is>
          <t>Risultato</t>
        </is>
      </c>
      <c r="K440" s="9" t="n"/>
      <c r="L440" s="10" t="n"/>
    </row>
    <row r="441" ht="24" customHeight="1">
      <c r="A441" s="90">
        <f>MAX(A$10:A440)+1</f>
        <v/>
      </c>
      <c r="B441" s="61">
        <f>IF(C441="","",IFERROR(VLOOKUP(C441,areaNomiBreviSquadre,7,FALSE),""))</f>
        <v/>
      </c>
      <c r="C441" s="62" t="inlineStr">
        <is>
          <t>D08</t>
        </is>
      </c>
      <c r="D441" s="61">
        <f>IF(E441="","",IFERROR(VLOOKUP(E441,areaNomiBreviSquadre,7,FALSE),""))</f>
        <v/>
      </c>
      <c r="E441" s="62" t="inlineStr">
        <is>
          <t>D01</t>
        </is>
      </c>
      <c r="F441" s="63" t="n">
        <v>46404.39583333334</v>
      </c>
      <c r="G441" s="9" t="n"/>
      <c r="H441" s="9" t="n"/>
      <c r="I441" s="10" t="n"/>
      <c r="J441" s="65" t="n">
        <v>62</v>
      </c>
      <c r="K441" s="66" t="inlineStr">
        <is>
          <t>-</t>
        </is>
      </c>
      <c r="L441" s="65" t="n">
        <v>51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D08</t>
        </is>
      </c>
      <c r="J442" s="141" t="n"/>
      <c r="K442" s="141" t="n"/>
      <c r="L442" s="141" t="n"/>
    </row>
    <row r="443" ht="13" customHeight="1">
      <c r="A443" s="88" t="inlineStr">
        <is>
          <t>Gara N.</t>
        </is>
      </c>
      <c r="B443" s="88" t="inlineStr">
        <is>
          <t>Squadra A</t>
        </is>
      </c>
      <c r="C443" s="10" t="n"/>
      <c r="D443" s="88" t="inlineStr">
        <is>
          <t>Squadra B</t>
        </is>
      </c>
      <c r="E443" s="10" t="n"/>
      <c r="F443" s="88" t="inlineStr">
        <is>
          <t>Giorno</t>
        </is>
      </c>
      <c r="G443" s="88" t="inlineStr">
        <is>
          <t>Data</t>
        </is>
      </c>
      <c r="H443" s="88" t="inlineStr">
        <is>
          <t>Ora</t>
        </is>
      </c>
      <c r="I443" s="10" t="n"/>
      <c r="J443" s="88" t="inlineStr">
        <is>
          <t>Risultato</t>
        </is>
      </c>
      <c r="K443" s="9" t="n"/>
      <c r="L443" s="10" t="n"/>
    </row>
    <row r="444" ht="24" customHeight="1">
      <c r="A444" s="90">
        <f>MAX(A$10:A443)+1</f>
        <v/>
      </c>
      <c r="B444" s="61">
        <f>IF(C444="","",IFERROR(VLOOKUP(C444,areaNomiBreviSquadre,7,FALSE),""))</f>
        <v/>
      </c>
      <c r="C444" s="62" t="inlineStr">
        <is>
          <t>D10</t>
        </is>
      </c>
      <c r="D444" s="61">
        <f>IF(E444="","",IFERROR(VLOOKUP(E444,areaNomiBreviSquadre,7,FALSE),""))</f>
        <v/>
      </c>
      <c r="E444" s="62" t="inlineStr">
        <is>
          <t>D18</t>
        </is>
      </c>
      <c r="F444" s="63" t="n">
        <v>46404.45833333334</v>
      </c>
      <c r="G444" s="9" t="n"/>
      <c r="H444" s="9" t="n"/>
      <c r="I444" s="10" t="n"/>
      <c r="J444" s="65" t="n">
        <v>50</v>
      </c>
      <c r="K444" s="66" t="inlineStr">
        <is>
          <t>-</t>
        </is>
      </c>
      <c r="L444" s="65" t="n">
        <v>59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D08</t>
        </is>
      </c>
      <c r="J445" s="141" t="n"/>
      <c r="K445" s="141" t="n"/>
      <c r="L445" s="141" t="n"/>
    </row>
    <row r="446" ht="13" customHeight="1">
      <c r="A446" s="88" t="inlineStr">
        <is>
          <t>Gara N.</t>
        </is>
      </c>
      <c r="B446" s="88" t="inlineStr">
        <is>
          <t>Squadra A</t>
        </is>
      </c>
      <c r="C446" s="10" t="n"/>
      <c r="D446" s="88" t="inlineStr">
        <is>
          <t>Squadra B</t>
        </is>
      </c>
      <c r="E446" s="10" t="n"/>
      <c r="F446" s="88" t="inlineStr">
        <is>
          <t>Giorno</t>
        </is>
      </c>
      <c r="G446" s="88" t="inlineStr">
        <is>
          <t>Data</t>
        </is>
      </c>
      <c r="H446" s="88" t="inlineStr">
        <is>
          <t>Ora</t>
        </is>
      </c>
      <c r="I446" s="10" t="n"/>
      <c r="J446" s="88" t="inlineStr">
        <is>
          <t>Risultato</t>
        </is>
      </c>
      <c r="K446" s="9" t="n"/>
      <c r="L446" s="10" t="n"/>
    </row>
    <row r="447" ht="24" customHeight="1">
      <c r="A447" s="90">
        <f>MAX(A$10:A446)+1</f>
        <v/>
      </c>
      <c r="B447" s="61">
        <f>IF(C447="","",IFERROR(VLOOKUP(C447,areaNomiBreviSquadre,7,FALSE),""))</f>
        <v/>
      </c>
      <c r="C447" s="62" t="inlineStr">
        <is>
          <t>D19</t>
        </is>
      </c>
      <c r="D447" s="61">
        <f>IF(E447="","",IFERROR(VLOOKUP(E447,areaNomiBreviSquadre,7,FALSE),""))</f>
        <v/>
      </c>
      <c r="E447" s="62" t="inlineStr">
        <is>
          <t>D09</t>
        </is>
      </c>
      <c r="F447" s="63" t="n">
        <v>46404.60416666666</v>
      </c>
      <c r="G447" s="9" t="n"/>
      <c r="H447" s="9" t="n"/>
      <c r="I447" s="10" t="n"/>
      <c r="J447" s="65" t="n">
        <v>79</v>
      </c>
      <c r="K447" s="66" t="inlineStr">
        <is>
          <t>-</t>
        </is>
      </c>
      <c r="L447" s="65" t="n">
        <v>61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D08</t>
        </is>
      </c>
      <c r="J448" s="141" t="n"/>
      <c r="K448" s="141" t="n"/>
      <c r="L448" s="141" t="n"/>
    </row>
    <row r="449" ht="13" customHeight="1">
      <c r="A449" s="88" t="inlineStr">
        <is>
          <t>Gara N.</t>
        </is>
      </c>
      <c r="B449" s="88" t="inlineStr">
        <is>
          <t>Squadra A</t>
        </is>
      </c>
      <c r="C449" s="10" t="n"/>
      <c r="D449" s="88" t="inlineStr">
        <is>
          <t>Squadra B</t>
        </is>
      </c>
      <c r="E449" s="10" t="n"/>
      <c r="F449" s="88" t="inlineStr">
        <is>
          <t>Giorno</t>
        </is>
      </c>
      <c r="G449" s="88" t="inlineStr">
        <is>
          <t>Data</t>
        </is>
      </c>
      <c r="H449" s="88" t="inlineStr">
        <is>
          <t>Ora</t>
        </is>
      </c>
      <c r="I449" s="10" t="n"/>
      <c r="J449" s="88" t="inlineStr">
        <is>
          <t>Risultato</t>
        </is>
      </c>
      <c r="K449" s="9" t="n"/>
      <c r="L449" s="10" t="n"/>
    </row>
    <row r="450" ht="24" customHeight="1">
      <c r="A450" s="90">
        <f>MAX(A$10:A449)+1</f>
        <v/>
      </c>
      <c r="B450" s="61">
        <f>IF(C450="","",IFERROR(VLOOKUP(C450,areaNomiBreviSquadre,7,FALSE),""))</f>
        <v/>
      </c>
      <c r="C450" s="62" t="inlineStr">
        <is>
          <t>D06</t>
        </is>
      </c>
      <c r="D450" s="61">
        <f>IF(E450="","",IFERROR(VLOOKUP(E450,areaNomiBreviSquadre,7,FALSE),""))</f>
        <v/>
      </c>
      <c r="E450" s="62" t="inlineStr">
        <is>
          <t>D03</t>
        </is>
      </c>
      <c r="F450" s="63" t="n">
        <v>46404.66666666666</v>
      </c>
      <c r="G450" s="9" t="n"/>
      <c r="H450" s="9" t="n"/>
      <c r="I450" s="10" t="n"/>
      <c r="J450" s="65" t="n">
        <v>41</v>
      </c>
      <c r="K450" s="66" t="inlineStr">
        <is>
          <t>-</t>
        </is>
      </c>
      <c r="L450" s="65" t="n">
        <v>44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D08</t>
        </is>
      </c>
      <c r="J451" s="141" t="n"/>
      <c r="K451" s="141" t="n"/>
      <c r="L451" s="141" t="n"/>
    </row>
    <row r="452" ht="13" customHeight="1">
      <c r="A452" s="88" t="inlineStr">
        <is>
          <t>Gara N.</t>
        </is>
      </c>
      <c r="B452" s="88" t="inlineStr">
        <is>
          <t>Squadra A</t>
        </is>
      </c>
      <c r="C452" s="10" t="n"/>
      <c r="D452" s="88" t="inlineStr">
        <is>
          <t>Squadra B</t>
        </is>
      </c>
      <c r="E452" s="10" t="n"/>
      <c r="F452" s="88" t="inlineStr">
        <is>
          <t>Giorno</t>
        </is>
      </c>
      <c r="G452" s="88" t="inlineStr">
        <is>
          <t>Data</t>
        </is>
      </c>
      <c r="H452" s="88" t="inlineStr">
        <is>
          <t>Ora</t>
        </is>
      </c>
      <c r="I452" s="10" t="n"/>
      <c r="J452" s="88" t="inlineStr">
        <is>
          <t>Risultato</t>
        </is>
      </c>
      <c r="K452" s="9" t="n"/>
      <c r="L452" s="10" t="n"/>
    </row>
    <row r="453" ht="24" customHeight="1">
      <c r="A453" s="90">
        <f>MAX(A$10:A452)+1</f>
        <v/>
      </c>
      <c r="B453" s="61">
        <f>IF(C453="","",IFERROR(VLOOKUP(C453,areaNomiBreviSquadre,7,FALSE),""))</f>
        <v/>
      </c>
      <c r="C453" s="62" t="inlineStr">
        <is>
          <t>D04</t>
        </is>
      </c>
      <c r="D453" s="61">
        <f>IF(E453="","",IFERROR(VLOOKUP(E453,areaNomiBreviSquadre,7,FALSE),""))</f>
        <v/>
      </c>
      <c r="E453" s="62" t="inlineStr">
        <is>
          <t>D05</t>
        </is>
      </c>
      <c r="F453" s="63" t="n">
        <v>46404.72916666666</v>
      </c>
      <c r="G453" s="9" t="n"/>
      <c r="H453" s="9" t="n"/>
      <c r="I453" s="10" t="n"/>
      <c r="J453" s="65" t="n">
        <v>61</v>
      </c>
      <c r="K453" s="66" t="inlineStr">
        <is>
          <t>-</t>
        </is>
      </c>
      <c r="L453" s="65" t="n">
        <v>74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D08</t>
        </is>
      </c>
      <c r="J454" s="141" t="n"/>
      <c r="K454" s="141" t="n"/>
      <c r="L454" s="141" t="n"/>
    </row>
    <row r="455" ht="8" customHeight="1"/>
    <row r="456" ht="20" customHeight="1">
      <c r="A456" s="85" t="inlineStr">
        <is>
          <t>15D</t>
        </is>
      </c>
      <c r="B456" s="8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8" t="inlineStr">
        <is>
          <t>Gara N.</t>
        </is>
      </c>
      <c r="B457" s="88" t="inlineStr">
        <is>
          <t>Squadra A</t>
        </is>
      </c>
      <c r="C457" s="10" t="n"/>
      <c r="D457" s="88" t="inlineStr">
        <is>
          <t>Squadra B</t>
        </is>
      </c>
      <c r="E457" s="10" t="n"/>
      <c r="F457" s="88" t="inlineStr">
        <is>
          <t>Giorno</t>
        </is>
      </c>
      <c r="G457" s="88" t="inlineStr">
        <is>
          <t>Data</t>
        </is>
      </c>
      <c r="H457" s="88" t="inlineStr">
        <is>
          <t>Ora</t>
        </is>
      </c>
      <c r="I457" s="10" t="n"/>
      <c r="J457" s="88" t="inlineStr">
        <is>
          <t>Risultato</t>
        </is>
      </c>
      <c r="K457" s="9" t="n"/>
      <c r="L457" s="10" t="n"/>
    </row>
    <row r="458" ht="24" customHeight="1">
      <c r="A458" s="90">
        <f>MAX(A$10:A457)+1</f>
        <v/>
      </c>
      <c r="B458" s="61">
        <f>IF(C458="","",IFERROR(VLOOKUP(C458,areaNomiBreviSquadre,7,FALSE),""))</f>
        <v/>
      </c>
      <c r="C458" s="62" t="inlineStr">
        <is>
          <t>D02</t>
        </is>
      </c>
      <c r="D458" s="61">
        <f>IF(E458="","",IFERROR(VLOOKUP(E458,areaNomiBreviSquadre,7,FALSE),""))</f>
        <v/>
      </c>
      <c r="E458" s="62" t="inlineStr">
        <is>
          <t>D09</t>
        </is>
      </c>
      <c r="F458" s="63" t="n">
        <v>46411.39583333334</v>
      </c>
      <c r="G458" s="9" t="n"/>
      <c r="H458" s="9" t="n"/>
      <c r="I458" s="10" t="n"/>
      <c r="J458" s="65" t="n">
        <v>86</v>
      </c>
      <c r="K458" s="66" t="inlineStr">
        <is>
          <t>-</t>
        </is>
      </c>
      <c r="L458" s="65" t="n">
        <v>80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D09</t>
        </is>
      </c>
      <c r="J459" s="141" t="n"/>
      <c r="K459" s="141" t="n"/>
      <c r="L459" s="141" t="n"/>
    </row>
    <row r="460" ht="13" customHeight="1">
      <c r="A460" s="88" t="inlineStr">
        <is>
          <t>Gara N.</t>
        </is>
      </c>
      <c r="B460" s="88" t="inlineStr">
        <is>
          <t>Squadra A</t>
        </is>
      </c>
      <c r="C460" s="10" t="n"/>
      <c r="D460" s="88" t="inlineStr">
        <is>
          <t>Squadra B</t>
        </is>
      </c>
      <c r="E460" s="10" t="n"/>
      <c r="F460" s="88" t="inlineStr">
        <is>
          <t>Giorno</t>
        </is>
      </c>
      <c r="G460" s="88" t="inlineStr">
        <is>
          <t>Data</t>
        </is>
      </c>
      <c r="H460" s="88" t="inlineStr">
        <is>
          <t>Ora</t>
        </is>
      </c>
      <c r="I460" s="10" t="n"/>
      <c r="J460" s="88" t="inlineStr">
        <is>
          <t>Risultato</t>
        </is>
      </c>
      <c r="K460" s="9" t="n"/>
      <c r="L460" s="10" t="n"/>
    </row>
    <row r="461" ht="24" customHeight="1">
      <c r="A461" s="90">
        <f>MAX(A$10:A460)+1</f>
        <v/>
      </c>
      <c r="B461" s="61">
        <f>IF(C461="","",IFERROR(VLOOKUP(C461,areaNomiBreviSquadre,7,FALSE),""))</f>
        <v/>
      </c>
      <c r="C461" s="62" t="inlineStr">
        <is>
          <t>D15</t>
        </is>
      </c>
      <c r="D461" s="61">
        <f>IF(E461="","",IFERROR(VLOOKUP(E461,areaNomiBreviSquadre,7,FALSE),""))</f>
        <v/>
      </c>
      <c r="E461" s="62" t="inlineStr">
        <is>
          <t>D20</t>
        </is>
      </c>
      <c r="F461" s="63" t="n">
        <v>46411.45833333334</v>
      </c>
      <c r="G461" s="9" t="n"/>
      <c r="H461" s="9" t="n"/>
      <c r="I461" s="10" t="n"/>
      <c r="J461" s="65" t="n">
        <v>50</v>
      </c>
      <c r="K461" s="66" t="inlineStr">
        <is>
          <t>-</t>
        </is>
      </c>
      <c r="L461" s="65" t="n">
        <v>25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D09</t>
        </is>
      </c>
      <c r="J462" s="141" t="n"/>
      <c r="K462" s="141" t="n"/>
      <c r="L462" s="141" t="n"/>
    </row>
    <row r="463" ht="13" customHeight="1">
      <c r="A463" s="88" t="inlineStr">
        <is>
          <t>Gara N.</t>
        </is>
      </c>
      <c r="B463" s="88" t="inlineStr">
        <is>
          <t>Squadra A</t>
        </is>
      </c>
      <c r="C463" s="10" t="n"/>
      <c r="D463" s="88" t="inlineStr">
        <is>
          <t>Squadra B</t>
        </is>
      </c>
      <c r="E463" s="10" t="n"/>
      <c r="F463" s="88" t="inlineStr">
        <is>
          <t>Giorno</t>
        </is>
      </c>
      <c r="G463" s="88" t="inlineStr">
        <is>
          <t>Data</t>
        </is>
      </c>
      <c r="H463" s="88" t="inlineStr">
        <is>
          <t>Ora</t>
        </is>
      </c>
      <c r="I463" s="10" t="n"/>
      <c r="J463" s="88" t="inlineStr">
        <is>
          <t>Risultato</t>
        </is>
      </c>
      <c r="K463" s="9" t="n"/>
      <c r="L463" s="10" t="n"/>
    </row>
    <row r="464" ht="24" customHeight="1">
      <c r="A464" s="90">
        <f>MAX(A$10:A463)+1</f>
        <v/>
      </c>
      <c r="B464" s="61">
        <f>IF(C464="","",IFERROR(VLOOKUP(C464,areaNomiBreviSquadre,7,FALSE),""))</f>
        <v/>
      </c>
      <c r="C464" s="62" t="inlineStr">
        <is>
          <t>D14</t>
        </is>
      </c>
      <c r="D464" s="61">
        <f>IF(E464="","",IFERROR(VLOOKUP(E464,areaNomiBreviSquadre,7,FALSE),""))</f>
        <v/>
      </c>
      <c r="E464" s="62" t="inlineStr">
        <is>
          <t>D16</t>
        </is>
      </c>
      <c r="F464" s="63" t="n">
        <v>46411.60416666666</v>
      </c>
      <c r="G464" s="9" t="n"/>
      <c r="H464" s="9" t="n"/>
      <c r="I464" s="10" t="n"/>
      <c r="J464" s="65" t="n">
        <v>44</v>
      </c>
      <c r="K464" s="66" t="inlineStr">
        <is>
          <t>-</t>
        </is>
      </c>
      <c r="L464" s="65" t="n">
        <v>34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D09</t>
        </is>
      </c>
      <c r="J465" s="141" t="n"/>
      <c r="K465" s="141" t="n"/>
      <c r="L465" s="141" t="n"/>
    </row>
    <row r="466" ht="13" customHeight="1">
      <c r="A466" s="88" t="inlineStr">
        <is>
          <t>Gara N.</t>
        </is>
      </c>
      <c r="B466" s="88" t="inlineStr">
        <is>
          <t>Squadra A</t>
        </is>
      </c>
      <c r="C466" s="10" t="n"/>
      <c r="D466" s="88" t="inlineStr">
        <is>
          <t>Squadra B</t>
        </is>
      </c>
      <c r="E466" s="10" t="n"/>
      <c r="F466" s="88" t="inlineStr">
        <is>
          <t>Giorno</t>
        </is>
      </c>
      <c r="G466" s="88" t="inlineStr">
        <is>
          <t>Data</t>
        </is>
      </c>
      <c r="H466" s="88" t="inlineStr">
        <is>
          <t>Ora</t>
        </is>
      </c>
      <c r="I466" s="10" t="n"/>
      <c r="J466" s="88" t="inlineStr">
        <is>
          <t>Risultato</t>
        </is>
      </c>
      <c r="K466" s="9" t="n"/>
      <c r="L466" s="10" t="n"/>
    </row>
    <row r="467" ht="24" customHeight="1">
      <c r="A467" s="90">
        <f>MAX(A$10:A466)+1</f>
        <v/>
      </c>
      <c r="B467" s="61">
        <f>IF(C467="","",IFERROR(VLOOKUP(C467,areaNomiBreviSquadre,7,FALSE),""))</f>
        <v/>
      </c>
      <c r="C467" s="62" t="inlineStr">
        <is>
          <t>D17</t>
        </is>
      </c>
      <c r="D467" s="61">
        <f>IF(E467="","",IFERROR(VLOOKUP(E467,areaNomiBreviSquadre,7,FALSE),""))</f>
        <v/>
      </c>
      <c r="E467" s="62" t="inlineStr">
        <is>
          <t>D13</t>
        </is>
      </c>
      <c r="F467" s="63" t="n">
        <v>46411.66666666666</v>
      </c>
      <c r="G467" s="9" t="n"/>
      <c r="H467" s="9" t="n"/>
      <c r="I467" s="10" t="n"/>
      <c r="J467" s="65" t="n">
        <v>47</v>
      </c>
      <c r="K467" s="66" t="inlineStr">
        <is>
          <t>-</t>
        </is>
      </c>
      <c r="L467" s="65" t="n">
        <v>42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D09</t>
        </is>
      </c>
      <c r="J468" s="141" t="n"/>
      <c r="K468" s="141" t="n"/>
      <c r="L468" s="141" t="n"/>
    </row>
    <row r="469" ht="13" customHeight="1">
      <c r="A469" s="88" t="inlineStr">
        <is>
          <t>Gara N.</t>
        </is>
      </c>
      <c r="B469" s="88" t="inlineStr">
        <is>
          <t>Squadra A</t>
        </is>
      </c>
      <c r="C469" s="10" t="n"/>
      <c r="D469" s="88" t="inlineStr">
        <is>
          <t>Squadra B</t>
        </is>
      </c>
      <c r="E469" s="10" t="n"/>
      <c r="F469" s="88" t="inlineStr">
        <is>
          <t>Giorno</t>
        </is>
      </c>
      <c r="G469" s="88" t="inlineStr">
        <is>
          <t>Data</t>
        </is>
      </c>
      <c r="H469" s="88" t="inlineStr">
        <is>
          <t>Ora</t>
        </is>
      </c>
      <c r="I469" s="10" t="n"/>
      <c r="J469" s="88" t="inlineStr">
        <is>
          <t>Risultato</t>
        </is>
      </c>
      <c r="K469" s="9" t="n"/>
      <c r="L469" s="10" t="n"/>
    </row>
    <row r="470" ht="24" customHeight="1">
      <c r="A470" s="90">
        <f>MAX(A$10:A469)+1</f>
        <v/>
      </c>
      <c r="B470" s="61">
        <f>IF(C470="","",IFERROR(VLOOKUP(C470,areaNomiBreviSquadre,7,FALSE),""))</f>
        <v/>
      </c>
      <c r="C470" s="62" t="inlineStr">
        <is>
          <t>D12</t>
        </is>
      </c>
      <c r="D470" s="61">
        <f>IF(E470="","",IFERROR(VLOOKUP(E470,areaNomiBreviSquadre,7,FALSE),""))</f>
        <v/>
      </c>
      <c r="E470" s="62" t="inlineStr">
        <is>
          <t>D18</t>
        </is>
      </c>
      <c r="F470" s="63" t="n">
        <v>46411.72916666666</v>
      </c>
      <c r="G470" s="9" t="n"/>
      <c r="H470" s="9" t="n"/>
      <c r="I470" s="10" t="n"/>
      <c r="J470" s="65" t="n">
        <v>74</v>
      </c>
      <c r="K470" s="66" t="inlineStr">
        <is>
          <t>-</t>
        </is>
      </c>
      <c r="L470" s="65" t="n">
        <v>61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D09</t>
        </is>
      </c>
      <c r="J471" s="141" t="n"/>
      <c r="K471" s="141" t="n"/>
      <c r="L471" s="141" t="n"/>
    </row>
    <row r="472" ht="13" customHeight="1">
      <c r="A472" s="88" t="inlineStr">
        <is>
          <t>Gara N.</t>
        </is>
      </c>
      <c r="B472" s="88" t="inlineStr">
        <is>
          <t>Squadra A</t>
        </is>
      </c>
      <c r="C472" s="10" t="n"/>
      <c r="D472" s="88" t="inlineStr">
        <is>
          <t>Squadra B</t>
        </is>
      </c>
      <c r="E472" s="10" t="n"/>
      <c r="F472" s="88" t="inlineStr">
        <is>
          <t>Giorno</t>
        </is>
      </c>
      <c r="G472" s="88" t="inlineStr">
        <is>
          <t>Data</t>
        </is>
      </c>
      <c r="H472" s="88" t="inlineStr">
        <is>
          <t>Ora</t>
        </is>
      </c>
      <c r="I472" s="10" t="n"/>
      <c r="J472" s="88" t="inlineStr">
        <is>
          <t>Risultato</t>
        </is>
      </c>
      <c r="K472" s="9" t="n"/>
      <c r="L472" s="10" t="n"/>
    </row>
    <row r="473" ht="24" customHeight="1">
      <c r="A473" s="90">
        <f>MAX(A$10:A472)+1</f>
        <v/>
      </c>
      <c r="B473" s="61">
        <f>IF(C473="","",IFERROR(VLOOKUP(C473,areaNomiBreviSquadre,7,FALSE),""))</f>
        <v/>
      </c>
      <c r="C473" s="62" t="inlineStr">
        <is>
          <t>D10</t>
        </is>
      </c>
      <c r="D473" s="61">
        <f>IF(E473="","",IFERROR(VLOOKUP(E473,areaNomiBreviSquadre,7,FALSE),""))</f>
        <v/>
      </c>
      <c r="E473" s="62" t="inlineStr">
        <is>
          <t>D01</t>
        </is>
      </c>
      <c r="F473" s="63" t="n">
        <v>46411.39583333334</v>
      </c>
      <c r="G473" s="9" t="n"/>
      <c r="H473" s="9" t="n"/>
      <c r="I473" s="10" t="n"/>
      <c r="J473" s="65" t="n">
        <v>70</v>
      </c>
      <c r="K473" s="66" t="inlineStr">
        <is>
          <t>-</t>
        </is>
      </c>
      <c r="L473" s="65" t="n">
        <v>59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D10</t>
        </is>
      </c>
      <c r="J474" s="141" t="n"/>
      <c r="K474" s="141" t="n"/>
      <c r="L474" s="141" t="n"/>
    </row>
    <row r="475" ht="13" customHeight="1">
      <c r="A475" s="88" t="inlineStr">
        <is>
          <t>Gara N.</t>
        </is>
      </c>
      <c r="B475" s="88" t="inlineStr">
        <is>
          <t>Squadra A</t>
        </is>
      </c>
      <c r="C475" s="10" t="n"/>
      <c r="D475" s="88" t="inlineStr">
        <is>
          <t>Squadra B</t>
        </is>
      </c>
      <c r="E475" s="10" t="n"/>
      <c r="F475" s="88" t="inlineStr">
        <is>
          <t>Giorno</t>
        </is>
      </c>
      <c r="G475" s="88" t="inlineStr">
        <is>
          <t>Data</t>
        </is>
      </c>
      <c r="H475" s="88" t="inlineStr">
        <is>
          <t>Ora</t>
        </is>
      </c>
      <c r="I475" s="10" t="n"/>
      <c r="J475" s="88" t="inlineStr">
        <is>
          <t>Risultato</t>
        </is>
      </c>
      <c r="K475" s="9" t="n"/>
      <c r="L475" s="10" t="n"/>
    </row>
    <row r="476" ht="24" customHeight="1">
      <c r="A476" s="90">
        <f>MAX(A$10:A475)+1</f>
        <v/>
      </c>
      <c r="B476" s="61">
        <f>IF(C476="","",IFERROR(VLOOKUP(C476,areaNomiBreviSquadre,7,FALSE),""))</f>
        <v/>
      </c>
      <c r="C476" s="62" t="inlineStr">
        <is>
          <t>D19</t>
        </is>
      </c>
      <c r="D476" s="61">
        <f>IF(E476="","",IFERROR(VLOOKUP(E476,areaNomiBreviSquadre,7,FALSE),""))</f>
        <v/>
      </c>
      <c r="E476" s="62" t="inlineStr">
        <is>
          <t>D11</t>
        </is>
      </c>
      <c r="F476" s="63" t="n">
        <v>46411.45833333334</v>
      </c>
      <c r="G476" s="9" t="n"/>
      <c r="H476" s="9" t="n"/>
      <c r="I476" s="10" t="n"/>
      <c r="J476" s="65" t="n">
        <v>67</v>
      </c>
      <c r="K476" s="66" t="inlineStr">
        <is>
          <t>-</t>
        </is>
      </c>
      <c r="L476" s="65" t="n">
        <v>82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D10</t>
        </is>
      </c>
      <c r="J477" s="141" t="n"/>
      <c r="K477" s="141" t="n"/>
      <c r="L477" s="141" t="n"/>
    </row>
    <row r="478" ht="13" customHeight="1">
      <c r="A478" s="88" t="inlineStr">
        <is>
          <t>Gara N.</t>
        </is>
      </c>
      <c r="B478" s="88" t="inlineStr">
        <is>
          <t>Squadra A</t>
        </is>
      </c>
      <c r="C478" s="10" t="n"/>
      <c r="D478" s="88" t="inlineStr">
        <is>
          <t>Squadra B</t>
        </is>
      </c>
      <c r="E478" s="10" t="n"/>
      <c r="F478" s="88" t="inlineStr">
        <is>
          <t>Giorno</t>
        </is>
      </c>
      <c r="G478" s="88" t="inlineStr">
        <is>
          <t>Data</t>
        </is>
      </c>
      <c r="H478" s="88" t="inlineStr">
        <is>
          <t>Ora</t>
        </is>
      </c>
      <c r="I478" s="10" t="n"/>
      <c r="J478" s="88" t="inlineStr">
        <is>
          <t>Risultato</t>
        </is>
      </c>
      <c r="K478" s="9" t="n"/>
      <c r="L478" s="10" t="n"/>
    </row>
    <row r="479" ht="24" customHeight="1">
      <c r="A479" s="90">
        <f>MAX(A$10:A478)+1</f>
        <v/>
      </c>
      <c r="B479" s="61">
        <f>IF(C479="","",IFERROR(VLOOKUP(C479,areaNomiBreviSquadre,7,FALSE),""))</f>
        <v/>
      </c>
      <c r="C479" s="62" t="inlineStr">
        <is>
          <t>D08</t>
        </is>
      </c>
      <c r="D479" s="61">
        <f>IF(E479="","",IFERROR(VLOOKUP(E479,areaNomiBreviSquadre,7,FALSE),""))</f>
        <v/>
      </c>
      <c r="E479" s="62" t="inlineStr">
        <is>
          <t>D03</t>
        </is>
      </c>
      <c r="F479" s="63" t="n">
        <v>46411.60416666666</v>
      </c>
      <c r="G479" s="9" t="n"/>
      <c r="H479" s="9" t="n"/>
      <c r="I479" s="10" t="n"/>
      <c r="J479" s="65" t="n">
        <v>64</v>
      </c>
      <c r="K479" s="66" t="inlineStr">
        <is>
          <t>-</t>
        </is>
      </c>
      <c r="L479" s="65" t="n">
        <v>81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D10</t>
        </is>
      </c>
      <c r="J480" s="141" t="n"/>
      <c r="K480" s="141" t="n"/>
      <c r="L480" s="141" t="n"/>
    </row>
    <row r="481" ht="13" customHeight="1">
      <c r="A481" s="88" t="inlineStr">
        <is>
          <t>Gara N.</t>
        </is>
      </c>
      <c r="B481" s="88" t="inlineStr">
        <is>
          <t>Squadra A</t>
        </is>
      </c>
      <c r="C481" s="10" t="n"/>
      <c r="D481" s="88" t="inlineStr">
        <is>
          <t>Squadra B</t>
        </is>
      </c>
      <c r="E481" s="10" t="n"/>
      <c r="F481" s="88" t="inlineStr">
        <is>
          <t>Giorno</t>
        </is>
      </c>
      <c r="G481" s="88" t="inlineStr">
        <is>
          <t>Data</t>
        </is>
      </c>
      <c r="H481" s="88" t="inlineStr">
        <is>
          <t>Ora</t>
        </is>
      </c>
      <c r="I481" s="10" t="n"/>
      <c r="J481" s="88" t="inlineStr">
        <is>
          <t>Risultato</t>
        </is>
      </c>
      <c r="K481" s="9" t="n"/>
      <c r="L481" s="10" t="n"/>
    </row>
    <row r="482" ht="24" customHeight="1">
      <c r="A482" s="90">
        <f>MAX(A$10:A481)+1</f>
        <v/>
      </c>
      <c r="B482" s="61">
        <f>IF(C482="","",IFERROR(VLOOKUP(C482,areaNomiBreviSquadre,7,FALSE),""))</f>
        <v/>
      </c>
      <c r="C482" s="62" t="inlineStr">
        <is>
          <t>D04</t>
        </is>
      </c>
      <c r="D482" s="61">
        <f>IF(E482="","",IFERROR(VLOOKUP(E482,areaNomiBreviSquadre,7,FALSE),""))</f>
        <v/>
      </c>
      <c r="E482" s="62" t="inlineStr">
        <is>
          <t>D07</t>
        </is>
      </c>
      <c r="F482" s="63" t="n">
        <v>46411.66666666666</v>
      </c>
      <c r="G482" s="9" t="n"/>
      <c r="H482" s="9" t="n"/>
      <c r="I482" s="10" t="n"/>
      <c r="J482" s="65" t="n">
        <v>61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D10</t>
        </is>
      </c>
      <c r="J483" s="141" t="n"/>
      <c r="K483" s="141" t="n"/>
      <c r="L483" s="141" t="n"/>
    </row>
    <row r="484" ht="13" customHeight="1">
      <c r="A484" s="88" t="inlineStr">
        <is>
          <t>Gara N.</t>
        </is>
      </c>
      <c r="B484" s="88" t="inlineStr">
        <is>
          <t>Squadra A</t>
        </is>
      </c>
      <c r="C484" s="10" t="n"/>
      <c r="D484" s="88" t="inlineStr">
        <is>
          <t>Squadra B</t>
        </is>
      </c>
      <c r="E484" s="10" t="n"/>
      <c r="F484" s="88" t="inlineStr">
        <is>
          <t>Giorno</t>
        </is>
      </c>
      <c r="G484" s="88" t="inlineStr">
        <is>
          <t>Data</t>
        </is>
      </c>
      <c r="H484" s="88" t="inlineStr">
        <is>
          <t>Ora</t>
        </is>
      </c>
      <c r="I484" s="10" t="n"/>
      <c r="J484" s="88" t="inlineStr">
        <is>
          <t>Risultato</t>
        </is>
      </c>
      <c r="K484" s="9" t="n"/>
      <c r="L484" s="10" t="n"/>
    </row>
    <row r="485" ht="24" customHeight="1">
      <c r="A485" s="90">
        <f>MAX(A$10:A484)+1</f>
        <v/>
      </c>
      <c r="B485" s="61">
        <f>IF(C485="","",IFERROR(VLOOKUP(C485,areaNomiBreviSquadre,7,FALSE),""))</f>
        <v/>
      </c>
      <c r="C485" s="62" t="inlineStr">
        <is>
          <t>D06</t>
        </is>
      </c>
      <c r="D485" s="61">
        <f>IF(E485="","",IFERROR(VLOOKUP(E485,areaNomiBreviSquadre,7,FALSE),""))</f>
        <v/>
      </c>
      <c r="E485" s="62" t="inlineStr">
        <is>
          <t>D05</t>
        </is>
      </c>
      <c r="F485" s="63" t="n">
        <v>46411.72916666666</v>
      </c>
      <c r="G485" s="9" t="n"/>
      <c r="H485" s="9" t="n"/>
      <c r="I485" s="10" t="n"/>
      <c r="J485" s="65" t="n">
        <v>47</v>
      </c>
      <c r="K485" s="66" t="inlineStr">
        <is>
          <t>-</t>
        </is>
      </c>
      <c r="L485" s="65" t="n">
        <v>56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D10</t>
        </is>
      </c>
      <c r="J486" s="141" t="n"/>
      <c r="K486" s="141" t="n"/>
      <c r="L486" s="141" t="n"/>
    </row>
    <row r="487" ht="8" customHeight="1"/>
    <row r="488" ht="20" customHeight="1">
      <c r="A488" s="85" t="inlineStr">
        <is>
          <t>16D</t>
        </is>
      </c>
      <c r="B488" s="8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8" t="inlineStr">
        <is>
          <t>Gara N.</t>
        </is>
      </c>
      <c r="B489" s="88" t="inlineStr">
        <is>
          <t>Squadra A</t>
        </is>
      </c>
      <c r="C489" s="10" t="n"/>
      <c r="D489" s="88" t="inlineStr">
        <is>
          <t>Squadra B</t>
        </is>
      </c>
      <c r="E489" s="10" t="n"/>
      <c r="F489" s="88" t="inlineStr">
        <is>
          <t>Giorno</t>
        </is>
      </c>
      <c r="G489" s="88" t="inlineStr">
        <is>
          <t>Data</t>
        </is>
      </c>
      <c r="H489" s="88" t="inlineStr">
        <is>
          <t>Ora</t>
        </is>
      </c>
      <c r="I489" s="10" t="n"/>
      <c r="J489" s="88" t="inlineStr">
        <is>
          <t>Risultato</t>
        </is>
      </c>
      <c r="K489" s="9" t="n"/>
      <c r="L489" s="10" t="n"/>
    </row>
    <row r="490" ht="24" customHeight="1">
      <c r="A490" s="90">
        <f>MAX(A$10:A489)+1</f>
        <v/>
      </c>
      <c r="B490" s="61">
        <f>IF(C490="","",IFERROR(VLOOKUP(C490,areaNomiBreviSquadre,7,FALSE),""))</f>
        <v/>
      </c>
      <c r="C490" s="62" t="inlineStr">
        <is>
          <t>D02</t>
        </is>
      </c>
      <c r="D490" s="61">
        <f>IF(E490="","",IFERROR(VLOOKUP(E490,areaNomiBreviSquadre,7,FALSE),""))</f>
        <v/>
      </c>
      <c r="E490" s="62" t="inlineStr">
        <is>
          <t>D11</t>
        </is>
      </c>
      <c r="F490" s="63" t="n">
        <v>46418.39583333334</v>
      </c>
      <c r="G490" s="9" t="n"/>
      <c r="H490" s="9" t="n"/>
      <c r="I490" s="10" t="n"/>
      <c r="J490" s="65" t="n">
        <v>34</v>
      </c>
      <c r="K490" s="66" t="inlineStr">
        <is>
          <t>-</t>
        </is>
      </c>
      <c r="L490" s="65" t="n">
        <v>61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D11</t>
        </is>
      </c>
      <c r="J491" s="141" t="n"/>
      <c r="K491" s="141" t="n"/>
      <c r="L491" s="141" t="n"/>
    </row>
    <row r="492" ht="13" customHeight="1">
      <c r="A492" s="88" t="inlineStr">
        <is>
          <t>Gara N.</t>
        </is>
      </c>
      <c r="B492" s="88" t="inlineStr">
        <is>
          <t>Squadra A</t>
        </is>
      </c>
      <c r="C492" s="10" t="n"/>
      <c r="D492" s="88" t="inlineStr">
        <is>
          <t>Squadra B</t>
        </is>
      </c>
      <c r="E492" s="10" t="n"/>
      <c r="F492" s="88" t="inlineStr">
        <is>
          <t>Giorno</t>
        </is>
      </c>
      <c r="G492" s="88" t="inlineStr">
        <is>
          <t>Data</t>
        </is>
      </c>
      <c r="H492" s="88" t="inlineStr">
        <is>
          <t>Ora</t>
        </is>
      </c>
      <c r="I492" s="10" t="n"/>
      <c r="J492" s="88" t="inlineStr">
        <is>
          <t>Risultato</t>
        </is>
      </c>
      <c r="K492" s="9" t="n"/>
      <c r="L492" s="10" t="n"/>
    </row>
    <row r="493" ht="24" customHeight="1">
      <c r="A493" s="90">
        <f>MAX(A$10:A492)+1</f>
        <v/>
      </c>
      <c r="B493" s="61">
        <f>IF(C493="","",IFERROR(VLOOKUP(C493,areaNomiBreviSquadre,7,FALSE),""))</f>
        <v/>
      </c>
      <c r="C493" s="62" t="inlineStr">
        <is>
          <t>D20</t>
        </is>
      </c>
      <c r="D493" s="61">
        <f>IF(E493="","",IFERROR(VLOOKUP(E493,areaNomiBreviSquadre,7,FALSE),""))</f>
        <v/>
      </c>
      <c r="E493" s="62" t="inlineStr">
        <is>
          <t>D16</t>
        </is>
      </c>
      <c r="F493" s="63" t="n">
        <v>46418.45833333334</v>
      </c>
      <c r="G493" s="9" t="n"/>
      <c r="H493" s="9" t="n"/>
      <c r="I493" s="10" t="n"/>
      <c r="J493" s="65" t="n">
        <v>67</v>
      </c>
      <c r="K493" s="66" t="inlineStr">
        <is>
          <t>-</t>
        </is>
      </c>
      <c r="L493" s="65" t="n">
        <v>90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D11</t>
        </is>
      </c>
      <c r="J494" s="141" t="n"/>
      <c r="K494" s="141" t="n"/>
      <c r="L494" s="141" t="n"/>
    </row>
    <row r="495" ht="13" customHeight="1">
      <c r="A495" s="88" t="inlineStr">
        <is>
          <t>Gara N.</t>
        </is>
      </c>
      <c r="B495" s="88" t="inlineStr">
        <is>
          <t>Squadra A</t>
        </is>
      </c>
      <c r="C495" s="10" t="n"/>
      <c r="D495" s="88" t="inlineStr">
        <is>
          <t>Squadra B</t>
        </is>
      </c>
      <c r="E495" s="10" t="n"/>
      <c r="F495" s="88" t="inlineStr">
        <is>
          <t>Giorno</t>
        </is>
      </c>
      <c r="G495" s="88" t="inlineStr">
        <is>
          <t>Data</t>
        </is>
      </c>
      <c r="H495" s="88" t="inlineStr">
        <is>
          <t>Ora</t>
        </is>
      </c>
      <c r="I495" s="10" t="n"/>
      <c r="J495" s="88" t="inlineStr">
        <is>
          <t>Risultato</t>
        </is>
      </c>
      <c r="K495" s="9" t="n"/>
      <c r="L495" s="10" t="n"/>
    </row>
    <row r="496" ht="24" customHeight="1">
      <c r="A496" s="90">
        <f>MAX(A$10:A495)+1</f>
        <v/>
      </c>
      <c r="B496" s="61">
        <f>IF(C496="","",IFERROR(VLOOKUP(C496,areaNomiBreviSquadre,7,FALSE),""))</f>
        <v/>
      </c>
      <c r="C496" s="62" t="inlineStr">
        <is>
          <t>D17</t>
        </is>
      </c>
      <c r="D496" s="61">
        <f>IF(E496="","",IFERROR(VLOOKUP(E496,areaNomiBreviSquadre,7,FALSE),""))</f>
        <v/>
      </c>
      <c r="E496" s="62" t="inlineStr">
        <is>
          <t>D15</t>
        </is>
      </c>
      <c r="F496" s="63" t="n">
        <v>46418.60416666666</v>
      </c>
      <c r="G496" s="9" t="n"/>
      <c r="H496" s="9" t="n"/>
      <c r="I496" s="10" t="n"/>
      <c r="J496" s="65" t="n">
        <v>62</v>
      </c>
      <c r="K496" s="66" t="inlineStr">
        <is>
          <t>-</t>
        </is>
      </c>
      <c r="L496" s="65" t="n">
        <v>82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D11</t>
        </is>
      </c>
      <c r="J497" s="141" t="n"/>
      <c r="K497" s="141" t="n"/>
      <c r="L497" s="141" t="n"/>
    </row>
    <row r="498" ht="13" customHeight="1">
      <c r="A498" s="88" t="inlineStr">
        <is>
          <t>Gara N.</t>
        </is>
      </c>
      <c r="B498" s="88" t="inlineStr">
        <is>
          <t>Squadra A</t>
        </is>
      </c>
      <c r="C498" s="10" t="n"/>
      <c r="D498" s="88" t="inlineStr">
        <is>
          <t>Squadra B</t>
        </is>
      </c>
      <c r="E498" s="10" t="n"/>
      <c r="F498" s="88" t="inlineStr">
        <is>
          <t>Giorno</t>
        </is>
      </c>
      <c r="G498" s="88" t="inlineStr">
        <is>
          <t>Data</t>
        </is>
      </c>
      <c r="H498" s="88" t="inlineStr">
        <is>
          <t>Ora</t>
        </is>
      </c>
      <c r="I498" s="10" t="n"/>
      <c r="J498" s="88" t="inlineStr">
        <is>
          <t>Risultato</t>
        </is>
      </c>
      <c r="K498" s="9" t="n"/>
      <c r="L498" s="10" t="n"/>
    </row>
    <row r="499" ht="24" customHeight="1">
      <c r="A499" s="90">
        <f>MAX(A$10:A498)+1</f>
        <v/>
      </c>
      <c r="B499" s="61">
        <f>IF(C499="","",IFERROR(VLOOKUP(C499,areaNomiBreviSquadre,7,FALSE),""))</f>
        <v/>
      </c>
      <c r="C499" s="62" t="inlineStr">
        <is>
          <t>D14</t>
        </is>
      </c>
      <c r="D499" s="61">
        <f>IF(E499="","",IFERROR(VLOOKUP(E499,areaNomiBreviSquadre,7,FALSE),""))</f>
        <v/>
      </c>
      <c r="E499" s="62" t="inlineStr">
        <is>
          <t>D18</t>
        </is>
      </c>
      <c r="F499" s="63" t="n">
        <v>46418.66666666666</v>
      </c>
      <c r="G499" s="9" t="n"/>
      <c r="H499" s="9" t="n"/>
      <c r="I499" s="10" t="n"/>
      <c r="J499" s="65" t="n">
        <v>76</v>
      </c>
      <c r="K499" s="66" t="inlineStr">
        <is>
          <t>-</t>
        </is>
      </c>
      <c r="L499" s="65" t="n">
        <v>69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D11</t>
        </is>
      </c>
      <c r="J500" s="141" t="n"/>
      <c r="K500" s="141" t="n"/>
      <c r="L500" s="141" t="n"/>
    </row>
    <row r="501" ht="13" customHeight="1">
      <c r="A501" s="88" t="inlineStr">
        <is>
          <t>Gara N.</t>
        </is>
      </c>
      <c r="B501" s="88" t="inlineStr">
        <is>
          <t>Squadra A</t>
        </is>
      </c>
      <c r="C501" s="10" t="n"/>
      <c r="D501" s="88" t="inlineStr">
        <is>
          <t>Squadra B</t>
        </is>
      </c>
      <c r="E501" s="10" t="n"/>
      <c r="F501" s="88" t="inlineStr">
        <is>
          <t>Giorno</t>
        </is>
      </c>
      <c r="G501" s="88" t="inlineStr">
        <is>
          <t>Data</t>
        </is>
      </c>
      <c r="H501" s="88" t="inlineStr">
        <is>
          <t>Ora</t>
        </is>
      </c>
      <c r="I501" s="10" t="n"/>
      <c r="J501" s="88" t="inlineStr">
        <is>
          <t>Risultato</t>
        </is>
      </c>
      <c r="K501" s="9" t="n"/>
      <c r="L501" s="10" t="n"/>
    </row>
    <row r="502" ht="24" customHeight="1">
      <c r="A502" s="90">
        <f>MAX(A$10:A501)+1</f>
        <v/>
      </c>
      <c r="B502" s="61">
        <f>IF(C502="","",IFERROR(VLOOKUP(C502,areaNomiBreviSquadre,7,FALSE),""))</f>
        <v/>
      </c>
      <c r="C502" s="62" t="inlineStr">
        <is>
          <t>D19</t>
        </is>
      </c>
      <c r="D502" s="61">
        <f>IF(E502="","",IFERROR(VLOOKUP(E502,areaNomiBreviSquadre,7,FALSE),""))</f>
        <v/>
      </c>
      <c r="E502" s="62" t="inlineStr">
        <is>
          <t>D13</t>
        </is>
      </c>
      <c r="F502" s="63" t="n">
        <v>46418.72916666666</v>
      </c>
      <c r="G502" s="9" t="n"/>
      <c r="H502" s="9" t="n"/>
      <c r="I502" s="10" t="n"/>
      <c r="J502" s="65" t="n">
        <v>32</v>
      </c>
      <c r="K502" s="66" t="inlineStr">
        <is>
          <t>-</t>
        </is>
      </c>
      <c r="L502" s="65" t="n">
        <v>38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D11</t>
        </is>
      </c>
      <c r="J503" s="141" t="n"/>
      <c r="K503" s="141" t="n"/>
      <c r="L503" s="141" t="n"/>
    </row>
    <row r="504" ht="13" customHeight="1">
      <c r="A504" s="88" t="inlineStr">
        <is>
          <t>Gara N.</t>
        </is>
      </c>
      <c r="B504" s="88" t="inlineStr">
        <is>
          <t>Squadra A</t>
        </is>
      </c>
      <c r="C504" s="10" t="n"/>
      <c r="D504" s="88" t="inlineStr">
        <is>
          <t>Squadra B</t>
        </is>
      </c>
      <c r="E504" s="10" t="n"/>
      <c r="F504" s="88" t="inlineStr">
        <is>
          <t>Giorno</t>
        </is>
      </c>
      <c r="G504" s="88" t="inlineStr">
        <is>
          <t>Data</t>
        </is>
      </c>
      <c r="H504" s="88" t="inlineStr">
        <is>
          <t>Ora</t>
        </is>
      </c>
      <c r="I504" s="10" t="n"/>
      <c r="J504" s="88" t="inlineStr">
        <is>
          <t>Risultato</t>
        </is>
      </c>
      <c r="K504" s="9" t="n"/>
      <c r="L504" s="10" t="n"/>
    </row>
    <row r="505" ht="24" customHeight="1">
      <c r="A505" s="90">
        <f>MAX(A$10:A504)+1</f>
        <v/>
      </c>
      <c r="B505" s="61">
        <f>IF(C505="","",IFERROR(VLOOKUP(C505,areaNomiBreviSquadre,7,FALSE),""))</f>
        <v/>
      </c>
      <c r="C505" s="62" t="inlineStr">
        <is>
          <t>D12</t>
        </is>
      </c>
      <c r="D505" s="61">
        <f>IF(E505="","",IFERROR(VLOOKUP(E505,areaNomiBreviSquadre,7,FALSE),""))</f>
        <v/>
      </c>
      <c r="E505" s="62" t="inlineStr">
        <is>
          <t>D01</t>
        </is>
      </c>
      <c r="F505" s="63" t="n">
        <v>46418.39583333334</v>
      </c>
      <c r="G505" s="9" t="n"/>
      <c r="H505" s="9" t="n"/>
      <c r="I505" s="10" t="n"/>
      <c r="J505" s="65" t="n">
        <v>60</v>
      </c>
      <c r="K505" s="66" t="inlineStr">
        <is>
          <t>-</t>
        </is>
      </c>
      <c r="L505" s="65" t="n">
        <v>33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D12</t>
        </is>
      </c>
      <c r="J506" s="141" t="n"/>
      <c r="K506" s="141" t="n"/>
      <c r="L506" s="141" t="n"/>
    </row>
    <row r="507" ht="13" customHeight="1">
      <c r="A507" s="88" t="inlineStr">
        <is>
          <t>Gara N.</t>
        </is>
      </c>
      <c r="B507" s="88" t="inlineStr">
        <is>
          <t>Squadra A</t>
        </is>
      </c>
      <c r="C507" s="10" t="n"/>
      <c r="D507" s="88" t="inlineStr">
        <is>
          <t>Squadra B</t>
        </is>
      </c>
      <c r="E507" s="10" t="n"/>
      <c r="F507" s="88" t="inlineStr">
        <is>
          <t>Giorno</t>
        </is>
      </c>
      <c r="G507" s="88" t="inlineStr">
        <is>
          <t>Data</t>
        </is>
      </c>
      <c r="H507" s="88" t="inlineStr">
        <is>
          <t>Ora</t>
        </is>
      </c>
      <c r="I507" s="10" t="n"/>
      <c r="J507" s="88" t="inlineStr">
        <is>
          <t>Risultato</t>
        </is>
      </c>
      <c r="K507" s="9" t="n"/>
      <c r="L507" s="10" t="n"/>
    </row>
    <row r="508" ht="24" customHeight="1">
      <c r="A508" s="90">
        <f>MAX(A$10:A507)+1</f>
        <v/>
      </c>
      <c r="B508" s="61">
        <f>IF(C508="","",IFERROR(VLOOKUP(C508,areaNomiBreviSquadre,7,FALSE),""))</f>
        <v/>
      </c>
      <c r="C508" s="62" t="inlineStr">
        <is>
          <t>D10</t>
        </is>
      </c>
      <c r="D508" s="61">
        <f>IF(E508="","",IFERROR(VLOOKUP(E508,areaNomiBreviSquadre,7,FALSE),""))</f>
        <v/>
      </c>
      <c r="E508" s="62" t="inlineStr">
        <is>
          <t>D03</t>
        </is>
      </c>
      <c r="F508" s="63" t="n">
        <v>46418.45833333334</v>
      </c>
      <c r="G508" s="9" t="n"/>
      <c r="H508" s="9" t="n"/>
      <c r="I508" s="10" t="n"/>
      <c r="J508" s="65" t="n">
        <v>50</v>
      </c>
      <c r="K508" s="66" t="inlineStr">
        <is>
          <t>-</t>
        </is>
      </c>
      <c r="L508" s="65" t="n">
        <v>60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D12</t>
        </is>
      </c>
      <c r="J509" s="141" t="n"/>
      <c r="K509" s="141" t="n"/>
      <c r="L509" s="141" t="n"/>
    </row>
    <row r="510" ht="13" customHeight="1">
      <c r="A510" s="88" t="inlineStr">
        <is>
          <t>Gara N.</t>
        </is>
      </c>
      <c r="B510" s="88" t="inlineStr">
        <is>
          <t>Squadra A</t>
        </is>
      </c>
      <c r="C510" s="10" t="n"/>
      <c r="D510" s="88" t="inlineStr">
        <is>
          <t>Squadra B</t>
        </is>
      </c>
      <c r="E510" s="10" t="n"/>
      <c r="F510" s="88" t="inlineStr">
        <is>
          <t>Giorno</t>
        </is>
      </c>
      <c r="G510" s="88" t="inlineStr">
        <is>
          <t>Data</t>
        </is>
      </c>
      <c r="H510" s="88" t="inlineStr">
        <is>
          <t>Ora</t>
        </is>
      </c>
      <c r="I510" s="10" t="n"/>
      <c r="J510" s="88" t="inlineStr">
        <is>
          <t>Risultato</t>
        </is>
      </c>
      <c r="K510" s="9" t="n"/>
      <c r="L510" s="10" t="n"/>
    </row>
    <row r="511" ht="24" customHeight="1">
      <c r="A511" s="90">
        <f>MAX(A$10:A510)+1</f>
        <v/>
      </c>
      <c r="B511" s="61">
        <f>IF(C511="","",IFERROR(VLOOKUP(C511,areaNomiBreviSquadre,7,FALSE),""))</f>
        <v/>
      </c>
      <c r="C511" s="62" t="inlineStr">
        <is>
          <t>D04</t>
        </is>
      </c>
      <c r="D511" s="61">
        <f>IF(E511="","",IFERROR(VLOOKUP(E511,areaNomiBreviSquadre,7,FALSE),""))</f>
        <v/>
      </c>
      <c r="E511" s="62" t="inlineStr">
        <is>
          <t>D09</t>
        </is>
      </c>
      <c r="F511" s="63" t="n">
        <v>46418.60416666666</v>
      </c>
      <c r="G511" s="9" t="n"/>
      <c r="H511" s="9" t="n"/>
      <c r="I511" s="10" t="n"/>
      <c r="J511" s="65" t="n">
        <v>92</v>
      </c>
      <c r="K511" s="66" t="inlineStr">
        <is>
          <t>-</t>
        </is>
      </c>
      <c r="L511" s="65" t="n">
        <v>75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D12</t>
        </is>
      </c>
      <c r="J512" s="141" t="n"/>
      <c r="K512" s="141" t="n"/>
      <c r="L512" s="141" t="n"/>
    </row>
    <row r="513" ht="13" customHeight="1">
      <c r="A513" s="88" t="inlineStr">
        <is>
          <t>Gara N.</t>
        </is>
      </c>
      <c r="B513" s="88" t="inlineStr">
        <is>
          <t>Squadra A</t>
        </is>
      </c>
      <c r="C513" s="10" t="n"/>
      <c r="D513" s="88" t="inlineStr">
        <is>
          <t>Squadra B</t>
        </is>
      </c>
      <c r="E513" s="10" t="n"/>
      <c r="F513" s="88" t="inlineStr">
        <is>
          <t>Giorno</t>
        </is>
      </c>
      <c r="G513" s="88" t="inlineStr">
        <is>
          <t>Data</t>
        </is>
      </c>
      <c r="H513" s="88" t="inlineStr">
        <is>
          <t>Ora</t>
        </is>
      </c>
      <c r="I513" s="10" t="n"/>
      <c r="J513" s="88" t="inlineStr">
        <is>
          <t>Risultato</t>
        </is>
      </c>
      <c r="K513" s="9" t="n"/>
      <c r="L513" s="10" t="n"/>
    </row>
    <row r="514" ht="24" customHeight="1">
      <c r="A514" s="90">
        <f>MAX(A$10:A513)+1</f>
        <v/>
      </c>
      <c r="B514" s="61">
        <f>IF(C514="","",IFERROR(VLOOKUP(C514,areaNomiBreviSquadre,7,FALSE),""))</f>
        <v/>
      </c>
      <c r="C514" s="62" t="inlineStr">
        <is>
          <t>D08</t>
        </is>
      </c>
      <c r="D514" s="61">
        <f>IF(E514="","",IFERROR(VLOOKUP(E514,areaNomiBreviSquadre,7,FALSE),""))</f>
        <v/>
      </c>
      <c r="E514" s="62" t="inlineStr">
        <is>
          <t>D05</t>
        </is>
      </c>
      <c r="F514" s="63" t="n">
        <v>46418.66666666666</v>
      </c>
      <c r="G514" s="9" t="n"/>
      <c r="H514" s="9" t="n"/>
      <c r="I514" s="10" t="n"/>
      <c r="J514" s="65" t="n">
        <v>40</v>
      </c>
      <c r="K514" s="66" t="inlineStr">
        <is>
          <t>-</t>
        </is>
      </c>
      <c r="L514" s="65" t="n">
        <v>44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D12</t>
        </is>
      </c>
      <c r="J515" s="141" t="n"/>
      <c r="K515" s="141" t="n"/>
      <c r="L515" s="141" t="n"/>
    </row>
    <row r="516" ht="13" customHeight="1">
      <c r="A516" s="88" t="inlineStr">
        <is>
          <t>Gara N.</t>
        </is>
      </c>
      <c r="B516" s="88" t="inlineStr">
        <is>
          <t>Squadra A</t>
        </is>
      </c>
      <c r="C516" s="10" t="n"/>
      <c r="D516" s="88" t="inlineStr">
        <is>
          <t>Squadra B</t>
        </is>
      </c>
      <c r="E516" s="10" t="n"/>
      <c r="F516" s="88" t="inlineStr">
        <is>
          <t>Giorno</t>
        </is>
      </c>
      <c r="G516" s="88" t="inlineStr">
        <is>
          <t>Data</t>
        </is>
      </c>
      <c r="H516" s="88" t="inlineStr">
        <is>
          <t>Ora</t>
        </is>
      </c>
      <c r="I516" s="10" t="n"/>
      <c r="J516" s="88" t="inlineStr">
        <is>
          <t>Risultato</t>
        </is>
      </c>
      <c r="K516" s="9" t="n"/>
      <c r="L516" s="10" t="n"/>
    </row>
    <row r="517" ht="24" customHeight="1">
      <c r="A517" s="90">
        <f>MAX(A$10:A516)+1</f>
        <v/>
      </c>
      <c r="B517" s="61">
        <f>IF(C517="","",IFERROR(VLOOKUP(C517,areaNomiBreviSquadre,7,FALSE),""))</f>
        <v/>
      </c>
      <c r="C517" s="62" t="inlineStr">
        <is>
          <t>D06</t>
        </is>
      </c>
      <c r="D517" s="61">
        <f>IF(E517="","",IFERROR(VLOOKUP(E517,areaNomiBreviSquadre,7,FALSE),""))</f>
        <v/>
      </c>
      <c r="E517" s="62" t="inlineStr">
        <is>
          <t>D07</t>
        </is>
      </c>
      <c r="F517" s="63" t="n">
        <v>46418.72916666666</v>
      </c>
      <c r="G517" s="9" t="n"/>
      <c r="H517" s="9" t="n"/>
      <c r="I517" s="10" t="n"/>
      <c r="J517" s="65" t="n">
        <v>42</v>
      </c>
      <c r="K517" s="66" t="inlineStr">
        <is>
          <t>-</t>
        </is>
      </c>
      <c r="L517" s="65" t="n">
        <v>53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D12</t>
        </is>
      </c>
      <c r="J518" s="141" t="n"/>
      <c r="K518" s="141" t="n"/>
      <c r="L518" s="141" t="n"/>
    </row>
    <row r="519" ht="8" customHeight="1"/>
    <row r="520" ht="20" customHeight="1">
      <c r="A520" s="85" t="inlineStr">
        <is>
          <t>17D</t>
        </is>
      </c>
      <c r="B520" s="8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8" t="inlineStr">
        <is>
          <t>Gara N.</t>
        </is>
      </c>
      <c r="B521" s="88" t="inlineStr">
        <is>
          <t>Squadra A</t>
        </is>
      </c>
      <c r="C521" s="10" t="n"/>
      <c r="D521" s="88" t="inlineStr">
        <is>
          <t>Squadra B</t>
        </is>
      </c>
      <c r="E521" s="10" t="n"/>
      <c r="F521" s="88" t="inlineStr">
        <is>
          <t>Giorno</t>
        </is>
      </c>
      <c r="G521" s="88" t="inlineStr">
        <is>
          <t>Data</t>
        </is>
      </c>
      <c r="H521" s="88" t="inlineStr">
        <is>
          <t>Ora</t>
        </is>
      </c>
      <c r="I521" s="10" t="n"/>
      <c r="J521" s="88" t="inlineStr">
        <is>
          <t>Risultato</t>
        </is>
      </c>
      <c r="K521" s="9" t="n"/>
      <c r="L521" s="10" t="n"/>
    </row>
    <row r="522" ht="24" customHeight="1">
      <c r="A522" s="90">
        <f>MAX(A$10:A521)+1</f>
        <v/>
      </c>
      <c r="B522" s="61">
        <f>IF(C522="","",IFERROR(VLOOKUP(C522,areaNomiBreviSquadre,7,FALSE),""))</f>
        <v/>
      </c>
      <c r="C522" s="62" t="inlineStr">
        <is>
          <t>D02</t>
        </is>
      </c>
      <c r="D522" s="61">
        <f>IF(E522="","",IFERROR(VLOOKUP(E522,areaNomiBreviSquadre,7,FALSE),""))</f>
        <v/>
      </c>
      <c r="E522" s="62" t="inlineStr">
        <is>
          <t>D13</t>
        </is>
      </c>
      <c r="F522" s="63" t="n">
        <v>46425.39583333334</v>
      </c>
      <c r="G522" s="9" t="n"/>
      <c r="H522" s="9" t="n"/>
      <c r="I522" s="10" t="n"/>
      <c r="J522" s="65" t="n">
        <v>69</v>
      </c>
      <c r="K522" s="66" t="inlineStr">
        <is>
          <t>-</t>
        </is>
      </c>
      <c r="L522" s="65" t="n">
        <v>77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D13</t>
        </is>
      </c>
      <c r="J523" s="141" t="n"/>
      <c r="K523" s="141" t="n"/>
      <c r="L523" s="141" t="n"/>
    </row>
    <row r="524" ht="13" customHeight="1">
      <c r="A524" s="88" t="inlineStr">
        <is>
          <t>Gara N.</t>
        </is>
      </c>
      <c r="B524" s="88" t="inlineStr">
        <is>
          <t>Squadra A</t>
        </is>
      </c>
      <c r="C524" s="10" t="n"/>
      <c r="D524" s="88" t="inlineStr">
        <is>
          <t>Squadra B</t>
        </is>
      </c>
      <c r="E524" s="10" t="n"/>
      <c r="F524" s="88" t="inlineStr">
        <is>
          <t>Giorno</t>
        </is>
      </c>
      <c r="G524" s="88" t="inlineStr">
        <is>
          <t>Data</t>
        </is>
      </c>
      <c r="H524" s="88" t="inlineStr">
        <is>
          <t>Ora</t>
        </is>
      </c>
      <c r="I524" s="10" t="n"/>
      <c r="J524" s="88" t="inlineStr">
        <is>
          <t>Risultato</t>
        </is>
      </c>
      <c r="K524" s="9" t="n"/>
      <c r="L524" s="10" t="n"/>
    </row>
    <row r="525" ht="24" customHeight="1">
      <c r="A525" s="90">
        <f>MAX(A$10:A524)+1</f>
        <v/>
      </c>
      <c r="B525" s="61">
        <f>IF(C525="","",IFERROR(VLOOKUP(C525,areaNomiBreviSquadre,7,FALSE),""))</f>
        <v/>
      </c>
      <c r="C525" s="62" t="inlineStr">
        <is>
          <t>D17</t>
        </is>
      </c>
      <c r="D525" s="61">
        <f>IF(E525="","",IFERROR(VLOOKUP(E525,areaNomiBreviSquadre,7,FALSE),""))</f>
        <v/>
      </c>
      <c r="E525" s="62" t="inlineStr">
        <is>
          <t>D20</t>
        </is>
      </c>
      <c r="F525" s="63" t="n">
        <v>46425.45833333334</v>
      </c>
      <c r="G525" s="9" t="n"/>
      <c r="H525" s="9" t="n"/>
      <c r="I525" s="10" t="n"/>
      <c r="J525" s="65" t="n">
        <v>84</v>
      </c>
      <c r="K525" s="66" t="inlineStr">
        <is>
          <t>-</t>
        </is>
      </c>
      <c r="L525" s="65" t="n">
        <v>90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D13</t>
        </is>
      </c>
      <c r="J526" s="141" t="n"/>
      <c r="K526" s="141" t="n"/>
      <c r="L526" s="141" t="n"/>
    </row>
    <row r="527" ht="13" customHeight="1">
      <c r="A527" s="88" t="inlineStr">
        <is>
          <t>Gara N.</t>
        </is>
      </c>
      <c r="B527" s="88" t="inlineStr">
        <is>
          <t>Squadra A</t>
        </is>
      </c>
      <c r="C527" s="10" t="n"/>
      <c r="D527" s="88" t="inlineStr">
        <is>
          <t>Squadra B</t>
        </is>
      </c>
      <c r="E527" s="10" t="n"/>
      <c r="F527" s="88" t="inlineStr">
        <is>
          <t>Giorno</t>
        </is>
      </c>
      <c r="G527" s="88" t="inlineStr">
        <is>
          <t>Data</t>
        </is>
      </c>
      <c r="H527" s="88" t="inlineStr">
        <is>
          <t>Ora</t>
        </is>
      </c>
      <c r="I527" s="10" t="n"/>
      <c r="J527" s="88" t="inlineStr">
        <is>
          <t>Risultato</t>
        </is>
      </c>
      <c r="K527" s="9" t="n"/>
      <c r="L527" s="10" t="n"/>
    </row>
    <row r="528" ht="24" customHeight="1">
      <c r="A528" s="90">
        <f>MAX(A$10:A527)+1</f>
        <v/>
      </c>
      <c r="B528" s="61">
        <f>IF(C528="","",IFERROR(VLOOKUP(C528,areaNomiBreviSquadre,7,FALSE),""))</f>
        <v/>
      </c>
      <c r="C528" s="62" t="inlineStr">
        <is>
          <t>D16</t>
        </is>
      </c>
      <c r="D528" s="61">
        <f>IF(E528="","",IFERROR(VLOOKUP(E528,areaNomiBreviSquadre,7,FALSE),""))</f>
        <v/>
      </c>
      <c r="E528" s="62" t="inlineStr">
        <is>
          <t>D18</t>
        </is>
      </c>
      <c r="F528" s="63" t="n">
        <v>46425.60416666666</v>
      </c>
      <c r="G528" s="9" t="n"/>
      <c r="H528" s="9" t="n"/>
      <c r="I528" s="10" t="n"/>
      <c r="J528" s="65" t="n">
        <v>57</v>
      </c>
      <c r="K528" s="66" t="inlineStr">
        <is>
          <t>-</t>
        </is>
      </c>
      <c r="L528" s="65" t="n">
        <v>37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D13</t>
        </is>
      </c>
      <c r="J529" s="141" t="n"/>
      <c r="K529" s="141" t="n"/>
      <c r="L529" s="141" t="n"/>
    </row>
    <row r="530" ht="13" customHeight="1">
      <c r="A530" s="88" t="inlineStr">
        <is>
          <t>Gara N.</t>
        </is>
      </c>
      <c r="B530" s="88" t="inlineStr">
        <is>
          <t>Squadra A</t>
        </is>
      </c>
      <c r="C530" s="10" t="n"/>
      <c r="D530" s="88" t="inlineStr">
        <is>
          <t>Squadra B</t>
        </is>
      </c>
      <c r="E530" s="10" t="n"/>
      <c r="F530" s="88" t="inlineStr">
        <is>
          <t>Giorno</t>
        </is>
      </c>
      <c r="G530" s="88" t="inlineStr">
        <is>
          <t>Data</t>
        </is>
      </c>
      <c r="H530" s="88" t="inlineStr">
        <is>
          <t>Ora</t>
        </is>
      </c>
      <c r="I530" s="10" t="n"/>
      <c r="J530" s="88" t="inlineStr">
        <is>
          <t>Risultato</t>
        </is>
      </c>
      <c r="K530" s="9" t="n"/>
      <c r="L530" s="10" t="n"/>
    </row>
    <row r="531" ht="24" customHeight="1">
      <c r="A531" s="90">
        <f>MAX(A$10:A530)+1</f>
        <v/>
      </c>
      <c r="B531" s="61">
        <f>IF(C531="","",IFERROR(VLOOKUP(C531,areaNomiBreviSquadre,7,FALSE),""))</f>
        <v/>
      </c>
      <c r="C531" s="62" t="inlineStr">
        <is>
          <t>D19</t>
        </is>
      </c>
      <c r="D531" s="61">
        <f>IF(E531="","",IFERROR(VLOOKUP(E531,areaNomiBreviSquadre,7,FALSE),""))</f>
        <v/>
      </c>
      <c r="E531" s="62" t="inlineStr">
        <is>
          <t>D15</t>
        </is>
      </c>
      <c r="F531" s="63" t="n">
        <v>46425.66666666666</v>
      </c>
      <c r="G531" s="9" t="n"/>
      <c r="H531" s="9" t="n"/>
      <c r="I531" s="10" t="n"/>
      <c r="J531" s="65" t="n">
        <v>60</v>
      </c>
      <c r="K531" s="66" t="inlineStr">
        <is>
          <t>-</t>
        </is>
      </c>
      <c r="L531" s="65" t="n">
        <v>85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D13</t>
        </is>
      </c>
      <c r="J532" s="141" t="n"/>
      <c r="K532" s="141" t="n"/>
      <c r="L532" s="141" t="n"/>
    </row>
    <row r="533" ht="13" customHeight="1">
      <c r="A533" s="88" t="inlineStr">
        <is>
          <t>Gara N.</t>
        </is>
      </c>
      <c r="B533" s="88" t="inlineStr">
        <is>
          <t>Squadra A</t>
        </is>
      </c>
      <c r="C533" s="10" t="n"/>
      <c r="D533" s="88" t="inlineStr">
        <is>
          <t>Squadra B</t>
        </is>
      </c>
      <c r="E533" s="10" t="n"/>
      <c r="F533" s="88" t="inlineStr">
        <is>
          <t>Giorno</t>
        </is>
      </c>
      <c r="G533" s="88" t="inlineStr">
        <is>
          <t>Data</t>
        </is>
      </c>
      <c r="H533" s="88" t="inlineStr">
        <is>
          <t>Ora</t>
        </is>
      </c>
      <c r="I533" s="10" t="n"/>
      <c r="J533" s="88" t="inlineStr">
        <is>
          <t>Risultato</t>
        </is>
      </c>
      <c r="K533" s="9" t="n"/>
      <c r="L533" s="10" t="n"/>
    </row>
    <row r="534" ht="24" customHeight="1">
      <c r="A534" s="90">
        <f>MAX(A$10:A533)+1</f>
        <v/>
      </c>
      <c r="B534" s="61">
        <f>IF(C534="","",IFERROR(VLOOKUP(C534,areaNomiBreviSquadre,7,FALSE),""))</f>
        <v/>
      </c>
      <c r="C534" s="62" t="inlineStr">
        <is>
          <t>D12</t>
        </is>
      </c>
      <c r="D534" s="61">
        <f>IF(E534="","",IFERROR(VLOOKUP(E534,areaNomiBreviSquadre,7,FALSE),""))</f>
        <v/>
      </c>
      <c r="E534" s="62" t="inlineStr">
        <is>
          <t>D03</t>
        </is>
      </c>
      <c r="F534" s="63" t="n">
        <v>46425.72916666666</v>
      </c>
      <c r="G534" s="9" t="n"/>
      <c r="H534" s="9" t="n"/>
      <c r="I534" s="10" t="n"/>
      <c r="J534" s="65" t="n">
        <v>78</v>
      </c>
      <c r="K534" s="66" t="inlineStr">
        <is>
          <t>-</t>
        </is>
      </c>
      <c r="L534" s="65" t="n">
        <v>72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D13</t>
        </is>
      </c>
      <c r="J535" s="141" t="n"/>
      <c r="K535" s="141" t="n"/>
      <c r="L535" s="141" t="n"/>
    </row>
    <row r="536" ht="13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</row>
    <row r="537" ht="24" customHeight="1">
      <c r="A537" s="90">
        <f>MAX(A$10:A536)+1</f>
        <v/>
      </c>
      <c r="B537" s="61">
        <f>IF(C537="","",IFERROR(VLOOKUP(C537,areaNomiBreviSquadre,7,FALSE),""))</f>
        <v/>
      </c>
      <c r="C537" s="62" t="inlineStr">
        <is>
          <t>D14</t>
        </is>
      </c>
      <c r="D537" s="61">
        <f>IF(E537="","",IFERROR(VLOOKUP(E537,areaNomiBreviSquadre,7,FALSE),""))</f>
        <v/>
      </c>
      <c r="E537" s="62" t="inlineStr">
        <is>
          <t>D01</t>
        </is>
      </c>
      <c r="F537" s="63" t="n">
        <v>46425.39583333334</v>
      </c>
      <c r="G537" s="9" t="n"/>
      <c r="H537" s="9" t="n"/>
      <c r="I537" s="10" t="n"/>
      <c r="J537" s="65" t="n">
        <v>53</v>
      </c>
      <c r="K537" s="66" t="inlineStr">
        <is>
          <t>-</t>
        </is>
      </c>
      <c r="L537" s="65" t="n">
        <v>29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D14</t>
        </is>
      </c>
      <c r="J538" s="141" t="n"/>
      <c r="K538" s="141" t="n"/>
      <c r="L538" s="141" t="n"/>
    </row>
    <row r="539" ht="13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</row>
    <row r="540" ht="24" customHeight="1">
      <c r="A540" s="90">
        <f>MAX(A$10:A539)+1</f>
        <v/>
      </c>
      <c r="B540" s="61">
        <f>IF(C540="","",IFERROR(VLOOKUP(C540,areaNomiBreviSquadre,7,FALSE),""))</f>
        <v/>
      </c>
      <c r="C540" s="62" t="inlineStr">
        <is>
          <t>D04</t>
        </is>
      </c>
      <c r="D540" s="61">
        <f>IF(E540="","",IFERROR(VLOOKUP(E540,areaNomiBreviSquadre,7,FALSE),""))</f>
        <v/>
      </c>
      <c r="E540" s="62" t="inlineStr">
        <is>
          <t>D11</t>
        </is>
      </c>
      <c r="F540" s="63" t="n">
        <v>46425.45833333334</v>
      </c>
      <c r="G540" s="9" t="n"/>
      <c r="H540" s="9" t="n"/>
      <c r="I540" s="10" t="n"/>
      <c r="J540" s="65" t="n">
        <v>56</v>
      </c>
      <c r="K540" s="66" t="inlineStr">
        <is>
          <t>-</t>
        </is>
      </c>
      <c r="L540" s="65" t="n">
        <v>68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D14</t>
        </is>
      </c>
      <c r="J541" s="141" t="n"/>
      <c r="K541" s="141" t="n"/>
      <c r="L541" s="141" t="n"/>
    </row>
    <row r="542" ht="13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</row>
    <row r="543" ht="24" customHeight="1">
      <c r="A543" s="90">
        <f>MAX(A$10:A542)+1</f>
        <v/>
      </c>
      <c r="B543" s="61">
        <f>IF(C543="","",IFERROR(VLOOKUP(C543,areaNomiBreviSquadre,7,FALSE),""))</f>
        <v/>
      </c>
      <c r="C543" s="62" t="inlineStr">
        <is>
          <t>D10</t>
        </is>
      </c>
      <c r="D543" s="61">
        <f>IF(E543="","",IFERROR(VLOOKUP(E543,areaNomiBreviSquadre,7,FALSE),""))</f>
        <v/>
      </c>
      <c r="E543" s="62" t="inlineStr">
        <is>
          <t>D05</t>
        </is>
      </c>
      <c r="F543" s="63" t="n">
        <v>46425.60416666666</v>
      </c>
      <c r="G543" s="9" t="n"/>
      <c r="H543" s="9" t="n"/>
      <c r="I543" s="10" t="n"/>
      <c r="J543" s="65" t="n">
        <v>27</v>
      </c>
      <c r="K543" s="66" t="inlineStr">
        <is>
          <t>-</t>
        </is>
      </c>
      <c r="L543" s="65" t="n">
        <v>50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D14</t>
        </is>
      </c>
      <c r="J544" s="141" t="n"/>
      <c r="K544" s="141" t="n"/>
      <c r="L544" s="141" t="n"/>
    </row>
    <row r="545" ht="13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</row>
    <row r="546" ht="24" customHeight="1">
      <c r="A546" s="90">
        <f>MAX(A$10:A545)+1</f>
        <v/>
      </c>
      <c r="B546" s="61">
        <f>IF(C546="","",IFERROR(VLOOKUP(C546,areaNomiBreviSquadre,7,FALSE),""))</f>
        <v/>
      </c>
      <c r="C546" s="62" t="inlineStr">
        <is>
          <t>D06</t>
        </is>
      </c>
      <c r="D546" s="61">
        <f>IF(E546="","",IFERROR(VLOOKUP(E546,areaNomiBreviSquadre,7,FALSE),""))</f>
        <v/>
      </c>
      <c r="E546" s="62" t="inlineStr">
        <is>
          <t>D09</t>
        </is>
      </c>
      <c r="F546" s="63" t="n">
        <v>46425.66666666666</v>
      </c>
      <c r="G546" s="9" t="n"/>
      <c r="H546" s="9" t="n"/>
      <c r="I546" s="10" t="n"/>
      <c r="J546" s="65" t="n">
        <v>48</v>
      </c>
      <c r="K546" s="66" t="inlineStr">
        <is>
          <t>-</t>
        </is>
      </c>
      <c r="L546" s="65" t="n">
        <v>70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D14</t>
        </is>
      </c>
      <c r="J547" s="141" t="n"/>
      <c r="K547" s="141" t="n"/>
      <c r="L547" s="141" t="n"/>
    </row>
    <row r="548" ht="13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</row>
    <row r="549" ht="24" customHeight="1">
      <c r="A549" s="90">
        <f>MAX(A$10:A548)+1</f>
        <v/>
      </c>
      <c r="B549" s="61">
        <f>IF(C549="","",IFERROR(VLOOKUP(C549,areaNomiBreviSquadre,7,FALSE),""))</f>
        <v/>
      </c>
      <c r="C549" s="62" t="inlineStr">
        <is>
          <t>D08</t>
        </is>
      </c>
      <c r="D549" s="61">
        <f>IF(E549="","",IFERROR(VLOOKUP(E549,areaNomiBreviSquadre,7,FALSE),""))</f>
        <v/>
      </c>
      <c r="E549" s="62" t="inlineStr">
        <is>
          <t>D07</t>
        </is>
      </c>
      <c r="F549" s="63" t="n">
        <v>46425.72916666666</v>
      </c>
      <c r="G549" s="9" t="n"/>
      <c r="H549" s="9" t="n"/>
      <c r="I549" s="10" t="n"/>
      <c r="J549" s="65" t="n">
        <v>61</v>
      </c>
      <c r="K549" s="66" t="inlineStr">
        <is>
          <t>-</t>
        </is>
      </c>
      <c r="L549" s="65" t="n">
        <v>41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D14</t>
        </is>
      </c>
      <c r="J550" s="141" t="n"/>
      <c r="K550" s="141" t="n"/>
      <c r="L550" s="141" t="n"/>
    </row>
    <row r="551" ht="8" customHeight="1"/>
    <row r="552" ht="20" customHeight="1">
      <c r="A552" s="85" t="inlineStr">
        <is>
          <t>18D</t>
        </is>
      </c>
      <c r="B552" s="8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</row>
    <row r="554" ht="24" customHeight="1">
      <c r="A554" s="90">
        <f>MAX(A$10:A553)+1</f>
        <v/>
      </c>
      <c r="B554" s="61">
        <f>IF(C554="","",IFERROR(VLOOKUP(C554,areaNomiBreviSquadre,7,FALSE),""))</f>
        <v/>
      </c>
      <c r="C554" s="62" t="inlineStr">
        <is>
          <t>D02</t>
        </is>
      </c>
      <c r="D554" s="61">
        <f>IF(E554="","",IFERROR(VLOOKUP(E554,areaNomiBreviSquadre,7,FALSE),""))</f>
        <v/>
      </c>
      <c r="E554" s="62" t="inlineStr">
        <is>
          <t>D15</t>
        </is>
      </c>
      <c r="F554" s="63" t="n">
        <v>46432.39583333334</v>
      </c>
      <c r="G554" s="9" t="n"/>
      <c r="H554" s="9" t="n"/>
      <c r="I554" s="10" t="n"/>
      <c r="J554" s="65" t="n">
        <v>57</v>
      </c>
      <c r="K554" s="66" t="inlineStr">
        <is>
          <t>-</t>
        </is>
      </c>
      <c r="L554" s="65" t="n">
        <v>40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D15</t>
        </is>
      </c>
      <c r="J555" s="141" t="n"/>
      <c r="K555" s="141" t="n"/>
      <c r="L555" s="141" t="n"/>
    </row>
    <row r="556" ht="13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</row>
    <row r="557" ht="24" customHeight="1">
      <c r="A557" s="90">
        <f>MAX(A$10:A556)+1</f>
        <v/>
      </c>
      <c r="B557" s="61">
        <f>IF(C557="","",IFERROR(VLOOKUP(C557,areaNomiBreviSquadre,7,FALSE),""))</f>
        <v/>
      </c>
      <c r="C557" s="62" t="inlineStr">
        <is>
          <t>D20</t>
        </is>
      </c>
      <c r="D557" s="61">
        <f>IF(E557="","",IFERROR(VLOOKUP(E557,areaNomiBreviSquadre,7,FALSE),""))</f>
        <v/>
      </c>
      <c r="E557" s="62" t="inlineStr">
        <is>
          <t>D18</t>
        </is>
      </c>
      <c r="F557" s="63" t="n">
        <v>46432.45833333334</v>
      </c>
      <c r="G557" s="9" t="n"/>
      <c r="H557" s="9" t="n"/>
      <c r="I557" s="10" t="n"/>
      <c r="J557" s="65" t="n">
        <v>52</v>
      </c>
      <c r="K557" s="66" t="inlineStr">
        <is>
          <t>-</t>
        </is>
      </c>
      <c r="L557" s="65" t="n">
        <v>79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D15</t>
        </is>
      </c>
      <c r="J558" s="141" t="n"/>
      <c r="K558" s="141" t="n"/>
      <c r="L558" s="141" t="n"/>
    </row>
    <row r="559" ht="13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</row>
    <row r="560" ht="24" customHeight="1">
      <c r="A560" s="90">
        <f>MAX(A$10:A559)+1</f>
        <v/>
      </c>
      <c r="B560" s="61">
        <f>IF(C560="","",IFERROR(VLOOKUP(C560,areaNomiBreviSquadre,7,FALSE),""))</f>
        <v/>
      </c>
      <c r="C560" s="62" t="inlineStr">
        <is>
          <t>D19</t>
        </is>
      </c>
      <c r="D560" s="61">
        <f>IF(E560="","",IFERROR(VLOOKUP(E560,areaNomiBreviSquadre,7,FALSE),""))</f>
        <v/>
      </c>
      <c r="E560" s="62" t="inlineStr">
        <is>
          <t>D17</t>
        </is>
      </c>
      <c r="F560" s="63" t="n">
        <v>46432.60416666666</v>
      </c>
      <c r="G560" s="9" t="n"/>
      <c r="H560" s="9" t="n"/>
      <c r="I560" s="10" t="n"/>
      <c r="J560" s="65" t="n">
        <v>49</v>
      </c>
      <c r="K560" s="66" t="inlineStr">
        <is>
          <t>-</t>
        </is>
      </c>
      <c r="L560" s="65" t="n">
        <v>29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D15</t>
        </is>
      </c>
      <c r="J561" s="141" t="n"/>
      <c r="K561" s="141" t="n"/>
      <c r="L561" s="141" t="n"/>
    </row>
    <row r="562" ht="13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</row>
    <row r="563" ht="24" customHeight="1">
      <c r="A563" s="90">
        <f>MAX(A$10:A562)+1</f>
        <v/>
      </c>
      <c r="B563" s="61">
        <f>IF(C563="","",IFERROR(VLOOKUP(C563,areaNomiBreviSquadre,7,FALSE),""))</f>
        <v/>
      </c>
      <c r="C563" s="62" t="inlineStr">
        <is>
          <t>D14</t>
        </is>
      </c>
      <c r="D563" s="61">
        <f>IF(E563="","",IFERROR(VLOOKUP(E563,areaNomiBreviSquadre,7,FALSE),""))</f>
        <v/>
      </c>
      <c r="E563" s="62" t="inlineStr">
        <is>
          <t>D03</t>
        </is>
      </c>
      <c r="F563" s="63" t="n">
        <v>46432.66666666666</v>
      </c>
      <c r="G563" s="9" t="n"/>
      <c r="H563" s="9" t="n"/>
      <c r="I563" s="10" t="n"/>
      <c r="J563" s="65" t="n">
        <v>48</v>
      </c>
      <c r="K563" s="66" t="inlineStr">
        <is>
          <t>-</t>
        </is>
      </c>
      <c r="L563" s="65" t="n">
        <v>40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D15</t>
        </is>
      </c>
      <c r="J564" s="141" t="n"/>
      <c r="K564" s="141" t="n"/>
      <c r="L564" s="141" t="n"/>
    </row>
    <row r="565" ht="13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</row>
    <row r="566" ht="24" customHeight="1">
      <c r="A566" s="90">
        <f>MAX(A$10:A565)+1</f>
        <v/>
      </c>
      <c r="B566" s="61">
        <f>IF(C566="","",IFERROR(VLOOKUP(C566,areaNomiBreviSquadre,7,FALSE),""))</f>
        <v/>
      </c>
      <c r="C566" s="62" t="inlineStr">
        <is>
          <t>D04</t>
        </is>
      </c>
      <c r="D566" s="61">
        <f>IF(E566="","",IFERROR(VLOOKUP(E566,areaNomiBreviSquadre,7,FALSE),""))</f>
        <v/>
      </c>
      <c r="E566" s="62" t="inlineStr">
        <is>
          <t>D13</t>
        </is>
      </c>
      <c r="F566" s="63" t="n">
        <v>46432.72916666666</v>
      </c>
      <c r="G566" s="9" t="n"/>
      <c r="H566" s="9" t="n"/>
      <c r="I566" s="10" t="n"/>
      <c r="J566" s="65" t="n">
        <v>48</v>
      </c>
      <c r="K566" s="66" t="inlineStr">
        <is>
          <t>-</t>
        </is>
      </c>
      <c r="L566" s="65" t="n">
        <v>32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D15</t>
        </is>
      </c>
      <c r="J567" s="141" t="n"/>
      <c r="K567" s="141" t="n"/>
      <c r="L567" s="141" t="n"/>
    </row>
    <row r="568" ht="13" customHeight="1">
      <c r="A568" s="88" t="inlineStr">
        <is>
          <t>Gara N.</t>
        </is>
      </c>
      <c r="B568" s="88" t="inlineStr">
        <is>
          <t>Squadra A</t>
        </is>
      </c>
      <c r="C568" s="10" t="n"/>
      <c r="D568" s="88" t="inlineStr">
        <is>
          <t>Squadra B</t>
        </is>
      </c>
      <c r="E568" s="10" t="n"/>
      <c r="F568" s="88" t="inlineStr">
        <is>
          <t>Giorno</t>
        </is>
      </c>
      <c r="G568" s="88" t="inlineStr">
        <is>
          <t>Data</t>
        </is>
      </c>
      <c r="H568" s="88" t="inlineStr">
        <is>
          <t>Ora</t>
        </is>
      </c>
      <c r="I568" s="10" t="n"/>
      <c r="J568" s="88" t="inlineStr">
        <is>
          <t>Risultato</t>
        </is>
      </c>
      <c r="K568" s="9" t="n"/>
      <c r="L568" s="10" t="n"/>
    </row>
    <row r="569" ht="24" customHeight="1">
      <c r="A569" s="90">
        <f>MAX(A$10:A568)+1</f>
        <v/>
      </c>
      <c r="B569" s="61">
        <f>IF(C569="","",IFERROR(VLOOKUP(C569,areaNomiBreviSquadre,7,FALSE),""))</f>
        <v/>
      </c>
      <c r="C569" s="62" t="inlineStr">
        <is>
          <t>D16</t>
        </is>
      </c>
      <c r="D569" s="61">
        <f>IF(E569="","",IFERROR(VLOOKUP(E569,areaNomiBreviSquadre,7,FALSE),""))</f>
        <v/>
      </c>
      <c r="E569" s="62" t="inlineStr">
        <is>
          <t>D01</t>
        </is>
      </c>
      <c r="F569" s="63" t="n">
        <v>46432.39583333334</v>
      </c>
      <c r="G569" s="9" t="n"/>
      <c r="H569" s="9" t="n"/>
      <c r="I569" s="10" t="n"/>
      <c r="J569" s="65" t="n">
        <v>39</v>
      </c>
      <c r="K569" s="66" t="inlineStr">
        <is>
          <t>-</t>
        </is>
      </c>
      <c r="L569" s="65" t="n">
        <v>40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D16</t>
        </is>
      </c>
      <c r="J570" s="141" t="n"/>
      <c r="K570" s="141" t="n"/>
      <c r="L570" s="141" t="n"/>
    </row>
    <row r="571" ht="13" customHeight="1">
      <c r="A571" s="88" t="inlineStr">
        <is>
          <t>Gara N.</t>
        </is>
      </c>
      <c r="B571" s="88" t="inlineStr">
        <is>
          <t>Squadra A</t>
        </is>
      </c>
      <c r="C571" s="10" t="n"/>
      <c r="D571" s="88" t="inlineStr">
        <is>
          <t>Squadra B</t>
        </is>
      </c>
      <c r="E571" s="10" t="n"/>
      <c r="F571" s="88" t="inlineStr">
        <is>
          <t>Giorno</t>
        </is>
      </c>
      <c r="G571" s="88" t="inlineStr">
        <is>
          <t>Data</t>
        </is>
      </c>
      <c r="H571" s="88" t="inlineStr">
        <is>
          <t>Ora</t>
        </is>
      </c>
      <c r="I571" s="10" t="n"/>
      <c r="J571" s="88" t="inlineStr">
        <is>
          <t>Risultato</t>
        </is>
      </c>
      <c r="K571" s="9" t="n"/>
      <c r="L571" s="10" t="n"/>
    </row>
    <row r="572" ht="24" customHeight="1">
      <c r="A572" s="90">
        <f>MAX(A$10:A571)+1</f>
        <v/>
      </c>
      <c r="B572" s="61">
        <f>IF(C572="","",IFERROR(VLOOKUP(C572,areaNomiBreviSquadre,7,FALSE),""))</f>
        <v/>
      </c>
      <c r="C572" s="62" t="inlineStr">
        <is>
          <t>D12</t>
        </is>
      </c>
      <c r="D572" s="61">
        <f>IF(E572="","",IFERROR(VLOOKUP(E572,areaNomiBreviSquadre,7,FALSE),""))</f>
        <v/>
      </c>
      <c r="E572" s="62" t="inlineStr">
        <is>
          <t>D05</t>
        </is>
      </c>
      <c r="F572" s="63" t="n">
        <v>46432.45833333334</v>
      </c>
      <c r="G572" s="9" t="n"/>
      <c r="H572" s="9" t="n"/>
      <c r="I572" s="10" t="n"/>
      <c r="J572" s="65" t="n">
        <v>41</v>
      </c>
      <c r="K572" s="66" t="inlineStr">
        <is>
          <t>-</t>
        </is>
      </c>
      <c r="L572" s="65" t="n">
        <v>15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D16</t>
        </is>
      </c>
      <c r="J573" s="141" t="n"/>
      <c r="K573" s="141" t="n"/>
      <c r="L573" s="141" t="n"/>
    </row>
    <row r="574" ht="13" customHeight="1">
      <c r="A574" s="88" t="inlineStr">
        <is>
          <t>Gara N.</t>
        </is>
      </c>
      <c r="B574" s="88" t="inlineStr">
        <is>
          <t>Squadra A</t>
        </is>
      </c>
      <c r="C574" s="10" t="n"/>
      <c r="D574" s="88" t="inlineStr">
        <is>
          <t>Squadra B</t>
        </is>
      </c>
      <c r="E574" s="10" t="n"/>
      <c r="F574" s="88" t="inlineStr">
        <is>
          <t>Giorno</t>
        </is>
      </c>
      <c r="G574" s="88" t="inlineStr">
        <is>
          <t>Data</t>
        </is>
      </c>
      <c r="H574" s="88" t="inlineStr">
        <is>
          <t>Ora</t>
        </is>
      </c>
      <c r="I574" s="10" t="n"/>
      <c r="J574" s="88" t="inlineStr">
        <is>
          <t>Risultato</t>
        </is>
      </c>
      <c r="K574" s="9" t="n"/>
      <c r="L574" s="10" t="n"/>
    </row>
    <row r="575" ht="24" customHeight="1">
      <c r="A575" s="90">
        <f>MAX(A$10:A574)+1</f>
        <v/>
      </c>
      <c r="B575" s="61">
        <f>IF(C575="","",IFERROR(VLOOKUP(C575,areaNomiBreviSquadre,7,FALSE),""))</f>
        <v/>
      </c>
      <c r="C575" s="62" t="inlineStr">
        <is>
          <t>D06</t>
        </is>
      </c>
      <c r="D575" s="61">
        <f>IF(E575="","",IFERROR(VLOOKUP(E575,areaNomiBreviSquadre,7,FALSE),""))</f>
        <v/>
      </c>
      <c r="E575" s="62" t="inlineStr">
        <is>
          <t>D11</t>
        </is>
      </c>
      <c r="F575" s="63" t="n">
        <v>46432.60416666666</v>
      </c>
      <c r="G575" s="9" t="n"/>
      <c r="H575" s="9" t="n"/>
      <c r="I575" s="10" t="n"/>
      <c r="J575" s="65" t="n">
        <v>30</v>
      </c>
      <c r="K575" s="66" t="inlineStr">
        <is>
          <t>-</t>
        </is>
      </c>
      <c r="L575" s="65" t="n">
        <v>41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D16</t>
        </is>
      </c>
      <c r="J576" s="141" t="n"/>
      <c r="K576" s="141" t="n"/>
      <c r="L576" s="141" t="n"/>
    </row>
    <row r="577" ht="13" customHeight="1">
      <c r="A577" s="88" t="inlineStr">
        <is>
          <t>Gara N.</t>
        </is>
      </c>
      <c r="B577" s="88" t="inlineStr">
        <is>
          <t>Squadra A</t>
        </is>
      </c>
      <c r="C577" s="10" t="n"/>
      <c r="D577" s="88" t="inlineStr">
        <is>
          <t>Squadra B</t>
        </is>
      </c>
      <c r="E577" s="10" t="n"/>
      <c r="F577" s="88" t="inlineStr">
        <is>
          <t>Giorno</t>
        </is>
      </c>
      <c r="G577" s="88" t="inlineStr">
        <is>
          <t>Data</t>
        </is>
      </c>
      <c r="H577" s="88" t="inlineStr">
        <is>
          <t>Ora</t>
        </is>
      </c>
      <c r="I577" s="10" t="n"/>
      <c r="J577" s="88" t="inlineStr">
        <is>
          <t>Risultato</t>
        </is>
      </c>
      <c r="K577" s="9" t="n"/>
      <c r="L577" s="10" t="n"/>
    </row>
    <row r="578" ht="24" customHeight="1">
      <c r="A578" s="90">
        <f>MAX(A$10:A577)+1</f>
        <v/>
      </c>
      <c r="B578" s="61">
        <f>IF(C578="","",IFERROR(VLOOKUP(C578,areaNomiBreviSquadre,7,FALSE),""))</f>
        <v/>
      </c>
      <c r="C578" s="62" t="inlineStr">
        <is>
          <t>D10</t>
        </is>
      </c>
      <c r="D578" s="61">
        <f>IF(E578="","",IFERROR(VLOOKUP(E578,areaNomiBreviSquadre,7,FALSE),""))</f>
        <v/>
      </c>
      <c r="E578" s="62" t="inlineStr">
        <is>
          <t>D07</t>
        </is>
      </c>
      <c r="F578" s="63" t="n">
        <v>46432.66666666666</v>
      </c>
      <c r="G578" s="9" t="n"/>
      <c r="H578" s="9" t="n"/>
      <c r="I578" s="10" t="n"/>
      <c r="J578" s="65" t="n">
        <v>85</v>
      </c>
      <c r="K578" s="66" t="inlineStr">
        <is>
          <t>-</t>
        </is>
      </c>
      <c r="L578" s="65" t="n">
        <v>69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D16</t>
        </is>
      </c>
      <c r="J579" s="141" t="n"/>
      <c r="K579" s="141" t="n"/>
      <c r="L579" s="141" t="n"/>
    </row>
    <row r="580" ht="13" customHeight="1">
      <c r="A580" s="88" t="inlineStr">
        <is>
          <t>Gara N.</t>
        </is>
      </c>
      <c r="B580" s="88" t="inlineStr">
        <is>
          <t>Squadra A</t>
        </is>
      </c>
      <c r="C580" s="10" t="n"/>
      <c r="D580" s="88" t="inlineStr">
        <is>
          <t>Squadra B</t>
        </is>
      </c>
      <c r="E580" s="10" t="n"/>
      <c r="F580" s="88" t="inlineStr">
        <is>
          <t>Giorno</t>
        </is>
      </c>
      <c r="G580" s="88" t="inlineStr">
        <is>
          <t>Data</t>
        </is>
      </c>
      <c r="H580" s="88" t="inlineStr">
        <is>
          <t>Ora</t>
        </is>
      </c>
      <c r="I580" s="10" t="n"/>
      <c r="J580" s="88" t="inlineStr">
        <is>
          <t>Risultato</t>
        </is>
      </c>
      <c r="K580" s="9" t="n"/>
      <c r="L580" s="10" t="n"/>
    </row>
    <row r="581" ht="24" customHeight="1">
      <c r="A581" s="90">
        <f>MAX(A$10:A580)+1</f>
        <v/>
      </c>
      <c r="B581" s="61">
        <f>IF(C581="","",IFERROR(VLOOKUP(C581,areaNomiBreviSquadre,7,FALSE),""))</f>
        <v/>
      </c>
      <c r="C581" s="62" t="inlineStr">
        <is>
          <t>D08</t>
        </is>
      </c>
      <c r="D581" s="61">
        <f>IF(E581="","",IFERROR(VLOOKUP(E581,areaNomiBreviSquadre,7,FALSE),""))</f>
        <v/>
      </c>
      <c r="E581" s="62" t="inlineStr">
        <is>
          <t>D09</t>
        </is>
      </c>
      <c r="F581" s="63" t="n">
        <v>46432.72916666666</v>
      </c>
      <c r="G581" s="9" t="n"/>
      <c r="H581" s="9" t="n"/>
      <c r="I581" s="10" t="n"/>
      <c r="J581" s="65" t="n">
        <v>88</v>
      </c>
      <c r="K581" s="66" t="inlineStr">
        <is>
          <t>-</t>
        </is>
      </c>
      <c r="L581" s="65" t="n">
        <v>85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D16</t>
        </is>
      </c>
      <c r="J582" s="141" t="n"/>
      <c r="K582" s="141" t="n"/>
      <c r="L582" s="141" t="n"/>
    </row>
    <row r="583" ht="8" customHeight="1"/>
    <row r="584" ht="20" customHeight="1">
      <c r="A584" s="85" t="inlineStr">
        <is>
          <t>19D</t>
        </is>
      </c>
      <c r="B584" s="8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8" t="inlineStr">
        <is>
          <t>Gara N.</t>
        </is>
      </c>
      <c r="B585" s="88" t="inlineStr">
        <is>
          <t>Squadra A</t>
        </is>
      </c>
      <c r="C585" s="10" t="n"/>
      <c r="D585" s="88" t="inlineStr">
        <is>
          <t>Squadra B</t>
        </is>
      </c>
      <c r="E585" s="10" t="n"/>
      <c r="F585" s="88" t="inlineStr">
        <is>
          <t>Giorno</t>
        </is>
      </c>
      <c r="G585" s="88" t="inlineStr">
        <is>
          <t>Data</t>
        </is>
      </c>
      <c r="H585" s="88" t="inlineStr">
        <is>
          <t>Ora</t>
        </is>
      </c>
      <c r="I585" s="10" t="n"/>
      <c r="J585" s="88" t="inlineStr">
        <is>
          <t>Risultato</t>
        </is>
      </c>
      <c r="K585" s="9" t="n"/>
      <c r="L585" s="10" t="n"/>
    </row>
    <row r="586" ht="24" customHeight="1">
      <c r="A586" s="90">
        <f>MAX(A$10:A585)+1</f>
        <v/>
      </c>
      <c r="B586" s="61">
        <f>IF(C586="","",IFERROR(VLOOKUP(C586,areaNomiBreviSquadre,7,FALSE),""))</f>
        <v/>
      </c>
      <c r="C586" s="62" t="inlineStr">
        <is>
          <t>D02</t>
        </is>
      </c>
      <c r="D586" s="61">
        <f>IF(E586="","",IFERROR(VLOOKUP(E586,areaNomiBreviSquadre,7,FALSE),""))</f>
        <v/>
      </c>
      <c r="E586" s="62" t="inlineStr">
        <is>
          <t>D17</t>
        </is>
      </c>
      <c r="F586" s="63" t="n">
        <v>46439.39583333334</v>
      </c>
      <c r="G586" s="9" t="n"/>
      <c r="H586" s="9" t="n"/>
      <c r="I586" s="10" t="n"/>
      <c r="J586" s="65" t="n">
        <v>58</v>
      </c>
      <c r="K586" s="66" t="inlineStr">
        <is>
          <t>-</t>
        </is>
      </c>
      <c r="L586" s="65" t="n">
        <v>65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D17</t>
        </is>
      </c>
      <c r="J587" s="141" t="n"/>
      <c r="K587" s="141" t="n"/>
      <c r="L587" s="141" t="n"/>
    </row>
    <row r="588" ht="13" customHeight="1">
      <c r="A588" s="88" t="inlineStr">
        <is>
          <t>Gara N.</t>
        </is>
      </c>
      <c r="B588" s="88" t="inlineStr">
        <is>
          <t>Squadra A</t>
        </is>
      </c>
      <c r="C588" s="10" t="n"/>
      <c r="D588" s="88" t="inlineStr">
        <is>
          <t>Squadra B</t>
        </is>
      </c>
      <c r="E588" s="10" t="n"/>
      <c r="F588" s="88" t="inlineStr">
        <is>
          <t>Giorno</t>
        </is>
      </c>
      <c r="G588" s="88" t="inlineStr">
        <is>
          <t>Data</t>
        </is>
      </c>
      <c r="H588" s="88" t="inlineStr">
        <is>
          <t>Ora</t>
        </is>
      </c>
      <c r="I588" s="10" t="n"/>
      <c r="J588" s="88" t="inlineStr">
        <is>
          <t>Risultato</t>
        </is>
      </c>
      <c r="K588" s="9" t="n"/>
      <c r="L588" s="10" t="n"/>
    </row>
    <row r="589" ht="24" customHeight="1">
      <c r="A589" s="90">
        <f>MAX(A$10:A588)+1</f>
        <v/>
      </c>
      <c r="B589" s="61">
        <f>IF(C589="","",IFERROR(VLOOKUP(C589,areaNomiBreviSquadre,7,FALSE),""))</f>
        <v/>
      </c>
      <c r="C589" s="62" t="inlineStr">
        <is>
          <t>D19</t>
        </is>
      </c>
      <c r="D589" s="61">
        <f>IF(E589="","",IFERROR(VLOOKUP(E589,areaNomiBreviSquadre,7,FALSE),""))</f>
        <v/>
      </c>
      <c r="E589" s="62" t="inlineStr">
        <is>
          <t>D20</t>
        </is>
      </c>
      <c r="F589" s="63" t="n">
        <v>46439.45833333334</v>
      </c>
      <c r="G589" s="9" t="n"/>
      <c r="H589" s="9" t="n"/>
      <c r="I589" s="10" t="n"/>
      <c r="J589" s="65" t="n">
        <v>49</v>
      </c>
      <c r="K589" s="66" t="inlineStr">
        <is>
          <t>-</t>
        </is>
      </c>
      <c r="L589" s="65" t="n">
        <v>23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D17</t>
        </is>
      </c>
      <c r="J590" s="141" t="n"/>
      <c r="K590" s="141" t="n"/>
      <c r="L590" s="141" t="n"/>
    </row>
    <row r="591" ht="13" customHeight="1">
      <c r="A591" s="88" t="inlineStr">
        <is>
          <t>Gara N.</t>
        </is>
      </c>
      <c r="B591" s="88" t="inlineStr">
        <is>
          <t>Squadra A</t>
        </is>
      </c>
      <c r="C591" s="10" t="n"/>
      <c r="D591" s="88" t="inlineStr">
        <is>
          <t>Squadra B</t>
        </is>
      </c>
      <c r="E591" s="10" t="n"/>
      <c r="F591" s="88" t="inlineStr">
        <is>
          <t>Giorno</t>
        </is>
      </c>
      <c r="G591" s="88" t="inlineStr">
        <is>
          <t>Data</t>
        </is>
      </c>
      <c r="H591" s="88" t="inlineStr">
        <is>
          <t>Ora</t>
        </is>
      </c>
      <c r="I591" s="10" t="n"/>
      <c r="J591" s="88" t="inlineStr">
        <is>
          <t>Risultato</t>
        </is>
      </c>
      <c r="K591" s="9" t="n"/>
      <c r="L591" s="10" t="n"/>
    </row>
    <row r="592" ht="24" customHeight="1">
      <c r="A592" s="90">
        <f>MAX(A$10:A591)+1</f>
        <v/>
      </c>
      <c r="B592" s="61">
        <f>IF(C592="","",IFERROR(VLOOKUP(C592,areaNomiBreviSquadre,7,FALSE),""))</f>
        <v/>
      </c>
      <c r="C592" s="62" t="inlineStr">
        <is>
          <t>D16</t>
        </is>
      </c>
      <c r="D592" s="61">
        <f>IF(E592="","",IFERROR(VLOOKUP(E592,areaNomiBreviSquadre,7,FALSE),""))</f>
        <v/>
      </c>
      <c r="E592" s="62" t="inlineStr">
        <is>
          <t>D03</t>
        </is>
      </c>
      <c r="F592" s="63" t="n">
        <v>46439.60416666666</v>
      </c>
      <c r="G592" s="9" t="n"/>
      <c r="H592" s="9" t="n"/>
      <c r="I592" s="10" t="n"/>
      <c r="J592" s="65" t="n">
        <v>62</v>
      </c>
      <c r="K592" s="66" t="inlineStr">
        <is>
          <t>-</t>
        </is>
      </c>
      <c r="L592" s="65" t="n">
        <v>84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D17</t>
        </is>
      </c>
      <c r="J593" s="141" t="n"/>
      <c r="K593" s="141" t="n"/>
      <c r="L593" s="141" t="n"/>
    </row>
    <row r="594" ht="13" customHeight="1">
      <c r="A594" s="88" t="inlineStr">
        <is>
          <t>Gara N.</t>
        </is>
      </c>
      <c r="B594" s="88" t="inlineStr">
        <is>
          <t>Squadra A</t>
        </is>
      </c>
      <c r="C594" s="10" t="n"/>
      <c r="D594" s="88" t="inlineStr">
        <is>
          <t>Squadra B</t>
        </is>
      </c>
      <c r="E594" s="10" t="n"/>
      <c r="F594" s="88" t="inlineStr">
        <is>
          <t>Giorno</t>
        </is>
      </c>
      <c r="G594" s="88" t="inlineStr">
        <is>
          <t>Data</t>
        </is>
      </c>
      <c r="H594" s="88" t="inlineStr">
        <is>
          <t>Ora</t>
        </is>
      </c>
      <c r="I594" s="10" t="n"/>
      <c r="J594" s="88" t="inlineStr">
        <is>
          <t>Risultato</t>
        </is>
      </c>
      <c r="K594" s="9" t="n"/>
      <c r="L594" s="10" t="n"/>
    </row>
    <row r="595" ht="24" customHeight="1">
      <c r="A595" s="90">
        <f>MAX(A$10:A594)+1</f>
        <v/>
      </c>
      <c r="B595" s="61">
        <f>IF(C595="","",IFERROR(VLOOKUP(C595,areaNomiBreviSquadre,7,FALSE),""))</f>
        <v/>
      </c>
      <c r="C595" s="62" t="inlineStr">
        <is>
          <t>D04</t>
        </is>
      </c>
      <c r="D595" s="61">
        <f>IF(E595="","",IFERROR(VLOOKUP(E595,areaNomiBreviSquadre,7,FALSE),""))</f>
        <v/>
      </c>
      <c r="E595" s="62" t="inlineStr">
        <is>
          <t>D15</t>
        </is>
      </c>
      <c r="F595" s="63" t="n">
        <v>46439.66666666666</v>
      </c>
      <c r="G595" s="9" t="n"/>
      <c r="H595" s="9" t="n"/>
      <c r="I595" s="10" t="n"/>
      <c r="J595" s="65" t="n">
        <v>62</v>
      </c>
      <c r="K595" s="66" t="inlineStr">
        <is>
          <t>-</t>
        </is>
      </c>
      <c r="L595" s="65" t="n">
        <v>50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D17</t>
        </is>
      </c>
      <c r="J596" s="141" t="n"/>
      <c r="K596" s="141" t="n"/>
      <c r="L596" s="141" t="n"/>
    </row>
    <row r="597" ht="13" customHeight="1">
      <c r="A597" s="88" t="inlineStr">
        <is>
          <t>Gara N.</t>
        </is>
      </c>
      <c r="B597" s="88" t="inlineStr">
        <is>
          <t>Squadra A</t>
        </is>
      </c>
      <c r="C597" s="10" t="n"/>
      <c r="D597" s="88" t="inlineStr">
        <is>
          <t>Squadra B</t>
        </is>
      </c>
      <c r="E597" s="10" t="n"/>
      <c r="F597" s="88" t="inlineStr">
        <is>
          <t>Giorno</t>
        </is>
      </c>
      <c r="G597" s="88" t="inlineStr">
        <is>
          <t>Data</t>
        </is>
      </c>
      <c r="H597" s="88" t="inlineStr">
        <is>
          <t>Ora</t>
        </is>
      </c>
      <c r="I597" s="10" t="n"/>
      <c r="J597" s="88" t="inlineStr">
        <is>
          <t>Risultato</t>
        </is>
      </c>
      <c r="K597" s="9" t="n"/>
      <c r="L597" s="10" t="n"/>
    </row>
    <row r="598" ht="24" customHeight="1">
      <c r="A598" s="90">
        <f>MAX(A$10:A597)+1</f>
        <v/>
      </c>
      <c r="B598" s="61">
        <f>IF(C598="","",IFERROR(VLOOKUP(C598,areaNomiBreviSquadre,7,FALSE),""))</f>
        <v/>
      </c>
      <c r="C598" s="62" t="inlineStr">
        <is>
          <t>D14</t>
        </is>
      </c>
      <c r="D598" s="61">
        <f>IF(E598="","",IFERROR(VLOOKUP(E598,areaNomiBreviSquadre,7,FALSE),""))</f>
        <v/>
      </c>
      <c r="E598" s="62" t="inlineStr">
        <is>
          <t>D05</t>
        </is>
      </c>
      <c r="F598" s="63" t="n">
        <v>46439.72916666666</v>
      </c>
      <c r="G598" s="9" t="n"/>
      <c r="H598" s="9" t="n"/>
      <c r="I598" s="10" t="n"/>
      <c r="J598" s="65" t="n">
        <v>54</v>
      </c>
      <c r="K598" s="66" t="inlineStr">
        <is>
          <t>-</t>
        </is>
      </c>
      <c r="L598" s="65" t="n">
        <v>50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D17</t>
        </is>
      </c>
      <c r="J599" s="141" t="n"/>
      <c r="K599" s="141" t="n"/>
      <c r="L599" s="141" t="n"/>
    </row>
    <row r="600" ht="13" customHeight="1">
      <c r="A600" s="88" t="inlineStr">
        <is>
          <t>Gara N.</t>
        </is>
      </c>
      <c r="B600" s="88" t="inlineStr">
        <is>
          <t>Squadra A</t>
        </is>
      </c>
      <c r="C600" s="10" t="n"/>
      <c r="D600" s="88" t="inlineStr">
        <is>
          <t>Squadra B</t>
        </is>
      </c>
      <c r="E600" s="10" t="n"/>
      <c r="F600" s="88" t="inlineStr">
        <is>
          <t>Giorno</t>
        </is>
      </c>
      <c r="G600" s="88" t="inlineStr">
        <is>
          <t>Data</t>
        </is>
      </c>
      <c r="H600" s="88" t="inlineStr">
        <is>
          <t>Ora</t>
        </is>
      </c>
      <c r="I600" s="10" t="n"/>
      <c r="J600" s="88" t="inlineStr">
        <is>
          <t>Risultato</t>
        </is>
      </c>
      <c r="K600" s="9" t="n"/>
      <c r="L600" s="10" t="n"/>
    </row>
    <row r="601" ht="24" customHeight="1">
      <c r="A601" s="90">
        <f>MAX(A$10:A600)+1</f>
        <v/>
      </c>
      <c r="B601" s="61">
        <f>IF(C601="","",IFERROR(VLOOKUP(C601,areaNomiBreviSquadre,7,FALSE),""))</f>
        <v/>
      </c>
      <c r="C601" s="62" t="inlineStr">
        <is>
          <t>D18</t>
        </is>
      </c>
      <c r="D601" s="61">
        <f>IF(E601="","",IFERROR(VLOOKUP(E601,areaNomiBreviSquadre,7,FALSE),""))</f>
        <v/>
      </c>
      <c r="E601" s="62" t="inlineStr">
        <is>
          <t>D01</t>
        </is>
      </c>
      <c r="F601" s="63" t="n">
        <v>46439.39583333334</v>
      </c>
      <c r="G601" s="9" t="n"/>
      <c r="H601" s="9" t="n"/>
      <c r="I601" s="10" t="n"/>
      <c r="J601" s="65" t="n">
        <v>84</v>
      </c>
      <c r="K601" s="66" t="inlineStr">
        <is>
          <t>-</t>
        </is>
      </c>
      <c r="L601" s="65" t="n">
        <v>80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D18</t>
        </is>
      </c>
      <c r="J602" s="141" t="n"/>
      <c r="K602" s="141" t="n"/>
      <c r="L602" s="141" t="n"/>
    </row>
    <row r="603" ht="13" customHeight="1">
      <c r="A603" s="88" t="inlineStr">
        <is>
          <t>Gara N.</t>
        </is>
      </c>
      <c r="B603" s="88" t="inlineStr">
        <is>
          <t>Squadra A</t>
        </is>
      </c>
      <c r="C603" s="10" t="n"/>
      <c r="D603" s="88" t="inlineStr">
        <is>
          <t>Squadra B</t>
        </is>
      </c>
      <c r="E603" s="10" t="n"/>
      <c r="F603" s="88" t="inlineStr">
        <is>
          <t>Giorno</t>
        </is>
      </c>
      <c r="G603" s="88" t="inlineStr">
        <is>
          <t>Data</t>
        </is>
      </c>
      <c r="H603" s="88" t="inlineStr">
        <is>
          <t>Ora</t>
        </is>
      </c>
      <c r="I603" s="10" t="n"/>
      <c r="J603" s="88" t="inlineStr">
        <is>
          <t>Risultato</t>
        </is>
      </c>
      <c r="K603" s="9" t="n"/>
      <c r="L603" s="10" t="n"/>
    </row>
    <row r="604" ht="24" customHeight="1">
      <c r="A604" s="90">
        <f>MAX(A$10:A603)+1</f>
        <v/>
      </c>
      <c r="B604" s="61">
        <f>IF(C604="","",IFERROR(VLOOKUP(C604,areaNomiBreviSquadre,7,FALSE),""))</f>
        <v/>
      </c>
      <c r="C604" s="62" t="inlineStr">
        <is>
          <t>D06</t>
        </is>
      </c>
      <c r="D604" s="61">
        <f>IF(E604="","",IFERROR(VLOOKUP(E604,areaNomiBreviSquadre,7,FALSE),""))</f>
        <v/>
      </c>
      <c r="E604" s="62" t="inlineStr">
        <is>
          <t>D13</t>
        </is>
      </c>
      <c r="F604" s="63" t="n">
        <v>46439.45833333334</v>
      </c>
      <c r="G604" s="9" t="n"/>
      <c r="H604" s="9" t="n"/>
      <c r="I604" s="10" t="n"/>
      <c r="J604" s="65" t="n">
        <v>81</v>
      </c>
      <c r="K604" s="66" t="inlineStr">
        <is>
          <t>-</t>
        </is>
      </c>
      <c r="L604" s="65" t="n">
        <v>74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D18</t>
        </is>
      </c>
      <c r="J605" s="141" t="n"/>
      <c r="K605" s="141" t="n"/>
      <c r="L605" s="141" t="n"/>
    </row>
    <row r="606" ht="13" customHeight="1">
      <c r="A606" s="88" t="inlineStr">
        <is>
          <t>Gara N.</t>
        </is>
      </c>
      <c r="B606" s="88" t="inlineStr">
        <is>
          <t>Squadra A</t>
        </is>
      </c>
      <c r="C606" s="10" t="n"/>
      <c r="D606" s="88" t="inlineStr">
        <is>
          <t>Squadra B</t>
        </is>
      </c>
      <c r="E606" s="10" t="n"/>
      <c r="F606" s="88" t="inlineStr">
        <is>
          <t>Giorno</t>
        </is>
      </c>
      <c r="G606" s="88" t="inlineStr">
        <is>
          <t>Data</t>
        </is>
      </c>
      <c r="H606" s="88" t="inlineStr">
        <is>
          <t>Ora</t>
        </is>
      </c>
      <c r="I606" s="10" t="n"/>
      <c r="J606" s="88" t="inlineStr">
        <is>
          <t>Risultato</t>
        </is>
      </c>
      <c r="K606" s="9" t="n"/>
      <c r="L606" s="10" t="n"/>
    </row>
    <row r="607" ht="24" customHeight="1">
      <c r="A607" s="90">
        <f>MAX(A$10:A606)+1</f>
        <v/>
      </c>
      <c r="B607" s="61">
        <f>IF(C607="","",IFERROR(VLOOKUP(C607,areaNomiBreviSquadre,7,FALSE),""))</f>
        <v/>
      </c>
      <c r="C607" s="62" t="inlineStr">
        <is>
          <t>D12</t>
        </is>
      </c>
      <c r="D607" s="61">
        <f>IF(E607="","",IFERROR(VLOOKUP(E607,areaNomiBreviSquadre,7,FALSE),""))</f>
        <v/>
      </c>
      <c r="E607" s="62" t="inlineStr">
        <is>
          <t>D07</t>
        </is>
      </c>
      <c r="F607" s="63" t="n">
        <v>46439.60416666666</v>
      </c>
      <c r="G607" s="9" t="n"/>
      <c r="H607" s="9" t="n"/>
      <c r="I607" s="10" t="n"/>
      <c r="J607" s="65" t="n">
        <v>56</v>
      </c>
      <c r="K607" s="66" t="inlineStr">
        <is>
          <t>-</t>
        </is>
      </c>
      <c r="L607" s="65" t="n">
        <v>50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D18</t>
        </is>
      </c>
      <c r="J608" s="141" t="n"/>
      <c r="K608" s="141" t="n"/>
      <c r="L608" s="141" t="n"/>
    </row>
    <row r="609" ht="13" customHeight="1">
      <c r="A609" s="88" t="inlineStr">
        <is>
          <t>Gara N.</t>
        </is>
      </c>
      <c r="B609" s="88" t="inlineStr">
        <is>
          <t>Squadra A</t>
        </is>
      </c>
      <c r="C609" s="10" t="n"/>
      <c r="D609" s="88" t="inlineStr">
        <is>
          <t>Squadra B</t>
        </is>
      </c>
      <c r="E609" s="10" t="n"/>
      <c r="F609" s="88" t="inlineStr">
        <is>
          <t>Giorno</t>
        </is>
      </c>
      <c r="G609" s="88" t="inlineStr">
        <is>
          <t>Data</t>
        </is>
      </c>
      <c r="H609" s="88" t="inlineStr">
        <is>
          <t>Ora</t>
        </is>
      </c>
      <c r="I609" s="10" t="n"/>
      <c r="J609" s="88" t="inlineStr">
        <is>
          <t>Risultato</t>
        </is>
      </c>
      <c r="K609" s="9" t="n"/>
      <c r="L609" s="10" t="n"/>
    </row>
    <row r="610" ht="24" customHeight="1">
      <c r="A610" s="90">
        <f>MAX(A$10:A609)+1</f>
        <v/>
      </c>
      <c r="B610" s="61">
        <f>IF(C610="","",IFERROR(VLOOKUP(C610,areaNomiBreviSquadre,7,FALSE),""))</f>
        <v/>
      </c>
      <c r="C610" s="62" t="inlineStr">
        <is>
          <t>D08</t>
        </is>
      </c>
      <c r="D610" s="61">
        <f>IF(E610="","",IFERROR(VLOOKUP(E610,areaNomiBreviSquadre,7,FALSE),""))</f>
        <v/>
      </c>
      <c r="E610" s="62" t="inlineStr">
        <is>
          <t>D11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43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D18</t>
        </is>
      </c>
      <c r="J611" s="141" t="n"/>
      <c r="K611" s="141" t="n"/>
      <c r="L611" s="141" t="n"/>
    </row>
    <row r="612" ht="13" customHeight="1">
      <c r="A612" s="88" t="inlineStr">
        <is>
          <t>Gara N.</t>
        </is>
      </c>
      <c r="B612" s="88" t="inlineStr">
        <is>
          <t>Squadra A</t>
        </is>
      </c>
      <c r="C612" s="10" t="n"/>
      <c r="D612" s="88" t="inlineStr">
        <is>
          <t>Squadra B</t>
        </is>
      </c>
      <c r="E612" s="10" t="n"/>
      <c r="F612" s="88" t="inlineStr">
        <is>
          <t>Giorno</t>
        </is>
      </c>
      <c r="G612" s="88" t="inlineStr">
        <is>
          <t>Data</t>
        </is>
      </c>
      <c r="H612" s="88" t="inlineStr">
        <is>
          <t>Ora</t>
        </is>
      </c>
      <c r="I612" s="10" t="n"/>
      <c r="J612" s="88" t="inlineStr">
        <is>
          <t>Risultato</t>
        </is>
      </c>
      <c r="K612" s="9" t="n"/>
      <c r="L612" s="10" t="n"/>
    </row>
    <row r="613" ht="24" customHeight="1">
      <c r="A613" s="90">
        <f>MAX(A$10:A612)+1</f>
        <v/>
      </c>
      <c r="B613" s="61">
        <f>IF(C613="","",IFERROR(VLOOKUP(C613,areaNomiBreviSquadre,7,FALSE),""))</f>
        <v/>
      </c>
      <c r="C613" s="62" t="inlineStr">
        <is>
          <t>D10</t>
        </is>
      </c>
      <c r="D613" s="61">
        <f>IF(E613="","",IFERROR(VLOOKUP(E613,areaNomiBreviSquadre,7,FALSE),""))</f>
        <v/>
      </c>
      <c r="E613" s="62" t="inlineStr">
        <is>
          <t>D09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58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D18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03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""&amp;constNomeCampionato</f>
        <v/>
      </c>
      <c r="J1">
        <f>IFERROR(IMAGE(constLogo1),"")</f>
        <v/>
      </c>
      <c r="L1">
        <f>IFERROR(IMAGE(constLogo2),"")</f>
        <v/>
      </c>
    </row>
    <row r="2" ht="22" customHeight="1"/>
    <row r="3" ht="22" customHeight="1">
      <c r="A3" s="52">
        <f>"Classifiche di girone - Stagione "&amp;constStagionaCampionato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IFERROR(VLOOKUP($A9,areaCercaDatiPerPosizioneSquadre,2,FALSE),"("&amp;$A9&amp;")")</f>
        <v/>
      </c>
      <c r="C9" s="145">
        <f>IFERROR(VLOOKUP($A9,areaCercaDatiPerPosizioneSquadre,4,FALSE),"-")</f>
        <v/>
      </c>
      <c r="D9" s="12">
        <f>IFERROR(VLOOKUP($A9,areaCercaDatiPerPosizioneSquadre,5,FALSE),"-")</f>
        <v/>
      </c>
      <c r="E9" s="12">
        <f>IFERROR(VLOOKUP($A9,areaCercaDatiPerPosizioneSquadre,6,FALSE),"-")</f>
        <v/>
      </c>
      <c r="F9" s="12">
        <f>IFERROR(VLOOKUP($A9,areaCercaDatiPerPosizioneSquadre,7,FALSE),"-")</f>
        <v/>
      </c>
      <c r="G9" s="12">
        <f>IFERROR(VLOOKUP($A9,areaCercaDatiPerPosizioneSquadre,8,FALSE),"-")</f>
        <v/>
      </c>
      <c r="H9" s="12">
        <f>IFERROR(VLOOKUP($A9,areaCercaDatiPerPosizioneSquadre,9,FALSE),"-")</f>
        <v/>
      </c>
      <c r="I9" s="12">
        <f>IFERROR(VLOOKUP($A9,areaCercaDatiPerPosizioneSquadre,10,FALSE),"-")</f>
        <v/>
      </c>
      <c r="J9" s="12">
        <f>IFERROR(VLOOKUP($A9,areaCercaDatiPerPosizioneSquadre,11,FALSE),"-")</f>
        <v/>
      </c>
      <c r="K9" s="12">
        <f>IFERROR(VLOOKUP($A9,areaCercaDatiPerPosizioneSquadre,15,FALSE),"-")</f>
        <v/>
      </c>
      <c r="L9" s="18">
        <f>IFERROR(VLOOKUP($A9,areaCercaDatiPerPosizioneSquadre,16,FALSE),"-")</f>
        <v/>
      </c>
      <c r="M9" s="18">
        <f>IFERROR(VLOOKUP($A9,areaCercaDatiPerPosizioneSquadre,17,FALSE),"-")</f>
        <v/>
      </c>
    </row>
    <row r="10">
      <c r="A10" s="143" t="inlineStr">
        <is>
          <t>A2</t>
        </is>
      </c>
      <c r="B10" s="144">
        <f>IFERROR(VLOOKUP($A10,areaCercaDatiPerPosizioneSquadre,2,FALSE),"("&amp;$A10&amp;")")</f>
        <v/>
      </c>
      <c r="C10" s="145">
        <f>IFERROR(VLOOKUP($A10,areaCercaDatiPerPosizioneSquadre,4,FALSE),"-")</f>
        <v/>
      </c>
      <c r="D10" s="12">
        <f>IFERROR(VLOOKUP($A10,areaCercaDatiPerPosizioneSquadre,5,FALSE),"-")</f>
        <v/>
      </c>
      <c r="E10" s="12">
        <f>IFERROR(VLOOKUP($A10,areaCercaDatiPerPosizioneSquadre,6,FALSE),"-")</f>
        <v/>
      </c>
      <c r="F10" s="12">
        <f>IFERROR(VLOOKUP($A10,areaCercaDatiPerPosizioneSquadre,7,FALSE),"-")</f>
        <v/>
      </c>
      <c r="G10" s="12">
        <f>IFERROR(VLOOKUP($A10,areaCercaDatiPerPosizioneSquadre,8,FALSE),"-")</f>
        <v/>
      </c>
      <c r="H10" s="12">
        <f>IFERROR(VLOOKUP($A10,areaCercaDatiPerPosizioneSquadre,9,FALSE),"-")</f>
        <v/>
      </c>
      <c r="I10" s="12">
        <f>IFERROR(VLOOKUP($A10,areaCercaDatiPerPosizioneSquadre,10,FALSE),"-")</f>
        <v/>
      </c>
      <c r="J10" s="12">
        <f>IFERROR(VLOOKUP($A10,areaCercaDatiPerPosizioneSquadre,11,FALSE),"-")</f>
        <v/>
      </c>
      <c r="K10" s="12">
        <f>IFERROR(VLOOKUP($A10,areaCercaDatiPerPosizioneSquadre,15,FALSE),"-")</f>
        <v/>
      </c>
      <c r="L10" s="18">
        <f>IFERROR(VLOOKUP($A10,areaCercaDatiPerPosizioneSquadre,16,FALSE),"-")</f>
        <v/>
      </c>
      <c r="M10" s="18">
        <f>IFERROR(VLOOKUP($A10,areaCercaDatiPerPosizioneSquadre,17,FALSE),"-")</f>
        <v/>
      </c>
    </row>
    <row r="11">
      <c r="A11" s="143" t="inlineStr">
        <is>
          <t>A3</t>
        </is>
      </c>
      <c r="B11" s="144">
        <f>IFERROR(VLOOKUP($A11,areaCercaDatiPerPosizioneSquadre,2,FALSE),"("&amp;$A11&amp;")")</f>
        <v/>
      </c>
      <c r="C11" s="145">
        <f>IFERROR(VLOOKUP($A11,areaCercaDatiPerPosizioneSquadre,4,FALSE),"-")</f>
        <v/>
      </c>
      <c r="D11" s="12">
        <f>IFERROR(VLOOKUP($A11,areaCercaDatiPerPosizioneSquadre,5,FALSE),"-")</f>
        <v/>
      </c>
      <c r="E11" s="12">
        <f>IFERROR(VLOOKUP($A11,areaCercaDatiPerPosizioneSquadre,6,FALSE),"-")</f>
        <v/>
      </c>
      <c r="F11" s="12">
        <f>IFERROR(VLOOKUP($A11,areaCercaDatiPerPosizioneSquadre,7,FALSE),"-")</f>
        <v/>
      </c>
      <c r="G11" s="12">
        <f>IFERROR(VLOOKUP($A11,areaCercaDatiPerPosizioneSquadre,8,FALSE),"-")</f>
        <v/>
      </c>
      <c r="H11" s="12">
        <f>IFERROR(VLOOKUP($A11,areaCercaDatiPerPosizioneSquadre,9,FALSE),"-")</f>
        <v/>
      </c>
      <c r="I11" s="12">
        <f>IFERROR(VLOOKUP($A11,areaCercaDatiPerPosizioneSquadre,10,FALSE),"-")</f>
        <v/>
      </c>
      <c r="J11" s="12">
        <f>IFERROR(VLOOKUP($A11,areaCercaDatiPerPosizioneSquadre,11,FALSE),"-")</f>
        <v/>
      </c>
      <c r="K11" s="12">
        <f>IFERROR(VLOOKUP($A11,areaCercaDatiPerPosizioneSquadre,15,FALSE),"-")</f>
        <v/>
      </c>
      <c r="L11" s="18">
        <f>IFERROR(VLOOKUP($A11,areaCercaDatiPerPosizioneSquadre,16,FALSE),"-")</f>
        <v/>
      </c>
      <c r="M11" s="18">
        <f>IFERROR(VLOOKUP($A11,areaCercaDatiPerPosizioneSquadre,17,FALSE),"-")</f>
        <v/>
      </c>
    </row>
    <row r="12">
      <c r="A12" s="143" t="inlineStr">
        <is>
          <t>A4</t>
        </is>
      </c>
      <c r="B12" s="144">
        <f>IFERROR(VLOOKUP($A12,areaCercaDatiPerPosizioneSquadre,2,FALSE),"("&amp;$A12&amp;")")</f>
        <v/>
      </c>
      <c r="C12" s="145">
        <f>IFERROR(VLOOKUP($A12,areaCercaDatiPerPosizioneSquadre,4,FALSE),"-")</f>
        <v/>
      </c>
      <c r="D12" s="12">
        <f>IFERROR(VLOOKUP($A12,areaCercaDatiPerPosizioneSquadre,5,FALSE),"-")</f>
        <v/>
      </c>
      <c r="E12" s="12">
        <f>IFERROR(VLOOKUP($A12,areaCercaDatiPerPosizioneSquadre,6,FALSE),"-")</f>
        <v/>
      </c>
      <c r="F12" s="12">
        <f>IFERROR(VLOOKUP($A12,areaCercaDatiPerPosizioneSquadre,7,FALSE),"-")</f>
        <v/>
      </c>
      <c r="G12" s="12">
        <f>IFERROR(VLOOKUP($A12,areaCercaDatiPerPosizioneSquadre,8,FALSE),"-")</f>
        <v/>
      </c>
      <c r="H12" s="12">
        <f>IFERROR(VLOOKUP($A12,areaCercaDatiPerPosizioneSquadre,9,FALSE),"-")</f>
        <v/>
      </c>
      <c r="I12" s="12">
        <f>IFERROR(VLOOKUP($A12,areaCercaDatiPerPosizioneSquadre,10,FALSE),"-")</f>
        <v/>
      </c>
      <c r="J12" s="12">
        <f>IFERROR(VLOOKUP($A12,areaCercaDatiPerPosizioneSquadre,11,FALSE),"-")</f>
        <v/>
      </c>
      <c r="K12" s="12">
        <f>IFERROR(VLOOKUP($A12,areaCercaDatiPerPosizioneSquadre,15,FALSE),"-")</f>
        <v/>
      </c>
      <c r="L12" s="18">
        <f>IFERROR(VLOOKUP($A12,areaCercaDatiPerPosizioneSquadre,16,FALSE),"-")</f>
        <v/>
      </c>
      <c r="M12" s="18">
        <f>IFERROR(VLOOKUP($A12,areaCercaDatiPerPosizioneSquadre,17,FALSE),"-")</f>
        <v/>
      </c>
    </row>
    <row r="13">
      <c r="A13" s="143" t="inlineStr">
        <is>
          <t>A5</t>
        </is>
      </c>
      <c r="B13" s="17">
        <f>IFERROR(VLOOKUP($A13,areaCercaDatiPerPosizioneSquadre,2,FALSE),"("&amp;$A13&amp;")")</f>
        <v/>
      </c>
      <c r="C13" s="145">
        <f>IFERROR(VLOOKUP($A13,areaCercaDatiPerPosizioneSquadre,4,FALSE),"-")</f>
        <v/>
      </c>
      <c r="D13" s="12">
        <f>IFERROR(VLOOKUP($A13,areaCercaDatiPerPosizioneSquadre,5,FALSE),"-")</f>
        <v/>
      </c>
      <c r="E13" s="12">
        <f>IFERROR(VLOOKUP($A13,areaCercaDatiPerPosizioneSquadre,6,FALSE),"-")</f>
        <v/>
      </c>
      <c r="F13" s="12">
        <f>IFERROR(VLOOKUP($A13,areaCercaDatiPerPosizioneSquadre,7,FALSE),"-")</f>
        <v/>
      </c>
      <c r="G13" s="12">
        <f>IFERROR(VLOOKUP($A13,areaCercaDatiPerPosizioneSquadre,8,FALSE),"-")</f>
        <v/>
      </c>
      <c r="H13" s="12">
        <f>IFERROR(VLOOKUP($A13,areaCercaDatiPerPosizioneSquadre,9,FALSE),"-")</f>
        <v/>
      </c>
      <c r="I13" s="12">
        <f>IFERROR(VLOOKUP($A13,areaCercaDatiPerPosizioneSquadre,10,FALSE),"-")</f>
        <v/>
      </c>
      <c r="J13" s="12">
        <f>IFERROR(VLOOKUP($A13,areaCercaDatiPerPosizioneSquadre,11,FALSE),"-")</f>
        <v/>
      </c>
      <c r="K13" s="12">
        <f>IFERROR(VLOOKUP($A13,areaCercaDatiPerPosizioneSquadre,15,FALSE),"-")</f>
        <v/>
      </c>
      <c r="L13" s="18">
        <f>IFERROR(VLOOKUP($A13,areaCercaDatiPerPosizioneSquadre,16,FALSE),"-")</f>
        <v/>
      </c>
      <c r="M13" s="18">
        <f>IFERROR(VLOOKUP($A13,areaCercaDatiPerPosizioneSquadre,17,FALSE),"-")</f>
        <v/>
      </c>
    </row>
    <row r="14">
      <c r="A14" s="143" t="inlineStr">
        <is>
          <t>A6</t>
        </is>
      </c>
      <c r="B14" s="17">
        <f>IFERROR(VLOOKUP($A14,areaCercaDatiPerPosizioneSquadre,2,FALSE),"("&amp;$A14&amp;")")</f>
        <v/>
      </c>
      <c r="C14" s="145">
        <f>IFERROR(VLOOKUP($A14,areaCercaDatiPerPosizioneSquadre,4,FALSE),"-")</f>
        <v/>
      </c>
      <c r="D14" s="12">
        <f>IFERROR(VLOOKUP($A14,areaCercaDatiPerPosizioneSquadre,5,FALSE),"-")</f>
        <v/>
      </c>
      <c r="E14" s="12">
        <f>IFERROR(VLOOKUP($A14,areaCercaDatiPerPosizioneSquadre,6,FALSE),"-")</f>
        <v/>
      </c>
      <c r="F14" s="12">
        <f>IFERROR(VLOOKUP($A14,areaCercaDatiPerPosizioneSquadre,7,FALSE),"-")</f>
        <v/>
      </c>
      <c r="G14" s="12">
        <f>IFERROR(VLOOKUP($A14,areaCercaDatiPerPosizioneSquadre,8,FALSE),"-")</f>
        <v/>
      </c>
      <c r="H14" s="12">
        <f>IFERROR(VLOOKUP($A14,areaCercaDatiPerPosizioneSquadre,9,FALSE),"-")</f>
        <v/>
      </c>
      <c r="I14" s="12">
        <f>IFERROR(VLOOKUP($A14,areaCercaDatiPerPosizioneSquadre,10,FALSE),"-")</f>
        <v/>
      </c>
      <c r="J14" s="12">
        <f>IFERROR(VLOOKUP($A14,areaCercaDatiPerPosizioneSquadre,11,FALSE),"-")</f>
        <v/>
      </c>
      <c r="K14" s="12">
        <f>IFERROR(VLOOKUP($A14,areaCercaDatiPerPosizioneSquadre,15,FALSE),"-")</f>
        <v/>
      </c>
      <c r="L14" s="18">
        <f>IFERROR(VLOOKUP($A14,areaCercaDatiPerPosizioneSquadre,16,FALSE),"-")</f>
        <v/>
      </c>
      <c r="M14" s="18">
        <f>IFERROR(VLOOKUP($A14,areaCercaDatiPerPosizioneSquadre,17,FALSE),"-")</f>
        <v/>
      </c>
    </row>
    <row r="15">
      <c r="A15" s="143" t="inlineStr">
        <is>
          <t>A7</t>
        </is>
      </c>
      <c r="B15" s="17">
        <f>IFERROR(VLOOKUP($A15,areaCercaDatiPerPosizioneSquadre,2,FALSE),"("&amp;$A15&amp;")")</f>
        <v/>
      </c>
      <c r="C15" s="145">
        <f>IFERROR(VLOOKUP($A15,areaCercaDatiPerPosizioneSquadre,4,FALSE),"-")</f>
        <v/>
      </c>
      <c r="D15" s="12">
        <f>IFERROR(VLOOKUP($A15,areaCercaDatiPerPosizioneSquadre,5,FALSE),"-")</f>
        <v/>
      </c>
      <c r="E15" s="12">
        <f>IFERROR(VLOOKUP($A15,areaCercaDatiPerPosizioneSquadre,6,FALSE),"-")</f>
        <v/>
      </c>
      <c r="F15" s="12">
        <f>IFERROR(VLOOKUP($A15,areaCercaDatiPerPosizioneSquadre,7,FALSE),"-")</f>
        <v/>
      </c>
      <c r="G15" s="12">
        <f>IFERROR(VLOOKUP($A15,areaCercaDatiPerPosizioneSquadre,8,FALSE),"-")</f>
        <v/>
      </c>
      <c r="H15" s="12">
        <f>IFERROR(VLOOKUP($A15,areaCercaDatiPerPosizioneSquadre,9,FALSE),"-")</f>
        <v/>
      </c>
      <c r="I15" s="12">
        <f>IFERROR(VLOOKUP($A15,areaCercaDatiPerPosizioneSquadre,10,FALSE),"-")</f>
        <v/>
      </c>
      <c r="J15" s="12">
        <f>IFERROR(VLOOKUP($A15,areaCercaDatiPerPosizioneSquadre,11,FALSE),"-")</f>
        <v/>
      </c>
      <c r="K15" s="12">
        <f>IFERROR(VLOOKUP($A15,areaCercaDatiPerPosizioneSquadre,15,FALSE),"-")</f>
        <v/>
      </c>
      <c r="L15" s="18">
        <f>IFERROR(VLOOKUP($A15,areaCercaDatiPerPosizioneSquadre,16,FALSE),"-")</f>
        <v/>
      </c>
      <c r="M15" s="18">
        <f>IFERROR(VLOOKUP($A15,areaCercaDatiPerPosizioneSquadre,17,FALSE),"-")</f>
        <v/>
      </c>
    </row>
    <row r="16">
      <c r="A16" s="143" t="inlineStr">
        <is>
          <t>A8</t>
        </is>
      </c>
      <c r="B16" s="17">
        <f>IFERROR(VLOOKUP($A16,areaCercaDatiPerPosizioneSquadre,2,FALSE),"("&amp;$A16&amp;")")</f>
        <v/>
      </c>
      <c r="C16" s="145">
        <f>IFERROR(VLOOKUP($A16,areaCercaDatiPerPosizioneSquadre,4,FALSE),"-")</f>
        <v/>
      </c>
      <c r="D16" s="12">
        <f>IFERROR(VLOOKUP($A16,areaCercaDatiPerPosizioneSquadre,5,FALSE),"-")</f>
        <v/>
      </c>
      <c r="E16" s="12">
        <f>IFERROR(VLOOKUP($A16,areaCercaDatiPerPosizioneSquadre,6,FALSE),"-")</f>
        <v/>
      </c>
      <c r="F16" s="12">
        <f>IFERROR(VLOOKUP($A16,areaCercaDatiPerPosizioneSquadre,7,FALSE),"-")</f>
        <v/>
      </c>
      <c r="G16" s="12">
        <f>IFERROR(VLOOKUP($A16,areaCercaDatiPerPosizioneSquadre,8,FALSE),"-")</f>
        <v/>
      </c>
      <c r="H16" s="12">
        <f>IFERROR(VLOOKUP($A16,areaCercaDatiPerPosizioneSquadre,9,FALSE),"-")</f>
        <v/>
      </c>
      <c r="I16" s="12">
        <f>IFERROR(VLOOKUP($A16,areaCercaDatiPerPosizioneSquadre,10,FALSE),"-")</f>
        <v/>
      </c>
      <c r="J16" s="12">
        <f>IFERROR(VLOOKUP($A16,areaCercaDatiPerPosizioneSquadre,11,FALSE),"-")</f>
        <v/>
      </c>
      <c r="K16" s="12">
        <f>IFERROR(VLOOKUP($A16,areaCercaDatiPerPosizioneSquadre,15,FALSE),"-")</f>
        <v/>
      </c>
      <c r="L16" s="18">
        <f>IFERROR(VLOOKUP($A16,areaCercaDatiPerPosizioneSquadre,16,FALSE),"-")</f>
        <v/>
      </c>
      <c r="M16" s="18">
        <f>IFERROR(VLOOKUP($A16,areaCercaDatiPerPosizioneSquadre,17,FALSE),"-")</f>
        <v/>
      </c>
    </row>
    <row r="17">
      <c r="A17" s="143" t="inlineStr">
        <is>
          <t>A9</t>
        </is>
      </c>
      <c r="B17" s="17">
        <f>IFERROR(VLOOKUP($A17,areaCercaDatiPerPosizioneSquadre,2,FALSE),"("&amp;$A17&amp;")")</f>
        <v/>
      </c>
      <c r="C17" s="145">
        <f>IFERROR(VLOOKUP($A17,areaCercaDatiPerPosizioneSquadre,4,FALSE),"-")</f>
        <v/>
      </c>
      <c r="D17" s="12">
        <f>IFERROR(VLOOKUP($A17,areaCercaDatiPerPosizioneSquadre,5,FALSE),"-")</f>
        <v/>
      </c>
      <c r="E17" s="12">
        <f>IFERROR(VLOOKUP($A17,areaCercaDatiPerPosizioneSquadre,6,FALSE),"-")</f>
        <v/>
      </c>
      <c r="F17" s="12">
        <f>IFERROR(VLOOKUP($A17,areaCercaDatiPerPosizioneSquadre,7,FALSE),"-")</f>
        <v/>
      </c>
      <c r="G17" s="12">
        <f>IFERROR(VLOOKUP($A17,areaCercaDatiPerPosizioneSquadre,8,FALSE),"-")</f>
        <v/>
      </c>
      <c r="H17" s="12">
        <f>IFERROR(VLOOKUP($A17,areaCercaDatiPerPosizioneSquadre,9,FALSE),"-")</f>
        <v/>
      </c>
      <c r="I17" s="12">
        <f>IFERROR(VLOOKUP($A17,areaCercaDatiPerPosizioneSquadre,10,FALSE),"-")</f>
        <v/>
      </c>
      <c r="J17" s="12">
        <f>IFERROR(VLOOKUP($A17,areaCercaDatiPerPosizioneSquadre,11,FALSE),"-")</f>
        <v/>
      </c>
      <c r="K17" s="12">
        <f>IFERROR(VLOOKUP($A17,areaCercaDatiPerPosizioneSquadre,15,FALSE),"-")</f>
        <v/>
      </c>
      <c r="L17" s="18">
        <f>IFERROR(VLOOKUP($A17,areaCercaDatiPerPosizioneSquadre,16,FALSE),"-")</f>
        <v/>
      </c>
      <c r="M17" s="18">
        <f>IFERROR(VLOOKUP($A17,areaCercaDatiPerPosizioneSquadre,17,FALSE),"-")</f>
        <v/>
      </c>
    </row>
    <row r="18">
      <c r="A18" s="143" t="inlineStr">
        <is>
          <t>A10</t>
        </is>
      </c>
      <c r="B18" s="17">
        <f>IFERROR(VLOOKUP($A18,areaCercaDatiPerPosizioneSquadre,2,FALSE),"("&amp;$A18&amp;")")</f>
        <v/>
      </c>
      <c r="C18" s="145">
        <f>IFERROR(VLOOKUP($A18,areaCercaDatiPerPosizioneSquadre,4,FALSE),"-")</f>
        <v/>
      </c>
      <c r="D18" s="12">
        <f>IFERROR(VLOOKUP($A18,areaCercaDatiPerPosizioneSquadre,5,FALSE),"-")</f>
        <v/>
      </c>
      <c r="E18" s="12">
        <f>IFERROR(VLOOKUP($A18,areaCercaDatiPerPosizioneSquadre,6,FALSE),"-")</f>
        <v/>
      </c>
      <c r="F18" s="12">
        <f>IFERROR(VLOOKUP($A18,areaCercaDatiPerPosizioneSquadre,7,FALSE),"-")</f>
        <v/>
      </c>
      <c r="G18" s="12">
        <f>IFERROR(VLOOKUP($A18,areaCercaDatiPerPosizioneSquadre,8,FALSE),"-")</f>
        <v/>
      </c>
      <c r="H18" s="12">
        <f>IFERROR(VLOOKUP($A18,areaCercaDatiPerPosizioneSquadre,9,FALSE),"-")</f>
        <v/>
      </c>
      <c r="I18" s="12">
        <f>IFERROR(VLOOKUP($A18,areaCercaDatiPerPosizioneSquadre,10,FALSE),"-")</f>
        <v/>
      </c>
      <c r="J18" s="12">
        <f>IFERROR(VLOOKUP($A18,areaCercaDatiPerPosizioneSquadre,11,FALSE),"-")</f>
        <v/>
      </c>
      <c r="K18" s="12">
        <f>IFERROR(VLOOKUP($A18,areaCercaDatiPerPosizioneSquadre,15,FALSE),"-")</f>
        <v/>
      </c>
      <c r="L18" s="18">
        <f>IFERROR(VLOOKUP($A18,areaCercaDatiPerPosizioneSquadre,16,FALSE),"-")</f>
        <v/>
      </c>
      <c r="M18" s="18">
        <f>IFERROR(VLOOKUP($A18,areaCercaDatiPerPosizioneSquadre,17,FALSE),"-")</f>
        <v/>
      </c>
    </row>
    <row r="19">
      <c r="A19" s="143" t="inlineStr">
        <is>
          <t>A11</t>
        </is>
      </c>
      <c r="B19" s="17">
        <f>IFERROR(VLOOKUP($A19,areaCercaDatiPerPosizioneSquadre,2,FALSE),"("&amp;$A19&amp;")")</f>
        <v/>
      </c>
      <c r="C19" s="145">
        <f>IFERROR(VLOOKUP($A19,areaCercaDatiPerPosizioneSquadre,4,FALSE),"-")</f>
        <v/>
      </c>
      <c r="D19" s="12">
        <f>IFERROR(VLOOKUP($A19,areaCercaDatiPerPosizioneSquadre,5,FALSE),"-")</f>
        <v/>
      </c>
      <c r="E19" s="12">
        <f>IFERROR(VLOOKUP($A19,areaCercaDatiPerPosizioneSquadre,6,FALSE),"-")</f>
        <v/>
      </c>
      <c r="F19" s="12">
        <f>IFERROR(VLOOKUP($A19,areaCercaDatiPerPosizioneSquadre,7,FALSE),"-")</f>
        <v/>
      </c>
      <c r="G19" s="12">
        <f>IFERROR(VLOOKUP($A19,areaCercaDatiPerPosizioneSquadre,8,FALSE),"-")</f>
        <v/>
      </c>
      <c r="H19" s="12">
        <f>IFERROR(VLOOKUP($A19,areaCercaDatiPerPosizioneSquadre,9,FALSE),"-")</f>
        <v/>
      </c>
      <c r="I19" s="12">
        <f>IFERROR(VLOOKUP($A19,areaCercaDatiPerPosizioneSquadre,10,FALSE),"-")</f>
        <v/>
      </c>
      <c r="J19" s="12">
        <f>IFERROR(VLOOKUP($A19,areaCercaDatiPerPosizioneSquadre,11,FALSE),"-")</f>
        <v/>
      </c>
      <c r="K19" s="12">
        <f>IFERROR(VLOOKUP($A19,areaCercaDatiPerPosizioneSquadre,15,FALSE),"-")</f>
        <v/>
      </c>
      <c r="L19" s="18">
        <f>IFERROR(VLOOKUP($A19,areaCercaDatiPerPosizioneSquadre,16,FALSE),"-")</f>
        <v/>
      </c>
      <c r="M19" s="18">
        <f>IFERROR(VLOOKUP($A19,areaCercaDatiPerPosizioneSquadre,17,FALSE),"-")</f>
        <v/>
      </c>
    </row>
    <row r="20">
      <c r="A20" s="143" t="inlineStr">
        <is>
          <t>A12</t>
        </is>
      </c>
      <c r="B20" s="17">
        <f>IFERROR(VLOOKUP($A20,areaCercaDatiPerPosizioneSquadre,2,FALSE),"("&amp;$A20&amp;")")</f>
        <v/>
      </c>
      <c r="C20" s="145">
        <f>IFERROR(VLOOKUP($A20,areaCercaDatiPerPosizioneSquadre,4,FALSE),"-")</f>
        <v/>
      </c>
      <c r="D20" s="12">
        <f>IFERROR(VLOOKUP($A20,areaCercaDatiPerPosizioneSquadre,5,FALSE),"-")</f>
        <v/>
      </c>
      <c r="E20" s="12">
        <f>IFERROR(VLOOKUP($A20,areaCercaDatiPerPosizioneSquadre,6,FALSE),"-")</f>
        <v/>
      </c>
      <c r="F20" s="12">
        <f>IFERROR(VLOOKUP($A20,areaCercaDatiPerPosizioneSquadre,7,FALSE),"-")</f>
        <v/>
      </c>
      <c r="G20" s="12">
        <f>IFERROR(VLOOKUP($A20,areaCercaDatiPerPosizioneSquadre,8,FALSE),"-")</f>
        <v/>
      </c>
      <c r="H20" s="12">
        <f>IFERROR(VLOOKUP($A20,areaCercaDatiPerPosizioneSquadre,9,FALSE),"-")</f>
        <v/>
      </c>
      <c r="I20" s="12">
        <f>IFERROR(VLOOKUP($A20,areaCercaDatiPerPosizioneSquadre,10,FALSE),"-")</f>
        <v/>
      </c>
      <c r="J20" s="12">
        <f>IFERROR(VLOOKUP($A20,areaCercaDatiPerPosizioneSquadre,11,FALSE),"-")</f>
        <v/>
      </c>
      <c r="K20" s="12">
        <f>IFERROR(VLOOKUP($A20,areaCercaDatiPerPosizioneSquadre,15,FALSE),"-")</f>
        <v/>
      </c>
      <c r="L20" s="18">
        <f>IFERROR(VLOOKUP($A20,areaCercaDatiPerPosizioneSquadre,16,FALSE),"-")</f>
        <v/>
      </c>
      <c r="M20" s="18">
        <f>IFERROR(VLOOKUP($A20,areaCercaDatiPerPosizioneSquadre,17,FALSE),"-")</f>
        <v/>
      </c>
    </row>
    <row r="21">
      <c r="A21" s="143" t="inlineStr">
        <is>
          <t>A13</t>
        </is>
      </c>
      <c r="B21" s="17">
        <f>IFERROR(VLOOKUP($A21,areaCercaDatiPerPosizioneSquadre,2,FALSE),"("&amp;$A21&amp;")")</f>
        <v/>
      </c>
      <c r="C21" s="145">
        <f>IFERROR(VLOOKUP($A21,areaCercaDatiPerPosizioneSquadre,4,FALSE),"-")</f>
        <v/>
      </c>
      <c r="D21" s="12">
        <f>IFERROR(VLOOKUP($A21,areaCercaDatiPerPosizioneSquadre,5,FALSE),"-")</f>
        <v/>
      </c>
      <c r="E21" s="12">
        <f>IFERROR(VLOOKUP($A21,areaCercaDatiPerPosizioneSquadre,6,FALSE),"-")</f>
        <v/>
      </c>
      <c r="F21" s="12">
        <f>IFERROR(VLOOKUP($A21,areaCercaDatiPerPosizioneSquadre,7,FALSE),"-")</f>
        <v/>
      </c>
      <c r="G21" s="12">
        <f>IFERROR(VLOOKUP($A21,areaCercaDatiPerPosizioneSquadre,8,FALSE),"-")</f>
        <v/>
      </c>
      <c r="H21" s="12">
        <f>IFERROR(VLOOKUP($A21,areaCercaDatiPerPosizioneSquadre,9,FALSE),"-")</f>
        <v/>
      </c>
      <c r="I21" s="12">
        <f>IFERROR(VLOOKUP($A21,areaCercaDatiPerPosizioneSquadre,10,FALSE),"-")</f>
        <v/>
      </c>
      <c r="J21" s="12">
        <f>IFERROR(VLOOKUP($A21,areaCercaDatiPerPosizioneSquadre,11,FALSE),"-")</f>
        <v/>
      </c>
      <c r="K21" s="12">
        <f>IFERROR(VLOOKUP($A21,areaCercaDatiPerPosizioneSquadre,15,FALSE),"-")</f>
        <v/>
      </c>
      <c r="L21" s="18">
        <f>IFERROR(VLOOKUP($A21,areaCercaDatiPerPosizioneSquadre,16,FALSE),"-")</f>
        <v/>
      </c>
      <c r="M21" s="18">
        <f>IFERROR(VLOOKUP($A21,areaCercaDatiPerPosizioneSquadre,17,FALSE),"-")</f>
        <v/>
      </c>
    </row>
    <row r="22">
      <c r="A22" s="143" t="inlineStr">
        <is>
          <t>A14</t>
        </is>
      </c>
      <c r="B22" s="17">
        <f>IFERROR(VLOOKUP($A22,areaCercaDatiPerPosizioneSquadre,2,FALSE),"("&amp;$A22&amp;")")</f>
        <v/>
      </c>
      <c r="C22" s="145">
        <f>IFERROR(VLOOKUP($A22,areaCercaDatiPerPosizioneSquadre,4,FALSE),"-")</f>
        <v/>
      </c>
      <c r="D22" s="12">
        <f>IFERROR(VLOOKUP($A22,areaCercaDatiPerPosizioneSquadre,5,FALSE),"-")</f>
        <v/>
      </c>
      <c r="E22" s="12">
        <f>IFERROR(VLOOKUP($A22,areaCercaDatiPerPosizioneSquadre,6,FALSE),"-")</f>
        <v/>
      </c>
      <c r="F22" s="12">
        <f>IFERROR(VLOOKUP($A22,areaCercaDatiPerPosizioneSquadre,7,FALSE),"-")</f>
        <v/>
      </c>
      <c r="G22" s="12">
        <f>IFERROR(VLOOKUP($A22,areaCercaDatiPerPosizioneSquadre,8,FALSE),"-")</f>
        <v/>
      </c>
      <c r="H22" s="12">
        <f>IFERROR(VLOOKUP($A22,areaCercaDatiPerPosizioneSquadre,9,FALSE),"-")</f>
        <v/>
      </c>
      <c r="I22" s="12">
        <f>IFERROR(VLOOKUP($A22,areaCercaDatiPerPosizioneSquadre,10,FALSE),"-")</f>
        <v/>
      </c>
      <c r="J22" s="12">
        <f>IFERROR(VLOOKUP($A22,areaCercaDatiPerPosizioneSquadre,11,FALSE),"-")</f>
        <v/>
      </c>
      <c r="K22" s="12">
        <f>IFERROR(VLOOKUP($A22,areaCercaDatiPerPosizioneSquadre,15,FALSE),"-")</f>
        <v/>
      </c>
      <c r="L22" s="18">
        <f>IFERROR(VLOOKUP($A22,areaCercaDatiPerPosizioneSquadre,16,FALSE),"-")</f>
        <v/>
      </c>
      <c r="M22" s="18">
        <f>IFERROR(VLOOKUP($A22,areaCercaDatiPerPosizioneSquadre,17,FALSE),"-")</f>
        <v/>
      </c>
    </row>
    <row r="23">
      <c r="A23" s="143" t="inlineStr">
        <is>
          <t>A15</t>
        </is>
      </c>
      <c r="B23" s="17">
        <f>IFERROR(VLOOKUP($A23,areaCercaDatiPerPosizioneSquadre,2,FALSE),"("&amp;$A23&amp;")")</f>
        <v/>
      </c>
      <c r="C23" s="145">
        <f>IFERROR(VLOOKUP($A23,areaCercaDatiPerPosizioneSquadre,4,FALSE),"-")</f>
        <v/>
      </c>
      <c r="D23" s="12">
        <f>IFERROR(VLOOKUP($A23,areaCercaDatiPerPosizioneSquadre,5,FALSE),"-")</f>
        <v/>
      </c>
      <c r="E23" s="12">
        <f>IFERROR(VLOOKUP($A23,areaCercaDatiPerPosizioneSquadre,6,FALSE),"-")</f>
        <v/>
      </c>
      <c r="F23" s="12">
        <f>IFERROR(VLOOKUP($A23,areaCercaDatiPerPosizioneSquadre,7,FALSE),"-")</f>
        <v/>
      </c>
      <c r="G23" s="12">
        <f>IFERROR(VLOOKUP($A23,areaCercaDatiPerPosizioneSquadre,8,FALSE),"-")</f>
        <v/>
      </c>
      <c r="H23" s="12">
        <f>IFERROR(VLOOKUP($A23,areaCercaDatiPerPosizioneSquadre,9,FALSE),"-")</f>
        <v/>
      </c>
      <c r="I23" s="12">
        <f>IFERROR(VLOOKUP($A23,areaCercaDatiPerPosizioneSquadre,10,FALSE),"-")</f>
        <v/>
      </c>
      <c r="J23" s="12">
        <f>IFERROR(VLOOKUP($A23,areaCercaDatiPerPosizioneSquadre,11,FALSE),"-")</f>
        <v/>
      </c>
      <c r="K23" s="12">
        <f>IFERROR(VLOOKUP($A23,areaCercaDatiPerPosizioneSquadre,15,FALSE),"-")</f>
        <v/>
      </c>
      <c r="L23" s="18">
        <f>IFERROR(VLOOKUP($A23,areaCercaDatiPerPosizioneSquadre,16,FALSE),"-")</f>
        <v/>
      </c>
      <c r="M23" s="18">
        <f>IFERROR(VLOOKUP($A23,areaCercaDatiPerPosizioneSquadre,17,FALSE),"-")</f>
        <v/>
      </c>
    </row>
    <row r="24">
      <c r="A24" s="143" t="inlineStr">
        <is>
          <t>A16</t>
        </is>
      </c>
      <c r="B24" s="17">
        <f>IFERROR(VLOOKUP($A24,areaCercaDatiPerPosizioneSquadre,2,FALSE),"("&amp;$A24&amp;")")</f>
        <v/>
      </c>
      <c r="C24" s="145">
        <f>IFERROR(VLOOKUP($A24,areaCercaDatiPerPosizioneSquadre,4,FALSE),"-")</f>
        <v/>
      </c>
      <c r="D24" s="12">
        <f>IFERROR(VLOOKUP($A24,areaCercaDatiPerPosizioneSquadre,5,FALSE),"-")</f>
        <v/>
      </c>
      <c r="E24" s="12">
        <f>IFERROR(VLOOKUP($A24,areaCercaDatiPerPosizioneSquadre,6,FALSE),"-")</f>
        <v/>
      </c>
      <c r="F24" s="12">
        <f>IFERROR(VLOOKUP($A24,areaCercaDatiPerPosizioneSquadre,7,FALSE),"-")</f>
        <v/>
      </c>
      <c r="G24" s="12">
        <f>IFERROR(VLOOKUP($A24,areaCercaDatiPerPosizioneSquadre,8,FALSE),"-")</f>
        <v/>
      </c>
      <c r="H24" s="12">
        <f>IFERROR(VLOOKUP($A24,areaCercaDatiPerPosizioneSquadre,9,FALSE),"-")</f>
        <v/>
      </c>
      <c r="I24" s="12">
        <f>IFERROR(VLOOKUP($A24,areaCercaDatiPerPosizioneSquadre,10,FALSE),"-")</f>
        <v/>
      </c>
      <c r="J24" s="12">
        <f>IFERROR(VLOOKUP($A24,areaCercaDatiPerPosizioneSquadre,11,FALSE),"-")</f>
        <v/>
      </c>
      <c r="K24" s="12">
        <f>IFERROR(VLOOKUP($A24,areaCercaDatiPerPosizioneSquadre,15,FALSE),"-")</f>
        <v/>
      </c>
      <c r="L24" s="18">
        <f>IFERROR(VLOOKUP($A24,areaCercaDatiPerPosizioneSquadre,16,FALSE),"-")</f>
        <v/>
      </c>
      <c r="M24" s="18">
        <f>IFERROR(VLOOKUP($A24,areaCercaDatiPerPosizioneSquadre,17,FALSE),"-")</f>
        <v/>
      </c>
    </row>
    <row r="25">
      <c r="A25" s="143" t="inlineStr">
        <is>
          <t>A17</t>
        </is>
      </c>
      <c r="B25" s="17">
        <f>IFERROR(VLOOKUP($A25,areaCercaDatiPerPosizioneSquadre,2,FALSE),"("&amp;$A25&amp;")")</f>
        <v/>
      </c>
      <c r="C25" s="145">
        <f>IFERROR(VLOOKUP($A25,areaCercaDatiPerPosizioneSquadre,4,FALSE),"-")</f>
        <v/>
      </c>
      <c r="D25" s="12">
        <f>IFERROR(VLOOKUP($A25,areaCercaDatiPerPosizioneSquadre,5,FALSE),"-")</f>
        <v/>
      </c>
      <c r="E25" s="12">
        <f>IFERROR(VLOOKUP($A25,areaCercaDatiPerPosizioneSquadre,6,FALSE),"-")</f>
        <v/>
      </c>
      <c r="F25" s="12">
        <f>IFERROR(VLOOKUP($A25,areaCercaDatiPerPosizioneSquadre,7,FALSE),"-")</f>
        <v/>
      </c>
      <c r="G25" s="12">
        <f>IFERROR(VLOOKUP($A25,areaCercaDatiPerPosizioneSquadre,8,FALSE),"-")</f>
        <v/>
      </c>
      <c r="H25" s="12">
        <f>IFERROR(VLOOKUP($A25,areaCercaDatiPerPosizioneSquadre,9,FALSE),"-")</f>
        <v/>
      </c>
      <c r="I25" s="12">
        <f>IFERROR(VLOOKUP($A25,areaCercaDatiPerPosizioneSquadre,10,FALSE),"-")</f>
        <v/>
      </c>
      <c r="J25" s="12">
        <f>IFERROR(VLOOKUP($A25,areaCercaDatiPerPosizioneSquadre,11,FALSE),"-")</f>
        <v/>
      </c>
      <c r="K25" s="12">
        <f>IFERROR(VLOOKUP($A25,areaCercaDatiPerPosizioneSquadre,15,FALSE),"-")</f>
        <v/>
      </c>
      <c r="L25" s="18">
        <f>IFERROR(VLOOKUP($A25,areaCercaDatiPerPosizioneSquadre,16,FALSE),"-")</f>
        <v/>
      </c>
      <c r="M25" s="18">
        <f>IFERROR(VLOOKUP($A25,areaCercaDatiPerPosizioneSquadre,17,FALSE),"-")</f>
        <v/>
      </c>
    </row>
    <row r="26">
      <c r="A26" s="143" t="inlineStr">
        <is>
          <t>A18</t>
        </is>
      </c>
      <c r="B26" s="17">
        <f>IFERROR(VLOOKUP($A26,areaCercaDatiPerPosizioneSquadre,2,FALSE),"("&amp;$A26&amp;")")</f>
        <v/>
      </c>
      <c r="C26" s="145">
        <f>IFERROR(VLOOKUP($A26,areaCercaDatiPerPosizioneSquadre,4,FALSE),"-")</f>
        <v/>
      </c>
      <c r="D26" s="12">
        <f>IFERROR(VLOOKUP($A26,areaCercaDatiPerPosizioneSquadre,5,FALSE),"-")</f>
        <v/>
      </c>
      <c r="E26" s="12">
        <f>IFERROR(VLOOKUP($A26,areaCercaDatiPerPosizioneSquadre,6,FALSE),"-")</f>
        <v/>
      </c>
      <c r="F26" s="12">
        <f>IFERROR(VLOOKUP($A26,areaCercaDatiPerPosizioneSquadre,7,FALSE),"-")</f>
        <v/>
      </c>
      <c r="G26" s="12">
        <f>IFERROR(VLOOKUP($A26,areaCercaDatiPerPosizioneSquadre,8,FALSE),"-")</f>
        <v/>
      </c>
      <c r="H26" s="12">
        <f>IFERROR(VLOOKUP($A26,areaCercaDatiPerPosizioneSquadre,9,FALSE),"-")</f>
        <v/>
      </c>
      <c r="I26" s="12">
        <f>IFERROR(VLOOKUP($A26,areaCercaDatiPerPosizioneSquadre,10,FALSE),"-")</f>
        <v/>
      </c>
      <c r="J26" s="12">
        <f>IFERROR(VLOOKUP($A26,areaCercaDatiPerPosizioneSquadre,11,FALSE),"-")</f>
        <v/>
      </c>
      <c r="K26" s="12">
        <f>IFERROR(VLOOKUP($A26,areaCercaDatiPerPosizioneSquadre,15,FALSE),"-")</f>
        <v/>
      </c>
      <c r="L26" s="18">
        <f>IFERROR(VLOOKUP($A26,areaCercaDatiPerPosizioneSquadre,16,FALSE),"-")</f>
        <v/>
      </c>
      <c r="M26" s="18">
        <f>IFERROR(VLOOKUP($A26,areaCercaDatiPerPosizioneSquadre,17,FALSE),"-")</f>
        <v/>
      </c>
    </row>
    <row r="27">
      <c r="A27" s="143" t="inlineStr">
        <is>
          <t>A19</t>
        </is>
      </c>
      <c r="B27" s="17">
        <f>IFERROR(VLOOKUP($A27,areaCercaDatiPerPosizioneSquadre,2,FALSE),"("&amp;$A27&amp;")")</f>
        <v/>
      </c>
      <c r="C27" s="145">
        <f>IFERROR(VLOOKUP($A27,areaCercaDatiPerPosizioneSquadre,4,FALSE),"-")</f>
        <v/>
      </c>
      <c r="D27" s="12">
        <f>IFERROR(VLOOKUP($A27,areaCercaDatiPerPosizioneSquadre,5,FALSE),"-")</f>
        <v/>
      </c>
      <c r="E27" s="12">
        <f>IFERROR(VLOOKUP($A27,areaCercaDatiPerPosizioneSquadre,6,FALSE),"-")</f>
        <v/>
      </c>
      <c r="F27" s="12">
        <f>IFERROR(VLOOKUP($A27,areaCercaDatiPerPosizioneSquadre,7,FALSE),"-")</f>
        <v/>
      </c>
      <c r="G27" s="12">
        <f>IFERROR(VLOOKUP($A27,areaCercaDatiPerPosizioneSquadre,8,FALSE),"-")</f>
        <v/>
      </c>
      <c r="H27" s="12">
        <f>IFERROR(VLOOKUP($A27,areaCercaDatiPerPosizioneSquadre,9,FALSE),"-")</f>
        <v/>
      </c>
      <c r="I27" s="12">
        <f>IFERROR(VLOOKUP($A27,areaCercaDatiPerPosizioneSquadre,10,FALSE),"-")</f>
        <v/>
      </c>
      <c r="J27" s="12">
        <f>IFERROR(VLOOKUP($A27,areaCercaDatiPerPosizioneSquadre,11,FALSE),"-")</f>
        <v/>
      </c>
      <c r="K27" s="12">
        <f>IFERROR(VLOOKUP($A27,areaCercaDatiPerPosizioneSquadre,15,FALSE),"-")</f>
        <v/>
      </c>
      <c r="L27" s="18">
        <f>IFERROR(VLOOKUP($A27,areaCercaDatiPerPosizioneSquadre,16,FALSE),"-")</f>
        <v/>
      </c>
      <c r="M27" s="18">
        <f>IFERROR(VLOOKUP($A27,areaCercaDatiPerPosizioneSquadre,17,FALSE),"-")</f>
        <v/>
      </c>
    </row>
    <row r="28">
      <c r="A28" s="143" t="inlineStr">
        <is>
          <t>A20</t>
        </is>
      </c>
      <c r="B28" s="17">
        <f>IFERROR(VLOOKUP($A28,areaCercaDatiPerPosizioneSquadre,2,FALSE),"("&amp;$A28&amp;")")</f>
        <v/>
      </c>
      <c r="C28" s="145">
        <f>IFERROR(VLOOKUP($A28,areaCercaDatiPerPosizioneSquadre,4,FALSE),"-")</f>
        <v/>
      </c>
      <c r="D28" s="12">
        <f>IFERROR(VLOOKUP($A28,areaCercaDatiPerPosizioneSquadre,5,FALSE),"-")</f>
        <v/>
      </c>
      <c r="E28" s="12">
        <f>IFERROR(VLOOKUP($A28,areaCercaDatiPerPosizioneSquadre,6,FALSE),"-")</f>
        <v/>
      </c>
      <c r="F28" s="12">
        <f>IFERROR(VLOOKUP($A28,areaCercaDatiPerPosizioneSquadre,7,FALSE),"-")</f>
        <v/>
      </c>
      <c r="G28" s="12">
        <f>IFERROR(VLOOKUP($A28,areaCercaDatiPerPosizioneSquadre,8,FALSE),"-")</f>
        <v/>
      </c>
      <c r="H28" s="12">
        <f>IFERROR(VLOOKUP($A28,areaCercaDatiPerPosizioneSquadre,9,FALSE),"-")</f>
        <v/>
      </c>
      <c r="I28" s="12">
        <f>IFERROR(VLOOKUP($A28,areaCercaDatiPerPosizioneSquadre,10,FALSE),"-")</f>
        <v/>
      </c>
      <c r="J28" s="12">
        <f>IFERROR(VLOOKUP($A28,areaCercaDatiPerPosizioneSquadre,11,FALSE),"-")</f>
        <v/>
      </c>
      <c r="K28" s="12">
        <f>IFERROR(VLOOKUP($A28,areaCercaDatiPerPosizioneSquadre,15,FALSE),"-")</f>
        <v/>
      </c>
      <c r="L28" s="18">
        <f>IFERROR(VLOOKUP($A28,areaCercaDatiPerPosizioneSquadre,16,FALSE),"-")</f>
        <v/>
      </c>
      <c r="M28" s="18">
        <f>IFERROR(VLOOKUP($A28,areaCercaDatiPerPosizioneSquadre,17,FALSE),"-")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IFERROR(VLOOKUP($A33,areaCercaDatiPerPosizioneSquadre,2,FALSE),"("&amp;$A33&amp;")")</f>
        <v/>
      </c>
      <c r="C33" s="145">
        <f>IFERROR(VLOOKUP($A33,areaCercaDatiPerPosizioneSquadre,4,FALSE),"-")</f>
        <v/>
      </c>
      <c r="D33" s="12">
        <f>IFERROR(VLOOKUP($A33,areaCercaDatiPerPosizioneSquadre,5,FALSE),"-")</f>
        <v/>
      </c>
      <c r="E33" s="12">
        <f>IFERROR(VLOOKUP($A33,areaCercaDatiPerPosizioneSquadre,6,FALSE),"-")</f>
        <v/>
      </c>
      <c r="F33" s="12">
        <f>IFERROR(VLOOKUP($A33,areaCercaDatiPerPosizioneSquadre,7,FALSE),"-")</f>
        <v/>
      </c>
      <c r="G33" s="12">
        <f>IFERROR(VLOOKUP($A33,areaCercaDatiPerPosizioneSquadre,8,FALSE),"-")</f>
        <v/>
      </c>
      <c r="H33" s="12">
        <f>IFERROR(VLOOKUP($A33,areaCercaDatiPerPosizioneSquadre,9,FALSE),"-")</f>
        <v/>
      </c>
      <c r="I33" s="12">
        <f>IFERROR(VLOOKUP($A33,areaCercaDatiPerPosizioneSquadre,10,FALSE),"-")</f>
        <v/>
      </c>
      <c r="J33" s="12">
        <f>IFERROR(VLOOKUP($A33,areaCercaDatiPerPosizioneSquadre,11,FALSE),"-")</f>
        <v/>
      </c>
      <c r="K33" s="12">
        <f>IFERROR(VLOOKUP($A33,areaCercaDatiPerPosizioneSquadre,15,FALSE),"-")</f>
        <v/>
      </c>
      <c r="L33" s="18">
        <f>IFERROR(VLOOKUP($A33,areaCercaDatiPerPosizioneSquadre,16,FALSE),"-")</f>
        <v/>
      </c>
      <c r="M33" s="18">
        <f>IFERROR(VLOOKUP($A33,areaCercaDatiPerPosizioneSquadre,17,FALSE),"-")</f>
        <v/>
      </c>
    </row>
    <row r="34">
      <c r="A34" s="149" t="inlineStr">
        <is>
          <t>B2</t>
        </is>
      </c>
      <c r="B34" s="150">
        <f>IFERROR(VLOOKUP($A34,areaCercaDatiPerPosizioneSquadre,2,FALSE),"("&amp;$A34&amp;")")</f>
        <v/>
      </c>
      <c r="C34" s="145">
        <f>IFERROR(VLOOKUP($A34,areaCercaDatiPerPosizioneSquadre,4,FALSE),"-")</f>
        <v/>
      </c>
      <c r="D34" s="12">
        <f>IFERROR(VLOOKUP($A34,areaCercaDatiPerPosizioneSquadre,5,FALSE),"-")</f>
        <v/>
      </c>
      <c r="E34" s="12">
        <f>IFERROR(VLOOKUP($A34,areaCercaDatiPerPosizioneSquadre,6,FALSE),"-")</f>
        <v/>
      </c>
      <c r="F34" s="12">
        <f>IFERROR(VLOOKUP($A34,areaCercaDatiPerPosizioneSquadre,7,FALSE),"-")</f>
        <v/>
      </c>
      <c r="G34" s="12">
        <f>IFERROR(VLOOKUP($A34,areaCercaDatiPerPosizioneSquadre,8,FALSE),"-")</f>
        <v/>
      </c>
      <c r="H34" s="12">
        <f>IFERROR(VLOOKUP($A34,areaCercaDatiPerPosizioneSquadre,9,FALSE),"-")</f>
        <v/>
      </c>
      <c r="I34" s="12">
        <f>IFERROR(VLOOKUP($A34,areaCercaDatiPerPosizioneSquadre,10,FALSE),"-")</f>
        <v/>
      </c>
      <c r="J34" s="12">
        <f>IFERROR(VLOOKUP($A34,areaCercaDatiPerPosizioneSquadre,11,FALSE),"-")</f>
        <v/>
      </c>
      <c r="K34" s="12">
        <f>IFERROR(VLOOKUP($A34,areaCercaDatiPerPosizioneSquadre,15,FALSE),"-")</f>
        <v/>
      </c>
      <c r="L34" s="18">
        <f>IFERROR(VLOOKUP($A34,areaCercaDatiPerPosizioneSquadre,16,FALSE),"-")</f>
        <v/>
      </c>
      <c r="M34" s="18">
        <f>IFERROR(VLOOKUP($A34,areaCercaDatiPerPosizioneSquadre,17,FALSE),"-")</f>
        <v/>
      </c>
    </row>
    <row r="35">
      <c r="A35" s="149" t="inlineStr">
        <is>
          <t>B3</t>
        </is>
      </c>
      <c r="B35" s="150">
        <f>IFERROR(VLOOKUP($A35,areaCercaDatiPerPosizioneSquadre,2,FALSE),"("&amp;$A35&amp;")")</f>
        <v/>
      </c>
      <c r="C35" s="145">
        <f>IFERROR(VLOOKUP($A35,areaCercaDatiPerPosizioneSquadre,4,FALSE),"-")</f>
        <v/>
      </c>
      <c r="D35" s="12">
        <f>IFERROR(VLOOKUP($A35,areaCercaDatiPerPosizioneSquadre,5,FALSE),"-")</f>
        <v/>
      </c>
      <c r="E35" s="12">
        <f>IFERROR(VLOOKUP($A35,areaCercaDatiPerPosizioneSquadre,6,FALSE),"-")</f>
        <v/>
      </c>
      <c r="F35" s="12">
        <f>IFERROR(VLOOKUP($A35,areaCercaDatiPerPosizioneSquadre,7,FALSE),"-")</f>
        <v/>
      </c>
      <c r="G35" s="12">
        <f>IFERROR(VLOOKUP($A35,areaCercaDatiPerPosizioneSquadre,8,FALSE),"-")</f>
        <v/>
      </c>
      <c r="H35" s="12">
        <f>IFERROR(VLOOKUP($A35,areaCercaDatiPerPosizioneSquadre,9,FALSE),"-")</f>
        <v/>
      </c>
      <c r="I35" s="12">
        <f>IFERROR(VLOOKUP($A35,areaCercaDatiPerPosizioneSquadre,10,FALSE),"-")</f>
        <v/>
      </c>
      <c r="J35" s="12">
        <f>IFERROR(VLOOKUP($A35,areaCercaDatiPerPosizioneSquadre,11,FALSE),"-")</f>
        <v/>
      </c>
      <c r="K35" s="12">
        <f>IFERROR(VLOOKUP($A35,areaCercaDatiPerPosizioneSquadre,15,FALSE),"-")</f>
        <v/>
      </c>
      <c r="L35" s="18">
        <f>IFERROR(VLOOKUP($A35,areaCercaDatiPerPosizioneSquadre,16,FALSE),"-")</f>
        <v/>
      </c>
      <c r="M35" s="18">
        <f>IFERROR(VLOOKUP($A35,areaCercaDatiPerPosizioneSquadre,17,FALSE),"-")</f>
        <v/>
      </c>
    </row>
    <row r="36">
      <c r="A36" s="149" t="inlineStr">
        <is>
          <t>B4</t>
        </is>
      </c>
      <c r="B36" s="150">
        <f>IFERROR(VLOOKUP($A36,areaCercaDatiPerPosizioneSquadre,2,FALSE),"("&amp;$A36&amp;")")</f>
        <v/>
      </c>
      <c r="C36" s="145">
        <f>IFERROR(VLOOKUP($A36,areaCercaDatiPerPosizioneSquadre,4,FALSE),"-")</f>
        <v/>
      </c>
      <c r="D36" s="12">
        <f>IFERROR(VLOOKUP($A36,areaCercaDatiPerPosizioneSquadre,5,FALSE),"-")</f>
        <v/>
      </c>
      <c r="E36" s="12">
        <f>IFERROR(VLOOKUP($A36,areaCercaDatiPerPosizioneSquadre,6,FALSE),"-")</f>
        <v/>
      </c>
      <c r="F36" s="12">
        <f>IFERROR(VLOOKUP($A36,areaCercaDatiPerPosizioneSquadre,7,FALSE),"-")</f>
        <v/>
      </c>
      <c r="G36" s="12">
        <f>IFERROR(VLOOKUP($A36,areaCercaDatiPerPosizioneSquadre,8,FALSE),"-")</f>
        <v/>
      </c>
      <c r="H36" s="12">
        <f>IFERROR(VLOOKUP($A36,areaCercaDatiPerPosizioneSquadre,9,FALSE),"-")</f>
        <v/>
      </c>
      <c r="I36" s="12">
        <f>IFERROR(VLOOKUP($A36,areaCercaDatiPerPosizioneSquadre,10,FALSE),"-")</f>
        <v/>
      </c>
      <c r="J36" s="12">
        <f>IFERROR(VLOOKUP($A36,areaCercaDatiPerPosizioneSquadre,11,FALSE),"-")</f>
        <v/>
      </c>
      <c r="K36" s="12">
        <f>IFERROR(VLOOKUP($A36,areaCercaDatiPerPosizioneSquadre,15,FALSE),"-")</f>
        <v/>
      </c>
      <c r="L36" s="18">
        <f>IFERROR(VLOOKUP($A36,areaCercaDatiPerPosizioneSquadre,16,FALSE),"-")</f>
        <v/>
      </c>
      <c r="M36" s="18">
        <f>IFERROR(VLOOKUP($A36,areaCercaDatiPerPosizioneSquadre,17,FALSE),"-")</f>
        <v/>
      </c>
    </row>
    <row r="37">
      <c r="A37" s="149" t="inlineStr">
        <is>
          <t>B5</t>
        </is>
      </c>
      <c r="B37" s="17">
        <f>IFERROR(VLOOKUP($A37,areaCercaDatiPerPosizioneSquadre,2,FALSE),"("&amp;$A37&amp;")")</f>
        <v/>
      </c>
      <c r="C37" s="145">
        <f>IFERROR(VLOOKUP($A37,areaCercaDatiPerPosizioneSquadre,4,FALSE),"-")</f>
        <v/>
      </c>
      <c r="D37" s="12">
        <f>IFERROR(VLOOKUP($A37,areaCercaDatiPerPosizioneSquadre,5,FALSE),"-")</f>
        <v/>
      </c>
      <c r="E37" s="12">
        <f>IFERROR(VLOOKUP($A37,areaCercaDatiPerPosizioneSquadre,6,FALSE),"-")</f>
        <v/>
      </c>
      <c r="F37" s="12">
        <f>IFERROR(VLOOKUP($A37,areaCercaDatiPerPosizioneSquadre,7,FALSE),"-")</f>
        <v/>
      </c>
      <c r="G37" s="12">
        <f>IFERROR(VLOOKUP($A37,areaCercaDatiPerPosizioneSquadre,8,FALSE),"-")</f>
        <v/>
      </c>
      <c r="H37" s="12">
        <f>IFERROR(VLOOKUP($A37,areaCercaDatiPerPosizioneSquadre,9,FALSE),"-")</f>
        <v/>
      </c>
      <c r="I37" s="12">
        <f>IFERROR(VLOOKUP($A37,areaCercaDatiPerPosizioneSquadre,10,FALSE),"-")</f>
        <v/>
      </c>
      <c r="J37" s="12">
        <f>IFERROR(VLOOKUP($A37,areaCercaDatiPerPosizioneSquadre,11,FALSE),"-")</f>
        <v/>
      </c>
      <c r="K37" s="12">
        <f>IFERROR(VLOOKUP($A37,areaCercaDatiPerPosizioneSquadre,15,FALSE),"-")</f>
        <v/>
      </c>
      <c r="L37" s="18">
        <f>IFERROR(VLOOKUP($A37,areaCercaDatiPerPosizioneSquadre,16,FALSE),"-")</f>
        <v/>
      </c>
      <c r="M37" s="18">
        <f>IFERROR(VLOOKUP($A37,areaCercaDatiPerPosizioneSquadre,17,FALSE),"-")</f>
        <v/>
      </c>
    </row>
    <row r="38">
      <c r="A38" s="149" t="inlineStr">
        <is>
          <t>B6</t>
        </is>
      </c>
      <c r="B38" s="17">
        <f>IFERROR(VLOOKUP($A38,areaCercaDatiPerPosizioneSquadre,2,FALSE),"("&amp;$A38&amp;")")</f>
        <v/>
      </c>
      <c r="C38" s="145">
        <f>IFERROR(VLOOKUP($A38,areaCercaDatiPerPosizioneSquadre,4,FALSE),"-")</f>
        <v/>
      </c>
      <c r="D38" s="12">
        <f>IFERROR(VLOOKUP($A38,areaCercaDatiPerPosizioneSquadre,5,FALSE),"-")</f>
        <v/>
      </c>
      <c r="E38" s="12">
        <f>IFERROR(VLOOKUP($A38,areaCercaDatiPerPosizioneSquadre,6,FALSE),"-")</f>
        <v/>
      </c>
      <c r="F38" s="12">
        <f>IFERROR(VLOOKUP($A38,areaCercaDatiPerPosizioneSquadre,7,FALSE),"-")</f>
        <v/>
      </c>
      <c r="G38" s="12">
        <f>IFERROR(VLOOKUP($A38,areaCercaDatiPerPosizioneSquadre,8,FALSE),"-")</f>
        <v/>
      </c>
      <c r="H38" s="12">
        <f>IFERROR(VLOOKUP($A38,areaCercaDatiPerPosizioneSquadre,9,FALSE),"-")</f>
        <v/>
      </c>
      <c r="I38" s="12">
        <f>IFERROR(VLOOKUP($A38,areaCercaDatiPerPosizioneSquadre,10,FALSE),"-")</f>
        <v/>
      </c>
      <c r="J38" s="12">
        <f>IFERROR(VLOOKUP($A38,areaCercaDatiPerPosizioneSquadre,11,FALSE),"-")</f>
        <v/>
      </c>
      <c r="K38" s="12">
        <f>IFERROR(VLOOKUP($A38,areaCercaDatiPerPosizioneSquadre,15,FALSE),"-")</f>
        <v/>
      </c>
      <c r="L38" s="18">
        <f>IFERROR(VLOOKUP($A38,areaCercaDatiPerPosizioneSquadre,16,FALSE),"-")</f>
        <v/>
      </c>
      <c r="M38" s="18">
        <f>IFERROR(VLOOKUP($A38,areaCercaDatiPerPosizioneSquadre,17,FALSE),"-")</f>
        <v/>
      </c>
    </row>
    <row r="39">
      <c r="A39" s="149" t="inlineStr">
        <is>
          <t>B7</t>
        </is>
      </c>
      <c r="B39" s="17">
        <f>IFERROR(VLOOKUP($A39,areaCercaDatiPerPosizioneSquadre,2,FALSE),"("&amp;$A39&amp;")")</f>
        <v/>
      </c>
      <c r="C39" s="145">
        <f>IFERROR(VLOOKUP($A39,areaCercaDatiPerPosizioneSquadre,4,FALSE),"-")</f>
        <v/>
      </c>
      <c r="D39" s="12">
        <f>IFERROR(VLOOKUP($A39,areaCercaDatiPerPosizioneSquadre,5,FALSE),"-")</f>
        <v/>
      </c>
      <c r="E39" s="12">
        <f>IFERROR(VLOOKUP($A39,areaCercaDatiPerPosizioneSquadre,6,FALSE),"-")</f>
        <v/>
      </c>
      <c r="F39" s="12">
        <f>IFERROR(VLOOKUP($A39,areaCercaDatiPerPosizioneSquadre,7,FALSE),"-")</f>
        <v/>
      </c>
      <c r="G39" s="12">
        <f>IFERROR(VLOOKUP($A39,areaCercaDatiPerPosizioneSquadre,8,FALSE),"-")</f>
        <v/>
      </c>
      <c r="H39" s="12">
        <f>IFERROR(VLOOKUP($A39,areaCercaDatiPerPosizioneSquadre,9,FALSE),"-")</f>
        <v/>
      </c>
      <c r="I39" s="12">
        <f>IFERROR(VLOOKUP($A39,areaCercaDatiPerPosizioneSquadre,10,FALSE),"-")</f>
        <v/>
      </c>
      <c r="J39" s="12">
        <f>IFERROR(VLOOKUP($A39,areaCercaDatiPerPosizioneSquadre,11,FALSE),"-")</f>
        <v/>
      </c>
      <c r="K39" s="12">
        <f>IFERROR(VLOOKUP($A39,areaCercaDatiPerPosizioneSquadre,15,FALSE),"-")</f>
        <v/>
      </c>
      <c r="L39" s="18">
        <f>IFERROR(VLOOKUP($A39,areaCercaDatiPerPosizioneSquadre,16,FALSE),"-")</f>
        <v/>
      </c>
      <c r="M39" s="18">
        <f>IFERROR(VLOOKUP($A39,areaCercaDatiPerPosizioneSquadre,17,FALSE),"-")</f>
        <v/>
      </c>
    </row>
    <row r="40">
      <c r="A40" s="149" t="inlineStr">
        <is>
          <t>B8</t>
        </is>
      </c>
      <c r="B40" s="17">
        <f>IFERROR(VLOOKUP($A40,areaCercaDatiPerPosizioneSquadre,2,FALSE),"("&amp;$A40&amp;")")</f>
        <v/>
      </c>
      <c r="C40" s="145">
        <f>IFERROR(VLOOKUP($A40,areaCercaDatiPerPosizioneSquadre,4,FALSE),"-")</f>
        <v/>
      </c>
      <c r="D40" s="12">
        <f>IFERROR(VLOOKUP($A40,areaCercaDatiPerPosizioneSquadre,5,FALSE),"-")</f>
        <v/>
      </c>
      <c r="E40" s="12">
        <f>IFERROR(VLOOKUP($A40,areaCercaDatiPerPosizioneSquadre,6,FALSE),"-")</f>
        <v/>
      </c>
      <c r="F40" s="12">
        <f>IFERROR(VLOOKUP($A40,areaCercaDatiPerPosizioneSquadre,7,FALSE),"-")</f>
        <v/>
      </c>
      <c r="G40" s="12">
        <f>IFERROR(VLOOKUP($A40,areaCercaDatiPerPosizioneSquadre,8,FALSE),"-")</f>
        <v/>
      </c>
      <c r="H40" s="12">
        <f>IFERROR(VLOOKUP($A40,areaCercaDatiPerPosizioneSquadre,9,FALSE),"-")</f>
        <v/>
      </c>
      <c r="I40" s="12">
        <f>IFERROR(VLOOKUP($A40,areaCercaDatiPerPosizioneSquadre,10,FALSE),"-")</f>
        <v/>
      </c>
      <c r="J40" s="12">
        <f>IFERROR(VLOOKUP($A40,areaCercaDatiPerPosizioneSquadre,11,FALSE),"-")</f>
        <v/>
      </c>
      <c r="K40" s="12">
        <f>IFERROR(VLOOKUP($A40,areaCercaDatiPerPosizioneSquadre,15,FALSE),"-")</f>
        <v/>
      </c>
      <c r="L40" s="18">
        <f>IFERROR(VLOOKUP($A40,areaCercaDatiPerPosizioneSquadre,16,FALSE),"-")</f>
        <v/>
      </c>
      <c r="M40" s="18">
        <f>IFERROR(VLOOKUP($A40,areaCercaDatiPerPosizioneSquadre,17,FALSE),"-")</f>
        <v/>
      </c>
    </row>
    <row r="41">
      <c r="A41" s="149" t="inlineStr">
        <is>
          <t>B9</t>
        </is>
      </c>
      <c r="B41" s="17">
        <f>IFERROR(VLOOKUP($A41,areaCercaDatiPerPosizioneSquadre,2,FALSE),"("&amp;$A41&amp;")")</f>
        <v/>
      </c>
      <c r="C41" s="145">
        <f>IFERROR(VLOOKUP($A41,areaCercaDatiPerPosizioneSquadre,4,FALSE),"-")</f>
        <v/>
      </c>
      <c r="D41" s="12">
        <f>IFERROR(VLOOKUP($A41,areaCercaDatiPerPosizioneSquadre,5,FALSE),"-")</f>
        <v/>
      </c>
      <c r="E41" s="12">
        <f>IFERROR(VLOOKUP($A41,areaCercaDatiPerPosizioneSquadre,6,FALSE),"-")</f>
        <v/>
      </c>
      <c r="F41" s="12">
        <f>IFERROR(VLOOKUP($A41,areaCercaDatiPerPosizioneSquadre,7,FALSE),"-")</f>
        <v/>
      </c>
      <c r="G41" s="12">
        <f>IFERROR(VLOOKUP($A41,areaCercaDatiPerPosizioneSquadre,8,FALSE),"-")</f>
        <v/>
      </c>
      <c r="H41" s="12">
        <f>IFERROR(VLOOKUP($A41,areaCercaDatiPerPosizioneSquadre,9,FALSE),"-")</f>
        <v/>
      </c>
      <c r="I41" s="12">
        <f>IFERROR(VLOOKUP($A41,areaCercaDatiPerPosizioneSquadre,10,FALSE),"-")</f>
        <v/>
      </c>
      <c r="J41" s="12">
        <f>IFERROR(VLOOKUP($A41,areaCercaDatiPerPosizioneSquadre,11,FALSE),"-")</f>
        <v/>
      </c>
      <c r="K41" s="12">
        <f>IFERROR(VLOOKUP($A41,areaCercaDatiPerPosizioneSquadre,15,FALSE),"-")</f>
        <v/>
      </c>
      <c r="L41" s="18">
        <f>IFERROR(VLOOKUP($A41,areaCercaDatiPerPosizioneSquadre,16,FALSE),"-")</f>
        <v/>
      </c>
      <c r="M41" s="18">
        <f>IFERROR(VLOOKUP($A41,areaCercaDatiPerPosizioneSquadre,17,FALSE),"-")</f>
        <v/>
      </c>
    </row>
    <row r="42">
      <c r="A42" s="149" t="inlineStr">
        <is>
          <t>B10</t>
        </is>
      </c>
      <c r="B42" s="17">
        <f>IFERROR(VLOOKUP($A42,areaCercaDatiPerPosizioneSquadre,2,FALSE),"("&amp;$A42&amp;")")</f>
        <v/>
      </c>
      <c r="C42" s="145">
        <f>IFERROR(VLOOKUP($A42,areaCercaDatiPerPosizioneSquadre,4,FALSE),"-")</f>
        <v/>
      </c>
      <c r="D42" s="12">
        <f>IFERROR(VLOOKUP($A42,areaCercaDatiPerPosizioneSquadre,5,FALSE),"-")</f>
        <v/>
      </c>
      <c r="E42" s="12">
        <f>IFERROR(VLOOKUP($A42,areaCercaDatiPerPosizioneSquadre,6,FALSE),"-")</f>
        <v/>
      </c>
      <c r="F42" s="12">
        <f>IFERROR(VLOOKUP($A42,areaCercaDatiPerPosizioneSquadre,7,FALSE),"-")</f>
        <v/>
      </c>
      <c r="G42" s="12">
        <f>IFERROR(VLOOKUP($A42,areaCercaDatiPerPosizioneSquadre,8,FALSE),"-")</f>
        <v/>
      </c>
      <c r="H42" s="12">
        <f>IFERROR(VLOOKUP($A42,areaCercaDatiPerPosizioneSquadre,9,FALSE),"-")</f>
        <v/>
      </c>
      <c r="I42" s="12">
        <f>IFERROR(VLOOKUP($A42,areaCercaDatiPerPosizioneSquadre,10,FALSE),"-")</f>
        <v/>
      </c>
      <c r="J42" s="12">
        <f>IFERROR(VLOOKUP($A42,areaCercaDatiPerPosizioneSquadre,11,FALSE),"-")</f>
        <v/>
      </c>
      <c r="K42" s="12">
        <f>IFERROR(VLOOKUP($A42,areaCercaDatiPerPosizioneSquadre,15,FALSE),"-")</f>
        <v/>
      </c>
      <c r="L42" s="18">
        <f>IFERROR(VLOOKUP($A42,areaCercaDatiPerPosizioneSquadre,16,FALSE),"-")</f>
        <v/>
      </c>
      <c r="M42" s="18">
        <f>IFERROR(VLOOKUP($A42,areaCercaDatiPerPosizioneSquadre,17,FALSE),"-")</f>
        <v/>
      </c>
    </row>
    <row r="43">
      <c r="A43" s="149" t="inlineStr">
        <is>
          <t>B11</t>
        </is>
      </c>
      <c r="B43" s="17">
        <f>IFERROR(VLOOKUP($A43,areaCercaDatiPerPosizioneSquadre,2,FALSE),"("&amp;$A43&amp;")")</f>
        <v/>
      </c>
      <c r="C43" s="145">
        <f>IFERROR(VLOOKUP($A43,areaCercaDatiPerPosizioneSquadre,4,FALSE),"-")</f>
        <v/>
      </c>
      <c r="D43" s="12">
        <f>IFERROR(VLOOKUP($A43,areaCercaDatiPerPosizioneSquadre,5,FALSE),"-")</f>
        <v/>
      </c>
      <c r="E43" s="12">
        <f>IFERROR(VLOOKUP($A43,areaCercaDatiPerPosizioneSquadre,6,FALSE),"-")</f>
        <v/>
      </c>
      <c r="F43" s="12">
        <f>IFERROR(VLOOKUP($A43,areaCercaDatiPerPosizioneSquadre,7,FALSE),"-")</f>
        <v/>
      </c>
      <c r="G43" s="12">
        <f>IFERROR(VLOOKUP($A43,areaCercaDatiPerPosizioneSquadre,8,FALSE),"-")</f>
        <v/>
      </c>
      <c r="H43" s="12">
        <f>IFERROR(VLOOKUP($A43,areaCercaDatiPerPosizioneSquadre,9,FALSE),"-")</f>
        <v/>
      </c>
      <c r="I43" s="12">
        <f>IFERROR(VLOOKUP($A43,areaCercaDatiPerPosizioneSquadre,10,FALSE),"-")</f>
        <v/>
      </c>
      <c r="J43" s="12">
        <f>IFERROR(VLOOKUP($A43,areaCercaDatiPerPosizioneSquadre,11,FALSE),"-")</f>
        <v/>
      </c>
      <c r="K43" s="12">
        <f>IFERROR(VLOOKUP($A43,areaCercaDatiPerPosizioneSquadre,15,FALSE),"-")</f>
        <v/>
      </c>
      <c r="L43" s="18">
        <f>IFERROR(VLOOKUP($A43,areaCercaDatiPerPosizioneSquadre,16,FALSE),"-")</f>
        <v/>
      </c>
      <c r="M43" s="18">
        <f>IFERROR(VLOOKUP($A43,areaCercaDatiPerPosizioneSquadre,17,FALSE),"-")</f>
        <v/>
      </c>
    </row>
    <row r="44">
      <c r="A44" s="149" t="inlineStr">
        <is>
          <t>B12</t>
        </is>
      </c>
      <c r="B44" s="17">
        <f>IFERROR(VLOOKUP($A44,areaCercaDatiPerPosizioneSquadre,2,FALSE),"("&amp;$A44&amp;")")</f>
        <v/>
      </c>
      <c r="C44" s="145">
        <f>IFERROR(VLOOKUP($A44,areaCercaDatiPerPosizioneSquadre,4,FALSE),"-")</f>
        <v/>
      </c>
      <c r="D44" s="12">
        <f>IFERROR(VLOOKUP($A44,areaCercaDatiPerPosizioneSquadre,5,FALSE),"-")</f>
        <v/>
      </c>
      <c r="E44" s="12">
        <f>IFERROR(VLOOKUP($A44,areaCercaDatiPerPosizioneSquadre,6,FALSE),"-")</f>
        <v/>
      </c>
      <c r="F44" s="12">
        <f>IFERROR(VLOOKUP($A44,areaCercaDatiPerPosizioneSquadre,7,FALSE),"-")</f>
        <v/>
      </c>
      <c r="G44" s="12">
        <f>IFERROR(VLOOKUP($A44,areaCercaDatiPerPosizioneSquadre,8,FALSE),"-")</f>
        <v/>
      </c>
      <c r="H44" s="12">
        <f>IFERROR(VLOOKUP($A44,areaCercaDatiPerPosizioneSquadre,9,FALSE),"-")</f>
        <v/>
      </c>
      <c r="I44" s="12">
        <f>IFERROR(VLOOKUP($A44,areaCercaDatiPerPosizioneSquadre,10,FALSE),"-")</f>
        <v/>
      </c>
      <c r="J44" s="12">
        <f>IFERROR(VLOOKUP($A44,areaCercaDatiPerPosizioneSquadre,11,FALSE),"-")</f>
        <v/>
      </c>
      <c r="K44" s="12">
        <f>IFERROR(VLOOKUP($A44,areaCercaDatiPerPosizioneSquadre,15,FALSE),"-")</f>
        <v/>
      </c>
      <c r="L44" s="18">
        <f>IFERROR(VLOOKUP($A44,areaCercaDatiPerPosizioneSquadre,16,FALSE),"-")</f>
        <v/>
      </c>
      <c r="M44" s="18">
        <f>IFERROR(VLOOKUP($A44,areaCercaDatiPerPosizioneSquadre,17,FALSE),"-")</f>
        <v/>
      </c>
    </row>
    <row r="45">
      <c r="A45" s="149" t="inlineStr">
        <is>
          <t>B13</t>
        </is>
      </c>
      <c r="B45" s="17">
        <f>IFERROR(VLOOKUP($A45,areaCercaDatiPerPosizioneSquadre,2,FALSE),"("&amp;$A45&amp;")")</f>
        <v/>
      </c>
      <c r="C45" s="145">
        <f>IFERROR(VLOOKUP($A45,areaCercaDatiPerPosizioneSquadre,4,FALSE),"-")</f>
        <v/>
      </c>
      <c r="D45" s="12">
        <f>IFERROR(VLOOKUP($A45,areaCercaDatiPerPosizioneSquadre,5,FALSE),"-")</f>
        <v/>
      </c>
      <c r="E45" s="12">
        <f>IFERROR(VLOOKUP($A45,areaCercaDatiPerPosizioneSquadre,6,FALSE),"-")</f>
        <v/>
      </c>
      <c r="F45" s="12">
        <f>IFERROR(VLOOKUP($A45,areaCercaDatiPerPosizioneSquadre,7,FALSE),"-")</f>
        <v/>
      </c>
      <c r="G45" s="12">
        <f>IFERROR(VLOOKUP($A45,areaCercaDatiPerPosizioneSquadre,8,FALSE),"-")</f>
        <v/>
      </c>
      <c r="H45" s="12">
        <f>IFERROR(VLOOKUP($A45,areaCercaDatiPerPosizioneSquadre,9,FALSE),"-")</f>
        <v/>
      </c>
      <c r="I45" s="12">
        <f>IFERROR(VLOOKUP($A45,areaCercaDatiPerPosizioneSquadre,10,FALSE),"-")</f>
        <v/>
      </c>
      <c r="J45" s="12">
        <f>IFERROR(VLOOKUP($A45,areaCercaDatiPerPosizioneSquadre,11,FALSE),"-")</f>
        <v/>
      </c>
      <c r="K45" s="12">
        <f>IFERROR(VLOOKUP($A45,areaCercaDatiPerPosizioneSquadre,15,FALSE),"-")</f>
        <v/>
      </c>
      <c r="L45" s="18">
        <f>IFERROR(VLOOKUP($A45,areaCercaDatiPerPosizioneSquadre,16,FALSE),"-")</f>
        <v/>
      </c>
      <c r="M45" s="18">
        <f>IFERROR(VLOOKUP($A45,areaCercaDatiPerPosizioneSquadre,17,FALSE),"-")</f>
        <v/>
      </c>
    </row>
    <row r="46">
      <c r="A46" s="149" t="inlineStr">
        <is>
          <t>B14</t>
        </is>
      </c>
      <c r="B46" s="17">
        <f>IFERROR(VLOOKUP($A46,areaCercaDatiPerPosizioneSquadre,2,FALSE),"("&amp;$A46&amp;")")</f>
        <v/>
      </c>
      <c r="C46" s="145">
        <f>IFERROR(VLOOKUP($A46,areaCercaDatiPerPosizioneSquadre,4,FALSE),"-")</f>
        <v/>
      </c>
      <c r="D46" s="12">
        <f>IFERROR(VLOOKUP($A46,areaCercaDatiPerPosizioneSquadre,5,FALSE),"-")</f>
        <v/>
      </c>
      <c r="E46" s="12">
        <f>IFERROR(VLOOKUP($A46,areaCercaDatiPerPosizioneSquadre,6,FALSE),"-")</f>
        <v/>
      </c>
      <c r="F46" s="12">
        <f>IFERROR(VLOOKUP($A46,areaCercaDatiPerPosizioneSquadre,7,FALSE),"-")</f>
        <v/>
      </c>
      <c r="G46" s="12">
        <f>IFERROR(VLOOKUP($A46,areaCercaDatiPerPosizioneSquadre,8,FALSE),"-")</f>
        <v/>
      </c>
      <c r="H46" s="12">
        <f>IFERROR(VLOOKUP($A46,areaCercaDatiPerPosizioneSquadre,9,FALSE),"-")</f>
        <v/>
      </c>
      <c r="I46" s="12">
        <f>IFERROR(VLOOKUP($A46,areaCercaDatiPerPosizioneSquadre,10,FALSE),"-")</f>
        <v/>
      </c>
      <c r="J46" s="12">
        <f>IFERROR(VLOOKUP($A46,areaCercaDatiPerPosizioneSquadre,11,FALSE),"-")</f>
        <v/>
      </c>
      <c r="K46" s="12">
        <f>IFERROR(VLOOKUP($A46,areaCercaDatiPerPosizioneSquadre,15,FALSE),"-")</f>
        <v/>
      </c>
      <c r="L46" s="18">
        <f>IFERROR(VLOOKUP($A46,areaCercaDatiPerPosizioneSquadre,16,FALSE),"-")</f>
        <v/>
      </c>
      <c r="M46" s="18">
        <f>IFERROR(VLOOKUP($A46,areaCercaDatiPerPosizioneSquadre,17,FALSE),"-")</f>
        <v/>
      </c>
    </row>
    <row r="47">
      <c r="A47" s="149" t="inlineStr">
        <is>
          <t>B15</t>
        </is>
      </c>
      <c r="B47" s="17">
        <f>IFERROR(VLOOKUP($A47,areaCercaDatiPerPosizioneSquadre,2,FALSE),"("&amp;$A47&amp;")")</f>
        <v/>
      </c>
      <c r="C47" s="145">
        <f>IFERROR(VLOOKUP($A47,areaCercaDatiPerPosizioneSquadre,4,FALSE),"-")</f>
        <v/>
      </c>
      <c r="D47" s="12">
        <f>IFERROR(VLOOKUP($A47,areaCercaDatiPerPosizioneSquadre,5,FALSE),"-")</f>
        <v/>
      </c>
      <c r="E47" s="12">
        <f>IFERROR(VLOOKUP($A47,areaCercaDatiPerPosizioneSquadre,6,FALSE),"-")</f>
        <v/>
      </c>
      <c r="F47" s="12">
        <f>IFERROR(VLOOKUP($A47,areaCercaDatiPerPosizioneSquadre,7,FALSE),"-")</f>
        <v/>
      </c>
      <c r="G47" s="12">
        <f>IFERROR(VLOOKUP($A47,areaCercaDatiPerPosizioneSquadre,8,FALSE),"-")</f>
        <v/>
      </c>
      <c r="H47" s="12">
        <f>IFERROR(VLOOKUP($A47,areaCercaDatiPerPosizioneSquadre,9,FALSE),"-")</f>
        <v/>
      </c>
      <c r="I47" s="12">
        <f>IFERROR(VLOOKUP($A47,areaCercaDatiPerPosizioneSquadre,10,FALSE),"-")</f>
        <v/>
      </c>
      <c r="J47" s="12">
        <f>IFERROR(VLOOKUP($A47,areaCercaDatiPerPosizioneSquadre,11,FALSE),"-")</f>
        <v/>
      </c>
      <c r="K47" s="12">
        <f>IFERROR(VLOOKUP($A47,areaCercaDatiPerPosizioneSquadre,15,FALSE),"-")</f>
        <v/>
      </c>
      <c r="L47" s="18">
        <f>IFERROR(VLOOKUP($A47,areaCercaDatiPerPosizioneSquadre,16,FALSE),"-")</f>
        <v/>
      </c>
      <c r="M47" s="18">
        <f>IFERROR(VLOOKUP($A47,areaCercaDatiPerPosizioneSquadre,17,FALSE),"-")</f>
        <v/>
      </c>
    </row>
    <row r="48">
      <c r="A48" s="149" t="inlineStr">
        <is>
          <t>B16</t>
        </is>
      </c>
      <c r="B48" s="17">
        <f>IFERROR(VLOOKUP($A48,areaCercaDatiPerPosizioneSquadre,2,FALSE),"("&amp;$A48&amp;")")</f>
        <v/>
      </c>
      <c r="C48" s="145">
        <f>IFERROR(VLOOKUP($A48,areaCercaDatiPerPosizioneSquadre,4,FALSE),"-")</f>
        <v/>
      </c>
      <c r="D48" s="12">
        <f>IFERROR(VLOOKUP($A48,areaCercaDatiPerPosizioneSquadre,5,FALSE),"-")</f>
        <v/>
      </c>
      <c r="E48" s="12">
        <f>IFERROR(VLOOKUP($A48,areaCercaDatiPerPosizioneSquadre,6,FALSE),"-")</f>
        <v/>
      </c>
      <c r="F48" s="12">
        <f>IFERROR(VLOOKUP($A48,areaCercaDatiPerPosizioneSquadre,7,FALSE),"-")</f>
        <v/>
      </c>
      <c r="G48" s="12">
        <f>IFERROR(VLOOKUP($A48,areaCercaDatiPerPosizioneSquadre,8,FALSE),"-")</f>
        <v/>
      </c>
      <c r="H48" s="12">
        <f>IFERROR(VLOOKUP($A48,areaCercaDatiPerPosizioneSquadre,9,FALSE),"-")</f>
        <v/>
      </c>
      <c r="I48" s="12">
        <f>IFERROR(VLOOKUP($A48,areaCercaDatiPerPosizioneSquadre,10,FALSE),"-")</f>
        <v/>
      </c>
      <c r="J48" s="12">
        <f>IFERROR(VLOOKUP($A48,areaCercaDatiPerPosizioneSquadre,11,FALSE),"-")</f>
        <v/>
      </c>
      <c r="K48" s="12">
        <f>IFERROR(VLOOKUP($A48,areaCercaDatiPerPosizioneSquadre,15,FALSE),"-")</f>
        <v/>
      </c>
      <c r="L48" s="18">
        <f>IFERROR(VLOOKUP($A48,areaCercaDatiPerPosizioneSquadre,16,FALSE),"-")</f>
        <v/>
      </c>
      <c r="M48" s="18">
        <f>IFERROR(VLOOKUP($A48,areaCercaDatiPerPosizioneSquadre,17,FALSE),"-")</f>
        <v/>
      </c>
    </row>
    <row r="49">
      <c r="A49" s="149" t="inlineStr">
        <is>
          <t>B17</t>
        </is>
      </c>
      <c r="B49" s="17">
        <f>IFERROR(VLOOKUP($A49,areaCercaDatiPerPosizioneSquadre,2,FALSE),"("&amp;$A49&amp;")")</f>
        <v/>
      </c>
      <c r="C49" s="145">
        <f>IFERROR(VLOOKUP($A49,areaCercaDatiPerPosizioneSquadre,4,FALSE),"-")</f>
        <v/>
      </c>
      <c r="D49" s="12">
        <f>IFERROR(VLOOKUP($A49,areaCercaDatiPerPosizioneSquadre,5,FALSE),"-")</f>
        <v/>
      </c>
      <c r="E49" s="12">
        <f>IFERROR(VLOOKUP($A49,areaCercaDatiPerPosizioneSquadre,6,FALSE),"-")</f>
        <v/>
      </c>
      <c r="F49" s="12">
        <f>IFERROR(VLOOKUP($A49,areaCercaDatiPerPosizioneSquadre,7,FALSE),"-")</f>
        <v/>
      </c>
      <c r="G49" s="12">
        <f>IFERROR(VLOOKUP($A49,areaCercaDatiPerPosizioneSquadre,8,FALSE),"-")</f>
        <v/>
      </c>
      <c r="H49" s="12">
        <f>IFERROR(VLOOKUP($A49,areaCercaDatiPerPosizioneSquadre,9,FALSE),"-")</f>
        <v/>
      </c>
      <c r="I49" s="12">
        <f>IFERROR(VLOOKUP($A49,areaCercaDatiPerPosizioneSquadre,10,FALSE),"-")</f>
        <v/>
      </c>
      <c r="J49" s="12">
        <f>IFERROR(VLOOKUP($A49,areaCercaDatiPerPosizioneSquadre,11,FALSE),"-")</f>
        <v/>
      </c>
      <c r="K49" s="12">
        <f>IFERROR(VLOOKUP($A49,areaCercaDatiPerPosizioneSquadre,15,FALSE),"-")</f>
        <v/>
      </c>
      <c r="L49" s="18">
        <f>IFERROR(VLOOKUP($A49,areaCercaDatiPerPosizioneSquadre,16,FALSE),"-")</f>
        <v/>
      </c>
      <c r="M49" s="18">
        <f>IFERROR(VLOOKUP($A49,areaCercaDatiPerPosizioneSquadre,17,FALSE),"-")</f>
        <v/>
      </c>
    </row>
    <row r="50">
      <c r="A50" s="149" t="inlineStr">
        <is>
          <t>B18</t>
        </is>
      </c>
      <c r="B50" s="17">
        <f>IFERROR(VLOOKUP($A50,areaCercaDatiPerPosizioneSquadre,2,FALSE),"("&amp;$A50&amp;")")</f>
        <v/>
      </c>
      <c r="C50" s="145">
        <f>IFERROR(VLOOKUP($A50,areaCercaDatiPerPosizioneSquadre,4,FALSE),"-")</f>
        <v/>
      </c>
      <c r="D50" s="12">
        <f>IFERROR(VLOOKUP($A50,areaCercaDatiPerPosizioneSquadre,5,FALSE),"-")</f>
        <v/>
      </c>
      <c r="E50" s="12">
        <f>IFERROR(VLOOKUP($A50,areaCercaDatiPerPosizioneSquadre,6,FALSE),"-")</f>
        <v/>
      </c>
      <c r="F50" s="12">
        <f>IFERROR(VLOOKUP($A50,areaCercaDatiPerPosizioneSquadre,7,FALSE),"-")</f>
        <v/>
      </c>
      <c r="G50" s="12">
        <f>IFERROR(VLOOKUP($A50,areaCercaDatiPerPosizioneSquadre,8,FALSE),"-")</f>
        <v/>
      </c>
      <c r="H50" s="12">
        <f>IFERROR(VLOOKUP($A50,areaCercaDatiPerPosizioneSquadre,9,FALSE),"-")</f>
        <v/>
      </c>
      <c r="I50" s="12">
        <f>IFERROR(VLOOKUP($A50,areaCercaDatiPerPosizioneSquadre,10,FALSE),"-")</f>
        <v/>
      </c>
      <c r="J50" s="12">
        <f>IFERROR(VLOOKUP($A50,areaCercaDatiPerPosizioneSquadre,11,FALSE),"-")</f>
        <v/>
      </c>
      <c r="K50" s="12">
        <f>IFERROR(VLOOKUP($A50,areaCercaDatiPerPosizioneSquadre,15,FALSE),"-")</f>
        <v/>
      </c>
      <c r="L50" s="18">
        <f>IFERROR(VLOOKUP($A50,areaCercaDatiPerPosizioneSquadre,16,FALSE),"-")</f>
        <v/>
      </c>
      <c r="M50" s="18">
        <f>IFERROR(VLOOKUP($A50,areaCercaDatiPerPosizioneSquadre,17,FALSE),"-")</f>
        <v/>
      </c>
    </row>
    <row r="51">
      <c r="A51" s="149" t="inlineStr">
        <is>
          <t>B19</t>
        </is>
      </c>
      <c r="B51" s="17">
        <f>IFERROR(VLOOKUP($A51,areaCercaDatiPerPosizioneSquadre,2,FALSE),"("&amp;$A51&amp;")")</f>
        <v/>
      </c>
      <c r="C51" s="145">
        <f>IFERROR(VLOOKUP($A51,areaCercaDatiPerPosizioneSquadre,4,FALSE),"-")</f>
        <v/>
      </c>
      <c r="D51" s="12">
        <f>IFERROR(VLOOKUP($A51,areaCercaDatiPerPosizioneSquadre,5,FALSE),"-")</f>
        <v/>
      </c>
      <c r="E51" s="12">
        <f>IFERROR(VLOOKUP($A51,areaCercaDatiPerPosizioneSquadre,6,FALSE),"-")</f>
        <v/>
      </c>
      <c r="F51" s="12">
        <f>IFERROR(VLOOKUP($A51,areaCercaDatiPerPosizioneSquadre,7,FALSE),"-")</f>
        <v/>
      </c>
      <c r="G51" s="12">
        <f>IFERROR(VLOOKUP($A51,areaCercaDatiPerPosizioneSquadre,8,FALSE),"-")</f>
        <v/>
      </c>
      <c r="H51" s="12">
        <f>IFERROR(VLOOKUP($A51,areaCercaDatiPerPosizioneSquadre,9,FALSE),"-")</f>
        <v/>
      </c>
      <c r="I51" s="12">
        <f>IFERROR(VLOOKUP($A51,areaCercaDatiPerPosizioneSquadre,10,FALSE),"-")</f>
        <v/>
      </c>
      <c r="J51" s="12">
        <f>IFERROR(VLOOKUP($A51,areaCercaDatiPerPosizioneSquadre,11,FALSE),"-")</f>
        <v/>
      </c>
      <c r="K51" s="12">
        <f>IFERROR(VLOOKUP($A51,areaCercaDatiPerPosizioneSquadre,15,FALSE),"-")</f>
        <v/>
      </c>
      <c r="L51" s="18">
        <f>IFERROR(VLOOKUP($A51,areaCercaDatiPerPosizioneSquadre,16,FALSE),"-")</f>
        <v/>
      </c>
      <c r="M51" s="18">
        <f>IFERROR(VLOOKUP($A51,areaCercaDatiPerPosizioneSquadre,17,FALSE),"-")</f>
        <v/>
      </c>
    </row>
    <row r="52">
      <c r="A52" s="149" t="inlineStr">
        <is>
          <t>B20</t>
        </is>
      </c>
      <c r="B52" s="17">
        <f>IFERROR(VLOOKUP($A52,areaCercaDatiPerPosizioneSquadre,2,FALSE),"("&amp;$A52&amp;")")</f>
        <v/>
      </c>
      <c r="C52" s="145">
        <f>IFERROR(VLOOKUP($A52,areaCercaDatiPerPosizioneSquadre,4,FALSE),"-")</f>
        <v/>
      </c>
      <c r="D52" s="12">
        <f>IFERROR(VLOOKUP($A52,areaCercaDatiPerPosizioneSquadre,5,FALSE),"-")</f>
        <v/>
      </c>
      <c r="E52" s="12">
        <f>IFERROR(VLOOKUP($A52,areaCercaDatiPerPosizioneSquadre,6,FALSE),"-")</f>
        <v/>
      </c>
      <c r="F52" s="12">
        <f>IFERROR(VLOOKUP($A52,areaCercaDatiPerPosizioneSquadre,7,FALSE),"-")</f>
        <v/>
      </c>
      <c r="G52" s="12">
        <f>IFERROR(VLOOKUP($A52,areaCercaDatiPerPosizioneSquadre,8,FALSE),"-")</f>
        <v/>
      </c>
      <c r="H52" s="12">
        <f>IFERROR(VLOOKUP($A52,areaCercaDatiPerPosizioneSquadre,9,FALSE),"-")</f>
        <v/>
      </c>
      <c r="I52" s="12">
        <f>IFERROR(VLOOKUP($A52,areaCercaDatiPerPosizioneSquadre,10,FALSE),"-")</f>
        <v/>
      </c>
      <c r="J52" s="12">
        <f>IFERROR(VLOOKUP($A52,areaCercaDatiPerPosizioneSquadre,11,FALSE),"-")</f>
        <v/>
      </c>
      <c r="K52" s="12">
        <f>IFERROR(VLOOKUP($A52,areaCercaDatiPerPosizioneSquadre,15,FALSE),"-")</f>
        <v/>
      </c>
      <c r="L52" s="18">
        <f>IFERROR(VLOOKUP($A52,areaCercaDatiPerPosizioneSquadre,16,FALSE),"-")</f>
        <v/>
      </c>
      <c r="M52" s="18">
        <f>IFERROR(VLOOKUP($A52,areaCercaDatiPerPosizioneSquadre,17,FALSE),"-")</f>
        <v/>
      </c>
    </row>
    <row r="54" ht="20" customHeight="1">
      <c r="A54" s="151">
        <f>"CLASSIFICA - GIRONE C"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0" t="n"/>
    </row>
    <row r="55" ht="26" customHeight="1">
      <c r="A55" s="152" t="inlineStr">
        <is>
          <t>P</t>
        </is>
      </c>
      <c r="B55" s="152" t="inlineStr">
        <is>
          <t>Classifica</t>
        </is>
      </c>
      <c r="C55" s="152" t="inlineStr">
        <is>
          <t>Pun</t>
        </is>
      </c>
      <c r="D55" s="152" t="inlineStr">
        <is>
          <t>Partite</t>
        </is>
      </c>
      <c r="E55" s="9" t="n"/>
      <c r="F55" s="9" t="n"/>
      <c r="G55" s="10" t="n"/>
      <c r="H55" s="152" t="inlineStr">
        <is>
          <t>Punti</t>
        </is>
      </c>
      <c r="I55" s="9" t="n"/>
      <c r="J55" s="10" t="n"/>
      <c r="K55" s="152" t="inlineStr">
        <is>
          <t>Record
Sc.Diretti</t>
        </is>
      </c>
      <c r="L55" s="152" t="inlineStr">
        <is>
          <t>Quoziente
Sc.Diretti</t>
        </is>
      </c>
      <c r="M55" s="152" t="inlineStr">
        <is>
          <t>Quoziente
Totale</t>
        </is>
      </c>
    </row>
    <row r="56">
      <c r="A56" s="141" t="n"/>
      <c r="B56" s="141" t="n"/>
      <c r="C56" s="141" t="n"/>
      <c r="D56" s="153" t="inlineStr">
        <is>
          <t>G</t>
        </is>
      </c>
      <c r="E56" s="153" t="inlineStr">
        <is>
          <t>V</t>
        </is>
      </c>
      <c r="F56" s="153" t="inlineStr">
        <is>
          <t>P</t>
        </is>
      </c>
      <c r="G56" s="153" t="inlineStr">
        <is>
          <t>F</t>
        </is>
      </c>
      <c r="H56" s="153" t="inlineStr">
        <is>
          <t>Fat</t>
        </is>
      </c>
      <c r="I56" s="153" t="inlineStr">
        <is>
          <t>Sub</t>
        </is>
      </c>
      <c r="J56" s="153" t="inlineStr">
        <is>
          <t>Dif</t>
        </is>
      </c>
      <c r="K56" s="141" t="n"/>
      <c r="L56" s="141" t="n"/>
      <c r="M56" s="141" t="n"/>
    </row>
    <row r="57">
      <c r="A57" s="154" t="inlineStr">
        <is>
          <t>C1</t>
        </is>
      </c>
      <c r="B57" s="155">
        <f>IFERROR(VLOOKUP($A57,areaCercaDatiPerPosizioneSquadre,2,FALSE),"("&amp;$A57&amp;")")</f>
        <v/>
      </c>
      <c r="C57" s="145">
        <f>IFERROR(VLOOKUP($A57,areaCercaDatiPerPosizioneSquadre,4,FALSE),"-")</f>
        <v/>
      </c>
      <c r="D57" s="12">
        <f>IFERROR(VLOOKUP($A57,areaCercaDatiPerPosizioneSquadre,5,FALSE),"-")</f>
        <v/>
      </c>
      <c r="E57" s="12">
        <f>IFERROR(VLOOKUP($A57,areaCercaDatiPerPosizioneSquadre,6,FALSE),"-")</f>
        <v/>
      </c>
      <c r="F57" s="12">
        <f>IFERROR(VLOOKUP($A57,areaCercaDatiPerPosizioneSquadre,7,FALSE),"-")</f>
        <v/>
      </c>
      <c r="G57" s="12">
        <f>IFERROR(VLOOKUP($A57,areaCercaDatiPerPosizioneSquadre,8,FALSE),"-")</f>
        <v/>
      </c>
      <c r="H57" s="12">
        <f>IFERROR(VLOOKUP($A57,areaCercaDatiPerPosizioneSquadre,9,FALSE),"-")</f>
        <v/>
      </c>
      <c r="I57" s="12">
        <f>IFERROR(VLOOKUP($A57,areaCercaDatiPerPosizioneSquadre,10,FALSE),"-")</f>
        <v/>
      </c>
      <c r="J57" s="12">
        <f>IFERROR(VLOOKUP($A57,areaCercaDatiPerPosizioneSquadre,11,FALSE),"-")</f>
        <v/>
      </c>
      <c r="K57" s="12">
        <f>IFERROR(VLOOKUP($A57,areaCercaDatiPerPosizioneSquadre,15,FALSE),"-")</f>
        <v/>
      </c>
      <c r="L57" s="18">
        <f>IFERROR(VLOOKUP($A57,areaCercaDatiPerPosizioneSquadre,16,FALSE),"-")</f>
        <v/>
      </c>
      <c r="M57" s="18">
        <f>IFERROR(VLOOKUP($A57,areaCercaDatiPerPosizioneSquadre,17,FALSE),"-")</f>
        <v/>
      </c>
    </row>
    <row r="58">
      <c r="A58" s="154" t="inlineStr">
        <is>
          <t>C2</t>
        </is>
      </c>
      <c r="B58" s="155">
        <f>IFERROR(VLOOKUP($A58,areaCercaDatiPerPosizioneSquadre,2,FALSE),"("&amp;$A58&amp;")")</f>
        <v/>
      </c>
      <c r="C58" s="145">
        <f>IFERROR(VLOOKUP($A58,areaCercaDatiPerPosizioneSquadre,4,FALSE),"-")</f>
        <v/>
      </c>
      <c r="D58" s="12">
        <f>IFERROR(VLOOKUP($A58,areaCercaDatiPerPosizioneSquadre,5,FALSE),"-")</f>
        <v/>
      </c>
      <c r="E58" s="12">
        <f>IFERROR(VLOOKUP($A58,areaCercaDatiPerPosizioneSquadre,6,FALSE),"-")</f>
        <v/>
      </c>
      <c r="F58" s="12">
        <f>IFERROR(VLOOKUP($A58,areaCercaDatiPerPosizioneSquadre,7,FALSE),"-")</f>
        <v/>
      </c>
      <c r="G58" s="12">
        <f>IFERROR(VLOOKUP($A58,areaCercaDatiPerPosizioneSquadre,8,FALSE),"-")</f>
        <v/>
      </c>
      <c r="H58" s="12">
        <f>IFERROR(VLOOKUP($A58,areaCercaDatiPerPosizioneSquadre,9,FALSE),"-")</f>
        <v/>
      </c>
      <c r="I58" s="12">
        <f>IFERROR(VLOOKUP($A58,areaCercaDatiPerPosizioneSquadre,10,FALSE),"-")</f>
        <v/>
      </c>
      <c r="J58" s="12">
        <f>IFERROR(VLOOKUP($A58,areaCercaDatiPerPosizioneSquadre,11,FALSE),"-")</f>
        <v/>
      </c>
      <c r="K58" s="12">
        <f>IFERROR(VLOOKUP($A58,areaCercaDatiPerPosizioneSquadre,15,FALSE),"-")</f>
        <v/>
      </c>
      <c r="L58" s="18">
        <f>IFERROR(VLOOKUP($A58,areaCercaDatiPerPosizioneSquadre,16,FALSE),"-")</f>
        <v/>
      </c>
      <c r="M58" s="18">
        <f>IFERROR(VLOOKUP($A58,areaCercaDatiPerPosizioneSquadre,17,FALSE),"-")</f>
        <v/>
      </c>
    </row>
    <row r="59">
      <c r="A59" s="154" t="inlineStr">
        <is>
          <t>C3</t>
        </is>
      </c>
      <c r="B59" s="155">
        <f>IFERROR(VLOOKUP($A59,areaCercaDatiPerPosizioneSquadre,2,FALSE),"("&amp;$A59&amp;")")</f>
        <v/>
      </c>
      <c r="C59" s="145">
        <f>IFERROR(VLOOKUP($A59,areaCercaDatiPerPosizioneSquadre,4,FALSE),"-")</f>
        <v/>
      </c>
      <c r="D59" s="12">
        <f>IFERROR(VLOOKUP($A59,areaCercaDatiPerPosizioneSquadre,5,FALSE),"-")</f>
        <v/>
      </c>
      <c r="E59" s="12">
        <f>IFERROR(VLOOKUP($A59,areaCercaDatiPerPosizioneSquadre,6,FALSE),"-")</f>
        <v/>
      </c>
      <c r="F59" s="12">
        <f>IFERROR(VLOOKUP($A59,areaCercaDatiPerPosizioneSquadre,7,FALSE),"-")</f>
        <v/>
      </c>
      <c r="G59" s="12">
        <f>IFERROR(VLOOKUP($A59,areaCercaDatiPerPosizioneSquadre,8,FALSE),"-")</f>
        <v/>
      </c>
      <c r="H59" s="12">
        <f>IFERROR(VLOOKUP($A59,areaCercaDatiPerPosizioneSquadre,9,FALSE),"-")</f>
        <v/>
      </c>
      <c r="I59" s="12">
        <f>IFERROR(VLOOKUP($A59,areaCercaDatiPerPosizioneSquadre,10,FALSE),"-")</f>
        <v/>
      </c>
      <c r="J59" s="12">
        <f>IFERROR(VLOOKUP($A59,areaCercaDatiPerPosizioneSquadre,11,FALSE),"-")</f>
        <v/>
      </c>
      <c r="K59" s="12">
        <f>IFERROR(VLOOKUP($A59,areaCercaDatiPerPosizioneSquadre,15,FALSE),"-")</f>
        <v/>
      </c>
      <c r="L59" s="18">
        <f>IFERROR(VLOOKUP($A59,areaCercaDatiPerPosizioneSquadre,16,FALSE),"-")</f>
        <v/>
      </c>
      <c r="M59" s="18">
        <f>IFERROR(VLOOKUP($A59,areaCercaDatiPerPosizioneSquadre,17,FALSE),"-")</f>
        <v/>
      </c>
    </row>
    <row r="60">
      <c r="A60" s="154" t="inlineStr">
        <is>
          <t>C4</t>
        </is>
      </c>
      <c r="B60" s="155">
        <f>IFERROR(VLOOKUP($A60,areaCercaDatiPerPosizioneSquadre,2,FALSE),"("&amp;$A60&amp;")")</f>
        <v/>
      </c>
      <c r="C60" s="145">
        <f>IFERROR(VLOOKUP($A60,areaCercaDatiPerPosizioneSquadre,4,FALSE),"-")</f>
        <v/>
      </c>
      <c r="D60" s="12">
        <f>IFERROR(VLOOKUP($A60,areaCercaDatiPerPosizioneSquadre,5,FALSE),"-")</f>
        <v/>
      </c>
      <c r="E60" s="12">
        <f>IFERROR(VLOOKUP($A60,areaCercaDatiPerPosizioneSquadre,6,FALSE),"-")</f>
        <v/>
      </c>
      <c r="F60" s="12">
        <f>IFERROR(VLOOKUP($A60,areaCercaDatiPerPosizioneSquadre,7,FALSE),"-")</f>
        <v/>
      </c>
      <c r="G60" s="12">
        <f>IFERROR(VLOOKUP($A60,areaCercaDatiPerPosizioneSquadre,8,FALSE),"-")</f>
        <v/>
      </c>
      <c r="H60" s="12">
        <f>IFERROR(VLOOKUP($A60,areaCercaDatiPerPosizioneSquadre,9,FALSE),"-")</f>
        <v/>
      </c>
      <c r="I60" s="12">
        <f>IFERROR(VLOOKUP($A60,areaCercaDatiPerPosizioneSquadre,10,FALSE),"-")</f>
        <v/>
      </c>
      <c r="J60" s="12">
        <f>IFERROR(VLOOKUP($A60,areaCercaDatiPerPosizioneSquadre,11,FALSE),"-")</f>
        <v/>
      </c>
      <c r="K60" s="12">
        <f>IFERROR(VLOOKUP($A60,areaCercaDatiPerPosizioneSquadre,15,FALSE),"-")</f>
        <v/>
      </c>
      <c r="L60" s="18">
        <f>IFERROR(VLOOKUP($A60,areaCercaDatiPerPosizioneSquadre,16,FALSE),"-")</f>
        <v/>
      </c>
      <c r="M60" s="18">
        <f>IFERROR(VLOOKUP($A60,areaCercaDatiPerPosizioneSquadre,17,FALSE),"-")</f>
        <v/>
      </c>
    </row>
    <row r="61">
      <c r="A61" s="154" t="inlineStr">
        <is>
          <t>C5</t>
        </is>
      </c>
      <c r="B61" s="17">
        <f>IFERROR(VLOOKUP($A61,areaCercaDatiPerPosizioneSquadre,2,FALSE),"("&amp;$A61&amp;")")</f>
        <v/>
      </c>
      <c r="C61" s="145">
        <f>IFERROR(VLOOKUP($A61,areaCercaDatiPerPosizioneSquadre,4,FALSE),"-")</f>
        <v/>
      </c>
      <c r="D61" s="12">
        <f>IFERROR(VLOOKUP($A61,areaCercaDatiPerPosizioneSquadre,5,FALSE),"-")</f>
        <v/>
      </c>
      <c r="E61" s="12">
        <f>IFERROR(VLOOKUP($A61,areaCercaDatiPerPosizioneSquadre,6,FALSE),"-")</f>
        <v/>
      </c>
      <c r="F61" s="12">
        <f>IFERROR(VLOOKUP($A61,areaCercaDatiPerPosizioneSquadre,7,FALSE),"-")</f>
        <v/>
      </c>
      <c r="G61" s="12">
        <f>IFERROR(VLOOKUP($A61,areaCercaDatiPerPosizioneSquadre,8,FALSE),"-")</f>
        <v/>
      </c>
      <c r="H61" s="12">
        <f>IFERROR(VLOOKUP($A61,areaCercaDatiPerPosizioneSquadre,9,FALSE),"-")</f>
        <v/>
      </c>
      <c r="I61" s="12">
        <f>IFERROR(VLOOKUP($A61,areaCercaDatiPerPosizioneSquadre,10,FALSE),"-")</f>
        <v/>
      </c>
      <c r="J61" s="12">
        <f>IFERROR(VLOOKUP($A61,areaCercaDatiPerPosizioneSquadre,11,FALSE),"-")</f>
        <v/>
      </c>
      <c r="K61" s="12">
        <f>IFERROR(VLOOKUP($A61,areaCercaDatiPerPosizioneSquadre,15,FALSE),"-")</f>
        <v/>
      </c>
      <c r="L61" s="18">
        <f>IFERROR(VLOOKUP($A61,areaCercaDatiPerPosizioneSquadre,16,FALSE),"-")</f>
        <v/>
      </c>
      <c r="M61" s="18">
        <f>IFERROR(VLOOKUP($A61,areaCercaDatiPerPosizioneSquadre,17,FALSE),"-")</f>
        <v/>
      </c>
    </row>
    <row r="62">
      <c r="A62" s="154" t="inlineStr">
        <is>
          <t>C6</t>
        </is>
      </c>
      <c r="B62" s="17">
        <f>IFERROR(VLOOKUP($A62,areaCercaDatiPerPosizioneSquadre,2,FALSE),"("&amp;$A62&amp;")")</f>
        <v/>
      </c>
      <c r="C62" s="145">
        <f>IFERROR(VLOOKUP($A62,areaCercaDatiPerPosizioneSquadre,4,FALSE),"-")</f>
        <v/>
      </c>
      <c r="D62" s="12">
        <f>IFERROR(VLOOKUP($A62,areaCercaDatiPerPosizioneSquadre,5,FALSE),"-")</f>
        <v/>
      </c>
      <c r="E62" s="12">
        <f>IFERROR(VLOOKUP($A62,areaCercaDatiPerPosizioneSquadre,6,FALSE),"-")</f>
        <v/>
      </c>
      <c r="F62" s="12">
        <f>IFERROR(VLOOKUP($A62,areaCercaDatiPerPosizioneSquadre,7,FALSE),"-")</f>
        <v/>
      </c>
      <c r="G62" s="12">
        <f>IFERROR(VLOOKUP($A62,areaCercaDatiPerPosizioneSquadre,8,FALSE),"-")</f>
        <v/>
      </c>
      <c r="H62" s="12">
        <f>IFERROR(VLOOKUP($A62,areaCercaDatiPerPosizioneSquadre,9,FALSE),"-")</f>
        <v/>
      </c>
      <c r="I62" s="12">
        <f>IFERROR(VLOOKUP($A62,areaCercaDatiPerPosizioneSquadre,10,FALSE),"-")</f>
        <v/>
      </c>
      <c r="J62" s="12">
        <f>IFERROR(VLOOKUP($A62,areaCercaDatiPerPosizioneSquadre,11,FALSE),"-")</f>
        <v/>
      </c>
      <c r="K62" s="12">
        <f>IFERROR(VLOOKUP($A62,areaCercaDatiPerPosizioneSquadre,15,FALSE),"-")</f>
        <v/>
      </c>
      <c r="L62" s="18">
        <f>IFERROR(VLOOKUP($A62,areaCercaDatiPerPosizioneSquadre,16,FALSE),"-")</f>
        <v/>
      </c>
      <c r="M62" s="18">
        <f>IFERROR(VLOOKUP($A62,areaCercaDatiPerPosizioneSquadre,17,FALSE),"-")</f>
        <v/>
      </c>
    </row>
    <row r="63">
      <c r="A63" s="154" t="inlineStr">
        <is>
          <t>C7</t>
        </is>
      </c>
      <c r="B63" s="17">
        <f>IFERROR(VLOOKUP($A63,areaCercaDatiPerPosizioneSquadre,2,FALSE),"("&amp;$A63&amp;")")</f>
        <v/>
      </c>
      <c r="C63" s="145">
        <f>IFERROR(VLOOKUP($A63,areaCercaDatiPerPosizioneSquadre,4,FALSE),"-")</f>
        <v/>
      </c>
      <c r="D63" s="12">
        <f>IFERROR(VLOOKUP($A63,areaCercaDatiPerPosizioneSquadre,5,FALSE),"-")</f>
        <v/>
      </c>
      <c r="E63" s="12">
        <f>IFERROR(VLOOKUP($A63,areaCercaDatiPerPosizioneSquadre,6,FALSE),"-")</f>
        <v/>
      </c>
      <c r="F63" s="12">
        <f>IFERROR(VLOOKUP($A63,areaCercaDatiPerPosizioneSquadre,7,FALSE),"-")</f>
        <v/>
      </c>
      <c r="G63" s="12">
        <f>IFERROR(VLOOKUP($A63,areaCercaDatiPerPosizioneSquadre,8,FALSE),"-")</f>
        <v/>
      </c>
      <c r="H63" s="12">
        <f>IFERROR(VLOOKUP($A63,areaCercaDatiPerPosizioneSquadre,9,FALSE),"-")</f>
        <v/>
      </c>
      <c r="I63" s="12">
        <f>IFERROR(VLOOKUP($A63,areaCercaDatiPerPosizioneSquadre,10,FALSE),"-")</f>
        <v/>
      </c>
      <c r="J63" s="12">
        <f>IFERROR(VLOOKUP($A63,areaCercaDatiPerPosizioneSquadre,11,FALSE),"-")</f>
        <v/>
      </c>
      <c r="K63" s="12">
        <f>IFERROR(VLOOKUP($A63,areaCercaDatiPerPosizioneSquadre,15,FALSE),"-")</f>
        <v/>
      </c>
      <c r="L63" s="18">
        <f>IFERROR(VLOOKUP($A63,areaCercaDatiPerPosizioneSquadre,16,FALSE),"-")</f>
        <v/>
      </c>
      <c r="M63" s="18">
        <f>IFERROR(VLOOKUP($A63,areaCercaDatiPerPosizioneSquadre,17,FALSE),"-")</f>
        <v/>
      </c>
    </row>
    <row r="64">
      <c r="A64" s="154" t="inlineStr">
        <is>
          <t>C8</t>
        </is>
      </c>
      <c r="B64" s="17">
        <f>IFERROR(VLOOKUP($A64,areaCercaDatiPerPosizioneSquadre,2,FALSE),"("&amp;$A64&amp;")")</f>
        <v/>
      </c>
      <c r="C64" s="145">
        <f>IFERROR(VLOOKUP($A64,areaCercaDatiPerPosizioneSquadre,4,FALSE),"-")</f>
        <v/>
      </c>
      <c r="D64" s="12">
        <f>IFERROR(VLOOKUP($A64,areaCercaDatiPerPosizioneSquadre,5,FALSE),"-")</f>
        <v/>
      </c>
      <c r="E64" s="12">
        <f>IFERROR(VLOOKUP($A64,areaCercaDatiPerPosizioneSquadre,6,FALSE),"-")</f>
        <v/>
      </c>
      <c r="F64" s="12">
        <f>IFERROR(VLOOKUP($A64,areaCercaDatiPerPosizioneSquadre,7,FALSE),"-")</f>
        <v/>
      </c>
      <c r="G64" s="12">
        <f>IFERROR(VLOOKUP($A64,areaCercaDatiPerPosizioneSquadre,8,FALSE),"-")</f>
        <v/>
      </c>
      <c r="H64" s="12">
        <f>IFERROR(VLOOKUP($A64,areaCercaDatiPerPosizioneSquadre,9,FALSE),"-")</f>
        <v/>
      </c>
      <c r="I64" s="12">
        <f>IFERROR(VLOOKUP($A64,areaCercaDatiPerPosizioneSquadre,10,FALSE),"-")</f>
        <v/>
      </c>
      <c r="J64" s="12">
        <f>IFERROR(VLOOKUP($A64,areaCercaDatiPerPosizioneSquadre,11,FALSE),"-")</f>
        <v/>
      </c>
      <c r="K64" s="12">
        <f>IFERROR(VLOOKUP($A64,areaCercaDatiPerPosizioneSquadre,15,FALSE),"-")</f>
        <v/>
      </c>
      <c r="L64" s="18">
        <f>IFERROR(VLOOKUP($A64,areaCercaDatiPerPosizioneSquadre,16,FALSE),"-")</f>
        <v/>
      </c>
      <c r="M64" s="18">
        <f>IFERROR(VLOOKUP($A64,areaCercaDatiPerPosizioneSquadre,17,FALSE),"-")</f>
        <v/>
      </c>
    </row>
    <row r="65">
      <c r="A65" s="154" t="inlineStr">
        <is>
          <t>C9</t>
        </is>
      </c>
      <c r="B65" s="17">
        <f>IFERROR(VLOOKUP($A65,areaCercaDatiPerPosizioneSquadre,2,FALSE),"("&amp;$A65&amp;")")</f>
        <v/>
      </c>
      <c r="C65" s="145">
        <f>IFERROR(VLOOKUP($A65,areaCercaDatiPerPosizioneSquadre,4,FALSE),"-")</f>
        <v/>
      </c>
      <c r="D65" s="12">
        <f>IFERROR(VLOOKUP($A65,areaCercaDatiPerPosizioneSquadre,5,FALSE),"-")</f>
        <v/>
      </c>
      <c r="E65" s="12">
        <f>IFERROR(VLOOKUP($A65,areaCercaDatiPerPosizioneSquadre,6,FALSE),"-")</f>
        <v/>
      </c>
      <c r="F65" s="12">
        <f>IFERROR(VLOOKUP($A65,areaCercaDatiPerPosizioneSquadre,7,FALSE),"-")</f>
        <v/>
      </c>
      <c r="G65" s="12">
        <f>IFERROR(VLOOKUP($A65,areaCercaDatiPerPosizioneSquadre,8,FALSE),"-")</f>
        <v/>
      </c>
      <c r="H65" s="12">
        <f>IFERROR(VLOOKUP($A65,areaCercaDatiPerPosizioneSquadre,9,FALSE),"-")</f>
        <v/>
      </c>
      <c r="I65" s="12">
        <f>IFERROR(VLOOKUP($A65,areaCercaDatiPerPosizioneSquadre,10,FALSE),"-")</f>
        <v/>
      </c>
      <c r="J65" s="12">
        <f>IFERROR(VLOOKUP($A65,areaCercaDatiPerPosizioneSquadre,11,FALSE),"-")</f>
        <v/>
      </c>
      <c r="K65" s="12">
        <f>IFERROR(VLOOKUP($A65,areaCercaDatiPerPosizioneSquadre,15,FALSE),"-")</f>
        <v/>
      </c>
      <c r="L65" s="18">
        <f>IFERROR(VLOOKUP($A65,areaCercaDatiPerPosizioneSquadre,16,FALSE),"-")</f>
        <v/>
      </c>
      <c r="M65" s="18">
        <f>IFERROR(VLOOKUP($A65,areaCercaDatiPerPosizioneSquadre,17,FALSE),"-")</f>
        <v/>
      </c>
    </row>
    <row r="66">
      <c r="A66" s="154" t="inlineStr">
        <is>
          <t>C10</t>
        </is>
      </c>
      <c r="B66" s="17">
        <f>IFERROR(VLOOKUP($A66,areaCercaDatiPerPosizioneSquadre,2,FALSE),"("&amp;$A66&amp;")")</f>
        <v/>
      </c>
      <c r="C66" s="145">
        <f>IFERROR(VLOOKUP($A66,areaCercaDatiPerPosizioneSquadre,4,FALSE),"-")</f>
        <v/>
      </c>
      <c r="D66" s="12">
        <f>IFERROR(VLOOKUP($A66,areaCercaDatiPerPosizioneSquadre,5,FALSE),"-")</f>
        <v/>
      </c>
      <c r="E66" s="12">
        <f>IFERROR(VLOOKUP($A66,areaCercaDatiPerPosizioneSquadre,6,FALSE),"-")</f>
        <v/>
      </c>
      <c r="F66" s="12">
        <f>IFERROR(VLOOKUP($A66,areaCercaDatiPerPosizioneSquadre,7,FALSE),"-")</f>
        <v/>
      </c>
      <c r="G66" s="12">
        <f>IFERROR(VLOOKUP($A66,areaCercaDatiPerPosizioneSquadre,8,FALSE),"-")</f>
        <v/>
      </c>
      <c r="H66" s="12">
        <f>IFERROR(VLOOKUP($A66,areaCercaDatiPerPosizioneSquadre,9,FALSE),"-")</f>
        <v/>
      </c>
      <c r="I66" s="12">
        <f>IFERROR(VLOOKUP($A66,areaCercaDatiPerPosizioneSquadre,10,FALSE),"-")</f>
        <v/>
      </c>
      <c r="J66" s="12">
        <f>IFERROR(VLOOKUP($A66,areaCercaDatiPerPosizioneSquadre,11,FALSE),"-")</f>
        <v/>
      </c>
      <c r="K66" s="12">
        <f>IFERROR(VLOOKUP($A66,areaCercaDatiPerPosizioneSquadre,15,FALSE),"-")</f>
        <v/>
      </c>
      <c r="L66" s="18">
        <f>IFERROR(VLOOKUP($A66,areaCercaDatiPerPosizioneSquadre,16,FALSE),"-")</f>
        <v/>
      </c>
      <c r="M66" s="18">
        <f>IFERROR(VLOOKUP($A66,areaCercaDatiPerPosizioneSquadre,17,FALSE),"-")</f>
        <v/>
      </c>
    </row>
    <row r="67">
      <c r="A67" s="154" t="inlineStr">
        <is>
          <t>C11</t>
        </is>
      </c>
      <c r="B67" s="17">
        <f>IFERROR(VLOOKUP($A67,areaCercaDatiPerPosizioneSquadre,2,FALSE),"("&amp;$A67&amp;")")</f>
        <v/>
      </c>
      <c r="C67" s="145">
        <f>IFERROR(VLOOKUP($A67,areaCercaDatiPerPosizioneSquadre,4,FALSE),"-")</f>
        <v/>
      </c>
      <c r="D67" s="12">
        <f>IFERROR(VLOOKUP($A67,areaCercaDatiPerPosizioneSquadre,5,FALSE),"-")</f>
        <v/>
      </c>
      <c r="E67" s="12">
        <f>IFERROR(VLOOKUP($A67,areaCercaDatiPerPosizioneSquadre,6,FALSE),"-")</f>
        <v/>
      </c>
      <c r="F67" s="12">
        <f>IFERROR(VLOOKUP($A67,areaCercaDatiPerPosizioneSquadre,7,FALSE),"-")</f>
        <v/>
      </c>
      <c r="G67" s="12">
        <f>IFERROR(VLOOKUP($A67,areaCercaDatiPerPosizioneSquadre,8,FALSE),"-")</f>
        <v/>
      </c>
      <c r="H67" s="12">
        <f>IFERROR(VLOOKUP($A67,areaCercaDatiPerPosizioneSquadre,9,FALSE),"-")</f>
        <v/>
      </c>
      <c r="I67" s="12">
        <f>IFERROR(VLOOKUP($A67,areaCercaDatiPerPosizioneSquadre,10,FALSE),"-")</f>
        <v/>
      </c>
      <c r="J67" s="12">
        <f>IFERROR(VLOOKUP($A67,areaCercaDatiPerPosizioneSquadre,11,FALSE),"-")</f>
        <v/>
      </c>
      <c r="K67" s="12">
        <f>IFERROR(VLOOKUP($A67,areaCercaDatiPerPosizioneSquadre,15,FALSE),"-")</f>
        <v/>
      </c>
      <c r="L67" s="18">
        <f>IFERROR(VLOOKUP($A67,areaCercaDatiPerPosizioneSquadre,16,FALSE),"-")</f>
        <v/>
      </c>
      <c r="M67" s="18">
        <f>IFERROR(VLOOKUP($A67,areaCercaDatiPerPosizioneSquadre,17,FALSE),"-")</f>
        <v/>
      </c>
    </row>
    <row r="68">
      <c r="A68" s="154" t="inlineStr">
        <is>
          <t>C12</t>
        </is>
      </c>
      <c r="B68" s="17">
        <f>IFERROR(VLOOKUP($A68,areaCercaDatiPerPosizioneSquadre,2,FALSE),"("&amp;$A68&amp;")")</f>
        <v/>
      </c>
      <c r="C68" s="145">
        <f>IFERROR(VLOOKUP($A68,areaCercaDatiPerPosizioneSquadre,4,FALSE),"-")</f>
        <v/>
      </c>
      <c r="D68" s="12">
        <f>IFERROR(VLOOKUP($A68,areaCercaDatiPerPosizioneSquadre,5,FALSE),"-")</f>
        <v/>
      </c>
      <c r="E68" s="12">
        <f>IFERROR(VLOOKUP($A68,areaCercaDatiPerPosizioneSquadre,6,FALSE),"-")</f>
        <v/>
      </c>
      <c r="F68" s="12">
        <f>IFERROR(VLOOKUP($A68,areaCercaDatiPerPosizioneSquadre,7,FALSE),"-")</f>
        <v/>
      </c>
      <c r="G68" s="12">
        <f>IFERROR(VLOOKUP($A68,areaCercaDatiPerPosizioneSquadre,8,FALSE),"-")</f>
        <v/>
      </c>
      <c r="H68" s="12">
        <f>IFERROR(VLOOKUP($A68,areaCercaDatiPerPosizioneSquadre,9,FALSE),"-")</f>
        <v/>
      </c>
      <c r="I68" s="12">
        <f>IFERROR(VLOOKUP($A68,areaCercaDatiPerPosizioneSquadre,10,FALSE),"-")</f>
        <v/>
      </c>
      <c r="J68" s="12">
        <f>IFERROR(VLOOKUP($A68,areaCercaDatiPerPosizioneSquadre,11,FALSE),"-")</f>
        <v/>
      </c>
      <c r="K68" s="12">
        <f>IFERROR(VLOOKUP($A68,areaCercaDatiPerPosizioneSquadre,15,FALSE),"-")</f>
        <v/>
      </c>
      <c r="L68" s="18">
        <f>IFERROR(VLOOKUP($A68,areaCercaDatiPerPosizioneSquadre,16,FALSE),"-")</f>
        <v/>
      </c>
      <c r="M68" s="18">
        <f>IFERROR(VLOOKUP($A68,areaCercaDatiPerPosizioneSquadre,17,FALSE),"-")</f>
        <v/>
      </c>
    </row>
    <row r="69">
      <c r="A69" s="154" t="inlineStr">
        <is>
          <t>C13</t>
        </is>
      </c>
      <c r="B69" s="17">
        <f>IFERROR(VLOOKUP($A69,areaCercaDatiPerPosizioneSquadre,2,FALSE),"("&amp;$A69&amp;")")</f>
        <v/>
      </c>
      <c r="C69" s="145">
        <f>IFERROR(VLOOKUP($A69,areaCercaDatiPerPosizioneSquadre,4,FALSE),"-")</f>
        <v/>
      </c>
      <c r="D69" s="12">
        <f>IFERROR(VLOOKUP($A69,areaCercaDatiPerPosizioneSquadre,5,FALSE),"-")</f>
        <v/>
      </c>
      <c r="E69" s="12">
        <f>IFERROR(VLOOKUP($A69,areaCercaDatiPerPosizioneSquadre,6,FALSE),"-")</f>
        <v/>
      </c>
      <c r="F69" s="12">
        <f>IFERROR(VLOOKUP($A69,areaCercaDatiPerPosizioneSquadre,7,FALSE),"-")</f>
        <v/>
      </c>
      <c r="G69" s="12">
        <f>IFERROR(VLOOKUP($A69,areaCercaDatiPerPosizioneSquadre,8,FALSE),"-")</f>
        <v/>
      </c>
      <c r="H69" s="12">
        <f>IFERROR(VLOOKUP($A69,areaCercaDatiPerPosizioneSquadre,9,FALSE),"-")</f>
        <v/>
      </c>
      <c r="I69" s="12">
        <f>IFERROR(VLOOKUP($A69,areaCercaDatiPerPosizioneSquadre,10,FALSE),"-")</f>
        <v/>
      </c>
      <c r="J69" s="12">
        <f>IFERROR(VLOOKUP($A69,areaCercaDatiPerPosizioneSquadre,11,FALSE),"-")</f>
        <v/>
      </c>
      <c r="K69" s="12">
        <f>IFERROR(VLOOKUP($A69,areaCercaDatiPerPosizioneSquadre,15,FALSE),"-")</f>
        <v/>
      </c>
      <c r="L69" s="18">
        <f>IFERROR(VLOOKUP($A69,areaCercaDatiPerPosizioneSquadre,16,FALSE),"-")</f>
        <v/>
      </c>
      <c r="M69" s="18">
        <f>IFERROR(VLOOKUP($A69,areaCercaDatiPerPosizioneSquadre,17,FALSE),"-")</f>
        <v/>
      </c>
    </row>
    <row r="70">
      <c r="A70" s="154" t="inlineStr">
        <is>
          <t>C14</t>
        </is>
      </c>
      <c r="B70" s="17">
        <f>IFERROR(VLOOKUP($A70,areaCercaDatiPerPosizioneSquadre,2,FALSE),"("&amp;$A70&amp;")")</f>
        <v/>
      </c>
      <c r="C70" s="145">
        <f>IFERROR(VLOOKUP($A70,areaCercaDatiPerPosizioneSquadre,4,FALSE),"-")</f>
        <v/>
      </c>
      <c r="D70" s="12">
        <f>IFERROR(VLOOKUP($A70,areaCercaDatiPerPosizioneSquadre,5,FALSE),"-")</f>
        <v/>
      </c>
      <c r="E70" s="12">
        <f>IFERROR(VLOOKUP($A70,areaCercaDatiPerPosizioneSquadre,6,FALSE),"-")</f>
        <v/>
      </c>
      <c r="F70" s="12">
        <f>IFERROR(VLOOKUP($A70,areaCercaDatiPerPosizioneSquadre,7,FALSE),"-")</f>
        <v/>
      </c>
      <c r="G70" s="12">
        <f>IFERROR(VLOOKUP($A70,areaCercaDatiPerPosizioneSquadre,8,FALSE),"-")</f>
        <v/>
      </c>
      <c r="H70" s="12">
        <f>IFERROR(VLOOKUP($A70,areaCercaDatiPerPosizioneSquadre,9,FALSE),"-")</f>
        <v/>
      </c>
      <c r="I70" s="12">
        <f>IFERROR(VLOOKUP($A70,areaCercaDatiPerPosizioneSquadre,10,FALSE),"-")</f>
        <v/>
      </c>
      <c r="J70" s="12">
        <f>IFERROR(VLOOKUP($A70,areaCercaDatiPerPosizioneSquadre,11,FALSE),"-")</f>
        <v/>
      </c>
      <c r="K70" s="12">
        <f>IFERROR(VLOOKUP($A70,areaCercaDatiPerPosizioneSquadre,15,FALSE),"-")</f>
        <v/>
      </c>
      <c r="L70" s="18">
        <f>IFERROR(VLOOKUP($A70,areaCercaDatiPerPosizioneSquadre,16,FALSE),"-")</f>
        <v/>
      </c>
      <c r="M70" s="18">
        <f>IFERROR(VLOOKUP($A70,areaCercaDatiPerPosizioneSquadre,17,FALSE),"-")</f>
        <v/>
      </c>
    </row>
    <row r="71">
      <c r="A71" s="154" t="inlineStr">
        <is>
          <t>C15</t>
        </is>
      </c>
      <c r="B71" s="17">
        <f>IFERROR(VLOOKUP($A71,areaCercaDatiPerPosizioneSquadre,2,FALSE),"("&amp;$A71&amp;")")</f>
        <v/>
      </c>
      <c r="C71" s="145">
        <f>IFERROR(VLOOKUP($A71,areaCercaDatiPerPosizioneSquadre,4,FALSE),"-")</f>
        <v/>
      </c>
      <c r="D71" s="12">
        <f>IFERROR(VLOOKUP($A71,areaCercaDatiPerPosizioneSquadre,5,FALSE),"-")</f>
        <v/>
      </c>
      <c r="E71" s="12">
        <f>IFERROR(VLOOKUP($A71,areaCercaDatiPerPosizioneSquadre,6,FALSE),"-")</f>
        <v/>
      </c>
      <c r="F71" s="12">
        <f>IFERROR(VLOOKUP($A71,areaCercaDatiPerPosizioneSquadre,7,FALSE),"-")</f>
        <v/>
      </c>
      <c r="G71" s="12">
        <f>IFERROR(VLOOKUP($A71,areaCercaDatiPerPosizioneSquadre,8,FALSE),"-")</f>
        <v/>
      </c>
      <c r="H71" s="12">
        <f>IFERROR(VLOOKUP($A71,areaCercaDatiPerPosizioneSquadre,9,FALSE),"-")</f>
        <v/>
      </c>
      <c r="I71" s="12">
        <f>IFERROR(VLOOKUP($A71,areaCercaDatiPerPosizioneSquadre,10,FALSE),"-")</f>
        <v/>
      </c>
      <c r="J71" s="12">
        <f>IFERROR(VLOOKUP($A71,areaCercaDatiPerPosizioneSquadre,11,FALSE),"-")</f>
        <v/>
      </c>
      <c r="K71" s="12">
        <f>IFERROR(VLOOKUP($A71,areaCercaDatiPerPosizioneSquadre,15,FALSE),"-")</f>
        <v/>
      </c>
      <c r="L71" s="18">
        <f>IFERROR(VLOOKUP($A71,areaCercaDatiPerPosizioneSquadre,16,FALSE),"-")</f>
        <v/>
      </c>
      <c r="M71" s="18">
        <f>IFERROR(VLOOKUP($A71,areaCercaDatiPerPosizioneSquadre,17,FALSE),"-")</f>
        <v/>
      </c>
    </row>
    <row r="72">
      <c r="A72" s="154" t="inlineStr">
        <is>
          <t>C16</t>
        </is>
      </c>
      <c r="B72" s="17">
        <f>IFERROR(VLOOKUP($A72,areaCercaDatiPerPosizioneSquadre,2,FALSE),"("&amp;$A72&amp;")")</f>
        <v/>
      </c>
      <c r="C72" s="145">
        <f>IFERROR(VLOOKUP($A72,areaCercaDatiPerPosizioneSquadre,4,FALSE),"-")</f>
        <v/>
      </c>
      <c r="D72" s="12">
        <f>IFERROR(VLOOKUP($A72,areaCercaDatiPerPosizioneSquadre,5,FALSE),"-")</f>
        <v/>
      </c>
      <c r="E72" s="12">
        <f>IFERROR(VLOOKUP($A72,areaCercaDatiPerPosizioneSquadre,6,FALSE),"-")</f>
        <v/>
      </c>
      <c r="F72" s="12">
        <f>IFERROR(VLOOKUP($A72,areaCercaDatiPerPosizioneSquadre,7,FALSE),"-")</f>
        <v/>
      </c>
      <c r="G72" s="12">
        <f>IFERROR(VLOOKUP($A72,areaCercaDatiPerPosizioneSquadre,8,FALSE),"-")</f>
        <v/>
      </c>
      <c r="H72" s="12">
        <f>IFERROR(VLOOKUP($A72,areaCercaDatiPerPosizioneSquadre,9,FALSE),"-")</f>
        <v/>
      </c>
      <c r="I72" s="12">
        <f>IFERROR(VLOOKUP($A72,areaCercaDatiPerPosizioneSquadre,10,FALSE),"-")</f>
        <v/>
      </c>
      <c r="J72" s="12">
        <f>IFERROR(VLOOKUP($A72,areaCercaDatiPerPosizioneSquadre,11,FALSE),"-")</f>
        <v/>
      </c>
      <c r="K72" s="12">
        <f>IFERROR(VLOOKUP($A72,areaCercaDatiPerPosizioneSquadre,15,FALSE),"-")</f>
        <v/>
      </c>
      <c r="L72" s="18">
        <f>IFERROR(VLOOKUP($A72,areaCercaDatiPerPosizioneSquadre,16,FALSE),"-")</f>
        <v/>
      </c>
      <c r="M72" s="18">
        <f>IFERROR(VLOOKUP($A72,areaCercaDatiPerPosizioneSquadre,17,FALSE),"-")</f>
        <v/>
      </c>
    </row>
    <row r="73">
      <c r="A73" s="154" t="inlineStr">
        <is>
          <t>C17</t>
        </is>
      </c>
      <c r="B73" s="17">
        <f>IFERROR(VLOOKUP($A73,areaCercaDatiPerPosizioneSquadre,2,FALSE),"("&amp;$A73&amp;")")</f>
        <v/>
      </c>
      <c r="C73" s="145">
        <f>IFERROR(VLOOKUP($A73,areaCercaDatiPerPosizioneSquadre,4,FALSE),"-")</f>
        <v/>
      </c>
      <c r="D73" s="12">
        <f>IFERROR(VLOOKUP($A73,areaCercaDatiPerPosizioneSquadre,5,FALSE),"-")</f>
        <v/>
      </c>
      <c r="E73" s="12">
        <f>IFERROR(VLOOKUP($A73,areaCercaDatiPerPosizioneSquadre,6,FALSE),"-")</f>
        <v/>
      </c>
      <c r="F73" s="12">
        <f>IFERROR(VLOOKUP($A73,areaCercaDatiPerPosizioneSquadre,7,FALSE),"-")</f>
        <v/>
      </c>
      <c r="G73" s="12">
        <f>IFERROR(VLOOKUP($A73,areaCercaDatiPerPosizioneSquadre,8,FALSE),"-")</f>
        <v/>
      </c>
      <c r="H73" s="12">
        <f>IFERROR(VLOOKUP($A73,areaCercaDatiPerPosizioneSquadre,9,FALSE),"-")</f>
        <v/>
      </c>
      <c r="I73" s="12">
        <f>IFERROR(VLOOKUP($A73,areaCercaDatiPerPosizioneSquadre,10,FALSE),"-")</f>
        <v/>
      </c>
      <c r="J73" s="12">
        <f>IFERROR(VLOOKUP($A73,areaCercaDatiPerPosizioneSquadre,11,FALSE),"-")</f>
        <v/>
      </c>
      <c r="K73" s="12">
        <f>IFERROR(VLOOKUP($A73,areaCercaDatiPerPosizioneSquadre,15,FALSE),"-")</f>
        <v/>
      </c>
      <c r="L73" s="18">
        <f>IFERROR(VLOOKUP($A73,areaCercaDatiPerPosizioneSquadre,16,FALSE),"-")</f>
        <v/>
      </c>
      <c r="M73" s="18">
        <f>IFERROR(VLOOKUP($A73,areaCercaDatiPerPosizioneSquadre,17,FALSE),"-")</f>
        <v/>
      </c>
    </row>
    <row r="74">
      <c r="A74" s="154" t="inlineStr">
        <is>
          <t>C18</t>
        </is>
      </c>
      <c r="B74" s="17">
        <f>IFERROR(VLOOKUP($A74,areaCercaDatiPerPosizioneSquadre,2,FALSE),"("&amp;$A74&amp;")")</f>
        <v/>
      </c>
      <c r="C74" s="145">
        <f>IFERROR(VLOOKUP($A74,areaCercaDatiPerPosizioneSquadre,4,FALSE),"-")</f>
        <v/>
      </c>
      <c r="D74" s="12">
        <f>IFERROR(VLOOKUP($A74,areaCercaDatiPerPosizioneSquadre,5,FALSE),"-")</f>
        <v/>
      </c>
      <c r="E74" s="12">
        <f>IFERROR(VLOOKUP($A74,areaCercaDatiPerPosizioneSquadre,6,FALSE),"-")</f>
        <v/>
      </c>
      <c r="F74" s="12">
        <f>IFERROR(VLOOKUP($A74,areaCercaDatiPerPosizioneSquadre,7,FALSE),"-")</f>
        <v/>
      </c>
      <c r="G74" s="12">
        <f>IFERROR(VLOOKUP($A74,areaCercaDatiPerPosizioneSquadre,8,FALSE),"-")</f>
        <v/>
      </c>
      <c r="H74" s="12">
        <f>IFERROR(VLOOKUP($A74,areaCercaDatiPerPosizioneSquadre,9,FALSE),"-")</f>
        <v/>
      </c>
      <c r="I74" s="12">
        <f>IFERROR(VLOOKUP($A74,areaCercaDatiPerPosizioneSquadre,10,FALSE),"-")</f>
        <v/>
      </c>
      <c r="J74" s="12">
        <f>IFERROR(VLOOKUP($A74,areaCercaDatiPerPosizioneSquadre,11,FALSE),"-")</f>
        <v/>
      </c>
      <c r="K74" s="12">
        <f>IFERROR(VLOOKUP($A74,areaCercaDatiPerPosizioneSquadre,15,FALSE),"-")</f>
        <v/>
      </c>
      <c r="L74" s="18">
        <f>IFERROR(VLOOKUP($A74,areaCercaDatiPerPosizioneSquadre,16,FALSE),"-")</f>
        <v/>
      </c>
      <c r="M74" s="18">
        <f>IFERROR(VLOOKUP($A74,areaCercaDatiPerPosizioneSquadre,17,FALSE),"-")</f>
        <v/>
      </c>
    </row>
    <row r="75">
      <c r="A75" s="154" t="inlineStr">
        <is>
          <t>C19</t>
        </is>
      </c>
      <c r="B75" s="17">
        <f>IFERROR(VLOOKUP($A75,areaCercaDatiPerPosizioneSquadre,2,FALSE),"("&amp;$A75&amp;")")</f>
        <v/>
      </c>
      <c r="C75" s="145">
        <f>IFERROR(VLOOKUP($A75,areaCercaDatiPerPosizioneSquadre,4,FALSE),"-")</f>
        <v/>
      </c>
      <c r="D75" s="12">
        <f>IFERROR(VLOOKUP($A75,areaCercaDatiPerPosizioneSquadre,5,FALSE),"-")</f>
        <v/>
      </c>
      <c r="E75" s="12">
        <f>IFERROR(VLOOKUP($A75,areaCercaDatiPerPosizioneSquadre,6,FALSE),"-")</f>
        <v/>
      </c>
      <c r="F75" s="12">
        <f>IFERROR(VLOOKUP($A75,areaCercaDatiPerPosizioneSquadre,7,FALSE),"-")</f>
        <v/>
      </c>
      <c r="G75" s="12">
        <f>IFERROR(VLOOKUP($A75,areaCercaDatiPerPosizioneSquadre,8,FALSE),"-")</f>
        <v/>
      </c>
      <c r="H75" s="12">
        <f>IFERROR(VLOOKUP($A75,areaCercaDatiPerPosizioneSquadre,9,FALSE),"-")</f>
        <v/>
      </c>
      <c r="I75" s="12">
        <f>IFERROR(VLOOKUP($A75,areaCercaDatiPerPosizioneSquadre,10,FALSE),"-")</f>
        <v/>
      </c>
      <c r="J75" s="12">
        <f>IFERROR(VLOOKUP($A75,areaCercaDatiPerPosizioneSquadre,11,FALSE),"-")</f>
        <v/>
      </c>
      <c r="K75" s="12">
        <f>IFERROR(VLOOKUP($A75,areaCercaDatiPerPosizioneSquadre,15,FALSE),"-")</f>
        <v/>
      </c>
      <c r="L75" s="18">
        <f>IFERROR(VLOOKUP($A75,areaCercaDatiPerPosizioneSquadre,16,FALSE),"-")</f>
        <v/>
      </c>
      <c r="M75" s="18">
        <f>IFERROR(VLOOKUP($A75,areaCercaDatiPerPosizioneSquadre,17,FALSE),"-")</f>
        <v/>
      </c>
    </row>
    <row r="76">
      <c r="A76" s="154" t="inlineStr">
        <is>
          <t>C20</t>
        </is>
      </c>
      <c r="B76" s="17">
        <f>IFERROR(VLOOKUP($A76,areaCercaDatiPerPosizioneSquadre,2,FALSE),"("&amp;$A76&amp;")")</f>
        <v/>
      </c>
      <c r="C76" s="145">
        <f>IFERROR(VLOOKUP($A76,areaCercaDatiPerPosizioneSquadre,4,FALSE),"-")</f>
        <v/>
      </c>
      <c r="D76" s="12">
        <f>IFERROR(VLOOKUP($A76,areaCercaDatiPerPosizioneSquadre,5,FALSE),"-")</f>
        <v/>
      </c>
      <c r="E76" s="12">
        <f>IFERROR(VLOOKUP($A76,areaCercaDatiPerPosizioneSquadre,6,FALSE),"-")</f>
        <v/>
      </c>
      <c r="F76" s="12">
        <f>IFERROR(VLOOKUP($A76,areaCercaDatiPerPosizioneSquadre,7,FALSE),"-")</f>
        <v/>
      </c>
      <c r="G76" s="12">
        <f>IFERROR(VLOOKUP($A76,areaCercaDatiPerPosizioneSquadre,8,FALSE),"-")</f>
        <v/>
      </c>
      <c r="H76" s="12">
        <f>IFERROR(VLOOKUP($A76,areaCercaDatiPerPosizioneSquadre,9,FALSE),"-")</f>
        <v/>
      </c>
      <c r="I76" s="12">
        <f>IFERROR(VLOOKUP($A76,areaCercaDatiPerPosizioneSquadre,10,FALSE),"-")</f>
        <v/>
      </c>
      <c r="J76" s="12">
        <f>IFERROR(VLOOKUP($A76,areaCercaDatiPerPosizioneSquadre,11,FALSE),"-")</f>
        <v/>
      </c>
      <c r="K76" s="12">
        <f>IFERROR(VLOOKUP($A76,areaCercaDatiPerPosizioneSquadre,15,FALSE),"-")</f>
        <v/>
      </c>
      <c r="L76" s="18">
        <f>IFERROR(VLOOKUP($A76,areaCercaDatiPerPosizioneSquadre,16,FALSE),"-")</f>
        <v/>
      </c>
      <c r="M76" s="18">
        <f>IFERROR(VLOOKUP($A76,areaCercaDatiPerPosizioneSquadre,17,FALSE),"-")</f>
        <v/>
      </c>
    </row>
    <row r="78" ht="20" customHeight="1">
      <c r="A78" s="156">
        <f>"CLASSIFICA - GIRONE D"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10" t="n"/>
    </row>
    <row r="79" ht="26" customHeight="1">
      <c r="A79" s="157" t="inlineStr">
        <is>
          <t>P</t>
        </is>
      </c>
      <c r="B79" s="157" t="inlineStr">
        <is>
          <t>Classifica</t>
        </is>
      </c>
      <c r="C79" s="157" t="inlineStr">
        <is>
          <t>Pun</t>
        </is>
      </c>
      <c r="D79" s="157" t="inlineStr">
        <is>
          <t>Partite</t>
        </is>
      </c>
      <c r="E79" s="9" t="n"/>
      <c r="F79" s="9" t="n"/>
      <c r="G79" s="10" t="n"/>
      <c r="H79" s="157" t="inlineStr">
        <is>
          <t>Punti</t>
        </is>
      </c>
      <c r="I79" s="9" t="n"/>
      <c r="J79" s="10" t="n"/>
      <c r="K79" s="157" t="inlineStr">
        <is>
          <t>Record
Sc.Diretti</t>
        </is>
      </c>
      <c r="L79" s="157" t="inlineStr">
        <is>
          <t>Quoziente
Sc.Diretti</t>
        </is>
      </c>
      <c r="M79" s="157" t="inlineStr">
        <is>
          <t>Quoziente
Totale</t>
        </is>
      </c>
    </row>
    <row r="80">
      <c r="A80" s="141" t="n"/>
      <c r="B80" s="141" t="n"/>
      <c r="C80" s="141" t="n"/>
      <c r="D80" s="158" t="inlineStr">
        <is>
          <t>G</t>
        </is>
      </c>
      <c r="E80" s="158" t="inlineStr">
        <is>
          <t>V</t>
        </is>
      </c>
      <c r="F80" s="158" t="inlineStr">
        <is>
          <t>P</t>
        </is>
      </c>
      <c r="G80" s="158" t="inlineStr">
        <is>
          <t>F</t>
        </is>
      </c>
      <c r="H80" s="158" t="inlineStr">
        <is>
          <t>Fat</t>
        </is>
      </c>
      <c r="I80" s="158" t="inlineStr">
        <is>
          <t>Sub</t>
        </is>
      </c>
      <c r="J80" s="158" t="inlineStr">
        <is>
          <t>Dif</t>
        </is>
      </c>
      <c r="K80" s="141" t="n"/>
      <c r="L80" s="141" t="n"/>
      <c r="M80" s="141" t="n"/>
    </row>
    <row r="81">
      <c r="A81" s="159" t="inlineStr">
        <is>
          <t>D1</t>
        </is>
      </c>
      <c r="B81" s="160">
        <f>IFERROR(VLOOKUP($A81,areaCercaDatiPerPosizioneSquadre,2,FALSE),"("&amp;$A81&amp;")")</f>
        <v/>
      </c>
      <c r="C81" s="145">
        <f>IFERROR(VLOOKUP($A81,areaCercaDatiPerPosizioneSquadre,4,FALSE),"-")</f>
        <v/>
      </c>
      <c r="D81" s="12">
        <f>IFERROR(VLOOKUP($A81,areaCercaDatiPerPosizioneSquadre,5,FALSE),"-")</f>
        <v/>
      </c>
      <c r="E81" s="12">
        <f>IFERROR(VLOOKUP($A81,areaCercaDatiPerPosizioneSquadre,6,FALSE),"-")</f>
        <v/>
      </c>
      <c r="F81" s="12">
        <f>IFERROR(VLOOKUP($A81,areaCercaDatiPerPosizioneSquadre,7,FALSE),"-")</f>
        <v/>
      </c>
      <c r="G81" s="12">
        <f>IFERROR(VLOOKUP($A81,areaCercaDatiPerPosizioneSquadre,8,FALSE),"-")</f>
        <v/>
      </c>
      <c r="H81" s="12">
        <f>IFERROR(VLOOKUP($A81,areaCercaDatiPerPosizioneSquadre,9,FALSE),"-")</f>
        <v/>
      </c>
      <c r="I81" s="12">
        <f>IFERROR(VLOOKUP($A81,areaCercaDatiPerPosizioneSquadre,10,FALSE),"-")</f>
        <v/>
      </c>
      <c r="J81" s="12">
        <f>IFERROR(VLOOKUP($A81,areaCercaDatiPerPosizioneSquadre,11,FALSE),"-")</f>
        <v/>
      </c>
      <c r="K81" s="12">
        <f>IFERROR(VLOOKUP($A81,areaCercaDatiPerPosizioneSquadre,15,FALSE),"-")</f>
        <v/>
      </c>
      <c r="L81" s="18">
        <f>IFERROR(VLOOKUP($A81,areaCercaDatiPerPosizioneSquadre,16,FALSE),"-")</f>
        <v/>
      </c>
      <c r="M81" s="18">
        <f>IFERROR(VLOOKUP($A81,areaCercaDatiPerPosizioneSquadre,17,FALSE),"-")</f>
        <v/>
      </c>
    </row>
    <row r="82">
      <c r="A82" s="159" t="inlineStr">
        <is>
          <t>D2</t>
        </is>
      </c>
      <c r="B82" s="160">
        <f>IFERROR(VLOOKUP($A82,areaCercaDatiPerPosizioneSquadre,2,FALSE),"("&amp;$A82&amp;")")</f>
        <v/>
      </c>
      <c r="C82" s="145">
        <f>IFERROR(VLOOKUP($A82,areaCercaDatiPerPosizioneSquadre,4,FALSE),"-")</f>
        <v/>
      </c>
      <c r="D82" s="12">
        <f>IFERROR(VLOOKUP($A82,areaCercaDatiPerPosizioneSquadre,5,FALSE),"-")</f>
        <v/>
      </c>
      <c r="E82" s="12">
        <f>IFERROR(VLOOKUP($A82,areaCercaDatiPerPosizioneSquadre,6,FALSE),"-")</f>
        <v/>
      </c>
      <c r="F82" s="12">
        <f>IFERROR(VLOOKUP($A82,areaCercaDatiPerPosizioneSquadre,7,FALSE),"-")</f>
        <v/>
      </c>
      <c r="G82" s="12">
        <f>IFERROR(VLOOKUP($A82,areaCercaDatiPerPosizioneSquadre,8,FALSE),"-")</f>
        <v/>
      </c>
      <c r="H82" s="12">
        <f>IFERROR(VLOOKUP($A82,areaCercaDatiPerPosizioneSquadre,9,FALSE),"-")</f>
        <v/>
      </c>
      <c r="I82" s="12">
        <f>IFERROR(VLOOKUP($A82,areaCercaDatiPerPosizioneSquadre,10,FALSE),"-")</f>
        <v/>
      </c>
      <c r="J82" s="12">
        <f>IFERROR(VLOOKUP($A82,areaCercaDatiPerPosizioneSquadre,11,FALSE),"-")</f>
        <v/>
      </c>
      <c r="K82" s="12">
        <f>IFERROR(VLOOKUP($A82,areaCercaDatiPerPosizioneSquadre,15,FALSE),"-")</f>
        <v/>
      </c>
      <c r="L82" s="18">
        <f>IFERROR(VLOOKUP($A82,areaCercaDatiPerPosizioneSquadre,16,FALSE),"-")</f>
        <v/>
      </c>
      <c r="M82" s="18">
        <f>IFERROR(VLOOKUP($A82,areaCercaDatiPerPosizioneSquadre,17,FALSE),"-")</f>
        <v/>
      </c>
    </row>
    <row r="83">
      <c r="A83" s="159" t="inlineStr">
        <is>
          <t>D3</t>
        </is>
      </c>
      <c r="B83" s="160">
        <f>IFERROR(VLOOKUP($A83,areaCercaDatiPerPosizioneSquadre,2,FALSE),"("&amp;$A83&amp;")")</f>
        <v/>
      </c>
      <c r="C83" s="145">
        <f>IFERROR(VLOOKUP($A83,areaCercaDatiPerPosizioneSquadre,4,FALSE),"-")</f>
        <v/>
      </c>
      <c r="D83" s="12">
        <f>IFERROR(VLOOKUP($A83,areaCercaDatiPerPosizioneSquadre,5,FALSE),"-")</f>
        <v/>
      </c>
      <c r="E83" s="12">
        <f>IFERROR(VLOOKUP($A83,areaCercaDatiPerPosizioneSquadre,6,FALSE),"-")</f>
        <v/>
      </c>
      <c r="F83" s="12">
        <f>IFERROR(VLOOKUP($A83,areaCercaDatiPerPosizioneSquadre,7,FALSE),"-")</f>
        <v/>
      </c>
      <c r="G83" s="12">
        <f>IFERROR(VLOOKUP($A83,areaCercaDatiPerPosizioneSquadre,8,FALSE),"-")</f>
        <v/>
      </c>
      <c r="H83" s="12">
        <f>IFERROR(VLOOKUP($A83,areaCercaDatiPerPosizioneSquadre,9,FALSE),"-")</f>
        <v/>
      </c>
      <c r="I83" s="12">
        <f>IFERROR(VLOOKUP($A83,areaCercaDatiPerPosizioneSquadre,10,FALSE),"-")</f>
        <v/>
      </c>
      <c r="J83" s="12">
        <f>IFERROR(VLOOKUP($A83,areaCercaDatiPerPosizioneSquadre,11,FALSE),"-")</f>
        <v/>
      </c>
      <c r="K83" s="12">
        <f>IFERROR(VLOOKUP($A83,areaCercaDatiPerPosizioneSquadre,15,FALSE),"-")</f>
        <v/>
      </c>
      <c r="L83" s="18">
        <f>IFERROR(VLOOKUP($A83,areaCercaDatiPerPosizioneSquadre,16,FALSE),"-")</f>
        <v/>
      </c>
      <c r="M83" s="18">
        <f>IFERROR(VLOOKUP($A83,areaCercaDatiPerPosizioneSquadre,17,FALSE),"-")</f>
        <v/>
      </c>
    </row>
    <row r="84">
      <c r="A84" s="159" t="inlineStr">
        <is>
          <t>D4</t>
        </is>
      </c>
      <c r="B84" s="160">
        <f>IFERROR(VLOOKUP($A84,areaCercaDatiPerPosizioneSquadre,2,FALSE),"("&amp;$A84&amp;")")</f>
        <v/>
      </c>
      <c r="C84" s="145">
        <f>IFERROR(VLOOKUP($A84,areaCercaDatiPerPosizioneSquadre,4,FALSE),"-")</f>
        <v/>
      </c>
      <c r="D84" s="12">
        <f>IFERROR(VLOOKUP($A84,areaCercaDatiPerPosizioneSquadre,5,FALSE),"-")</f>
        <v/>
      </c>
      <c r="E84" s="12">
        <f>IFERROR(VLOOKUP($A84,areaCercaDatiPerPosizioneSquadre,6,FALSE),"-")</f>
        <v/>
      </c>
      <c r="F84" s="12">
        <f>IFERROR(VLOOKUP($A84,areaCercaDatiPerPosizioneSquadre,7,FALSE),"-")</f>
        <v/>
      </c>
      <c r="G84" s="12">
        <f>IFERROR(VLOOKUP($A84,areaCercaDatiPerPosizioneSquadre,8,FALSE),"-")</f>
        <v/>
      </c>
      <c r="H84" s="12">
        <f>IFERROR(VLOOKUP($A84,areaCercaDatiPerPosizioneSquadre,9,FALSE),"-")</f>
        <v/>
      </c>
      <c r="I84" s="12">
        <f>IFERROR(VLOOKUP($A84,areaCercaDatiPerPosizioneSquadre,10,FALSE),"-")</f>
        <v/>
      </c>
      <c r="J84" s="12">
        <f>IFERROR(VLOOKUP($A84,areaCercaDatiPerPosizioneSquadre,11,FALSE),"-")</f>
        <v/>
      </c>
      <c r="K84" s="12">
        <f>IFERROR(VLOOKUP($A84,areaCercaDatiPerPosizioneSquadre,15,FALSE),"-")</f>
        <v/>
      </c>
      <c r="L84" s="18">
        <f>IFERROR(VLOOKUP($A84,areaCercaDatiPerPosizioneSquadre,16,FALSE),"-")</f>
        <v/>
      </c>
      <c r="M84" s="18">
        <f>IFERROR(VLOOKUP($A84,areaCercaDatiPerPosizioneSquadre,17,FALSE),"-")</f>
        <v/>
      </c>
    </row>
    <row r="85">
      <c r="A85" s="159" t="inlineStr">
        <is>
          <t>D5</t>
        </is>
      </c>
      <c r="B85" s="17">
        <f>IFERROR(VLOOKUP($A85,areaCercaDatiPerPosizioneSquadre,2,FALSE),"("&amp;$A85&amp;")")</f>
        <v/>
      </c>
      <c r="C85" s="145">
        <f>IFERROR(VLOOKUP($A85,areaCercaDatiPerPosizioneSquadre,4,FALSE),"-")</f>
        <v/>
      </c>
      <c r="D85" s="12">
        <f>IFERROR(VLOOKUP($A85,areaCercaDatiPerPosizioneSquadre,5,FALSE),"-")</f>
        <v/>
      </c>
      <c r="E85" s="12">
        <f>IFERROR(VLOOKUP($A85,areaCercaDatiPerPosizioneSquadre,6,FALSE),"-")</f>
        <v/>
      </c>
      <c r="F85" s="12">
        <f>IFERROR(VLOOKUP($A85,areaCercaDatiPerPosizioneSquadre,7,FALSE),"-")</f>
        <v/>
      </c>
      <c r="G85" s="12">
        <f>IFERROR(VLOOKUP($A85,areaCercaDatiPerPosizioneSquadre,8,FALSE),"-")</f>
        <v/>
      </c>
      <c r="H85" s="12">
        <f>IFERROR(VLOOKUP($A85,areaCercaDatiPerPosizioneSquadre,9,FALSE),"-")</f>
        <v/>
      </c>
      <c r="I85" s="12">
        <f>IFERROR(VLOOKUP($A85,areaCercaDatiPerPosizioneSquadre,10,FALSE),"-")</f>
        <v/>
      </c>
      <c r="J85" s="12">
        <f>IFERROR(VLOOKUP($A85,areaCercaDatiPerPosizioneSquadre,11,FALSE),"-")</f>
        <v/>
      </c>
      <c r="K85" s="12">
        <f>IFERROR(VLOOKUP($A85,areaCercaDatiPerPosizioneSquadre,15,FALSE),"-")</f>
        <v/>
      </c>
      <c r="L85" s="18">
        <f>IFERROR(VLOOKUP($A85,areaCercaDatiPerPosizioneSquadre,16,FALSE),"-")</f>
        <v/>
      </c>
      <c r="M85" s="18">
        <f>IFERROR(VLOOKUP($A85,areaCercaDatiPerPosizioneSquadre,17,FALSE),"-")</f>
        <v/>
      </c>
    </row>
    <row r="86">
      <c r="A86" s="159" t="inlineStr">
        <is>
          <t>D6</t>
        </is>
      </c>
      <c r="B86" s="17">
        <f>IFERROR(VLOOKUP($A86,areaCercaDatiPerPosizioneSquadre,2,FALSE),"("&amp;$A86&amp;")")</f>
        <v/>
      </c>
      <c r="C86" s="145">
        <f>IFERROR(VLOOKUP($A86,areaCercaDatiPerPosizioneSquadre,4,FALSE),"-")</f>
        <v/>
      </c>
      <c r="D86" s="12">
        <f>IFERROR(VLOOKUP($A86,areaCercaDatiPerPosizioneSquadre,5,FALSE),"-")</f>
        <v/>
      </c>
      <c r="E86" s="12">
        <f>IFERROR(VLOOKUP($A86,areaCercaDatiPerPosizioneSquadre,6,FALSE),"-")</f>
        <v/>
      </c>
      <c r="F86" s="12">
        <f>IFERROR(VLOOKUP($A86,areaCercaDatiPerPosizioneSquadre,7,FALSE),"-")</f>
        <v/>
      </c>
      <c r="G86" s="12">
        <f>IFERROR(VLOOKUP($A86,areaCercaDatiPerPosizioneSquadre,8,FALSE),"-")</f>
        <v/>
      </c>
      <c r="H86" s="12">
        <f>IFERROR(VLOOKUP($A86,areaCercaDatiPerPosizioneSquadre,9,FALSE),"-")</f>
        <v/>
      </c>
      <c r="I86" s="12">
        <f>IFERROR(VLOOKUP($A86,areaCercaDatiPerPosizioneSquadre,10,FALSE),"-")</f>
        <v/>
      </c>
      <c r="J86" s="12">
        <f>IFERROR(VLOOKUP($A86,areaCercaDatiPerPosizioneSquadre,11,FALSE),"-")</f>
        <v/>
      </c>
      <c r="K86" s="12">
        <f>IFERROR(VLOOKUP($A86,areaCercaDatiPerPosizioneSquadre,15,FALSE),"-")</f>
        <v/>
      </c>
      <c r="L86" s="18">
        <f>IFERROR(VLOOKUP($A86,areaCercaDatiPerPosizioneSquadre,16,FALSE),"-")</f>
        <v/>
      </c>
      <c r="M86" s="18">
        <f>IFERROR(VLOOKUP($A86,areaCercaDatiPerPosizioneSquadre,17,FALSE),"-")</f>
        <v/>
      </c>
    </row>
    <row r="87">
      <c r="A87" s="159" t="inlineStr">
        <is>
          <t>D7</t>
        </is>
      </c>
      <c r="B87" s="17">
        <f>IFERROR(VLOOKUP($A87,areaCercaDatiPerPosizioneSquadre,2,FALSE),"("&amp;$A87&amp;")")</f>
        <v/>
      </c>
      <c r="C87" s="145">
        <f>IFERROR(VLOOKUP($A87,areaCercaDatiPerPosizioneSquadre,4,FALSE),"-")</f>
        <v/>
      </c>
      <c r="D87" s="12">
        <f>IFERROR(VLOOKUP($A87,areaCercaDatiPerPosizioneSquadre,5,FALSE),"-")</f>
        <v/>
      </c>
      <c r="E87" s="12">
        <f>IFERROR(VLOOKUP($A87,areaCercaDatiPerPosizioneSquadre,6,FALSE),"-")</f>
        <v/>
      </c>
      <c r="F87" s="12">
        <f>IFERROR(VLOOKUP($A87,areaCercaDatiPerPosizioneSquadre,7,FALSE),"-")</f>
        <v/>
      </c>
      <c r="G87" s="12">
        <f>IFERROR(VLOOKUP($A87,areaCercaDatiPerPosizioneSquadre,8,FALSE),"-")</f>
        <v/>
      </c>
      <c r="H87" s="12">
        <f>IFERROR(VLOOKUP($A87,areaCercaDatiPerPosizioneSquadre,9,FALSE),"-")</f>
        <v/>
      </c>
      <c r="I87" s="12">
        <f>IFERROR(VLOOKUP($A87,areaCercaDatiPerPosizioneSquadre,10,FALSE),"-")</f>
        <v/>
      </c>
      <c r="J87" s="12">
        <f>IFERROR(VLOOKUP($A87,areaCercaDatiPerPosizioneSquadre,11,FALSE),"-")</f>
        <v/>
      </c>
      <c r="K87" s="12">
        <f>IFERROR(VLOOKUP($A87,areaCercaDatiPerPosizioneSquadre,15,FALSE),"-")</f>
        <v/>
      </c>
      <c r="L87" s="18">
        <f>IFERROR(VLOOKUP($A87,areaCercaDatiPerPosizioneSquadre,16,FALSE),"-")</f>
        <v/>
      </c>
      <c r="M87" s="18">
        <f>IFERROR(VLOOKUP($A87,areaCercaDatiPerPosizioneSquadre,17,FALSE),"-")</f>
        <v/>
      </c>
    </row>
    <row r="88">
      <c r="A88" s="159" t="inlineStr">
        <is>
          <t>D8</t>
        </is>
      </c>
      <c r="B88" s="17">
        <f>IFERROR(VLOOKUP($A88,areaCercaDatiPerPosizioneSquadre,2,FALSE),"("&amp;$A88&amp;")")</f>
        <v/>
      </c>
      <c r="C88" s="145">
        <f>IFERROR(VLOOKUP($A88,areaCercaDatiPerPosizioneSquadre,4,FALSE),"-")</f>
        <v/>
      </c>
      <c r="D88" s="12">
        <f>IFERROR(VLOOKUP($A88,areaCercaDatiPerPosizioneSquadre,5,FALSE),"-")</f>
        <v/>
      </c>
      <c r="E88" s="12">
        <f>IFERROR(VLOOKUP($A88,areaCercaDatiPerPosizioneSquadre,6,FALSE),"-")</f>
        <v/>
      </c>
      <c r="F88" s="12">
        <f>IFERROR(VLOOKUP($A88,areaCercaDatiPerPosizioneSquadre,7,FALSE),"-")</f>
        <v/>
      </c>
      <c r="G88" s="12">
        <f>IFERROR(VLOOKUP($A88,areaCercaDatiPerPosizioneSquadre,8,FALSE),"-")</f>
        <v/>
      </c>
      <c r="H88" s="12">
        <f>IFERROR(VLOOKUP($A88,areaCercaDatiPerPosizioneSquadre,9,FALSE),"-")</f>
        <v/>
      </c>
      <c r="I88" s="12">
        <f>IFERROR(VLOOKUP($A88,areaCercaDatiPerPosizioneSquadre,10,FALSE),"-")</f>
        <v/>
      </c>
      <c r="J88" s="12">
        <f>IFERROR(VLOOKUP($A88,areaCercaDatiPerPosizioneSquadre,11,FALSE),"-")</f>
        <v/>
      </c>
      <c r="K88" s="12">
        <f>IFERROR(VLOOKUP($A88,areaCercaDatiPerPosizioneSquadre,15,FALSE),"-")</f>
        <v/>
      </c>
      <c r="L88" s="18">
        <f>IFERROR(VLOOKUP($A88,areaCercaDatiPerPosizioneSquadre,16,FALSE),"-")</f>
        <v/>
      </c>
      <c r="M88" s="18">
        <f>IFERROR(VLOOKUP($A88,areaCercaDatiPerPosizioneSquadre,17,FALSE),"-")</f>
        <v/>
      </c>
    </row>
    <row r="89">
      <c r="A89" s="159" t="inlineStr">
        <is>
          <t>D9</t>
        </is>
      </c>
      <c r="B89" s="17">
        <f>IFERROR(VLOOKUP($A89,areaCercaDatiPerPosizioneSquadre,2,FALSE),"("&amp;$A89&amp;")")</f>
        <v/>
      </c>
      <c r="C89" s="145">
        <f>IFERROR(VLOOKUP($A89,areaCercaDatiPerPosizioneSquadre,4,FALSE),"-")</f>
        <v/>
      </c>
      <c r="D89" s="12">
        <f>IFERROR(VLOOKUP($A89,areaCercaDatiPerPosizioneSquadre,5,FALSE),"-")</f>
        <v/>
      </c>
      <c r="E89" s="12">
        <f>IFERROR(VLOOKUP($A89,areaCercaDatiPerPosizioneSquadre,6,FALSE),"-")</f>
        <v/>
      </c>
      <c r="F89" s="12">
        <f>IFERROR(VLOOKUP($A89,areaCercaDatiPerPosizioneSquadre,7,FALSE),"-")</f>
        <v/>
      </c>
      <c r="G89" s="12">
        <f>IFERROR(VLOOKUP($A89,areaCercaDatiPerPosizioneSquadre,8,FALSE),"-")</f>
        <v/>
      </c>
      <c r="H89" s="12">
        <f>IFERROR(VLOOKUP($A89,areaCercaDatiPerPosizioneSquadre,9,FALSE),"-")</f>
        <v/>
      </c>
      <c r="I89" s="12">
        <f>IFERROR(VLOOKUP($A89,areaCercaDatiPerPosizioneSquadre,10,FALSE),"-")</f>
        <v/>
      </c>
      <c r="J89" s="12">
        <f>IFERROR(VLOOKUP($A89,areaCercaDatiPerPosizioneSquadre,11,FALSE),"-")</f>
        <v/>
      </c>
      <c r="K89" s="12">
        <f>IFERROR(VLOOKUP($A89,areaCercaDatiPerPosizioneSquadre,15,FALSE),"-")</f>
        <v/>
      </c>
      <c r="L89" s="18">
        <f>IFERROR(VLOOKUP($A89,areaCercaDatiPerPosizioneSquadre,16,FALSE),"-")</f>
        <v/>
      </c>
      <c r="M89" s="18">
        <f>IFERROR(VLOOKUP($A89,areaCercaDatiPerPosizioneSquadre,17,FALSE),"-")</f>
        <v/>
      </c>
    </row>
    <row r="90">
      <c r="A90" s="159" t="inlineStr">
        <is>
          <t>D10</t>
        </is>
      </c>
      <c r="B90" s="17">
        <f>IFERROR(VLOOKUP($A90,areaCercaDatiPerPosizioneSquadre,2,FALSE),"("&amp;$A90&amp;")")</f>
        <v/>
      </c>
      <c r="C90" s="145">
        <f>IFERROR(VLOOKUP($A90,areaCercaDatiPerPosizioneSquadre,4,FALSE),"-")</f>
        <v/>
      </c>
      <c r="D90" s="12">
        <f>IFERROR(VLOOKUP($A90,areaCercaDatiPerPosizioneSquadre,5,FALSE),"-")</f>
        <v/>
      </c>
      <c r="E90" s="12">
        <f>IFERROR(VLOOKUP($A90,areaCercaDatiPerPosizioneSquadre,6,FALSE),"-")</f>
        <v/>
      </c>
      <c r="F90" s="12">
        <f>IFERROR(VLOOKUP($A90,areaCercaDatiPerPosizioneSquadre,7,FALSE),"-")</f>
        <v/>
      </c>
      <c r="G90" s="12">
        <f>IFERROR(VLOOKUP($A90,areaCercaDatiPerPosizioneSquadre,8,FALSE),"-")</f>
        <v/>
      </c>
      <c r="H90" s="12">
        <f>IFERROR(VLOOKUP($A90,areaCercaDatiPerPosizioneSquadre,9,FALSE),"-")</f>
        <v/>
      </c>
      <c r="I90" s="12">
        <f>IFERROR(VLOOKUP($A90,areaCercaDatiPerPosizioneSquadre,10,FALSE),"-")</f>
        <v/>
      </c>
      <c r="J90" s="12">
        <f>IFERROR(VLOOKUP($A90,areaCercaDatiPerPosizioneSquadre,11,FALSE),"-")</f>
        <v/>
      </c>
      <c r="K90" s="12">
        <f>IFERROR(VLOOKUP($A90,areaCercaDatiPerPosizioneSquadre,15,FALSE),"-")</f>
        <v/>
      </c>
      <c r="L90" s="18">
        <f>IFERROR(VLOOKUP($A90,areaCercaDatiPerPosizioneSquadre,16,FALSE),"-")</f>
        <v/>
      </c>
      <c r="M90" s="18">
        <f>IFERROR(VLOOKUP($A90,areaCercaDatiPerPosizioneSquadre,17,FALSE),"-")</f>
        <v/>
      </c>
    </row>
    <row r="91">
      <c r="A91" s="159" t="inlineStr">
        <is>
          <t>D11</t>
        </is>
      </c>
      <c r="B91" s="17">
        <f>IFERROR(VLOOKUP($A91,areaCercaDatiPerPosizioneSquadre,2,FALSE),"("&amp;$A91&amp;")")</f>
        <v/>
      </c>
      <c r="C91" s="145">
        <f>IFERROR(VLOOKUP($A91,areaCercaDatiPerPosizioneSquadre,4,FALSE),"-")</f>
        <v/>
      </c>
      <c r="D91" s="12">
        <f>IFERROR(VLOOKUP($A91,areaCercaDatiPerPosizioneSquadre,5,FALSE),"-")</f>
        <v/>
      </c>
      <c r="E91" s="12">
        <f>IFERROR(VLOOKUP($A91,areaCercaDatiPerPosizioneSquadre,6,FALSE),"-")</f>
        <v/>
      </c>
      <c r="F91" s="12">
        <f>IFERROR(VLOOKUP($A91,areaCercaDatiPerPosizioneSquadre,7,FALSE),"-")</f>
        <v/>
      </c>
      <c r="G91" s="12">
        <f>IFERROR(VLOOKUP($A91,areaCercaDatiPerPosizioneSquadre,8,FALSE),"-")</f>
        <v/>
      </c>
      <c r="H91" s="12">
        <f>IFERROR(VLOOKUP($A91,areaCercaDatiPerPosizioneSquadre,9,FALSE),"-")</f>
        <v/>
      </c>
      <c r="I91" s="12">
        <f>IFERROR(VLOOKUP($A91,areaCercaDatiPerPosizioneSquadre,10,FALSE),"-")</f>
        <v/>
      </c>
      <c r="J91" s="12">
        <f>IFERROR(VLOOKUP($A91,areaCercaDatiPerPosizioneSquadre,11,FALSE),"-")</f>
        <v/>
      </c>
      <c r="K91" s="12">
        <f>IFERROR(VLOOKUP($A91,areaCercaDatiPerPosizioneSquadre,15,FALSE),"-")</f>
        <v/>
      </c>
      <c r="L91" s="18">
        <f>IFERROR(VLOOKUP($A91,areaCercaDatiPerPosizioneSquadre,16,FALSE),"-")</f>
        <v/>
      </c>
      <c r="M91" s="18">
        <f>IFERROR(VLOOKUP($A91,areaCercaDatiPerPosizioneSquadre,17,FALSE),"-")</f>
        <v/>
      </c>
    </row>
    <row r="92">
      <c r="A92" s="159" t="inlineStr">
        <is>
          <t>D12</t>
        </is>
      </c>
      <c r="B92" s="17">
        <f>IFERROR(VLOOKUP($A92,areaCercaDatiPerPosizioneSquadre,2,FALSE),"("&amp;$A92&amp;")")</f>
        <v/>
      </c>
      <c r="C92" s="145">
        <f>IFERROR(VLOOKUP($A92,areaCercaDatiPerPosizioneSquadre,4,FALSE),"-")</f>
        <v/>
      </c>
      <c r="D92" s="12">
        <f>IFERROR(VLOOKUP($A92,areaCercaDatiPerPosizioneSquadre,5,FALSE),"-")</f>
        <v/>
      </c>
      <c r="E92" s="12">
        <f>IFERROR(VLOOKUP($A92,areaCercaDatiPerPosizioneSquadre,6,FALSE),"-")</f>
        <v/>
      </c>
      <c r="F92" s="12">
        <f>IFERROR(VLOOKUP($A92,areaCercaDatiPerPosizioneSquadre,7,FALSE),"-")</f>
        <v/>
      </c>
      <c r="G92" s="12">
        <f>IFERROR(VLOOKUP($A92,areaCercaDatiPerPosizioneSquadre,8,FALSE),"-")</f>
        <v/>
      </c>
      <c r="H92" s="12">
        <f>IFERROR(VLOOKUP($A92,areaCercaDatiPerPosizioneSquadre,9,FALSE),"-")</f>
        <v/>
      </c>
      <c r="I92" s="12">
        <f>IFERROR(VLOOKUP($A92,areaCercaDatiPerPosizioneSquadre,10,FALSE),"-")</f>
        <v/>
      </c>
      <c r="J92" s="12">
        <f>IFERROR(VLOOKUP($A92,areaCercaDatiPerPosizioneSquadre,11,FALSE),"-")</f>
        <v/>
      </c>
      <c r="K92" s="12">
        <f>IFERROR(VLOOKUP($A92,areaCercaDatiPerPosizioneSquadre,15,FALSE),"-")</f>
        <v/>
      </c>
      <c r="L92" s="18">
        <f>IFERROR(VLOOKUP($A92,areaCercaDatiPerPosizioneSquadre,16,FALSE),"-")</f>
        <v/>
      </c>
      <c r="M92" s="18">
        <f>IFERROR(VLOOKUP($A92,areaCercaDatiPerPosizioneSquadre,17,FALSE),"-")</f>
        <v/>
      </c>
    </row>
    <row r="93">
      <c r="A93" s="159" t="inlineStr">
        <is>
          <t>D13</t>
        </is>
      </c>
      <c r="B93" s="17">
        <f>IFERROR(VLOOKUP($A93,areaCercaDatiPerPosizioneSquadre,2,FALSE),"("&amp;$A93&amp;")")</f>
        <v/>
      </c>
      <c r="C93" s="145">
        <f>IFERROR(VLOOKUP($A93,areaCercaDatiPerPosizioneSquadre,4,FALSE),"-")</f>
        <v/>
      </c>
      <c r="D93" s="12">
        <f>IFERROR(VLOOKUP($A93,areaCercaDatiPerPosizioneSquadre,5,FALSE),"-")</f>
        <v/>
      </c>
      <c r="E93" s="12">
        <f>IFERROR(VLOOKUP($A93,areaCercaDatiPerPosizioneSquadre,6,FALSE),"-")</f>
        <v/>
      </c>
      <c r="F93" s="12">
        <f>IFERROR(VLOOKUP($A93,areaCercaDatiPerPosizioneSquadre,7,FALSE),"-")</f>
        <v/>
      </c>
      <c r="G93" s="12">
        <f>IFERROR(VLOOKUP($A93,areaCercaDatiPerPosizioneSquadre,8,FALSE),"-")</f>
        <v/>
      </c>
      <c r="H93" s="12">
        <f>IFERROR(VLOOKUP($A93,areaCercaDatiPerPosizioneSquadre,9,FALSE),"-")</f>
        <v/>
      </c>
      <c r="I93" s="12">
        <f>IFERROR(VLOOKUP($A93,areaCercaDatiPerPosizioneSquadre,10,FALSE),"-")</f>
        <v/>
      </c>
      <c r="J93" s="12">
        <f>IFERROR(VLOOKUP($A93,areaCercaDatiPerPosizioneSquadre,11,FALSE),"-")</f>
        <v/>
      </c>
      <c r="K93" s="12">
        <f>IFERROR(VLOOKUP($A93,areaCercaDatiPerPosizioneSquadre,15,FALSE),"-")</f>
        <v/>
      </c>
      <c r="L93" s="18">
        <f>IFERROR(VLOOKUP($A93,areaCercaDatiPerPosizioneSquadre,16,FALSE),"-")</f>
        <v/>
      </c>
      <c r="M93" s="18">
        <f>IFERROR(VLOOKUP($A93,areaCercaDatiPerPosizioneSquadre,17,FALSE),"-")</f>
        <v/>
      </c>
    </row>
    <row r="94">
      <c r="A94" s="159" t="inlineStr">
        <is>
          <t>D14</t>
        </is>
      </c>
      <c r="B94" s="17">
        <f>IFERROR(VLOOKUP($A94,areaCercaDatiPerPosizioneSquadre,2,FALSE),"("&amp;$A94&amp;")")</f>
        <v/>
      </c>
      <c r="C94" s="145">
        <f>IFERROR(VLOOKUP($A94,areaCercaDatiPerPosizioneSquadre,4,FALSE),"-")</f>
        <v/>
      </c>
      <c r="D94" s="12">
        <f>IFERROR(VLOOKUP($A94,areaCercaDatiPerPosizioneSquadre,5,FALSE),"-")</f>
        <v/>
      </c>
      <c r="E94" s="12">
        <f>IFERROR(VLOOKUP($A94,areaCercaDatiPerPosizioneSquadre,6,FALSE),"-")</f>
        <v/>
      </c>
      <c r="F94" s="12">
        <f>IFERROR(VLOOKUP($A94,areaCercaDatiPerPosizioneSquadre,7,FALSE),"-")</f>
        <v/>
      </c>
      <c r="G94" s="12">
        <f>IFERROR(VLOOKUP($A94,areaCercaDatiPerPosizioneSquadre,8,FALSE),"-")</f>
        <v/>
      </c>
      <c r="H94" s="12">
        <f>IFERROR(VLOOKUP($A94,areaCercaDatiPerPosizioneSquadre,9,FALSE),"-")</f>
        <v/>
      </c>
      <c r="I94" s="12">
        <f>IFERROR(VLOOKUP($A94,areaCercaDatiPerPosizioneSquadre,10,FALSE),"-")</f>
        <v/>
      </c>
      <c r="J94" s="12">
        <f>IFERROR(VLOOKUP($A94,areaCercaDatiPerPosizioneSquadre,11,FALSE),"-")</f>
        <v/>
      </c>
      <c r="K94" s="12">
        <f>IFERROR(VLOOKUP($A94,areaCercaDatiPerPosizioneSquadre,15,FALSE),"-")</f>
        <v/>
      </c>
      <c r="L94" s="18">
        <f>IFERROR(VLOOKUP($A94,areaCercaDatiPerPosizioneSquadre,16,FALSE),"-")</f>
        <v/>
      </c>
      <c r="M94" s="18">
        <f>IFERROR(VLOOKUP($A94,areaCercaDatiPerPosizioneSquadre,17,FALSE),"-")</f>
        <v/>
      </c>
    </row>
    <row r="95">
      <c r="A95" s="159" t="inlineStr">
        <is>
          <t>D15</t>
        </is>
      </c>
      <c r="B95" s="17">
        <f>IFERROR(VLOOKUP($A95,areaCercaDatiPerPosizioneSquadre,2,FALSE),"("&amp;$A95&amp;")")</f>
        <v/>
      </c>
      <c r="C95" s="145">
        <f>IFERROR(VLOOKUP($A95,areaCercaDatiPerPosizioneSquadre,4,FALSE),"-")</f>
        <v/>
      </c>
      <c r="D95" s="12">
        <f>IFERROR(VLOOKUP($A95,areaCercaDatiPerPosizioneSquadre,5,FALSE),"-")</f>
        <v/>
      </c>
      <c r="E95" s="12">
        <f>IFERROR(VLOOKUP($A95,areaCercaDatiPerPosizioneSquadre,6,FALSE),"-")</f>
        <v/>
      </c>
      <c r="F95" s="12">
        <f>IFERROR(VLOOKUP($A95,areaCercaDatiPerPosizioneSquadre,7,FALSE),"-")</f>
        <v/>
      </c>
      <c r="G95" s="12">
        <f>IFERROR(VLOOKUP($A95,areaCercaDatiPerPosizioneSquadre,8,FALSE),"-")</f>
        <v/>
      </c>
      <c r="H95" s="12">
        <f>IFERROR(VLOOKUP($A95,areaCercaDatiPerPosizioneSquadre,9,FALSE),"-")</f>
        <v/>
      </c>
      <c r="I95" s="12">
        <f>IFERROR(VLOOKUP($A95,areaCercaDatiPerPosizioneSquadre,10,FALSE),"-")</f>
        <v/>
      </c>
      <c r="J95" s="12">
        <f>IFERROR(VLOOKUP($A95,areaCercaDatiPerPosizioneSquadre,11,FALSE),"-")</f>
        <v/>
      </c>
      <c r="K95" s="12">
        <f>IFERROR(VLOOKUP($A95,areaCercaDatiPerPosizioneSquadre,15,FALSE),"-")</f>
        <v/>
      </c>
      <c r="L95" s="18">
        <f>IFERROR(VLOOKUP($A95,areaCercaDatiPerPosizioneSquadre,16,FALSE),"-")</f>
        <v/>
      </c>
      <c r="M95" s="18">
        <f>IFERROR(VLOOKUP($A95,areaCercaDatiPerPosizioneSquadre,17,FALSE),"-")</f>
        <v/>
      </c>
    </row>
    <row r="96">
      <c r="A96" s="159" t="inlineStr">
        <is>
          <t>D16</t>
        </is>
      </c>
      <c r="B96" s="17">
        <f>IFERROR(VLOOKUP($A96,areaCercaDatiPerPosizioneSquadre,2,FALSE),"("&amp;$A96&amp;")")</f>
        <v/>
      </c>
      <c r="C96" s="145">
        <f>IFERROR(VLOOKUP($A96,areaCercaDatiPerPosizioneSquadre,4,FALSE),"-")</f>
        <v/>
      </c>
      <c r="D96" s="12">
        <f>IFERROR(VLOOKUP($A96,areaCercaDatiPerPosizioneSquadre,5,FALSE),"-")</f>
        <v/>
      </c>
      <c r="E96" s="12">
        <f>IFERROR(VLOOKUP($A96,areaCercaDatiPerPosizioneSquadre,6,FALSE),"-")</f>
        <v/>
      </c>
      <c r="F96" s="12">
        <f>IFERROR(VLOOKUP($A96,areaCercaDatiPerPosizioneSquadre,7,FALSE),"-")</f>
        <v/>
      </c>
      <c r="G96" s="12">
        <f>IFERROR(VLOOKUP($A96,areaCercaDatiPerPosizioneSquadre,8,FALSE),"-")</f>
        <v/>
      </c>
      <c r="H96" s="12">
        <f>IFERROR(VLOOKUP($A96,areaCercaDatiPerPosizioneSquadre,9,FALSE),"-")</f>
        <v/>
      </c>
      <c r="I96" s="12">
        <f>IFERROR(VLOOKUP($A96,areaCercaDatiPerPosizioneSquadre,10,FALSE),"-")</f>
        <v/>
      </c>
      <c r="J96" s="12">
        <f>IFERROR(VLOOKUP($A96,areaCercaDatiPerPosizioneSquadre,11,FALSE),"-")</f>
        <v/>
      </c>
      <c r="K96" s="12">
        <f>IFERROR(VLOOKUP($A96,areaCercaDatiPerPosizioneSquadre,15,FALSE),"-")</f>
        <v/>
      </c>
      <c r="L96" s="18">
        <f>IFERROR(VLOOKUP($A96,areaCercaDatiPerPosizioneSquadre,16,FALSE),"-")</f>
        <v/>
      </c>
      <c r="M96" s="18">
        <f>IFERROR(VLOOKUP($A96,areaCercaDatiPerPosizioneSquadre,17,FALSE),"-")</f>
        <v/>
      </c>
    </row>
    <row r="97">
      <c r="A97" s="159" t="inlineStr">
        <is>
          <t>D17</t>
        </is>
      </c>
      <c r="B97" s="17">
        <f>IFERROR(VLOOKUP($A97,areaCercaDatiPerPosizioneSquadre,2,FALSE),"("&amp;$A97&amp;")")</f>
        <v/>
      </c>
      <c r="C97" s="145">
        <f>IFERROR(VLOOKUP($A97,areaCercaDatiPerPosizioneSquadre,4,FALSE),"-")</f>
        <v/>
      </c>
      <c r="D97" s="12">
        <f>IFERROR(VLOOKUP($A97,areaCercaDatiPerPosizioneSquadre,5,FALSE),"-")</f>
        <v/>
      </c>
      <c r="E97" s="12">
        <f>IFERROR(VLOOKUP($A97,areaCercaDatiPerPosizioneSquadre,6,FALSE),"-")</f>
        <v/>
      </c>
      <c r="F97" s="12">
        <f>IFERROR(VLOOKUP($A97,areaCercaDatiPerPosizioneSquadre,7,FALSE),"-")</f>
        <v/>
      </c>
      <c r="G97" s="12">
        <f>IFERROR(VLOOKUP($A97,areaCercaDatiPerPosizioneSquadre,8,FALSE),"-")</f>
        <v/>
      </c>
      <c r="H97" s="12">
        <f>IFERROR(VLOOKUP($A97,areaCercaDatiPerPosizioneSquadre,9,FALSE),"-")</f>
        <v/>
      </c>
      <c r="I97" s="12">
        <f>IFERROR(VLOOKUP($A97,areaCercaDatiPerPosizioneSquadre,10,FALSE),"-")</f>
        <v/>
      </c>
      <c r="J97" s="12">
        <f>IFERROR(VLOOKUP($A97,areaCercaDatiPerPosizioneSquadre,11,FALSE),"-")</f>
        <v/>
      </c>
      <c r="K97" s="12">
        <f>IFERROR(VLOOKUP($A97,areaCercaDatiPerPosizioneSquadre,15,FALSE),"-")</f>
        <v/>
      </c>
      <c r="L97" s="18">
        <f>IFERROR(VLOOKUP($A97,areaCercaDatiPerPosizioneSquadre,16,FALSE),"-")</f>
        <v/>
      </c>
      <c r="M97" s="18">
        <f>IFERROR(VLOOKUP($A97,areaCercaDatiPerPosizioneSquadre,17,FALSE),"-")</f>
        <v/>
      </c>
    </row>
    <row r="98">
      <c r="A98" s="159" t="inlineStr">
        <is>
          <t>D18</t>
        </is>
      </c>
      <c r="B98" s="17">
        <f>IFERROR(VLOOKUP($A98,areaCercaDatiPerPosizioneSquadre,2,FALSE),"("&amp;$A98&amp;")")</f>
        <v/>
      </c>
      <c r="C98" s="145">
        <f>IFERROR(VLOOKUP($A98,areaCercaDatiPerPosizioneSquadre,4,FALSE),"-")</f>
        <v/>
      </c>
      <c r="D98" s="12">
        <f>IFERROR(VLOOKUP($A98,areaCercaDatiPerPosizioneSquadre,5,FALSE),"-")</f>
        <v/>
      </c>
      <c r="E98" s="12">
        <f>IFERROR(VLOOKUP($A98,areaCercaDatiPerPosizioneSquadre,6,FALSE),"-")</f>
        <v/>
      </c>
      <c r="F98" s="12">
        <f>IFERROR(VLOOKUP($A98,areaCercaDatiPerPosizioneSquadre,7,FALSE),"-")</f>
        <v/>
      </c>
      <c r="G98" s="12">
        <f>IFERROR(VLOOKUP($A98,areaCercaDatiPerPosizioneSquadre,8,FALSE),"-")</f>
        <v/>
      </c>
      <c r="H98" s="12">
        <f>IFERROR(VLOOKUP($A98,areaCercaDatiPerPosizioneSquadre,9,FALSE),"-")</f>
        <v/>
      </c>
      <c r="I98" s="12">
        <f>IFERROR(VLOOKUP($A98,areaCercaDatiPerPosizioneSquadre,10,FALSE),"-")</f>
        <v/>
      </c>
      <c r="J98" s="12">
        <f>IFERROR(VLOOKUP($A98,areaCercaDatiPerPosizioneSquadre,11,FALSE),"-")</f>
        <v/>
      </c>
      <c r="K98" s="12">
        <f>IFERROR(VLOOKUP($A98,areaCercaDatiPerPosizioneSquadre,15,FALSE),"-")</f>
        <v/>
      </c>
      <c r="L98" s="18">
        <f>IFERROR(VLOOKUP($A98,areaCercaDatiPerPosizioneSquadre,16,FALSE),"-")</f>
        <v/>
      </c>
      <c r="M98" s="18">
        <f>IFERROR(VLOOKUP($A98,areaCercaDatiPerPosizioneSquadre,17,FALSE),"-")</f>
        <v/>
      </c>
    </row>
    <row r="99">
      <c r="A99" s="159" t="inlineStr">
        <is>
          <t>D19</t>
        </is>
      </c>
      <c r="B99" s="17">
        <f>IFERROR(VLOOKUP($A99,areaCercaDatiPerPosizioneSquadre,2,FALSE),"("&amp;$A99&amp;")")</f>
        <v/>
      </c>
      <c r="C99" s="145">
        <f>IFERROR(VLOOKUP($A99,areaCercaDatiPerPosizioneSquadre,4,FALSE),"-")</f>
        <v/>
      </c>
      <c r="D99" s="12">
        <f>IFERROR(VLOOKUP($A99,areaCercaDatiPerPosizioneSquadre,5,FALSE),"-")</f>
        <v/>
      </c>
      <c r="E99" s="12">
        <f>IFERROR(VLOOKUP($A99,areaCercaDatiPerPosizioneSquadre,6,FALSE),"-")</f>
        <v/>
      </c>
      <c r="F99" s="12">
        <f>IFERROR(VLOOKUP($A99,areaCercaDatiPerPosizioneSquadre,7,FALSE),"-")</f>
        <v/>
      </c>
      <c r="G99" s="12">
        <f>IFERROR(VLOOKUP($A99,areaCercaDatiPerPosizioneSquadre,8,FALSE),"-")</f>
        <v/>
      </c>
      <c r="H99" s="12">
        <f>IFERROR(VLOOKUP($A99,areaCercaDatiPerPosizioneSquadre,9,FALSE),"-")</f>
        <v/>
      </c>
      <c r="I99" s="12">
        <f>IFERROR(VLOOKUP($A99,areaCercaDatiPerPosizioneSquadre,10,FALSE),"-")</f>
        <v/>
      </c>
      <c r="J99" s="12">
        <f>IFERROR(VLOOKUP($A99,areaCercaDatiPerPosizioneSquadre,11,FALSE),"-")</f>
        <v/>
      </c>
      <c r="K99" s="12">
        <f>IFERROR(VLOOKUP($A99,areaCercaDatiPerPosizioneSquadre,15,FALSE),"-")</f>
        <v/>
      </c>
      <c r="L99" s="18">
        <f>IFERROR(VLOOKUP($A99,areaCercaDatiPerPosizioneSquadre,16,FALSE),"-")</f>
        <v/>
      </c>
      <c r="M99" s="18">
        <f>IFERROR(VLOOKUP($A99,areaCercaDatiPerPosizioneSquadre,17,FALSE),"-")</f>
        <v/>
      </c>
    </row>
    <row r="100">
      <c r="A100" s="159" t="inlineStr">
        <is>
          <t>D20</t>
        </is>
      </c>
      <c r="B100" s="17">
        <f>IFERROR(VLOOKUP($A100,areaCercaDatiPerPosizioneSquadre,2,FALSE),"("&amp;$A100&amp;")")</f>
        <v/>
      </c>
      <c r="C100" s="145">
        <f>IFERROR(VLOOKUP($A100,areaCercaDatiPerPosizioneSquadre,4,FALSE),"-")</f>
        <v/>
      </c>
      <c r="D100" s="12">
        <f>IFERROR(VLOOKUP($A100,areaCercaDatiPerPosizioneSquadre,5,FALSE),"-")</f>
        <v/>
      </c>
      <c r="E100" s="12">
        <f>IFERROR(VLOOKUP($A100,areaCercaDatiPerPosizioneSquadre,6,FALSE),"-")</f>
        <v/>
      </c>
      <c r="F100" s="12">
        <f>IFERROR(VLOOKUP($A100,areaCercaDatiPerPosizioneSquadre,7,FALSE),"-")</f>
        <v/>
      </c>
      <c r="G100" s="12">
        <f>IFERROR(VLOOKUP($A100,areaCercaDatiPerPosizioneSquadre,8,FALSE),"-")</f>
        <v/>
      </c>
      <c r="H100" s="12">
        <f>IFERROR(VLOOKUP($A100,areaCercaDatiPerPosizioneSquadre,9,FALSE),"-")</f>
        <v/>
      </c>
      <c r="I100" s="12">
        <f>IFERROR(VLOOKUP($A100,areaCercaDatiPerPosizioneSquadre,10,FALSE),"-")</f>
        <v/>
      </c>
      <c r="J100" s="12">
        <f>IFERROR(VLOOKUP($A100,areaCercaDatiPerPosizioneSquadre,11,FALSE),"-")</f>
        <v/>
      </c>
      <c r="K100" s="12">
        <f>IFERROR(VLOOKUP($A100,areaCercaDatiPerPosizioneSquadre,15,FALSE),"-")</f>
        <v/>
      </c>
      <c r="L100" s="18">
        <f>IFERROR(VLOOKUP($A100,areaCercaDatiPerPosizioneSquadre,16,FALSE),"-")</f>
        <v/>
      </c>
      <c r="M100" s="18">
        <f>IFERROR(VLOOKUP($A100,areaCercaDatiPerPosizioneSquadre,17,FALSE),"-")</f>
        <v/>
      </c>
    </row>
    <row r="103">
      <c r="A103" s="51" t="inlineStr">
        <is>
          <t>Legenda: sfondo colorato = prime quattro classificate di ogni girone, qualificate al playoff a 16.</t>
        </is>
      </c>
    </row>
  </sheetData>
  <mergeCells count="40">
    <mergeCell ref="A79:A80"/>
    <mergeCell ref="C79:C80"/>
    <mergeCell ref="K79:K80"/>
    <mergeCell ref="M79:M80"/>
    <mergeCell ref="M55:M56"/>
    <mergeCell ref="H79:J79"/>
    <mergeCell ref="A7:A8"/>
    <mergeCell ref="J1:K3"/>
    <mergeCell ref="D55:G55"/>
    <mergeCell ref="M7:M8"/>
    <mergeCell ref="H7:J7"/>
    <mergeCell ref="D79:G79"/>
    <mergeCell ref="M31:M32"/>
    <mergeCell ref="L79:L80"/>
    <mergeCell ref="L55:L56"/>
    <mergeCell ref="A55:A56"/>
    <mergeCell ref="C55:C56"/>
    <mergeCell ref="A30:M30"/>
    <mergeCell ref="C31:C32"/>
    <mergeCell ref="K31:K32"/>
    <mergeCell ref="A3:H3"/>
    <mergeCell ref="D31:G31"/>
    <mergeCell ref="A6:M6"/>
    <mergeCell ref="C7:C8"/>
    <mergeCell ref="B55:B56"/>
    <mergeCell ref="A78:M78"/>
    <mergeCell ref="K7:K8"/>
    <mergeCell ref="L1:M3"/>
    <mergeCell ref="A1:H2"/>
    <mergeCell ref="L31:L32"/>
    <mergeCell ref="A54:M54"/>
    <mergeCell ref="B79:B80"/>
    <mergeCell ref="H55:J55"/>
    <mergeCell ref="H31:J31"/>
    <mergeCell ref="D7:G7"/>
    <mergeCell ref="B7:B8"/>
    <mergeCell ref="A31:A32"/>
    <mergeCell ref="L7:L8"/>
    <mergeCell ref="K55:K56"/>
    <mergeCell ref="B31:B32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8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"PLAYOFF A 16 SQUADRE - Stagione "&amp;constStagionaCampionato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16 -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761</v>
      </c>
      <c r="B10" s="61">
        <f>IFERROR(VLOOKUP(C10,Campionato!$G$14:$H$93,2,FALSE),"("&amp;C10&amp;")")</f>
        <v/>
      </c>
      <c r="C10" s="62" t="inlineStr">
        <is>
          <t>A1</t>
        </is>
      </c>
      <c r="D10" s="61">
        <f>IFERROR(VLOOKUP(E10,Campionato!$G$14:$H$93,2,FALSE),"("&amp;E10&amp;")")</f>
        <v/>
      </c>
      <c r="E10" s="62" t="inlineStr">
        <is>
          <t>B4</t>
        </is>
      </c>
      <c r="F10" s="63" t="n">
        <v>46495.39583333334</v>
      </c>
      <c r="G10" s="9" t="n"/>
      <c r="H10" s="9" t="n"/>
      <c r="I10" s="10" t="n"/>
      <c r="J10" s="65" t="n">
        <v>42</v>
      </c>
      <c r="K10" s="66" t="inlineStr">
        <is>
          <t>-</t>
        </is>
      </c>
      <c r="L10" s="65" t="n">
        <v>32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16 - Ottavi]")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PO1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IFERROR(VLOOKUP(C13,Campionato!$G$14:$H$93,2,FALSE),"("&amp;C13&amp;")")</f>
        <v/>
      </c>
      <c r="C13" s="62" t="inlineStr">
        <is>
          <t>C2</t>
        </is>
      </c>
      <c r="D13" s="61">
        <f>IFERROR(VLOOKUP(E13,Campionato!$G$14:$H$93,2,FALSE),"("&amp;E13&amp;")")</f>
        <v/>
      </c>
      <c r="E13" s="62" t="inlineStr">
        <is>
          <t>D3</t>
        </is>
      </c>
      <c r="F13" s="63" t="n">
        <v>46495.39583333334</v>
      </c>
      <c r="G13" s="9" t="n"/>
      <c r="H13" s="9" t="n"/>
      <c r="I13" s="10" t="n"/>
      <c r="J13" s="65" t="n">
        <v>24</v>
      </c>
      <c r="K13" s="66" t="inlineStr">
        <is>
          <t>-</t>
        </is>
      </c>
      <c r="L13" s="65" t="n">
        <v>46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16 - Ottavi]")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PO2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IFERROR(VLOOKUP(C16,Campionato!$G$14:$H$93,2,FALSE),"("&amp;C16&amp;")")</f>
        <v/>
      </c>
      <c r="C16" s="62" t="inlineStr">
        <is>
          <t>C1</t>
        </is>
      </c>
      <c r="D16" s="61">
        <f>IFERROR(VLOOKUP(E16,Campionato!$G$14:$H$93,2,FALSE),"("&amp;E16&amp;")")</f>
        <v/>
      </c>
      <c r="E16" s="62" t="inlineStr">
        <is>
          <t>D4</t>
        </is>
      </c>
      <c r="F16" s="63" t="n">
        <v>46495.39583333334</v>
      </c>
      <c r="G16" s="9" t="n"/>
      <c r="H16" s="9" t="n"/>
      <c r="I16" s="10" t="n"/>
      <c r="J16" s="65" t="n">
        <v>46</v>
      </c>
      <c r="K16" s="66" t="inlineStr">
        <is>
          <t>-</t>
        </is>
      </c>
      <c r="L16" s="65" t="n">
        <v>25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16 - Ottavi]")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PO3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IFERROR(VLOOKUP(C19,Campionato!$G$14:$H$93,2,FALSE),"("&amp;C19&amp;")")</f>
        <v/>
      </c>
      <c r="C19" s="62" t="inlineStr">
        <is>
          <t>A2</t>
        </is>
      </c>
      <c r="D19" s="61">
        <f>IFERROR(VLOOKUP(E19,Campionato!$G$14:$H$93,2,FALSE),"("&amp;E19&amp;")")</f>
        <v/>
      </c>
      <c r="E19" s="62" t="inlineStr">
        <is>
          <t>B3</t>
        </is>
      </c>
      <c r="F19" s="63" t="n">
        <v>46495.39583333334</v>
      </c>
      <c r="G19" s="9" t="n"/>
      <c r="H19" s="9" t="n"/>
      <c r="I19" s="10" t="n"/>
      <c r="J19" s="65" t="n">
        <v>54</v>
      </c>
      <c r="K19" s="66" t="inlineStr">
        <is>
          <t>-</t>
        </is>
      </c>
      <c r="L19" s="65" t="n">
        <v>51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16 - Ottavi]")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PO4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IFERROR(VLOOKUP(C22,Campionato!$G$14:$H$93,2,FALSE),"("&amp;C22&amp;")")</f>
        <v/>
      </c>
      <c r="C22" s="62" t="inlineStr">
        <is>
          <t>B1</t>
        </is>
      </c>
      <c r="D22" s="61">
        <f>IFERROR(VLOOKUP(E22,Campionato!$G$14:$H$93,2,FALSE),"("&amp;E22&amp;")")</f>
        <v/>
      </c>
      <c r="E22" s="62" t="inlineStr">
        <is>
          <t>A4</t>
        </is>
      </c>
      <c r="F22" s="63" t="n">
        <v>46495.60416666666</v>
      </c>
      <c r="G22" s="9" t="n"/>
      <c r="H22" s="9" t="n"/>
      <c r="I22" s="10" t="n"/>
      <c r="J22" s="65" t="n">
        <v>61</v>
      </c>
      <c r="K22" s="66" t="inlineStr">
        <is>
          <t>-</t>
        </is>
      </c>
      <c r="L22" s="65" t="n">
        <v>86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IF($B22="","","[Playoff a 16 - Ottavi]")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PO1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IFERROR(VLOOKUP(C25,Campionato!$G$14:$H$93,2,FALSE),"("&amp;C25&amp;")")</f>
        <v/>
      </c>
      <c r="C25" s="62" t="inlineStr">
        <is>
          <t>D2</t>
        </is>
      </c>
      <c r="D25" s="61">
        <f>IFERROR(VLOOKUP(E25,Campionato!$G$14:$H$93,2,FALSE),"("&amp;E25&amp;")")</f>
        <v/>
      </c>
      <c r="E25" s="62" t="inlineStr">
        <is>
          <t>C3</t>
        </is>
      </c>
      <c r="F25" s="63" t="n">
        <v>46495.60416666666</v>
      </c>
      <c r="G25" s="9" t="n"/>
      <c r="H25" s="9" t="n"/>
      <c r="I25" s="10" t="n"/>
      <c r="J25" s="65" t="n">
        <v>56</v>
      </c>
      <c r="K25" s="66" t="inlineStr">
        <is>
          <t>-</t>
        </is>
      </c>
      <c r="L25" s="65" t="n">
        <v>67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IF($B25="","","[Playoff a 16 - Ottavi]")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PO2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IFERROR(VLOOKUP(C28,Campionato!$G$14:$H$93,2,FALSE),"("&amp;C28&amp;")")</f>
        <v/>
      </c>
      <c r="C28" s="62" t="inlineStr">
        <is>
          <t>D1</t>
        </is>
      </c>
      <c r="D28" s="61">
        <f>IFERROR(VLOOKUP(E28,Campionato!$G$14:$H$93,2,FALSE),"("&amp;E28&amp;")")</f>
        <v/>
      </c>
      <c r="E28" s="62" t="inlineStr">
        <is>
          <t>C4</t>
        </is>
      </c>
      <c r="F28" s="63" t="n">
        <v>46495.60416666666</v>
      </c>
      <c r="G28" s="9" t="n"/>
      <c r="H28" s="9" t="n"/>
      <c r="I28" s="10" t="n"/>
      <c r="J28" s="65" t="n">
        <v>58</v>
      </c>
      <c r="K28" s="66" t="inlineStr">
        <is>
          <t>-</t>
        </is>
      </c>
      <c r="L28" s="65" t="n">
        <v>37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IF($B28="","","[Playoff a 16 - Ottavi]")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PO3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IFERROR(VLOOKUP(C31,Campionato!$G$14:$H$93,2,FALSE),"("&amp;C31&amp;")")</f>
        <v/>
      </c>
      <c r="C31" s="62" t="inlineStr">
        <is>
          <t>B2</t>
        </is>
      </c>
      <c r="D31" s="61">
        <f>IFERROR(VLOOKUP(E31,Campionato!$G$14:$H$93,2,FALSE),"("&amp;E31&amp;")")</f>
        <v/>
      </c>
      <c r="E31" s="62" t="inlineStr">
        <is>
          <t>A3</t>
        </is>
      </c>
      <c r="F31" s="63" t="n">
        <v>46495.60416666666</v>
      </c>
      <c r="G31" s="9" t="n"/>
      <c r="H31" s="9" t="n"/>
      <c r="I31" s="10" t="n"/>
      <c r="J31" s="65" t="n">
        <v>61</v>
      </c>
      <c r="K31" s="66" t="inlineStr">
        <is>
          <t>-</t>
        </is>
      </c>
      <c r="L31" s="65" t="n">
        <v>42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IF($B31="","","[Playoff a 16 - Ottavi]")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PO4</t>
        </is>
      </c>
      <c r="J32" s="141" t="n"/>
      <c r="K32" s="141" t="n"/>
      <c r="L32" s="141" t="n"/>
    </row>
    <row r="34" ht="20" customHeight="1">
      <c r="B34" s="133" t="inlineStr">
        <is>
          <t>PLAYOFF A 16 -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AA13</f>
        <v/>
      </c>
      <c r="E36" s="62">
        <f>A13</f>
        <v/>
      </c>
      <c r="F36" s="63" t="n">
        <v>46502.39583333334</v>
      </c>
      <c r="G36" s="9" t="n"/>
      <c r="H36" s="9" t="n"/>
      <c r="I36" s="10" t="n"/>
      <c r="J36" s="65" t="n">
        <v>79</v>
      </c>
      <c r="K36" s="66" t="inlineStr">
        <is>
          <t>-</t>
        </is>
      </c>
      <c r="L36" s="65" t="n">
        <v>84</v>
      </c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IF($B36="","","[Playoff a 16 - Quarti]")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PO1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AA16</f>
        <v/>
      </c>
      <c r="C39" s="62">
        <f>A16</f>
        <v/>
      </c>
      <c r="D39" s="61">
        <f>AA19</f>
        <v/>
      </c>
      <c r="E39" s="62">
        <f>A19</f>
        <v/>
      </c>
      <c r="F39" s="63" t="n">
        <v>46502.39583333334</v>
      </c>
      <c r="G39" s="9" t="n"/>
      <c r="H39" s="9" t="n"/>
      <c r="I39" s="10" t="n"/>
      <c r="J39" s="65" t="n">
        <v>66</v>
      </c>
      <c r="K39" s="66" t="inlineStr">
        <is>
          <t>-</t>
        </is>
      </c>
      <c r="L39" s="65" t="n">
        <v>57</v>
      </c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IF($B39="","","[Playoff a 16 - Quarti]")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PO2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AA22</f>
        <v/>
      </c>
      <c r="C42" s="62">
        <f>A22</f>
        <v/>
      </c>
      <c r="D42" s="61">
        <f>AA25</f>
        <v/>
      </c>
      <c r="E42" s="62">
        <f>A25</f>
        <v/>
      </c>
      <c r="F42" s="63" t="n">
        <v>46502.60416666666</v>
      </c>
      <c r="G42" s="9" t="n"/>
      <c r="H42" s="9" t="n"/>
      <c r="I42" s="10" t="n"/>
      <c r="J42" s="65" t="n">
        <v>45</v>
      </c>
      <c r="K42" s="66" t="inlineStr">
        <is>
          <t>-</t>
        </is>
      </c>
      <c r="L42" s="65" t="n">
        <v>40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IF($B42="","","[Playoff a 16 - Quarti]")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PO1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AA28</f>
        <v/>
      </c>
      <c r="C45" s="62">
        <f>A28</f>
        <v/>
      </c>
      <c r="D45" s="61">
        <f>AA31</f>
        <v/>
      </c>
      <c r="E45" s="62">
        <f>A31</f>
        <v/>
      </c>
      <c r="F45" s="63" t="n">
        <v>46502.60416666666</v>
      </c>
      <c r="G45" s="9" t="n"/>
      <c r="H45" s="9" t="n"/>
      <c r="I45" s="10" t="n"/>
      <c r="J45" s="65" t="n">
        <v>72</v>
      </c>
      <c r="K45" s="66" t="inlineStr">
        <is>
          <t>-</t>
        </is>
      </c>
      <c r="L45" s="65" t="n">
        <v>58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IF($B45="","","[Playoff a 16 - Quarti]")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PO2</t>
        </is>
      </c>
      <c r="J46" s="141" t="n"/>
      <c r="K46" s="141" t="n"/>
      <c r="L46" s="141" t="n"/>
    </row>
    <row r="48" ht="20" customHeight="1">
      <c r="B48" s="133" t="inlineStr">
        <is>
          <t>PLAYOFF A 16 -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AA39</f>
        <v/>
      </c>
      <c r="E50" s="62">
        <f>A39</f>
        <v/>
      </c>
      <c r="F50" s="63" t="n">
        <v>46509.39583333334</v>
      </c>
      <c r="G50" s="9" t="n"/>
      <c r="H50" s="9" t="n"/>
      <c r="I50" s="10" t="n"/>
      <c r="J50" s="65" t="n">
        <v>79</v>
      </c>
      <c r="K50" s="66" t="inlineStr">
        <is>
          <t>-</t>
        </is>
      </c>
      <c r="L50" s="65" t="n">
        <v>55</v>
      </c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IF($B50="","","[Playoff a 16 - Semifinali]")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PO1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AA42</f>
        <v/>
      </c>
      <c r="C53" s="62">
        <f>A42</f>
        <v/>
      </c>
      <c r="D53" s="61">
        <f>AA45</f>
        <v/>
      </c>
      <c r="E53" s="62">
        <f>A45</f>
        <v/>
      </c>
      <c r="F53" s="63" t="n">
        <v>46509.45833333334</v>
      </c>
      <c r="G53" s="9" t="n"/>
      <c r="H53" s="9" t="n"/>
      <c r="I53" s="10" t="n"/>
      <c r="J53" s="65" t="n">
        <v>21</v>
      </c>
      <c r="K53" s="66" t="inlineStr">
        <is>
          <t>-</t>
        </is>
      </c>
      <c r="L53" s="65" t="n">
        <v>49</v>
      </c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IF($B53="","","[Playoff a 16 - Semifinali]")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PO1</t>
        </is>
      </c>
      <c r="J54" s="141" t="n"/>
      <c r="K54" s="141" t="n"/>
      <c r="L54" s="141" t="n"/>
    </row>
    <row r="56" ht="20" customHeight="1">
      <c r="B56" s="133" t="inlineStr">
        <is>
          <t>PLAYOFF A 16 -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>
        <v>46516.60416666666</v>
      </c>
      <c r="G58" s="9" t="n"/>
      <c r="H58" s="9" t="n"/>
      <c r="I58" s="10" t="n"/>
      <c r="J58" s="65" t="n">
        <v>76</v>
      </c>
      <c r="K58" s="66" t="inlineStr">
        <is>
          <t>-</t>
        </is>
      </c>
      <c r="L58" s="65" t="n">
        <v>56</v>
      </c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IF($J58+$L58=0,,IF($J58&lt;$L58,IF($J58&amp;"-"&amp;$L58=MID(constPunteggioForfait,FIND("-",constPunteggioForfait)+1,LEN(constPunteggioForfait))&amp;"-"&amp;LEFT(constPunteggioForfait,FIND("-",constPunteggioForfait)-1),1,0),0))</f>
        <v/>
      </c>
      <c r="P58" s="67">
        <f>IF($J58+$L58=0,,IF($J58&lt;$L58,IF($J58&amp;"-"&amp;$L58&lt;&gt;MID(constPunteggioForfait,FIND("-",constPunteggioForfait)+1,LEN(constPunteggioForfait))&amp;"-"&amp;LEFT(constPunteggioForfait,FIND("-",constPunteggioForfait)-1),1,0),0))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IF($J58+$L58=0,,IF($L58&lt;$J58,IF($J58&amp;"-"&amp;$L58=constPunteggioForfait,1,0),0))</f>
        <v/>
      </c>
      <c r="W58" s="67">
        <f>IF($J58+$L58=0,,IF($L58&lt;$J58,IF($J58&amp;"-"&amp;$L58&lt;&gt;constPunteggioForfait,1,0),0))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IF($B58="","","[Playoff a 16 - Finale "&amp;IF(COUNT($A$57:$A57)=0,"3-4","1-2")&amp;"]")</f>
        <v/>
      </c>
    </row>
    <row r="59" ht="16" customHeight="1">
      <c r="A59" s="141" t="n"/>
      <c r="B59" s="69">
        <f>IF(I59="","",HYPERLINK(VLOOKUP(I59,areaCampiSquadre,3,FALSE),VLOOKUP(I59,areaCampiSquadre,2,FALSE)))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PO1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>
        <v>46516.66666666666</v>
      </c>
      <c r="G61" s="9" t="n"/>
      <c r="H61" s="9" t="n"/>
      <c r="I61" s="10" t="n"/>
      <c r="J61" s="65" t="n">
        <v>50</v>
      </c>
      <c r="K61" s="66" t="inlineStr">
        <is>
          <t>-</t>
        </is>
      </c>
      <c r="L61" s="65" t="n">
        <v>45</v>
      </c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IF($B61="","","[Playoff a 16 - Finale "&amp;IF(COUNT($A$57:$A60)=0,"3-4","1-2")&amp;"]")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PO1</t>
        </is>
      </c>
      <c r="J62" s="141" t="n"/>
      <c r="K62" s="141" t="n"/>
      <c r="L62" s="141" t="n"/>
    </row>
    <row r="65">
      <c r="A65" s="51" t="inlineStr">
        <is>
          <t>Playoff a 16 squadre: le prime quattro classificate dei gironi A, B, C e D.</t>
        </is>
      </c>
    </row>
    <row r="66">
      <c r="A66" s="51" t="inlineStr">
        <is>
          <t>Ottavi: 1A-4B, 2C-3D, 1C-4D, 2A-3B, 1B-4A, 2D-3C, 1D-4C, 2B-3A.</t>
        </is>
      </c>
    </row>
    <row r="67">
      <c r="A67" s="51" t="inlineStr">
        <is>
          <t>Quarti: V.O1-V.O2, V.O3-V.O4, V.O5-V.O6, V.O7-V.O8. Semifinali: V.Q1-V.Q2, V.Q3-V.Q4. Finali: perdenti semifinali = finale 3o-4o posto; vincenti = finale 1o-2o posto.</t>
        </is>
      </c>
    </row>
    <row r="68">
      <c r="A68" s="51" t="inlineStr">
        <is>
          <t>Le squadre dello stesso girone possono incontrarsi al piu' presto in semifinale. 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I1:L3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A19:A20"/>
    <mergeCell ref="K19:K20"/>
    <mergeCell ref="F45:I45"/>
    <mergeCell ref="F42:I42"/>
    <mergeCell ref="K28:K29"/>
    <mergeCell ref="J44:L44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8:J59"/>
    <mergeCell ref="J57:L57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E1:G3"/>
    <mergeCell ref="J13:J14"/>
    <mergeCell ref="L13:L14"/>
    <mergeCell ref="F31:I31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8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constNomeCampionato&amp;""</f>
        <v/>
      </c>
      <c r="D1">
        <f>IFERROR(IMAGE(constLogo1),"")</f>
        <v/>
      </c>
      <c r="E1">
        <f>IFERROR(IMAGE(constLogo2),"")</f>
        <v/>
      </c>
    </row>
    <row r="2" ht="22" customHeight="1"/>
    <row r="3" ht="22" customHeight="1">
      <c r="A3" s="52">
        <f>"Classifica finale (playoff a 16 squadre) - Stagione "&amp;constStagionaCampionato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'Playoff'!AA61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'Playoff'!AB61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'Playoff'!AA58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'Playoff'!AB58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'Playoff'!AB36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'Playoff'!AB39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'Playoff'!AB42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'Playoff'!AB45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'Playoff'!AB10</f>
        <v/>
      </c>
      <c r="C15" s="192" t="inlineStr">
        <is>
          <t>Perdente ottavi di finale</t>
        </is>
      </c>
      <c r="D15" s="9" t="n"/>
      <c r="E15" s="10" t="n"/>
    </row>
    <row r="16">
      <c r="A16" s="190" t="n">
        <v>9</v>
      </c>
      <c r="B16" s="13">
        <f>'Playoff'!AB13</f>
        <v/>
      </c>
      <c r="C16" s="192" t="inlineStr">
        <is>
          <t>Perdente ottavi di finale</t>
        </is>
      </c>
      <c r="D16" s="9" t="n"/>
      <c r="E16" s="10" t="n"/>
    </row>
    <row r="17">
      <c r="A17" s="190" t="n">
        <v>9</v>
      </c>
      <c r="B17" s="13">
        <f>'Playoff'!AB16</f>
        <v/>
      </c>
      <c r="C17" s="192" t="inlineStr">
        <is>
          <t>Perdente ottavi di finale</t>
        </is>
      </c>
      <c r="D17" s="9" t="n"/>
      <c r="E17" s="10" t="n"/>
    </row>
    <row r="18">
      <c r="A18" s="190" t="n">
        <v>9</v>
      </c>
      <c r="B18" s="13">
        <f>'Playoff'!AB19</f>
        <v/>
      </c>
      <c r="C18" s="192" t="inlineStr">
        <is>
          <t>Perdente ottavi di finale</t>
        </is>
      </c>
      <c r="D18" s="9" t="n"/>
      <c r="E18" s="10" t="n"/>
    </row>
    <row r="19">
      <c r="A19" s="190" t="n">
        <v>9</v>
      </c>
      <c r="B19" s="13">
        <f>'Playoff'!AB22</f>
        <v/>
      </c>
      <c r="C19" s="192" t="inlineStr">
        <is>
          <t>Perdente ottavi di finale</t>
        </is>
      </c>
      <c r="D19" s="9" t="n"/>
      <c r="E19" s="10" t="n"/>
    </row>
    <row r="20">
      <c r="A20" s="190" t="n">
        <v>9</v>
      </c>
      <c r="B20" s="13">
        <f>'Playoff'!AB25</f>
        <v/>
      </c>
      <c r="C20" s="192" t="inlineStr">
        <is>
          <t>Perdente ottavi di finale</t>
        </is>
      </c>
      <c r="D20" s="9" t="n"/>
      <c r="E20" s="10" t="n"/>
    </row>
    <row r="21">
      <c r="A21" s="190" t="n">
        <v>9</v>
      </c>
      <c r="B21" s="13">
        <f>'Playoff'!AB28</f>
        <v/>
      </c>
      <c r="C21" s="192" t="inlineStr">
        <is>
          <t>Perdente ottavi di finale</t>
        </is>
      </c>
      <c r="D21" s="9" t="n"/>
      <c r="E21" s="10" t="n"/>
    </row>
    <row r="22">
      <c r="A22" s="190" t="n">
        <v>9</v>
      </c>
      <c r="B22" s="13">
        <f>'Playoff'!AB31</f>
        <v/>
      </c>
      <c r="C22" s="192" t="inlineStr">
        <is>
          <t>Perdente ottavi di finale</t>
        </is>
      </c>
      <c r="D22" s="9" t="n"/>
      <c r="E22" s="10" t="n"/>
    </row>
    <row r="23">
      <c r="A23" s="190" t="n">
        <v>17</v>
      </c>
      <c r="B23" s="13">
        <f>IFERROR(VLOOKUP("A5",areaCercaDatiPerPosizioneSquadre,2,FALSE),"(A5)")</f>
        <v/>
      </c>
      <c r="C23" s="192" t="inlineStr">
        <is>
          <t>Girone A - 5a classificata</t>
        </is>
      </c>
      <c r="D23" s="9" t="n"/>
      <c r="E23" s="10" t="n"/>
    </row>
    <row r="24">
      <c r="A24" s="190" t="n">
        <v>17</v>
      </c>
      <c r="B24" s="13">
        <f>IFERROR(VLOOKUP("A6",areaCercaDatiPerPosizioneSquadre,2,FALSE),"(A6)")</f>
        <v/>
      </c>
      <c r="C24" s="192" t="inlineStr">
        <is>
          <t>Girone A - 6a classificata</t>
        </is>
      </c>
      <c r="D24" s="9" t="n"/>
      <c r="E24" s="10" t="n"/>
    </row>
    <row r="25">
      <c r="A25" s="190" t="n">
        <v>17</v>
      </c>
      <c r="B25" s="13">
        <f>IFERROR(VLOOKUP("A7",areaCercaDatiPerPosizioneSquadre,2,FALSE),"(A7)")</f>
        <v/>
      </c>
      <c r="C25" s="192" t="inlineStr">
        <is>
          <t>Girone A - 7a classificata</t>
        </is>
      </c>
      <c r="D25" s="9" t="n"/>
      <c r="E25" s="10" t="n"/>
    </row>
    <row r="26">
      <c r="A26" s="190" t="n">
        <v>17</v>
      </c>
      <c r="B26" s="13">
        <f>IFERROR(VLOOKUP("A8",areaCercaDatiPerPosizioneSquadre,2,FALSE),"(A8)")</f>
        <v/>
      </c>
      <c r="C26" s="192" t="inlineStr">
        <is>
          <t>Girone A - 8a classificata</t>
        </is>
      </c>
      <c r="D26" s="9" t="n"/>
      <c r="E26" s="10" t="n"/>
    </row>
    <row r="27">
      <c r="A27" s="190" t="n">
        <v>17</v>
      </c>
      <c r="B27" s="13">
        <f>IFERROR(VLOOKUP("A9",areaCercaDatiPerPosizioneSquadre,2,FALSE),"(A9)")</f>
        <v/>
      </c>
      <c r="C27" s="192" t="inlineStr">
        <is>
          <t>Girone A - 9a classificata</t>
        </is>
      </c>
      <c r="D27" s="9" t="n"/>
      <c r="E27" s="10" t="n"/>
    </row>
    <row r="28">
      <c r="A28" s="190" t="n">
        <v>17</v>
      </c>
      <c r="B28" s="13">
        <f>IFERROR(VLOOKUP("A10",areaCercaDatiPerPosizioneSquadre,2,FALSE),"(A10)")</f>
        <v/>
      </c>
      <c r="C28" s="192" t="inlineStr">
        <is>
          <t>Girone A - 10a classificata</t>
        </is>
      </c>
      <c r="D28" s="9" t="n"/>
      <c r="E28" s="10" t="n"/>
    </row>
    <row r="29">
      <c r="A29" s="190" t="n">
        <v>17</v>
      </c>
      <c r="B29" s="13">
        <f>IFERROR(VLOOKUP("A11",areaCercaDatiPerPosizioneSquadre,2,FALSE),"(A11)")</f>
        <v/>
      </c>
      <c r="C29" s="192" t="inlineStr">
        <is>
          <t>Girone A - 11a classificata</t>
        </is>
      </c>
      <c r="D29" s="9" t="n"/>
      <c r="E29" s="10" t="n"/>
    </row>
    <row r="30">
      <c r="A30" s="190" t="n">
        <v>17</v>
      </c>
      <c r="B30" s="13">
        <f>IFERROR(VLOOKUP("A12",areaCercaDatiPerPosizioneSquadre,2,FALSE),"(A12)")</f>
        <v/>
      </c>
      <c r="C30" s="192" t="inlineStr">
        <is>
          <t>Girone A - 12a classificata</t>
        </is>
      </c>
      <c r="D30" s="9" t="n"/>
      <c r="E30" s="10" t="n"/>
    </row>
    <row r="31">
      <c r="A31" s="190" t="n">
        <v>17</v>
      </c>
      <c r="B31" s="13">
        <f>IFERROR(VLOOKUP("A13",areaCercaDatiPerPosizioneSquadre,2,FALSE),"(A13)")</f>
        <v/>
      </c>
      <c r="C31" s="192" t="inlineStr">
        <is>
          <t>Girone A - 13a classificata</t>
        </is>
      </c>
      <c r="D31" s="9" t="n"/>
      <c r="E31" s="10" t="n"/>
    </row>
    <row r="32">
      <c r="A32" s="190" t="n">
        <v>17</v>
      </c>
      <c r="B32" s="13">
        <f>IFERROR(VLOOKUP("A14",areaCercaDatiPerPosizioneSquadre,2,FALSE),"(A14)")</f>
        <v/>
      </c>
      <c r="C32" s="192" t="inlineStr">
        <is>
          <t>Girone A - 14a classificata</t>
        </is>
      </c>
      <c r="D32" s="9" t="n"/>
      <c r="E32" s="10" t="n"/>
    </row>
    <row r="33">
      <c r="A33" s="190" t="n">
        <v>17</v>
      </c>
      <c r="B33" s="13">
        <f>IFERROR(VLOOKUP("A15",areaCercaDatiPerPosizioneSquadre,2,FALSE),"(A15)")</f>
        <v/>
      </c>
      <c r="C33" s="192" t="inlineStr">
        <is>
          <t>Girone A - 15a classificata</t>
        </is>
      </c>
      <c r="D33" s="9" t="n"/>
      <c r="E33" s="10" t="n"/>
    </row>
    <row r="34">
      <c r="A34" s="190" t="n">
        <v>17</v>
      </c>
      <c r="B34" s="13">
        <f>IFERROR(VLOOKUP("A16",areaCercaDatiPerPosizioneSquadre,2,FALSE),"(A16)")</f>
        <v/>
      </c>
      <c r="C34" s="192" t="inlineStr">
        <is>
          <t>Girone A - 16a classificata</t>
        </is>
      </c>
      <c r="D34" s="9" t="n"/>
      <c r="E34" s="10" t="n"/>
    </row>
    <row r="35">
      <c r="A35" s="190" t="n">
        <v>17</v>
      </c>
      <c r="B35" s="13">
        <f>IFERROR(VLOOKUP("A17",areaCercaDatiPerPosizioneSquadre,2,FALSE),"(A17)")</f>
        <v/>
      </c>
      <c r="C35" s="192" t="inlineStr">
        <is>
          <t>Girone A - 17a classificata</t>
        </is>
      </c>
      <c r="D35" s="9" t="n"/>
      <c r="E35" s="10" t="n"/>
    </row>
    <row r="36">
      <c r="A36" s="190" t="n">
        <v>17</v>
      </c>
      <c r="B36" s="13">
        <f>IFERROR(VLOOKUP("A18",areaCercaDatiPerPosizioneSquadre,2,FALSE),"(A18)")</f>
        <v/>
      </c>
      <c r="C36" s="192" t="inlineStr">
        <is>
          <t>Girone A - 18a classificata</t>
        </is>
      </c>
      <c r="D36" s="9" t="n"/>
      <c r="E36" s="10" t="n"/>
    </row>
    <row r="37">
      <c r="A37" s="190" t="n">
        <v>17</v>
      </c>
      <c r="B37" s="13">
        <f>IFERROR(VLOOKUP("A19",areaCercaDatiPerPosizioneSquadre,2,FALSE),"(A19)")</f>
        <v/>
      </c>
      <c r="C37" s="192" t="inlineStr">
        <is>
          <t>Girone A - 19a classificata</t>
        </is>
      </c>
      <c r="D37" s="9" t="n"/>
      <c r="E37" s="10" t="n"/>
    </row>
    <row r="38">
      <c r="A38" s="190" t="n">
        <v>17</v>
      </c>
      <c r="B38" s="13">
        <f>IFERROR(VLOOKUP("A20",areaCercaDatiPerPosizioneSquadre,2,FALSE),"(A20)")</f>
        <v/>
      </c>
      <c r="C38" s="192" t="inlineStr">
        <is>
          <t>Girone A - 20a classificata</t>
        </is>
      </c>
      <c r="D38" s="9" t="n"/>
      <c r="E38" s="10" t="n"/>
    </row>
    <row r="39">
      <c r="A39" s="190" t="n">
        <v>33</v>
      </c>
      <c r="B39" s="13">
        <f>IFERROR(VLOOKUP("B5",areaCercaDatiPerPosizioneSquadre,2,FALSE),"(B5)")</f>
        <v/>
      </c>
      <c r="C39" s="192" t="inlineStr">
        <is>
          <t>Girone B - 5a classificata</t>
        </is>
      </c>
      <c r="D39" s="9" t="n"/>
      <c r="E39" s="10" t="n"/>
    </row>
    <row r="40">
      <c r="A40" s="190" t="n">
        <v>33</v>
      </c>
      <c r="B40" s="13">
        <f>IFERROR(VLOOKUP("B6",areaCercaDatiPerPosizioneSquadre,2,FALSE),"(B6)")</f>
        <v/>
      </c>
      <c r="C40" s="192" t="inlineStr">
        <is>
          <t>Girone B - 6a classificata</t>
        </is>
      </c>
      <c r="D40" s="9" t="n"/>
      <c r="E40" s="10" t="n"/>
    </row>
    <row r="41">
      <c r="A41" s="190" t="n">
        <v>33</v>
      </c>
      <c r="B41" s="13">
        <f>IFERROR(VLOOKUP("B7",areaCercaDatiPerPosizioneSquadre,2,FALSE),"(B7)")</f>
        <v/>
      </c>
      <c r="C41" s="192" t="inlineStr">
        <is>
          <t>Girone B - 7a classificata</t>
        </is>
      </c>
      <c r="D41" s="9" t="n"/>
      <c r="E41" s="10" t="n"/>
    </row>
    <row r="42">
      <c r="A42" s="190" t="n">
        <v>33</v>
      </c>
      <c r="B42" s="13">
        <f>IFERROR(VLOOKUP("B8",areaCercaDatiPerPosizioneSquadre,2,FALSE),"(B8)")</f>
        <v/>
      </c>
      <c r="C42" s="192" t="inlineStr">
        <is>
          <t>Girone B - 8a classificata</t>
        </is>
      </c>
      <c r="D42" s="9" t="n"/>
      <c r="E42" s="10" t="n"/>
    </row>
    <row r="43">
      <c r="A43" s="190" t="n">
        <v>33</v>
      </c>
      <c r="B43" s="13">
        <f>IFERROR(VLOOKUP("B9",areaCercaDatiPerPosizioneSquadre,2,FALSE),"(B9)")</f>
        <v/>
      </c>
      <c r="C43" s="192" t="inlineStr">
        <is>
          <t>Girone B - 9a classificata</t>
        </is>
      </c>
      <c r="D43" s="9" t="n"/>
      <c r="E43" s="10" t="n"/>
    </row>
    <row r="44">
      <c r="A44" s="190" t="n">
        <v>33</v>
      </c>
      <c r="B44" s="13">
        <f>IFERROR(VLOOKUP("B10",areaCercaDatiPerPosizioneSquadre,2,FALSE),"(B10)")</f>
        <v/>
      </c>
      <c r="C44" s="192" t="inlineStr">
        <is>
          <t>Girone B - 10a classificata</t>
        </is>
      </c>
      <c r="D44" s="9" t="n"/>
      <c r="E44" s="10" t="n"/>
    </row>
    <row r="45">
      <c r="A45" s="190" t="n">
        <v>33</v>
      </c>
      <c r="B45" s="13">
        <f>IFERROR(VLOOKUP("B11",areaCercaDatiPerPosizioneSquadre,2,FALSE),"(B11)")</f>
        <v/>
      </c>
      <c r="C45" s="192" t="inlineStr">
        <is>
          <t>Girone B - 11a classificata</t>
        </is>
      </c>
      <c r="D45" s="9" t="n"/>
      <c r="E45" s="10" t="n"/>
    </row>
    <row r="46">
      <c r="A46" s="190" t="n">
        <v>33</v>
      </c>
      <c r="B46" s="13">
        <f>IFERROR(VLOOKUP("B12",areaCercaDatiPerPosizioneSquadre,2,FALSE),"(B12)")</f>
        <v/>
      </c>
      <c r="C46" s="192" t="inlineStr">
        <is>
          <t>Girone B - 12a classificata</t>
        </is>
      </c>
      <c r="D46" s="9" t="n"/>
      <c r="E46" s="10" t="n"/>
    </row>
    <row r="47">
      <c r="A47" s="190" t="n">
        <v>33</v>
      </c>
      <c r="B47" s="13">
        <f>IFERROR(VLOOKUP("B13",areaCercaDatiPerPosizioneSquadre,2,FALSE),"(B13)")</f>
        <v/>
      </c>
      <c r="C47" s="192" t="inlineStr">
        <is>
          <t>Girone B - 13a classificata</t>
        </is>
      </c>
      <c r="D47" s="9" t="n"/>
      <c r="E47" s="10" t="n"/>
    </row>
    <row r="48">
      <c r="A48" s="190" t="n">
        <v>33</v>
      </c>
      <c r="B48" s="13">
        <f>IFERROR(VLOOKUP("B14",areaCercaDatiPerPosizioneSquadre,2,FALSE),"(B14)")</f>
        <v/>
      </c>
      <c r="C48" s="192" t="inlineStr">
        <is>
          <t>Girone B - 14a classificata</t>
        </is>
      </c>
      <c r="D48" s="9" t="n"/>
      <c r="E48" s="10" t="n"/>
    </row>
    <row r="49">
      <c r="A49" s="190" t="n">
        <v>33</v>
      </c>
      <c r="B49" s="13">
        <f>IFERROR(VLOOKUP("B15",areaCercaDatiPerPosizioneSquadre,2,FALSE),"(B15)")</f>
        <v/>
      </c>
      <c r="C49" s="192" t="inlineStr">
        <is>
          <t>Girone B - 15a classificata</t>
        </is>
      </c>
      <c r="D49" s="9" t="n"/>
      <c r="E49" s="10" t="n"/>
    </row>
    <row r="50">
      <c r="A50" s="190" t="n">
        <v>33</v>
      </c>
      <c r="B50" s="13">
        <f>IFERROR(VLOOKUP("B16",areaCercaDatiPerPosizioneSquadre,2,FALSE),"(B16)")</f>
        <v/>
      </c>
      <c r="C50" s="192" t="inlineStr">
        <is>
          <t>Girone B - 16a classificata</t>
        </is>
      </c>
      <c r="D50" s="9" t="n"/>
      <c r="E50" s="10" t="n"/>
    </row>
    <row r="51">
      <c r="A51" s="190" t="n">
        <v>33</v>
      </c>
      <c r="B51" s="13">
        <f>IFERROR(VLOOKUP("B17",areaCercaDatiPerPosizioneSquadre,2,FALSE),"(B17)")</f>
        <v/>
      </c>
      <c r="C51" s="192" t="inlineStr">
        <is>
          <t>Girone B - 17a classificata</t>
        </is>
      </c>
      <c r="D51" s="9" t="n"/>
      <c r="E51" s="10" t="n"/>
    </row>
    <row r="52">
      <c r="A52" s="190" t="n">
        <v>33</v>
      </c>
      <c r="B52" s="13">
        <f>IFERROR(VLOOKUP("B18",areaCercaDatiPerPosizioneSquadre,2,FALSE),"(B18)")</f>
        <v/>
      </c>
      <c r="C52" s="192" t="inlineStr">
        <is>
          <t>Girone B - 18a classificata</t>
        </is>
      </c>
      <c r="D52" s="9" t="n"/>
      <c r="E52" s="10" t="n"/>
    </row>
    <row r="53">
      <c r="A53" s="190" t="n">
        <v>33</v>
      </c>
      <c r="B53" s="13">
        <f>IFERROR(VLOOKUP("B19",areaCercaDatiPerPosizioneSquadre,2,FALSE),"(B19)")</f>
        <v/>
      </c>
      <c r="C53" s="192" t="inlineStr">
        <is>
          <t>Girone B - 19a classificata</t>
        </is>
      </c>
      <c r="D53" s="9" t="n"/>
      <c r="E53" s="10" t="n"/>
    </row>
    <row r="54">
      <c r="A54" s="190" t="n">
        <v>33</v>
      </c>
      <c r="B54" s="13">
        <f>IFERROR(VLOOKUP("B20",areaCercaDatiPerPosizioneSquadre,2,FALSE),"(B20)")</f>
        <v/>
      </c>
      <c r="C54" s="192" t="inlineStr">
        <is>
          <t>Girone B - 20a classificata</t>
        </is>
      </c>
      <c r="D54" s="9" t="n"/>
      <c r="E54" s="10" t="n"/>
    </row>
    <row r="55">
      <c r="A55" s="190" t="n">
        <v>49</v>
      </c>
      <c r="B55" s="13">
        <f>IFERROR(VLOOKUP("C5",areaCercaDatiPerPosizioneSquadre,2,FALSE),"(C5)")</f>
        <v/>
      </c>
      <c r="C55" s="192" t="inlineStr">
        <is>
          <t>Girone C - 5a classificata</t>
        </is>
      </c>
      <c r="D55" s="9" t="n"/>
      <c r="E55" s="10" t="n"/>
    </row>
    <row r="56">
      <c r="A56" s="190" t="n">
        <v>49</v>
      </c>
      <c r="B56" s="13">
        <f>IFERROR(VLOOKUP("C6",areaCercaDatiPerPosizioneSquadre,2,FALSE),"(C6)")</f>
        <v/>
      </c>
      <c r="C56" s="192" t="inlineStr">
        <is>
          <t>Girone C - 6a classificata</t>
        </is>
      </c>
      <c r="D56" s="9" t="n"/>
      <c r="E56" s="10" t="n"/>
    </row>
    <row r="57">
      <c r="A57" s="190" t="n">
        <v>49</v>
      </c>
      <c r="B57" s="13">
        <f>IFERROR(VLOOKUP("C7",areaCercaDatiPerPosizioneSquadre,2,FALSE),"(C7)")</f>
        <v/>
      </c>
      <c r="C57" s="192" t="inlineStr">
        <is>
          <t>Girone C - 7a classificata</t>
        </is>
      </c>
      <c r="D57" s="9" t="n"/>
      <c r="E57" s="10" t="n"/>
    </row>
    <row r="58">
      <c r="A58" s="190" t="n">
        <v>49</v>
      </c>
      <c r="B58" s="13">
        <f>IFERROR(VLOOKUP("C8",areaCercaDatiPerPosizioneSquadre,2,FALSE),"(C8)")</f>
        <v/>
      </c>
      <c r="C58" s="192" t="inlineStr">
        <is>
          <t>Girone C - 8a classificata</t>
        </is>
      </c>
      <c r="D58" s="9" t="n"/>
      <c r="E58" s="10" t="n"/>
    </row>
    <row r="59">
      <c r="A59" s="190" t="n">
        <v>49</v>
      </c>
      <c r="B59" s="13">
        <f>IFERROR(VLOOKUP("C9",areaCercaDatiPerPosizioneSquadre,2,FALSE),"(C9)")</f>
        <v/>
      </c>
      <c r="C59" s="192" t="inlineStr">
        <is>
          <t>Girone C - 9a classificata</t>
        </is>
      </c>
      <c r="D59" s="9" t="n"/>
      <c r="E59" s="10" t="n"/>
    </row>
    <row r="60">
      <c r="A60" s="190" t="n">
        <v>49</v>
      </c>
      <c r="B60" s="13">
        <f>IFERROR(VLOOKUP("C10",areaCercaDatiPerPosizioneSquadre,2,FALSE),"(C10)")</f>
        <v/>
      </c>
      <c r="C60" s="192" t="inlineStr">
        <is>
          <t>Girone C - 10a classificata</t>
        </is>
      </c>
      <c r="D60" s="9" t="n"/>
      <c r="E60" s="10" t="n"/>
    </row>
    <row r="61">
      <c r="A61" s="190" t="n">
        <v>49</v>
      </c>
      <c r="B61" s="13">
        <f>IFERROR(VLOOKUP("C11",areaCercaDatiPerPosizioneSquadre,2,FALSE),"(C11)")</f>
        <v/>
      </c>
      <c r="C61" s="192" t="inlineStr">
        <is>
          <t>Girone C - 11a classificata</t>
        </is>
      </c>
      <c r="D61" s="9" t="n"/>
      <c r="E61" s="10" t="n"/>
    </row>
    <row r="62">
      <c r="A62" s="190" t="n">
        <v>49</v>
      </c>
      <c r="B62" s="13">
        <f>IFERROR(VLOOKUP("C12",areaCercaDatiPerPosizioneSquadre,2,FALSE),"(C12)")</f>
        <v/>
      </c>
      <c r="C62" s="192" t="inlineStr">
        <is>
          <t>Girone C - 12a classificata</t>
        </is>
      </c>
      <c r="D62" s="9" t="n"/>
      <c r="E62" s="10" t="n"/>
    </row>
    <row r="63">
      <c r="A63" s="190" t="n">
        <v>49</v>
      </c>
      <c r="B63" s="13">
        <f>IFERROR(VLOOKUP("C13",areaCercaDatiPerPosizioneSquadre,2,FALSE),"(C13)")</f>
        <v/>
      </c>
      <c r="C63" s="192" t="inlineStr">
        <is>
          <t>Girone C - 13a classificata</t>
        </is>
      </c>
      <c r="D63" s="9" t="n"/>
      <c r="E63" s="10" t="n"/>
    </row>
    <row r="64">
      <c r="A64" s="190" t="n">
        <v>49</v>
      </c>
      <c r="B64" s="13">
        <f>IFERROR(VLOOKUP("C14",areaCercaDatiPerPosizioneSquadre,2,FALSE),"(C14)")</f>
        <v/>
      </c>
      <c r="C64" s="192" t="inlineStr">
        <is>
          <t>Girone C - 14a classificata</t>
        </is>
      </c>
      <c r="D64" s="9" t="n"/>
      <c r="E64" s="10" t="n"/>
    </row>
    <row r="65">
      <c r="A65" s="190" t="n">
        <v>49</v>
      </c>
      <c r="B65" s="13">
        <f>IFERROR(VLOOKUP("C15",areaCercaDatiPerPosizioneSquadre,2,FALSE),"(C15)")</f>
        <v/>
      </c>
      <c r="C65" s="192" t="inlineStr">
        <is>
          <t>Girone C - 15a classificata</t>
        </is>
      </c>
      <c r="D65" s="9" t="n"/>
      <c r="E65" s="10" t="n"/>
    </row>
    <row r="66">
      <c r="A66" s="190" t="n">
        <v>49</v>
      </c>
      <c r="B66" s="13">
        <f>IFERROR(VLOOKUP("C16",areaCercaDatiPerPosizioneSquadre,2,FALSE),"(C16)")</f>
        <v/>
      </c>
      <c r="C66" s="192" t="inlineStr">
        <is>
          <t>Girone C - 16a classificata</t>
        </is>
      </c>
      <c r="D66" s="9" t="n"/>
      <c r="E66" s="10" t="n"/>
    </row>
    <row r="67">
      <c r="A67" s="190" t="n">
        <v>49</v>
      </c>
      <c r="B67" s="13">
        <f>IFERROR(VLOOKUP("C17",areaCercaDatiPerPosizioneSquadre,2,FALSE),"(C17)")</f>
        <v/>
      </c>
      <c r="C67" s="192" t="inlineStr">
        <is>
          <t>Girone C - 17a classificata</t>
        </is>
      </c>
      <c r="D67" s="9" t="n"/>
      <c r="E67" s="10" t="n"/>
    </row>
    <row r="68">
      <c r="A68" s="190" t="n">
        <v>49</v>
      </c>
      <c r="B68" s="13">
        <f>IFERROR(VLOOKUP("C18",areaCercaDatiPerPosizioneSquadre,2,FALSE),"(C18)")</f>
        <v/>
      </c>
      <c r="C68" s="192" t="inlineStr">
        <is>
          <t>Girone C - 18a classificata</t>
        </is>
      </c>
      <c r="D68" s="9" t="n"/>
      <c r="E68" s="10" t="n"/>
    </row>
    <row r="69">
      <c r="A69" s="190" t="n">
        <v>49</v>
      </c>
      <c r="B69" s="13">
        <f>IFERROR(VLOOKUP("C19",areaCercaDatiPerPosizioneSquadre,2,FALSE),"(C19)")</f>
        <v/>
      </c>
      <c r="C69" s="192" t="inlineStr">
        <is>
          <t>Girone C - 19a classificata</t>
        </is>
      </c>
      <c r="D69" s="9" t="n"/>
      <c r="E69" s="10" t="n"/>
    </row>
    <row r="70">
      <c r="A70" s="190" t="n">
        <v>49</v>
      </c>
      <c r="B70" s="13">
        <f>IFERROR(VLOOKUP("C20",areaCercaDatiPerPosizioneSquadre,2,FALSE),"(C20)")</f>
        <v/>
      </c>
      <c r="C70" s="192" t="inlineStr">
        <is>
          <t>Girone C - 20a classificata</t>
        </is>
      </c>
      <c r="D70" s="9" t="n"/>
      <c r="E70" s="10" t="n"/>
    </row>
    <row r="71">
      <c r="A71" s="190" t="n">
        <v>65</v>
      </c>
      <c r="B71" s="13">
        <f>IFERROR(VLOOKUP("D5",areaCercaDatiPerPosizioneSquadre,2,FALSE),"(D5)")</f>
        <v/>
      </c>
      <c r="C71" s="192" t="inlineStr">
        <is>
          <t>Girone D - 5a classificata</t>
        </is>
      </c>
      <c r="D71" s="9" t="n"/>
      <c r="E71" s="10" t="n"/>
    </row>
    <row r="72">
      <c r="A72" s="190" t="n">
        <v>65</v>
      </c>
      <c r="B72" s="13">
        <f>IFERROR(VLOOKUP("D6",areaCercaDatiPerPosizioneSquadre,2,FALSE),"(D6)")</f>
        <v/>
      </c>
      <c r="C72" s="192" t="inlineStr">
        <is>
          <t>Girone D - 6a classificata</t>
        </is>
      </c>
      <c r="D72" s="9" t="n"/>
      <c r="E72" s="10" t="n"/>
    </row>
    <row r="73">
      <c r="A73" s="190" t="n">
        <v>65</v>
      </c>
      <c r="B73" s="13">
        <f>IFERROR(VLOOKUP("D7",areaCercaDatiPerPosizioneSquadre,2,FALSE),"(D7)")</f>
        <v/>
      </c>
      <c r="C73" s="192" t="inlineStr">
        <is>
          <t>Girone D - 7a classificata</t>
        </is>
      </c>
      <c r="D73" s="9" t="n"/>
      <c r="E73" s="10" t="n"/>
    </row>
    <row r="74">
      <c r="A74" s="190" t="n">
        <v>65</v>
      </c>
      <c r="B74" s="13">
        <f>IFERROR(VLOOKUP("D8",areaCercaDatiPerPosizioneSquadre,2,FALSE),"(D8)")</f>
        <v/>
      </c>
      <c r="C74" s="192" t="inlineStr">
        <is>
          <t>Girone D - 8a classificata</t>
        </is>
      </c>
      <c r="D74" s="9" t="n"/>
      <c r="E74" s="10" t="n"/>
    </row>
    <row r="75">
      <c r="A75" s="190" t="n">
        <v>65</v>
      </c>
      <c r="B75" s="13">
        <f>IFERROR(VLOOKUP("D9",areaCercaDatiPerPosizioneSquadre,2,FALSE),"(D9)")</f>
        <v/>
      </c>
      <c r="C75" s="192" t="inlineStr">
        <is>
          <t>Girone D - 9a classificata</t>
        </is>
      </c>
      <c r="D75" s="9" t="n"/>
      <c r="E75" s="10" t="n"/>
    </row>
    <row r="76">
      <c r="A76" s="190" t="n">
        <v>65</v>
      </c>
      <c r="B76" s="13">
        <f>IFERROR(VLOOKUP("D10",areaCercaDatiPerPosizioneSquadre,2,FALSE),"(D10)")</f>
        <v/>
      </c>
      <c r="C76" s="192" t="inlineStr">
        <is>
          <t>Girone D - 10a classificata</t>
        </is>
      </c>
      <c r="D76" s="9" t="n"/>
      <c r="E76" s="10" t="n"/>
    </row>
    <row r="77">
      <c r="A77" s="190" t="n">
        <v>65</v>
      </c>
      <c r="B77" s="13">
        <f>IFERROR(VLOOKUP("D11",areaCercaDatiPerPosizioneSquadre,2,FALSE),"(D11)")</f>
        <v/>
      </c>
      <c r="C77" s="192" t="inlineStr">
        <is>
          <t>Girone D - 11a classificata</t>
        </is>
      </c>
      <c r="D77" s="9" t="n"/>
      <c r="E77" s="10" t="n"/>
    </row>
    <row r="78">
      <c r="A78" s="190" t="n">
        <v>65</v>
      </c>
      <c r="B78" s="13">
        <f>IFERROR(VLOOKUP("D12",areaCercaDatiPerPosizioneSquadre,2,FALSE),"(D12)")</f>
        <v/>
      </c>
      <c r="C78" s="192" t="inlineStr">
        <is>
          <t>Girone D - 12a classificata</t>
        </is>
      </c>
      <c r="D78" s="9" t="n"/>
      <c r="E78" s="10" t="n"/>
    </row>
    <row r="79">
      <c r="A79" s="190" t="n">
        <v>65</v>
      </c>
      <c r="B79" s="13">
        <f>IFERROR(VLOOKUP("D13",areaCercaDatiPerPosizioneSquadre,2,FALSE),"(D13)")</f>
        <v/>
      </c>
      <c r="C79" s="192" t="inlineStr">
        <is>
          <t>Girone D - 13a classificata</t>
        </is>
      </c>
      <c r="D79" s="9" t="n"/>
      <c r="E79" s="10" t="n"/>
    </row>
    <row r="80">
      <c r="A80" s="190" t="n">
        <v>65</v>
      </c>
      <c r="B80" s="13">
        <f>IFERROR(VLOOKUP("D14",areaCercaDatiPerPosizioneSquadre,2,FALSE),"(D14)")</f>
        <v/>
      </c>
      <c r="C80" s="192" t="inlineStr">
        <is>
          <t>Girone D - 14a classificata</t>
        </is>
      </c>
      <c r="D80" s="9" t="n"/>
      <c r="E80" s="10" t="n"/>
    </row>
    <row r="81">
      <c r="A81" s="190" t="n">
        <v>65</v>
      </c>
      <c r="B81" s="13">
        <f>IFERROR(VLOOKUP("D15",areaCercaDatiPerPosizioneSquadre,2,FALSE),"(D15)")</f>
        <v/>
      </c>
      <c r="C81" s="192" t="inlineStr">
        <is>
          <t>Girone D - 15a classificata</t>
        </is>
      </c>
      <c r="D81" s="9" t="n"/>
      <c r="E81" s="10" t="n"/>
    </row>
    <row r="82">
      <c r="A82" s="190" t="n">
        <v>65</v>
      </c>
      <c r="B82" s="13">
        <f>IFERROR(VLOOKUP("D16",areaCercaDatiPerPosizioneSquadre,2,FALSE),"(D16)")</f>
        <v/>
      </c>
      <c r="C82" s="192" t="inlineStr">
        <is>
          <t>Girone D - 16a classificata</t>
        </is>
      </c>
      <c r="D82" s="9" t="n"/>
      <c r="E82" s="10" t="n"/>
    </row>
    <row r="83">
      <c r="A83" s="190" t="n">
        <v>65</v>
      </c>
      <c r="B83" s="13">
        <f>IFERROR(VLOOKUP("D17",areaCercaDatiPerPosizioneSquadre,2,FALSE),"(D17)")</f>
        <v/>
      </c>
      <c r="C83" s="192" t="inlineStr">
        <is>
          <t>Girone D - 17a classificata</t>
        </is>
      </c>
      <c r="D83" s="9" t="n"/>
      <c r="E83" s="10" t="n"/>
    </row>
    <row r="84">
      <c r="A84" s="190" t="n">
        <v>65</v>
      </c>
      <c r="B84" s="13">
        <f>IFERROR(VLOOKUP("D18",areaCercaDatiPerPosizioneSquadre,2,FALSE),"(D18)")</f>
        <v/>
      </c>
      <c r="C84" s="192" t="inlineStr">
        <is>
          <t>Girone D - 18a classificata</t>
        </is>
      </c>
      <c r="D84" s="9" t="n"/>
      <c r="E84" s="10" t="n"/>
    </row>
    <row r="85">
      <c r="A85" s="190" t="n">
        <v>65</v>
      </c>
      <c r="B85" s="13">
        <f>IFERROR(VLOOKUP("D19",areaCercaDatiPerPosizioneSquadre,2,FALSE),"(D19)")</f>
        <v/>
      </c>
      <c r="C85" s="192" t="inlineStr">
        <is>
          <t>Girone D - 19a classificata</t>
        </is>
      </c>
      <c r="D85" s="9" t="n"/>
      <c r="E85" s="10" t="n"/>
    </row>
    <row r="86">
      <c r="A86" s="190" t="n">
        <v>65</v>
      </c>
      <c r="B86" s="13">
        <f>IFERROR(VLOOKUP("D20",areaCercaDatiPerPosizioneSquadre,2,FALSE),"(D20)")</f>
        <v/>
      </c>
      <c r="C86" s="192" t="inlineStr">
        <is>
          <t>Girone D - 20a classificata</t>
        </is>
      </c>
      <c r="D86" s="9" t="n"/>
      <c r="E86" s="10" t="n"/>
    </row>
    <row r="88">
      <c r="A88" s="51" t="inlineStr">
        <is>
          <t>Dalla 17a posizione in poi vale l'ordine dei rispettivi gironi, senza spareggi (prima i gironi con squadre ai playoff, poi gli altri, in ordine di lettera).</t>
        </is>
      </c>
    </row>
  </sheetData>
  <mergeCells count="85">
    <mergeCell ref="C44:E44"/>
    <mergeCell ref="C31:E31"/>
    <mergeCell ref="C80:E80"/>
    <mergeCell ref="C40:E40"/>
    <mergeCell ref="C21:E21"/>
    <mergeCell ref="C51:E51"/>
    <mergeCell ref="C60:E60"/>
    <mergeCell ref="C71:E71"/>
    <mergeCell ref="A1:C2"/>
    <mergeCell ref="C23:E23"/>
    <mergeCell ref="C7:E7"/>
    <mergeCell ref="C57:E57"/>
    <mergeCell ref="C18:E18"/>
    <mergeCell ref="C49:E49"/>
    <mergeCell ref="C77:E77"/>
    <mergeCell ref="C34:E34"/>
    <mergeCell ref="C42:E42"/>
    <mergeCell ref="C74:E74"/>
    <mergeCell ref="C20:E20"/>
    <mergeCell ref="C25:E25"/>
    <mergeCell ref="C85:E85"/>
    <mergeCell ref="C75:E75"/>
    <mergeCell ref="C84:E84"/>
    <mergeCell ref="C22:E22"/>
    <mergeCell ref="A3:C3"/>
    <mergeCell ref="C59:E59"/>
    <mergeCell ref="C12:E12"/>
    <mergeCell ref="C46:E46"/>
    <mergeCell ref="C52:E52"/>
    <mergeCell ref="C61:E61"/>
    <mergeCell ref="C39:E39"/>
    <mergeCell ref="C70:E70"/>
    <mergeCell ref="C48:E48"/>
    <mergeCell ref="C32:E32"/>
    <mergeCell ref="C38:E38"/>
    <mergeCell ref="C81:E81"/>
    <mergeCell ref="C13:E13"/>
    <mergeCell ref="C15:E15"/>
    <mergeCell ref="C24:E24"/>
    <mergeCell ref="C33:E33"/>
    <mergeCell ref="C79:E79"/>
    <mergeCell ref="C73:E73"/>
    <mergeCell ref="C26:E26"/>
    <mergeCell ref="C35:E35"/>
    <mergeCell ref="C63:E63"/>
    <mergeCell ref="C10:E10"/>
    <mergeCell ref="C16:E16"/>
    <mergeCell ref="C50:E50"/>
    <mergeCell ref="C55:E55"/>
    <mergeCell ref="C9:E9"/>
    <mergeCell ref="C36:E36"/>
    <mergeCell ref="C11:E11"/>
    <mergeCell ref="C67:E67"/>
    <mergeCell ref="C72:E72"/>
    <mergeCell ref="C28:E28"/>
    <mergeCell ref="C37:E37"/>
    <mergeCell ref="C69:E69"/>
    <mergeCell ref="C78:E78"/>
    <mergeCell ref="C30:E30"/>
    <mergeCell ref="E1:E3"/>
    <mergeCell ref="C6:E6"/>
    <mergeCell ref="C62:E62"/>
    <mergeCell ref="C14:E14"/>
    <mergeCell ref="C64:E64"/>
    <mergeCell ref="C54:E54"/>
    <mergeCell ref="C41:E41"/>
    <mergeCell ref="C56:E56"/>
    <mergeCell ref="C43:E43"/>
    <mergeCell ref="D1:D3"/>
    <mergeCell ref="C27:E27"/>
    <mergeCell ref="C76:E76"/>
    <mergeCell ref="C8:E8"/>
    <mergeCell ref="C17:E17"/>
    <mergeCell ref="C82:E82"/>
    <mergeCell ref="C66:E66"/>
    <mergeCell ref="C19:E19"/>
    <mergeCell ref="C53:E53"/>
    <mergeCell ref="C86:E86"/>
    <mergeCell ref="C68:E68"/>
    <mergeCell ref="C83:E83"/>
    <mergeCell ref="C58:E58"/>
    <mergeCell ref="C45:E45"/>
    <mergeCell ref="C29:E29"/>
    <mergeCell ref="C65:E65"/>
    <mergeCell ref="C47:E47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626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"DESIGNAZIONI - Stagione "&amp;constStagionaCampionato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inlineStr">
        <is>
          <t>KRUGER Gaelle [AAt]</t>
        </is>
      </c>
      <c r="N10" s="196" t="inlineStr">
        <is>
          <t>FOURNIER Matteo [AAt]</t>
        </is>
      </c>
      <c r="O10" s="196" t="inlineStr">
        <is>
          <t>NADAUD Paula [Aest]</t>
        </is>
      </c>
      <c r="P10" s="196" t="inlineStr">
        <is>
          <t>SANTORI Filippo</t>
        </is>
      </c>
      <c r="Q10" s="196" t="inlineStr">
        <is>
          <t>ORTEGA Jonas</t>
        </is>
      </c>
      <c r="R10" s="196" t="inlineStr">
        <is>
          <t>VOGEL Sofia</t>
        </is>
      </c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inlineStr">
        <is>
          <t>FUENTES Irene [AA]</t>
        </is>
      </c>
      <c r="N13" s="196" t="inlineStr">
        <is>
          <t>GAUTHIER Elena [AA]</t>
        </is>
      </c>
      <c r="O13" s="196" t="inlineStr">
        <is>
          <t>AUBERT Beatrice [AA]</t>
        </is>
      </c>
      <c r="P13" s="196" t="inlineStr">
        <is>
          <t>SCHAFER Lucia</t>
        </is>
      </c>
      <c r="Q13" s="196" t="inlineStr">
        <is>
          <t>PELLEGRI Eva</t>
        </is>
      </c>
      <c r="R13" s="196" t="inlineStr">
        <is>
          <t>VOGEL Sofia</t>
        </is>
      </c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inlineStr">
        <is>
          <t>ZUPAN Beatrice [AAt]</t>
        </is>
      </c>
      <c r="N16" s="196" t="inlineStr">
        <is>
          <t>ROTH Andrea [AAt]</t>
        </is>
      </c>
      <c r="O16" s="196" t="inlineStr">
        <is>
          <t>LANGER Hugo [AA]</t>
        </is>
      </c>
      <c r="P16" s="196" t="inlineStr">
        <is>
          <t>CASTILLO Martina</t>
        </is>
      </c>
      <c r="Q16" s="196" t="inlineStr">
        <is>
          <t>LEFEVRE Mathilde</t>
        </is>
      </c>
      <c r="R16" s="196" t="inlineStr">
        <is>
          <t>NOVAK Ilaria</t>
        </is>
      </c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inlineStr">
        <is>
          <t>NAVARRO Martina [A]</t>
        </is>
      </c>
      <c r="N19" s="196" t="inlineStr">
        <is>
          <t>ROSSINI Sofia [AA]</t>
        </is>
      </c>
      <c r="O19" s="196" t="inlineStr">
        <is>
          <t>KOVAC Diego [AAt]</t>
        </is>
      </c>
      <c r="P19" s="196" t="inlineStr">
        <is>
          <t>FUENTES Beatrice</t>
        </is>
      </c>
      <c r="Q19" s="196" t="inlineStr">
        <is>
          <t>PRADO Eva</t>
        </is>
      </c>
      <c r="R19" s="196" t="inlineStr">
        <is>
          <t>ZUPAN Noemi</t>
        </is>
      </c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inlineStr">
        <is>
          <t>ENGEL Filippo [A]</t>
        </is>
      </c>
      <c r="N22" s="196" t="inlineStr">
        <is>
          <t>MOREAU Pablo [AAt]</t>
        </is>
      </c>
      <c r="O22" s="196" t="inlineStr">
        <is>
          <t>MARCHIONI Miha [Aest]</t>
        </is>
      </c>
      <c r="P22" s="196" t="inlineStr">
        <is>
          <t>ORTEGA Stefano</t>
        </is>
      </c>
      <c r="Q22" s="196" t="inlineStr">
        <is>
          <t>HORVAT Irene</t>
        </is>
      </c>
      <c r="R22" s="196" t="inlineStr">
        <is>
          <t>HORVAT Lukas</t>
        </is>
      </c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inlineStr">
        <is>
          <t>FERRANTE Filippo [AAt]</t>
        </is>
      </c>
      <c r="N25" s="196" t="inlineStr">
        <is>
          <t>CARON Davide [Aest]</t>
        </is>
      </c>
      <c r="O25" s="196" t="inlineStr">
        <is>
          <t>CONTARDI Beatrice [AAt]</t>
        </is>
      </c>
      <c r="P25" s="196" t="inlineStr">
        <is>
          <t>FOURNIER Miha</t>
        </is>
      </c>
      <c r="Q25" s="196" t="inlineStr">
        <is>
          <t>CAMPOS Anja</t>
        </is>
      </c>
      <c r="R25" s="196" t="inlineStr">
        <is>
          <t>VALLET Stefano</t>
        </is>
      </c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inlineStr">
        <is>
          <t>NADAUD Lucia [AA]</t>
        </is>
      </c>
      <c r="N28" s="196" t="inlineStr">
        <is>
          <t>CARON Martina [AAt]</t>
        </is>
      </c>
      <c r="O28" s="196" t="inlineStr">
        <is>
          <t>NOVAK Beatrice [Aest]</t>
        </is>
      </c>
      <c r="P28" s="196" t="inlineStr">
        <is>
          <t>SOLER Gaelle</t>
        </is>
      </c>
      <c r="Q28" s="196" t="inlineStr">
        <is>
          <t>PRADO Elena</t>
        </is>
      </c>
      <c r="R28" s="196" t="inlineStr">
        <is>
          <t>KOVAC Paolo</t>
        </is>
      </c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inlineStr">
        <is>
          <t>CONTARDI Lucia [AA]</t>
        </is>
      </c>
      <c r="N31" s="196" t="inlineStr">
        <is>
          <t>KRAJNC Nicola [A]</t>
        </is>
      </c>
      <c r="O31" s="196" t="inlineStr">
        <is>
          <t>BLANCHET Valerie [A]</t>
        </is>
      </c>
      <c r="P31" s="196" t="inlineStr">
        <is>
          <t>LEROUX Beatrice</t>
        </is>
      </c>
      <c r="Q31" s="196" t="inlineStr">
        <is>
          <t>KOVAC Nicola</t>
        </is>
      </c>
      <c r="R31" s="196" t="inlineStr">
        <is>
          <t>FERRANTE Andrea</t>
        </is>
      </c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inlineStr">
        <is>
          <t>ROTH Lucia [A]</t>
        </is>
      </c>
      <c r="N34" s="196" t="inlineStr">
        <is>
          <t>WEBER Marco [AAt]</t>
        </is>
      </c>
      <c r="O34" s="196" t="inlineStr">
        <is>
          <t>LEFEVRE Vid [A]</t>
        </is>
      </c>
      <c r="P34" s="196" t="inlineStr">
        <is>
          <t>ROSSINI Pablo</t>
        </is>
      </c>
      <c r="Q34" s="196" t="inlineStr">
        <is>
          <t>ZUPAN Irene</t>
        </is>
      </c>
      <c r="R34" s="196" t="inlineStr">
        <is>
          <t>PRADO Alenka</t>
        </is>
      </c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inlineStr">
        <is>
          <t>CASTILLO Ilaria [AAt]</t>
        </is>
      </c>
      <c r="N37" s="196" t="inlineStr">
        <is>
          <t>BELLANDI Andrea [AA]</t>
        </is>
      </c>
      <c r="O37" s="196" t="inlineStr">
        <is>
          <t>CAMPOS Jonas [AAt]</t>
        </is>
      </c>
      <c r="P37" s="196" t="inlineStr">
        <is>
          <t>FUENTES Anja</t>
        </is>
      </c>
      <c r="Q37" s="196" t="inlineStr">
        <is>
          <t>VOGEL Sofia</t>
        </is>
      </c>
      <c r="R37" s="196" t="inlineStr">
        <is>
          <t>BLANCO Ottavia</t>
        </is>
      </c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inlineStr">
        <is>
          <t>VALLET Martina [Aest]</t>
        </is>
      </c>
      <c r="N42" s="196" t="inlineStr">
        <is>
          <t>AUBERT Filippo [AA]</t>
        </is>
      </c>
      <c r="O42" s="196" t="inlineStr">
        <is>
          <t>KELLER Marco [Aest]</t>
        </is>
      </c>
      <c r="P42" s="196" t="inlineStr">
        <is>
          <t>IGLESIAS Eva</t>
        </is>
      </c>
      <c r="Q42" s="196" t="inlineStr">
        <is>
          <t>BRANDT Beatrice</t>
        </is>
      </c>
      <c r="R42" s="196" t="inlineStr">
        <is>
          <t>BRANDT Paolo</t>
        </is>
      </c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inlineStr">
        <is>
          <t>MARCHIONI Lea [AAt]</t>
        </is>
      </c>
      <c r="N45" s="196" t="inlineStr">
        <is>
          <t>FOURNIER Ottavia [A]</t>
        </is>
      </c>
      <c r="O45" s="196" t="inlineStr">
        <is>
          <t>ROSSINI Paula [AAt]</t>
        </is>
      </c>
      <c r="P45" s="196" t="inlineStr">
        <is>
          <t>BLANCO Elena</t>
        </is>
      </c>
      <c r="Q45" s="196" t="inlineStr">
        <is>
          <t>PRADO Eva</t>
        </is>
      </c>
      <c r="R45" s="196" t="inlineStr">
        <is>
          <t>SANTORI Pablo</t>
        </is>
      </c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inlineStr">
        <is>
          <t>VALLET Martina [Aest]</t>
        </is>
      </c>
      <c r="N48" s="196" t="inlineStr">
        <is>
          <t>VIDMAR Greta [Aest]</t>
        </is>
      </c>
      <c r="O48" s="196" t="inlineStr">
        <is>
          <t>CAMPOS Jonas [AAt]</t>
        </is>
      </c>
      <c r="P48" s="196" t="inlineStr">
        <is>
          <t>GAUTHIER Irene</t>
        </is>
      </c>
      <c r="Q48" s="196" t="inlineStr">
        <is>
          <t>KOVAC Felix</t>
        </is>
      </c>
      <c r="R48" s="196" t="inlineStr">
        <is>
          <t>LEROUX Beatrice</t>
        </is>
      </c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inlineStr">
        <is>
          <t>NAVARRO Gaelle [A]</t>
        </is>
      </c>
      <c r="N51" s="196" t="inlineStr">
        <is>
          <t>KOVAC Diego [AAt]</t>
        </is>
      </c>
      <c r="O51" s="196" t="inlineStr">
        <is>
          <t>KRAJNC Lukas [Aest]</t>
        </is>
      </c>
      <c r="P51" s="196" t="inlineStr">
        <is>
          <t>IGLESIAS Alenka</t>
        </is>
      </c>
      <c r="Q51" s="196" t="inlineStr">
        <is>
          <t>HOFFMANN Tommaso</t>
        </is>
      </c>
      <c r="R51" s="196" t="inlineStr">
        <is>
          <t>ENGEL Tommaso</t>
        </is>
      </c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inlineStr">
        <is>
          <t>ZUPAN Diego [AA]</t>
        </is>
      </c>
      <c r="N54" s="196" t="inlineStr">
        <is>
          <t>AUBERT Beatrice [AA]</t>
        </is>
      </c>
      <c r="O54" s="196" t="inlineStr">
        <is>
          <t>ENGEL Lea [AAt]</t>
        </is>
      </c>
      <c r="P54" s="196" t="inlineStr">
        <is>
          <t>ROTH Lukas</t>
        </is>
      </c>
      <c r="Q54" s="196" t="inlineStr">
        <is>
          <t>FERRANTE Mathilde</t>
        </is>
      </c>
      <c r="R54" s="196" t="inlineStr">
        <is>
          <t>ORTEGA Felix</t>
        </is>
      </c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inlineStr">
        <is>
          <t>SCHAFER Stefano [A]</t>
        </is>
      </c>
      <c r="N57" s="196" t="inlineStr">
        <is>
          <t>PELLEGRI Chiara [AAt]</t>
        </is>
      </c>
      <c r="O57" s="196" t="inlineStr">
        <is>
          <t>CONTARDI Giulia [AAt]</t>
        </is>
      </c>
      <c r="P57" s="196" t="inlineStr">
        <is>
          <t>CASTILLO Davide</t>
        </is>
      </c>
      <c r="Q57" s="196" t="inlineStr">
        <is>
          <t>SANTORI Filippo</t>
        </is>
      </c>
      <c r="R57" s="196" t="inlineStr">
        <is>
          <t>CONTARDI Felix</t>
        </is>
      </c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inlineStr">
        <is>
          <t>CASTILLO Paolo [AAt]</t>
        </is>
      </c>
      <c r="N60" s="196" t="inlineStr">
        <is>
          <t>ROTH Sofia [A]</t>
        </is>
      </c>
      <c r="O60" s="196" t="inlineStr">
        <is>
          <t>HOFFMANN Filippo [AA]</t>
        </is>
      </c>
      <c r="P60" s="196" t="inlineStr">
        <is>
          <t>MOREAU Vid</t>
        </is>
      </c>
      <c r="Q60" s="196" t="inlineStr">
        <is>
          <t>BLANCHET Luca</t>
        </is>
      </c>
      <c r="R60" s="196" t="inlineStr">
        <is>
          <t>HORVAT Matteo</t>
        </is>
      </c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inlineStr">
        <is>
          <t>ORTEGA Elena [Aest]</t>
        </is>
      </c>
      <c r="N63" s="196" t="inlineStr">
        <is>
          <t>KRUGER Sofia [A]</t>
        </is>
      </c>
      <c r="O63" s="196" t="inlineStr">
        <is>
          <t>PRADO Marco [AAt]</t>
        </is>
      </c>
      <c r="P63" s="196" t="inlineStr">
        <is>
          <t>BIANCHELLI Mathilde</t>
        </is>
      </c>
      <c r="Q63" s="196" t="inlineStr">
        <is>
          <t>BRANDT Paolo</t>
        </is>
      </c>
      <c r="R63" s="196" t="inlineStr">
        <is>
          <t>ORTEGA Marta</t>
        </is>
      </c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inlineStr">
        <is>
          <t>ROSSINI Beatrice [Aest]</t>
        </is>
      </c>
      <c r="N66" s="196" t="inlineStr">
        <is>
          <t>FOURNIER Ottavia [A]</t>
        </is>
      </c>
      <c r="O66" s="196" t="inlineStr">
        <is>
          <t>MODIC Lukas [AAt]</t>
        </is>
      </c>
      <c r="P66" s="196" t="inlineStr">
        <is>
          <t>IGLESIAS Paula</t>
        </is>
      </c>
      <c r="Q66" s="196" t="inlineStr">
        <is>
          <t>KELLER Stefano</t>
        </is>
      </c>
      <c r="R66" s="196" t="inlineStr">
        <is>
          <t>ROTH Katrin</t>
        </is>
      </c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inlineStr">
        <is>
          <t>FOURNIER Andrea [AA]</t>
        </is>
      </c>
      <c r="N69" s="196" t="inlineStr">
        <is>
          <t>MARCHIONI Paolo [AAt]</t>
        </is>
      </c>
      <c r="O69" s="196" t="inlineStr">
        <is>
          <t>KELLER Felix [AAt]</t>
        </is>
      </c>
      <c r="P69" s="196" t="inlineStr">
        <is>
          <t>KOVAC Felix</t>
        </is>
      </c>
      <c r="Q69" s="196" t="inlineStr">
        <is>
          <t>BELLANDI Hugo</t>
        </is>
      </c>
      <c r="R69" s="196" t="inlineStr">
        <is>
          <t>LEFEVRE Filippo</t>
        </is>
      </c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inlineStr">
        <is>
          <t>NADAUD Lucia [AA]</t>
        </is>
      </c>
      <c r="N74" s="196" t="inlineStr">
        <is>
          <t>LEFEVRE Paula [A]</t>
        </is>
      </c>
      <c r="O74" s="196" t="inlineStr">
        <is>
          <t>VOGEL Martina [AA]</t>
        </is>
      </c>
      <c r="P74" s="196" t="inlineStr">
        <is>
          <t>SCHAFER Katrin</t>
        </is>
      </c>
      <c r="Q74" s="196" t="inlineStr">
        <is>
          <t>FUENTES Chiara</t>
        </is>
      </c>
      <c r="R74" s="196" t="inlineStr">
        <is>
          <t>NADAUD Nicola</t>
        </is>
      </c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inlineStr">
        <is>
          <t>ROSSINI Martina [AAt]</t>
        </is>
      </c>
      <c r="N77" s="196" t="inlineStr">
        <is>
          <t>LANGER Sofia [A]</t>
        </is>
      </c>
      <c r="O77" s="196" t="inlineStr">
        <is>
          <t>LEROUX Hugo [Aest]</t>
        </is>
      </c>
      <c r="P77" s="196" t="inlineStr">
        <is>
          <t>ROMERO Greta</t>
        </is>
      </c>
      <c r="Q77" s="196" t="inlineStr">
        <is>
          <t>ZUPAN Paula</t>
        </is>
      </c>
      <c r="R77" s="196" t="inlineStr">
        <is>
          <t>LANGER Valerie</t>
        </is>
      </c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inlineStr">
        <is>
          <t>BRANDT Stefano [AAt]</t>
        </is>
      </c>
      <c r="N80" s="196" t="inlineStr">
        <is>
          <t>PELLEGRI Valerie [AA]</t>
        </is>
      </c>
      <c r="O80" s="196" t="inlineStr">
        <is>
          <t>CARON Vid [A]</t>
        </is>
      </c>
      <c r="P80" s="196" t="inlineStr">
        <is>
          <t>KRAJNC Tommaso</t>
        </is>
      </c>
      <c r="Q80" s="196" t="inlineStr">
        <is>
          <t>VOGEL Irene</t>
        </is>
      </c>
      <c r="R80" s="196" t="inlineStr">
        <is>
          <t>GAUTHIER Filippo</t>
        </is>
      </c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inlineStr">
        <is>
          <t>VALLET Felix [A]</t>
        </is>
      </c>
      <c r="N83" s="196" t="inlineStr">
        <is>
          <t>KELLER Chiara [AAt]</t>
        </is>
      </c>
      <c r="O83" s="196" t="inlineStr">
        <is>
          <t>NADAUD Hugo [AAt]</t>
        </is>
      </c>
      <c r="P83" s="196" t="inlineStr">
        <is>
          <t>PETERLIN Martina</t>
        </is>
      </c>
      <c r="Q83" s="196" t="inlineStr">
        <is>
          <t>SANTORI Pablo</t>
        </is>
      </c>
      <c r="R83" s="196" t="inlineStr">
        <is>
          <t>IGLESIAS Paula</t>
        </is>
      </c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inlineStr">
        <is>
          <t>KELLER Andrea [Aest]</t>
        </is>
      </c>
      <c r="N86" s="196" t="inlineStr">
        <is>
          <t>PETERLIN Mathilde [Aest]</t>
        </is>
      </c>
      <c r="O86" s="196" t="inlineStr">
        <is>
          <t>CARON Elena [A]</t>
        </is>
      </c>
      <c r="P86" s="196" t="inlineStr">
        <is>
          <t>NADAUD Ilaria</t>
        </is>
      </c>
      <c r="Q86" s="196" t="inlineStr">
        <is>
          <t>HOFFMANN Paolo</t>
        </is>
      </c>
      <c r="R86" s="196" t="inlineStr">
        <is>
          <t>VIDMAR Chiara</t>
        </is>
      </c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inlineStr">
        <is>
          <t>ENGEL Marco [AA]</t>
        </is>
      </c>
      <c r="N89" s="196" t="inlineStr">
        <is>
          <t>ENGEL Noemi [Aest]</t>
        </is>
      </c>
      <c r="O89" s="196" t="inlineStr">
        <is>
          <t>FUENTES Marta [Aest]</t>
        </is>
      </c>
      <c r="P89" s="196" t="inlineStr">
        <is>
          <t>KELLER Matteo</t>
        </is>
      </c>
      <c r="Q89" s="196" t="inlineStr">
        <is>
          <t>FERRANTE Greta</t>
        </is>
      </c>
      <c r="R89" s="196" t="inlineStr">
        <is>
          <t>AUBERT Paolo</t>
        </is>
      </c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inlineStr">
        <is>
          <t>CARON Elena [A]</t>
        </is>
      </c>
      <c r="N92" s="196" t="inlineStr">
        <is>
          <t>WEBER Andrea [AAt]</t>
        </is>
      </c>
      <c r="O92" s="196" t="inlineStr">
        <is>
          <t>MOREAU Andrea [AAt]</t>
        </is>
      </c>
      <c r="P92" s="196" t="inlineStr">
        <is>
          <t>VALLET Stefano</t>
        </is>
      </c>
      <c r="Q92" s="196" t="inlineStr">
        <is>
          <t>GAUTHIER Andrea</t>
        </is>
      </c>
      <c r="R92" s="196" t="inlineStr">
        <is>
          <t>ROSSINI Pablo</t>
        </is>
      </c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inlineStr">
        <is>
          <t>MARCHIONI Marco [Aest]</t>
        </is>
      </c>
      <c r="N95" s="196" t="inlineStr">
        <is>
          <t>NAVARRO Gaelle [A]</t>
        </is>
      </c>
      <c r="O95" s="196" t="inlineStr">
        <is>
          <t>BIANCHELLI Martina [AAt]</t>
        </is>
      </c>
      <c r="P95" s="196" t="inlineStr">
        <is>
          <t>ROTH Hugo</t>
        </is>
      </c>
      <c r="Q95" s="196" t="inlineStr">
        <is>
          <t>BIANCHELLI Valerie</t>
        </is>
      </c>
      <c r="R95" s="196" t="inlineStr">
        <is>
          <t>NAVARRO Lea</t>
        </is>
      </c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inlineStr">
        <is>
          <t>CONTARDI Marta [Aest]</t>
        </is>
      </c>
      <c r="N98" s="196" t="inlineStr">
        <is>
          <t>ROSSINI Sofia [AA]</t>
        </is>
      </c>
      <c r="O98" s="196" t="inlineStr">
        <is>
          <t>KELLER Felix [AAt]</t>
        </is>
      </c>
      <c r="P98" s="196" t="inlineStr">
        <is>
          <t>HOFFMANN Chiara</t>
        </is>
      </c>
      <c r="Q98" s="196" t="inlineStr">
        <is>
          <t>SEVER Davide</t>
        </is>
      </c>
      <c r="R98" s="196" t="inlineStr">
        <is>
          <t>FOURNIER Elena</t>
        </is>
      </c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inlineStr">
        <is>
          <t>SOLER Stefano [A]</t>
        </is>
      </c>
      <c r="N101" s="196" t="inlineStr">
        <is>
          <t>IGLESIAS Giulia [AAt]</t>
        </is>
      </c>
      <c r="O101" s="196" t="inlineStr">
        <is>
          <t>ROTH Martina [AA]</t>
        </is>
      </c>
      <c r="P101" s="196" t="inlineStr">
        <is>
          <t>KELLER Ottavia</t>
        </is>
      </c>
      <c r="Q101" s="196" t="inlineStr">
        <is>
          <t>HORVAT Matteo</t>
        </is>
      </c>
      <c r="R101" s="196" t="inlineStr">
        <is>
          <t>KELLER Matteo</t>
        </is>
      </c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inlineStr">
        <is>
          <t>HORVAT Marco [AA]</t>
        </is>
      </c>
      <c r="N106" s="196" t="inlineStr">
        <is>
          <t>LEROUX Elena [AA]</t>
        </is>
      </c>
      <c r="O106" s="196" t="inlineStr">
        <is>
          <t>VOGEL Giulia [Aest]</t>
        </is>
      </c>
      <c r="P106" s="196" t="inlineStr">
        <is>
          <t>HORVAT Matteo</t>
        </is>
      </c>
      <c r="Q106" s="196" t="inlineStr">
        <is>
          <t>WEBER Filippo</t>
        </is>
      </c>
      <c r="R106" s="196" t="inlineStr">
        <is>
          <t>CASTILLO Elena</t>
        </is>
      </c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inlineStr">
        <is>
          <t>LEROUX Elena [AA]</t>
        </is>
      </c>
      <c r="N109" s="196" t="inlineStr">
        <is>
          <t>ROMERO Matteo [Aest]</t>
        </is>
      </c>
      <c r="O109" s="196" t="inlineStr">
        <is>
          <t>BIANCHELLI Filippo [AAt]</t>
        </is>
      </c>
      <c r="P109" s="196" t="inlineStr">
        <is>
          <t>VIDMAR Paula</t>
        </is>
      </c>
      <c r="Q109" s="196" t="inlineStr">
        <is>
          <t>VIDMAR Ilaria</t>
        </is>
      </c>
      <c r="R109" s="196" t="inlineStr">
        <is>
          <t>MORETTO Anja</t>
        </is>
      </c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inlineStr">
        <is>
          <t>GAUTHIER Irene [Aest]</t>
        </is>
      </c>
      <c r="N112" s="196" t="inlineStr">
        <is>
          <t>SOLER Marta [AAt]</t>
        </is>
      </c>
      <c r="O112" s="196" t="inlineStr">
        <is>
          <t>BLANCHET Valerie [A]</t>
        </is>
      </c>
      <c r="P112" s="196" t="inlineStr">
        <is>
          <t>FERRANTE Martina</t>
        </is>
      </c>
      <c r="Q112" s="196" t="inlineStr">
        <is>
          <t>VOGEL Davide</t>
        </is>
      </c>
      <c r="R112" s="196" t="inlineStr">
        <is>
          <t>FUENTES Matteo</t>
        </is>
      </c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inlineStr">
        <is>
          <t>CAMPOS Jonas [AAt]</t>
        </is>
      </c>
      <c r="N115" s="196" t="inlineStr">
        <is>
          <t>SOLER Davide [A]</t>
        </is>
      </c>
      <c r="O115" s="196" t="inlineStr">
        <is>
          <t>VOGEL Martina [AA]</t>
        </is>
      </c>
      <c r="P115" s="196" t="inlineStr">
        <is>
          <t>MOREAU Vid</t>
        </is>
      </c>
      <c r="Q115" s="196" t="inlineStr">
        <is>
          <t>BLANCHET Jonas</t>
        </is>
      </c>
      <c r="R115" s="196" t="inlineStr">
        <is>
          <t>BLANCHET Marta</t>
        </is>
      </c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inlineStr">
        <is>
          <t>CASTILLO Lucia [AA]</t>
        </is>
      </c>
      <c r="N118" s="196" t="inlineStr">
        <is>
          <t>MARCHIONI Miha [Aest]</t>
        </is>
      </c>
      <c r="O118" s="196" t="inlineStr">
        <is>
          <t>FOURNIER Tommaso [AA]</t>
        </is>
      </c>
      <c r="P118" s="196" t="inlineStr">
        <is>
          <t>VALLET Miha</t>
        </is>
      </c>
      <c r="Q118" s="196" t="inlineStr">
        <is>
          <t>CASTILLO Noemi</t>
        </is>
      </c>
      <c r="R118" s="196" t="inlineStr">
        <is>
          <t>MOREAU Vid</t>
        </is>
      </c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inlineStr">
        <is>
          <t>KRAJNC Lukas [Aest]</t>
        </is>
      </c>
      <c r="N121" s="196" t="inlineStr">
        <is>
          <t>KRUGER Ilaria [A]</t>
        </is>
      </c>
      <c r="O121" s="196" t="inlineStr">
        <is>
          <t>GALLINI Lukas [AA]</t>
        </is>
      </c>
      <c r="P121" s="196" t="inlineStr">
        <is>
          <t>GAUTHIER Andrea</t>
        </is>
      </c>
      <c r="Q121" s="196" t="inlineStr">
        <is>
          <t>GAUTHIER Irene</t>
        </is>
      </c>
      <c r="R121" s="196" t="inlineStr">
        <is>
          <t>PRADO Elena</t>
        </is>
      </c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inlineStr">
        <is>
          <t>ENGEL Stefano [AAt]</t>
        </is>
      </c>
      <c r="N124" s="196" t="inlineStr">
        <is>
          <t>KRUGER Gaelle [AAt]</t>
        </is>
      </c>
      <c r="O124" s="196" t="inlineStr">
        <is>
          <t>LEROUX Hugo [Aest]</t>
        </is>
      </c>
      <c r="P124" s="196" t="inlineStr">
        <is>
          <t>ENGEL Nicola</t>
        </is>
      </c>
      <c r="Q124" s="196" t="inlineStr">
        <is>
          <t>MARCHIONI Nicola</t>
        </is>
      </c>
      <c r="R124" s="196" t="inlineStr">
        <is>
          <t>LEROUX Gaelle</t>
        </is>
      </c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inlineStr">
        <is>
          <t>FOURNIER Tommaso [AA]</t>
        </is>
      </c>
      <c r="N127" s="196" t="inlineStr">
        <is>
          <t>SEVER Diego [A]</t>
        </is>
      </c>
      <c r="O127" s="196" t="inlineStr">
        <is>
          <t>LEROUX Diego [AAt]</t>
        </is>
      </c>
      <c r="P127" s="196" t="inlineStr">
        <is>
          <t>BIANCHELLI Davide</t>
        </is>
      </c>
      <c r="Q127" s="196" t="inlineStr">
        <is>
          <t>LEROUX Paolo</t>
        </is>
      </c>
      <c r="R127" s="196" t="inlineStr">
        <is>
          <t>WEBER Irene</t>
        </is>
      </c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inlineStr">
        <is>
          <t>BLANCHET Diego [A]</t>
        </is>
      </c>
      <c r="N130" s="196" t="inlineStr">
        <is>
          <t>VIDMAR Noemi [AA]</t>
        </is>
      </c>
      <c r="O130" s="196" t="inlineStr">
        <is>
          <t>KRUGER Sofia [A]</t>
        </is>
      </c>
      <c r="P130" s="196" t="inlineStr">
        <is>
          <t>SOLER Pablo</t>
        </is>
      </c>
      <c r="Q130" s="196" t="inlineStr">
        <is>
          <t>SOLER Stefano</t>
        </is>
      </c>
      <c r="R130" s="196" t="inlineStr">
        <is>
          <t>BLANCO Eva</t>
        </is>
      </c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inlineStr">
        <is>
          <t>MORETTO Jonas [AAt]</t>
        </is>
      </c>
      <c r="N133" s="196" t="inlineStr">
        <is>
          <t>VIDMAR Noemi [AA]</t>
        </is>
      </c>
      <c r="O133" s="196" t="inlineStr">
        <is>
          <t>GALLINI Gaelle [A]</t>
        </is>
      </c>
      <c r="P133" s="196" t="inlineStr">
        <is>
          <t>PRADO Eva</t>
        </is>
      </c>
      <c r="Q133" s="196" t="inlineStr">
        <is>
          <t>MODIC Marco</t>
        </is>
      </c>
      <c r="R133" s="196" t="inlineStr">
        <is>
          <t>SCHAFER Sofia</t>
        </is>
      </c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inlineStr">
        <is>
          <t>PRADO Marco [AAt]</t>
        </is>
      </c>
      <c r="N138" s="196" t="inlineStr">
        <is>
          <t>BELLANDI Vid [Aest]</t>
        </is>
      </c>
      <c r="O138" s="196" t="inlineStr">
        <is>
          <t>ROSSINI Paula [AAt]</t>
        </is>
      </c>
      <c r="P138" s="196" t="inlineStr">
        <is>
          <t>PELLEGRI Eva</t>
        </is>
      </c>
      <c r="Q138" s="196" t="inlineStr">
        <is>
          <t>SEVER Davide</t>
        </is>
      </c>
      <c r="R138" s="196" t="inlineStr">
        <is>
          <t>BELLANDI Hugo</t>
        </is>
      </c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inlineStr">
        <is>
          <t>NAVARRO Miha [A]</t>
        </is>
      </c>
      <c r="N141" s="196" t="inlineStr">
        <is>
          <t>FUENTES Marta [Aest]</t>
        </is>
      </c>
      <c r="O141" s="196" t="inlineStr">
        <is>
          <t>MARCHIONI Matteo [AAt]</t>
        </is>
      </c>
      <c r="P141" s="196" t="inlineStr">
        <is>
          <t>PRADO Lea</t>
        </is>
      </c>
      <c r="Q141" s="196" t="inlineStr">
        <is>
          <t>VOGEL Sofia</t>
        </is>
      </c>
      <c r="R141" s="196" t="inlineStr">
        <is>
          <t>ENGEL Ottavia</t>
        </is>
      </c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inlineStr">
        <is>
          <t>NADAUD Hugo [AAt]</t>
        </is>
      </c>
      <c r="N144" s="196" t="inlineStr">
        <is>
          <t>KRAJNC Marta [Aest]</t>
        </is>
      </c>
      <c r="O144" s="196" t="inlineStr">
        <is>
          <t>CONTARDI Beatrice [AAt]</t>
        </is>
      </c>
      <c r="P144" s="196" t="inlineStr">
        <is>
          <t>HORVAT Lukas</t>
        </is>
      </c>
      <c r="Q144" s="196" t="inlineStr">
        <is>
          <t>GAUTHIER Pablo</t>
        </is>
      </c>
      <c r="R144" s="196" t="inlineStr">
        <is>
          <t>ROMERO Greta</t>
        </is>
      </c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inlineStr">
        <is>
          <t>KRUGER Lea [AA]</t>
        </is>
      </c>
      <c r="N147" s="196" t="inlineStr">
        <is>
          <t>KELLER Mathilde [Aest]</t>
        </is>
      </c>
      <c r="O147" s="196" t="inlineStr">
        <is>
          <t>PELLEGRI Paolo [AAt]</t>
        </is>
      </c>
      <c r="P147" s="196" t="inlineStr">
        <is>
          <t>KELLER Ottavia</t>
        </is>
      </c>
      <c r="Q147" s="196" t="inlineStr">
        <is>
          <t>SEVER Davide</t>
        </is>
      </c>
      <c r="R147" s="196" t="inlineStr">
        <is>
          <t>SOLER Marta</t>
        </is>
      </c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inlineStr">
        <is>
          <t>PRADO Marco [AAt]</t>
        </is>
      </c>
      <c r="N150" s="196" t="inlineStr">
        <is>
          <t>LEROUX Hugo [Aest]</t>
        </is>
      </c>
      <c r="O150" s="196" t="inlineStr">
        <is>
          <t>VOGEL Andrea [A]</t>
        </is>
      </c>
      <c r="P150" s="196" t="inlineStr">
        <is>
          <t>BIANCHELLI Davide</t>
        </is>
      </c>
      <c r="Q150" s="196" t="inlineStr">
        <is>
          <t>FERRANTE Andrea</t>
        </is>
      </c>
      <c r="R150" s="196" t="inlineStr">
        <is>
          <t>ZUPAN Katrin</t>
        </is>
      </c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inlineStr">
        <is>
          <t>WEBER Nicola [AAt]</t>
        </is>
      </c>
      <c r="N153" s="196" t="inlineStr">
        <is>
          <t>KRAJNC Lukas [Aest]</t>
        </is>
      </c>
      <c r="O153" s="196" t="inlineStr">
        <is>
          <t>PELLEGRI Valerie [AA]</t>
        </is>
      </c>
      <c r="P153" s="196" t="inlineStr">
        <is>
          <t>NAVARRO Lea</t>
        </is>
      </c>
      <c r="Q153" s="196" t="inlineStr">
        <is>
          <t>FOURNIER Elena</t>
        </is>
      </c>
      <c r="R153" s="196" t="inlineStr">
        <is>
          <t>ENGEL Mathilde</t>
        </is>
      </c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inlineStr">
        <is>
          <t>MOREAU Martina [Aest]</t>
        </is>
      </c>
      <c r="N156" s="196" t="inlineStr">
        <is>
          <t>GALLINI Gaelle [A]</t>
        </is>
      </c>
      <c r="O156" s="196" t="inlineStr">
        <is>
          <t>WEBER Lucia [AA]</t>
        </is>
      </c>
      <c r="P156" s="196" t="inlineStr">
        <is>
          <t>BLANCO Lukas</t>
        </is>
      </c>
      <c r="Q156" s="196" t="inlineStr">
        <is>
          <t>HORVAT Pablo</t>
        </is>
      </c>
      <c r="R156" s="196" t="inlineStr">
        <is>
          <t>FERRANTE Andrea</t>
        </is>
      </c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inlineStr">
        <is>
          <t>ENGEL Diego [A]</t>
        </is>
      </c>
      <c r="N159" s="196" t="inlineStr">
        <is>
          <t>MODIC Lukas [AAt]</t>
        </is>
      </c>
      <c r="O159" s="196" t="inlineStr">
        <is>
          <t>MARCHIONI Lea [AAt]</t>
        </is>
      </c>
      <c r="P159" s="196" t="inlineStr">
        <is>
          <t>ROMERO Giulia</t>
        </is>
      </c>
      <c r="Q159" s="196" t="inlineStr">
        <is>
          <t>KRUGER Giulia</t>
        </is>
      </c>
      <c r="R159" s="196" t="inlineStr">
        <is>
          <t>ZUPAN Paula</t>
        </is>
      </c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inlineStr">
        <is>
          <t>KRAJNC Lukas [Aest]</t>
        </is>
      </c>
      <c r="N162" s="196" t="inlineStr">
        <is>
          <t>CAMPOS Ilaria [A]</t>
        </is>
      </c>
      <c r="O162" s="196" t="inlineStr">
        <is>
          <t>LEFEVRE Filippo [AA]</t>
        </is>
      </c>
      <c r="P162" s="196" t="inlineStr">
        <is>
          <t>ORTEGA Andrea</t>
        </is>
      </c>
      <c r="Q162" s="196" t="inlineStr">
        <is>
          <t>SANTORI Pablo</t>
        </is>
      </c>
      <c r="R162" s="196" t="inlineStr">
        <is>
          <t>ROMERO Alenka</t>
        </is>
      </c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inlineStr">
        <is>
          <t>LEFEVRE Vid [A]</t>
        </is>
      </c>
      <c r="N165" s="196" t="inlineStr">
        <is>
          <t>SOLER Davide [A]</t>
        </is>
      </c>
      <c r="O165" s="196" t="inlineStr">
        <is>
          <t>FUENTES Katrin [A]</t>
        </is>
      </c>
      <c r="P165" s="196" t="inlineStr">
        <is>
          <t>OBLAK Anja</t>
        </is>
      </c>
      <c r="Q165" s="196" t="inlineStr">
        <is>
          <t>FOURNIER Lea</t>
        </is>
      </c>
      <c r="R165" s="196" t="inlineStr">
        <is>
          <t>WEBER Andrea</t>
        </is>
      </c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inlineStr">
        <is>
          <t>NADAUD Elena [AA]</t>
        </is>
      </c>
      <c r="N170" s="196" t="inlineStr">
        <is>
          <t>BIANCHELLI Tommaso [A]</t>
        </is>
      </c>
      <c r="O170" s="196" t="inlineStr">
        <is>
          <t>ROSSINI Beatrice [Aest]</t>
        </is>
      </c>
      <c r="P170" s="196" t="inlineStr">
        <is>
          <t>NAVARRO Pablo</t>
        </is>
      </c>
      <c r="Q170" s="196" t="inlineStr">
        <is>
          <t>KRAJNC Nicola</t>
        </is>
      </c>
      <c r="R170" s="196" t="inlineStr">
        <is>
          <t>BELLANDI Hugo</t>
        </is>
      </c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inlineStr">
        <is>
          <t>OBLAK Valerie [AA]</t>
        </is>
      </c>
      <c r="N173" s="196" t="inlineStr">
        <is>
          <t>KELLER Andrea [Aest]</t>
        </is>
      </c>
      <c r="O173" s="196" t="inlineStr">
        <is>
          <t>CONTARDI Beatrice [AAt]</t>
        </is>
      </c>
      <c r="P173" s="196" t="inlineStr">
        <is>
          <t>ORTEGA Ilaria</t>
        </is>
      </c>
      <c r="Q173" s="196" t="inlineStr">
        <is>
          <t>ROSSINI Sofia</t>
        </is>
      </c>
      <c r="R173" s="196" t="inlineStr">
        <is>
          <t>SEVER Giulia</t>
        </is>
      </c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inlineStr">
        <is>
          <t>MODIC Chiara [AA]</t>
        </is>
      </c>
      <c r="N176" s="196" t="inlineStr">
        <is>
          <t>MORETTO Jonas [AAt]</t>
        </is>
      </c>
      <c r="O176" s="196" t="inlineStr">
        <is>
          <t>SOLER Mathilde [AA]</t>
        </is>
      </c>
      <c r="P176" s="196" t="inlineStr">
        <is>
          <t>VIDMAR Matteo</t>
        </is>
      </c>
      <c r="Q176" s="196" t="inlineStr">
        <is>
          <t>IGLESIAS Jonas</t>
        </is>
      </c>
      <c r="R176" s="196" t="inlineStr">
        <is>
          <t>VIDMAR Felix</t>
        </is>
      </c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inlineStr">
        <is>
          <t>NADAUD Hugo [AAt]</t>
        </is>
      </c>
      <c r="N179" s="196" t="inlineStr">
        <is>
          <t>NAVARRO Irene [Aest]</t>
        </is>
      </c>
      <c r="O179" s="196" t="inlineStr">
        <is>
          <t>KRUGER Sofia [A]</t>
        </is>
      </c>
      <c r="P179" s="196" t="inlineStr">
        <is>
          <t>KELLER Ottavia</t>
        </is>
      </c>
      <c r="Q179" s="196" t="inlineStr">
        <is>
          <t>CARON Anja</t>
        </is>
      </c>
      <c r="R179" s="196" t="inlineStr">
        <is>
          <t>ORTEGA Andrea</t>
        </is>
      </c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inlineStr">
        <is>
          <t>NADAUD Greta [A]</t>
        </is>
      </c>
      <c r="N182" s="196" t="inlineStr">
        <is>
          <t>OBLAK Mathilde [A]</t>
        </is>
      </c>
      <c r="O182" s="196" t="inlineStr">
        <is>
          <t>PRADO Diego [Aest]</t>
        </is>
      </c>
      <c r="P182" s="196" t="inlineStr">
        <is>
          <t>SEVER Greta</t>
        </is>
      </c>
      <c r="Q182" s="196" t="inlineStr">
        <is>
          <t>KRUGER Vid</t>
        </is>
      </c>
      <c r="R182" s="196" t="inlineStr">
        <is>
          <t>CASTILLO Noemi</t>
        </is>
      </c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inlineStr">
        <is>
          <t>MARCHIONI Lea [AAt]</t>
        </is>
      </c>
      <c r="N185" s="196" t="inlineStr">
        <is>
          <t>VALLET Gaelle [Aest]</t>
        </is>
      </c>
      <c r="O185" s="196" t="inlineStr">
        <is>
          <t>GAUTHIER Davide [AA]</t>
        </is>
      </c>
      <c r="P185" s="196" t="inlineStr">
        <is>
          <t>FERRANTE Stefano</t>
        </is>
      </c>
      <c r="Q185" s="196" t="inlineStr">
        <is>
          <t>PRADO Hugo</t>
        </is>
      </c>
      <c r="R185" s="196" t="inlineStr">
        <is>
          <t>ENGEL Lucia</t>
        </is>
      </c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inlineStr">
        <is>
          <t>HORVAT Davide [Aest]</t>
        </is>
      </c>
      <c r="N188" s="196" t="inlineStr">
        <is>
          <t>SOLER Davide [A]</t>
        </is>
      </c>
      <c r="O188" s="196" t="inlineStr">
        <is>
          <t>LEROUX Hugo [Aest]</t>
        </is>
      </c>
      <c r="P188" s="196" t="inlineStr">
        <is>
          <t>PRADO Elena</t>
        </is>
      </c>
      <c r="Q188" s="196" t="inlineStr">
        <is>
          <t>BELLANDI Lucia</t>
        </is>
      </c>
      <c r="R188" s="196" t="inlineStr">
        <is>
          <t>SOLER Stefano</t>
        </is>
      </c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inlineStr">
        <is>
          <t>NADAUD Elena [AA]</t>
        </is>
      </c>
      <c r="N191" s="196" t="inlineStr">
        <is>
          <t>ZUPAN Diego [AA]</t>
        </is>
      </c>
      <c r="O191" s="196" t="inlineStr">
        <is>
          <t>KELLER Beatrice [AAt]</t>
        </is>
      </c>
      <c r="P191" s="196" t="inlineStr">
        <is>
          <t>OBLAK Chiara</t>
        </is>
      </c>
      <c r="Q191" s="196" t="inlineStr">
        <is>
          <t>SOLER Gaelle</t>
        </is>
      </c>
      <c r="R191" s="196" t="inlineStr">
        <is>
          <t>KRUGER Paolo</t>
        </is>
      </c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inlineStr">
        <is>
          <t>BRANDT Stefano [AAt]</t>
        </is>
      </c>
      <c r="N194" s="196" t="inlineStr">
        <is>
          <t>FOURNIER Ottavia [A]</t>
        </is>
      </c>
      <c r="O194" s="196" t="inlineStr">
        <is>
          <t>BELLANDI Marta [A]</t>
        </is>
      </c>
      <c r="P194" s="196" t="inlineStr">
        <is>
          <t>FOURNIER Stefano</t>
        </is>
      </c>
      <c r="Q194" s="196" t="inlineStr">
        <is>
          <t>GALLINI Irene</t>
        </is>
      </c>
      <c r="R194" s="196" t="inlineStr">
        <is>
          <t>SEVER Nicola</t>
        </is>
      </c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inlineStr">
        <is>
          <t>IGLESIAS Marco [AAt]</t>
        </is>
      </c>
      <c r="N197" s="196" t="inlineStr">
        <is>
          <t>GALLINI Elena [AAt]</t>
        </is>
      </c>
      <c r="O197" s="196" t="inlineStr">
        <is>
          <t>HORVAT Ottavia [A]</t>
        </is>
      </c>
      <c r="P197" s="196" t="inlineStr">
        <is>
          <t>GAUTHIER Diego</t>
        </is>
      </c>
      <c r="Q197" s="196" t="inlineStr">
        <is>
          <t>GAUTHIER Filippo</t>
        </is>
      </c>
      <c r="R197" s="196" t="inlineStr">
        <is>
          <t>VOGEL Martina</t>
        </is>
      </c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inlineStr">
        <is>
          <t>ENGEL Marco [AA]</t>
        </is>
      </c>
      <c r="N202" s="196" t="inlineStr">
        <is>
          <t>BLANCHET Anja [AA]</t>
        </is>
      </c>
      <c r="O202" s="196" t="inlineStr">
        <is>
          <t>SOLER Alenka [A]</t>
        </is>
      </c>
      <c r="P202" s="196" t="inlineStr">
        <is>
          <t>NAVARRO Luca</t>
        </is>
      </c>
      <c r="Q202" s="196" t="inlineStr">
        <is>
          <t>CARON Diego</t>
        </is>
      </c>
      <c r="R202" s="196" t="inlineStr">
        <is>
          <t>KOVAC Martina</t>
        </is>
      </c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inlineStr">
        <is>
          <t>AUBERT Lucia [AAt]</t>
        </is>
      </c>
      <c r="N205" s="196" t="inlineStr">
        <is>
          <t>NADAUD Greta [A]</t>
        </is>
      </c>
      <c r="O205" s="196" t="inlineStr">
        <is>
          <t>CARON Giulia [AAt]</t>
        </is>
      </c>
      <c r="P205" s="196" t="inlineStr">
        <is>
          <t>FOURNIER Stefano</t>
        </is>
      </c>
      <c r="Q205" s="196" t="inlineStr">
        <is>
          <t>MARCHIONI Mathilde</t>
        </is>
      </c>
      <c r="R205" s="196" t="inlineStr">
        <is>
          <t>SOLER Marta</t>
        </is>
      </c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inlineStr">
        <is>
          <t>HORVAT Giulia [A]</t>
        </is>
      </c>
      <c r="N208" s="196" t="inlineStr">
        <is>
          <t>MARCHIONI Filippo [AAt]</t>
        </is>
      </c>
      <c r="O208" s="196" t="inlineStr">
        <is>
          <t>VIDMAR Eva [AA]</t>
        </is>
      </c>
      <c r="P208" s="196" t="inlineStr">
        <is>
          <t>FOURNIER Paula</t>
        </is>
      </c>
      <c r="Q208" s="196" t="inlineStr">
        <is>
          <t>LEFEVRE Mathilde</t>
        </is>
      </c>
      <c r="R208" s="196" t="inlineStr">
        <is>
          <t>MOREAU Vid</t>
        </is>
      </c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inlineStr">
        <is>
          <t>ENGEL Luca [AA]</t>
        </is>
      </c>
      <c r="N211" s="196" t="inlineStr">
        <is>
          <t>KOVAC Miha [Aest]</t>
        </is>
      </c>
      <c r="O211" s="196" t="inlineStr">
        <is>
          <t>LEROUX Lea [Aest]</t>
        </is>
      </c>
      <c r="P211" s="196" t="inlineStr">
        <is>
          <t>LANGER Valerie</t>
        </is>
      </c>
      <c r="Q211" s="196" t="inlineStr">
        <is>
          <t>LEFEVRE Alenka</t>
        </is>
      </c>
      <c r="R211" s="196" t="inlineStr">
        <is>
          <t>ENGEL Ottavia</t>
        </is>
      </c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inlineStr">
        <is>
          <t>ROTH Lucia [A]</t>
        </is>
      </c>
      <c r="N214" s="196" t="inlineStr">
        <is>
          <t>MODIC Lukas [AAt]</t>
        </is>
      </c>
      <c r="O214" s="196" t="inlineStr">
        <is>
          <t>GAUTHIER Alenka [Aest]</t>
        </is>
      </c>
      <c r="P214" s="196" t="inlineStr">
        <is>
          <t>KRUGER Giulia</t>
        </is>
      </c>
      <c r="Q214" s="196" t="inlineStr">
        <is>
          <t>BELLANDI Greta</t>
        </is>
      </c>
      <c r="R214" s="196" t="inlineStr">
        <is>
          <t>KRUGER Vid</t>
        </is>
      </c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inlineStr">
        <is>
          <t>AUBERT Martina [AA]</t>
        </is>
      </c>
      <c r="N217" s="196" t="inlineStr">
        <is>
          <t>ROSSINI Alenka [AAt]</t>
        </is>
      </c>
      <c r="O217" s="196" t="inlineStr">
        <is>
          <t>CONTARDI Beatrice [AAt]</t>
        </is>
      </c>
      <c r="P217" s="196" t="inlineStr">
        <is>
          <t>WEBER Nicola</t>
        </is>
      </c>
      <c r="Q217" s="196" t="inlineStr">
        <is>
          <t>FERRANTE Greta</t>
        </is>
      </c>
      <c r="R217" s="196" t="inlineStr">
        <is>
          <t>PRADO Lea</t>
        </is>
      </c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inlineStr">
        <is>
          <t>LANGER Ilaria [Aest]</t>
        </is>
      </c>
      <c r="N220" s="196" t="inlineStr">
        <is>
          <t>CONTARDI Marta [Aest]</t>
        </is>
      </c>
      <c r="O220" s="196" t="inlineStr">
        <is>
          <t>BIANCHELLI Paolo [AA]</t>
        </is>
      </c>
      <c r="P220" s="196" t="inlineStr">
        <is>
          <t>IGLESIAS Jonas</t>
        </is>
      </c>
      <c r="Q220" s="196" t="inlineStr">
        <is>
          <t>ROSSINI Stefano</t>
        </is>
      </c>
      <c r="R220" s="196" t="inlineStr">
        <is>
          <t>SANTORI Jonas</t>
        </is>
      </c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inlineStr">
        <is>
          <t>WEBER Matteo [A]</t>
        </is>
      </c>
      <c r="N223" s="196" t="inlineStr">
        <is>
          <t>BIANCHELLI Felix [Aest]</t>
        </is>
      </c>
      <c r="O223" s="196" t="inlineStr">
        <is>
          <t>ROSSINI Martina [AAt]</t>
        </is>
      </c>
      <c r="P223" s="196" t="inlineStr">
        <is>
          <t>CASTILLO Alenka</t>
        </is>
      </c>
      <c r="Q223" s="196" t="inlineStr">
        <is>
          <t>BELLANDI Lukas</t>
        </is>
      </c>
      <c r="R223" s="196" t="inlineStr">
        <is>
          <t>NAVARRO Lea</t>
        </is>
      </c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inlineStr">
        <is>
          <t>CONTARDI Mathilde [A]</t>
        </is>
      </c>
      <c r="N226" s="196" t="inlineStr">
        <is>
          <t>ENGEL Diego [A]</t>
        </is>
      </c>
      <c r="O226" s="196" t="inlineStr">
        <is>
          <t>ENGEL Filippo [A]</t>
        </is>
      </c>
      <c r="P226" s="196" t="inlineStr">
        <is>
          <t>SCHAFER Lea</t>
        </is>
      </c>
      <c r="Q226" s="196" t="inlineStr">
        <is>
          <t>ZUPAN Paula</t>
        </is>
      </c>
      <c r="R226" s="196" t="inlineStr">
        <is>
          <t>WEBER Andrea</t>
        </is>
      </c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inlineStr">
        <is>
          <t>CARON Paolo [AA]</t>
        </is>
      </c>
      <c r="N229" s="196" t="inlineStr">
        <is>
          <t>SCHAFER Giulia [AA]</t>
        </is>
      </c>
      <c r="O229" s="196" t="inlineStr">
        <is>
          <t>ZUPAN Felix [AAt]</t>
        </is>
      </c>
      <c r="P229" s="196" t="inlineStr">
        <is>
          <t>SEVER Giulia</t>
        </is>
      </c>
      <c r="Q229" s="196" t="inlineStr">
        <is>
          <t>NOVAK Giulia</t>
        </is>
      </c>
      <c r="R229" s="196" t="inlineStr">
        <is>
          <t>BLANCO Eva</t>
        </is>
      </c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inlineStr">
        <is>
          <t>VIDMAR Stefano [AAt]</t>
        </is>
      </c>
      <c r="N234" s="196" t="inlineStr">
        <is>
          <t>NADAUD Elena [AA]</t>
        </is>
      </c>
      <c r="O234" s="196" t="inlineStr">
        <is>
          <t>FUENTES Lukas [Aest]</t>
        </is>
      </c>
      <c r="P234" s="196" t="inlineStr">
        <is>
          <t>CARON Anja</t>
        </is>
      </c>
      <c r="Q234" s="196" t="inlineStr">
        <is>
          <t>ZUPAN Luca</t>
        </is>
      </c>
      <c r="R234" s="196" t="inlineStr">
        <is>
          <t>SANTORI Gaelle</t>
        </is>
      </c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inlineStr">
        <is>
          <t>BELLANDI Chiara [Aest]</t>
        </is>
      </c>
      <c r="N237" s="196" t="inlineStr">
        <is>
          <t>NOVAK Felix [A]</t>
        </is>
      </c>
      <c r="O237" s="196" t="inlineStr">
        <is>
          <t>BELLANDI Ottavia [Aest]</t>
        </is>
      </c>
      <c r="P237" s="196" t="inlineStr">
        <is>
          <t>FOURNIER Stefano</t>
        </is>
      </c>
      <c r="Q237" s="196" t="inlineStr">
        <is>
          <t>ENGEL Martina</t>
        </is>
      </c>
      <c r="R237" s="196" t="inlineStr">
        <is>
          <t>ORTEGA Felix</t>
        </is>
      </c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inlineStr">
        <is>
          <t>HOFFMANN Marco [Aest]</t>
        </is>
      </c>
      <c r="N240" s="196" t="inlineStr">
        <is>
          <t>GAUTHIER Elena [AA]</t>
        </is>
      </c>
      <c r="O240" s="196" t="inlineStr">
        <is>
          <t>CAMPOS Ottavia [A]</t>
        </is>
      </c>
      <c r="P240" s="196" t="inlineStr">
        <is>
          <t>HOFFMANN Paolo</t>
        </is>
      </c>
      <c r="Q240" s="196" t="inlineStr">
        <is>
          <t>BRANDT Paolo</t>
        </is>
      </c>
      <c r="R240" s="196" t="inlineStr">
        <is>
          <t>BLANCHET Alenka</t>
        </is>
      </c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inlineStr">
        <is>
          <t>SCHAFER Eva [AA]</t>
        </is>
      </c>
      <c r="N243" s="196" t="inlineStr">
        <is>
          <t>SEVER Diego [A]</t>
        </is>
      </c>
      <c r="O243" s="196" t="inlineStr">
        <is>
          <t>OBLAK Stefano [AA]</t>
        </is>
      </c>
      <c r="P243" s="196" t="inlineStr">
        <is>
          <t>SCHAFER Ottavia</t>
        </is>
      </c>
      <c r="Q243" s="196" t="inlineStr">
        <is>
          <t>NOVAK Lukas</t>
        </is>
      </c>
      <c r="R243" s="196" t="inlineStr">
        <is>
          <t>NADAUD Jonas</t>
        </is>
      </c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inlineStr">
        <is>
          <t>LEFEVRE Sofia [AAt]</t>
        </is>
      </c>
      <c r="N246" s="196" t="inlineStr">
        <is>
          <t>BELLANDI Vid [Aest]</t>
        </is>
      </c>
      <c r="O246" s="196" t="inlineStr">
        <is>
          <t>KELLER Marta [AAt]</t>
        </is>
      </c>
      <c r="P246" s="196" t="inlineStr">
        <is>
          <t>BLANCO Giulia</t>
        </is>
      </c>
      <c r="Q246" s="196" t="inlineStr">
        <is>
          <t>ORTEGA Stefano</t>
        </is>
      </c>
      <c r="R246" s="196" t="inlineStr">
        <is>
          <t>LEFEVRE Tommaso</t>
        </is>
      </c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inlineStr">
        <is>
          <t>GALLINI Lukas [AA]</t>
        </is>
      </c>
      <c r="N249" s="196" t="inlineStr">
        <is>
          <t>LANGER Sofia [A]</t>
        </is>
      </c>
      <c r="O249" s="196" t="inlineStr">
        <is>
          <t>LEFEVRE Paula [A]</t>
        </is>
      </c>
      <c r="P249" s="196" t="inlineStr">
        <is>
          <t>SOLER Stefano</t>
        </is>
      </c>
      <c r="Q249" s="196" t="inlineStr">
        <is>
          <t>FERRANTE Felix</t>
        </is>
      </c>
      <c r="R249" s="196" t="inlineStr">
        <is>
          <t>LEFEVRE Ilaria</t>
        </is>
      </c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inlineStr">
        <is>
          <t>BLANCHET Anja [AA]</t>
        </is>
      </c>
      <c r="N252" s="196" t="inlineStr">
        <is>
          <t>VALLET Martina [Aest]</t>
        </is>
      </c>
      <c r="O252" s="196" t="inlineStr">
        <is>
          <t>PRADO Marta [AAt]</t>
        </is>
      </c>
      <c r="P252" s="196" t="inlineStr">
        <is>
          <t>KELLER Alenka</t>
        </is>
      </c>
      <c r="Q252" s="196" t="inlineStr">
        <is>
          <t>VIDMAR Diego</t>
        </is>
      </c>
      <c r="R252" s="196" t="inlineStr">
        <is>
          <t>LANGER Katrin</t>
        </is>
      </c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inlineStr">
        <is>
          <t>CAMPOS Anja [Aest]</t>
        </is>
      </c>
      <c r="N255" s="196" t="inlineStr">
        <is>
          <t>VALLET Tommaso [AAt]</t>
        </is>
      </c>
      <c r="O255" s="196" t="inlineStr">
        <is>
          <t>BIANCHELLI Martina [AAt]</t>
        </is>
      </c>
      <c r="P255" s="196" t="inlineStr">
        <is>
          <t>PRADO Stefano</t>
        </is>
      </c>
      <c r="Q255" s="196" t="inlineStr">
        <is>
          <t>MORETTO Noemi</t>
        </is>
      </c>
      <c r="R255" s="196" t="inlineStr">
        <is>
          <t>BELLANDI Irene</t>
        </is>
      </c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inlineStr">
        <is>
          <t>SANTORI Jonas [Aest]</t>
        </is>
      </c>
      <c r="N258" s="196" t="inlineStr">
        <is>
          <t>MORETTO Jonas [AAt]</t>
        </is>
      </c>
      <c r="O258" s="196" t="inlineStr">
        <is>
          <t>ROTH Lucia [A]</t>
        </is>
      </c>
      <c r="P258" s="196" t="inlineStr">
        <is>
          <t>NADAUD Marco</t>
        </is>
      </c>
      <c r="Q258" s="196" t="inlineStr">
        <is>
          <t>ROMERO Felix</t>
        </is>
      </c>
      <c r="R258" s="196" t="inlineStr">
        <is>
          <t>LEFEVRE Tommaso</t>
        </is>
      </c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inlineStr">
        <is>
          <t>MARCHIONI Filippo [AAt]</t>
        </is>
      </c>
      <c r="N261" s="196" t="inlineStr">
        <is>
          <t>GALLINI Valerie [AA]</t>
        </is>
      </c>
      <c r="O261" s="196" t="inlineStr">
        <is>
          <t>CONTARDI Lea [AAt]</t>
        </is>
      </c>
      <c r="P261" s="196" t="inlineStr">
        <is>
          <t>VIDMAR Chiara</t>
        </is>
      </c>
      <c r="Q261" s="196" t="inlineStr">
        <is>
          <t>BIANCHELLI Valerie</t>
        </is>
      </c>
      <c r="R261" s="196" t="inlineStr">
        <is>
          <t>MARCHIONI Miha</t>
        </is>
      </c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inlineStr">
        <is>
          <t>KRUGER Greta [A]</t>
        </is>
      </c>
      <c r="N266" s="196" t="inlineStr">
        <is>
          <t>MORETTO Anja [Aest]</t>
        </is>
      </c>
      <c r="O266" s="196" t="inlineStr">
        <is>
          <t>MORETTO Chiara [A]</t>
        </is>
      </c>
      <c r="P266" s="196" t="inlineStr">
        <is>
          <t>IGLESIAS Hugo</t>
        </is>
      </c>
      <c r="Q266" s="196" t="inlineStr">
        <is>
          <t>BLANCO Diego</t>
        </is>
      </c>
      <c r="R266" s="196" t="inlineStr">
        <is>
          <t>ZUPAN Luca</t>
        </is>
      </c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inlineStr">
        <is>
          <t>BLANCHET Diego [A]</t>
        </is>
      </c>
      <c r="N269" s="196" t="inlineStr">
        <is>
          <t>VIDMAR Noemi [AA]</t>
        </is>
      </c>
      <c r="O269" s="196" t="inlineStr">
        <is>
          <t>MOREAU Katrin [A]</t>
        </is>
      </c>
      <c r="P269" s="196" t="inlineStr">
        <is>
          <t>BLANCO Giulia</t>
        </is>
      </c>
      <c r="Q269" s="196" t="inlineStr">
        <is>
          <t>KRUGER Vid</t>
        </is>
      </c>
      <c r="R269" s="196" t="inlineStr">
        <is>
          <t>ROTH Lucia</t>
        </is>
      </c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inlineStr">
        <is>
          <t>MARCHIONI Miha [Aest]</t>
        </is>
      </c>
      <c r="N272" s="196" t="inlineStr">
        <is>
          <t>ROSSINI Alenka [AAt]</t>
        </is>
      </c>
      <c r="O272" s="196" t="inlineStr">
        <is>
          <t>NAVARRO Katrin [A]</t>
        </is>
      </c>
      <c r="P272" s="196" t="inlineStr">
        <is>
          <t>ROSSINI Gaelle</t>
        </is>
      </c>
      <c r="Q272" s="196" t="inlineStr">
        <is>
          <t>CONTARDI Valerie</t>
        </is>
      </c>
      <c r="R272" s="196" t="inlineStr">
        <is>
          <t>MODIC Marco</t>
        </is>
      </c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inlineStr">
        <is>
          <t>GAUTHIER Davide [AA]</t>
        </is>
      </c>
      <c r="N275" s="196" t="inlineStr">
        <is>
          <t>GALLINI Lukas [AA]</t>
        </is>
      </c>
      <c r="O275" s="196" t="inlineStr">
        <is>
          <t>PRADO Luca [AA]</t>
        </is>
      </c>
      <c r="P275" s="196" t="inlineStr">
        <is>
          <t>FUENTES Chiara</t>
        </is>
      </c>
      <c r="Q275" s="196" t="inlineStr">
        <is>
          <t>KOVAC Gaelle</t>
        </is>
      </c>
      <c r="R275" s="196" t="inlineStr">
        <is>
          <t>GAUTHIER Irene</t>
        </is>
      </c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inlineStr">
        <is>
          <t>HORVAT Lea [A]</t>
        </is>
      </c>
      <c r="N278" s="196" t="inlineStr">
        <is>
          <t>KRUGER Nicola [Aest]</t>
        </is>
      </c>
      <c r="O278" s="196" t="inlineStr">
        <is>
          <t>LANGER Katrin [AAt]</t>
        </is>
      </c>
      <c r="P278" s="196" t="inlineStr">
        <is>
          <t>CASTILLO Giulia</t>
        </is>
      </c>
      <c r="Q278" s="196" t="inlineStr">
        <is>
          <t>SCHAFER Greta</t>
        </is>
      </c>
      <c r="R278" s="196" t="inlineStr">
        <is>
          <t>IGLESIAS Hugo</t>
        </is>
      </c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inlineStr">
        <is>
          <t>LEROUX Hugo [Aest]</t>
        </is>
      </c>
      <c r="N281" s="196" t="inlineStr">
        <is>
          <t>GALLINI Filippo [A]</t>
        </is>
      </c>
      <c r="O281" s="196" t="inlineStr">
        <is>
          <t>ROTH Lucia [A]</t>
        </is>
      </c>
      <c r="P281" s="196" t="inlineStr">
        <is>
          <t>ZUPAN Paula</t>
        </is>
      </c>
      <c r="Q281" s="196" t="inlineStr">
        <is>
          <t>ZUPAN Alenka</t>
        </is>
      </c>
      <c r="R281" s="196" t="inlineStr">
        <is>
          <t>VIDMAR Paula</t>
        </is>
      </c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inlineStr">
        <is>
          <t>FUENTES Noemi [Aest]</t>
        </is>
      </c>
      <c r="N284" s="196" t="inlineStr">
        <is>
          <t>AUBERT Greta [Aest]</t>
        </is>
      </c>
      <c r="O284" s="196" t="inlineStr">
        <is>
          <t>CARON Elena [A]</t>
        </is>
      </c>
      <c r="P284" s="196" t="inlineStr">
        <is>
          <t>VIDMAR Ilaria</t>
        </is>
      </c>
      <c r="Q284" s="196" t="inlineStr">
        <is>
          <t>SCHAFER Katrin</t>
        </is>
      </c>
      <c r="R284" s="196" t="inlineStr">
        <is>
          <t>CASTILLO Alenka</t>
        </is>
      </c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inlineStr">
        <is>
          <t>MOREAU Andrea [AAt]</t>
        </is>
      </c>
      <c r="N287" s="196" t="inlineStr">
        <is>
          <t>FUENTES Valerie [AAt]</t>
        </is>
      </c>
      <c r="O287" s="196" t="inlineStr">
        <is>
          <t>NADAUD Hugo [AAt]</t>
        </is>
      </c>
      <c r="P287" s="196" t="inlineStr">
        <is>
          <t>BELLANDI Hugo</t>
        </is>
      </c>
      <c r="Q287" s="196" t="inlineStr">
        <is>
          <t>BLANCO Giulia</t>
        </is>
      </c>
      <c r="R287" s="196" t="inlineStr">
        <is>
          <t>LEROUX Lucia</t>
        </is>
      </c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inlineStr">
        <is>
          <t>MARCHIONI Miha [Aest]</t>
        </is>
      </c>
      <c r="N290" s="196" t="inlineStr">
        <is>
          <t>FUENTES Noemi [Aest]</t>
        </is>
      </c>
      <c r="O290" s="196" t="inlineStr">
        <is>
          <t>BELLANDI Marta [A]</t>
        </is>
      </c>
      <c r="P290" s="196" t="inlineStr">
        <is>
          <t>FERRANTE Martina</t>
        </is>
      </c>
      <c r="Q290" s="196" t="inlineStr">
        <is>
          <t>BRANDT Paolo</t>
        </is>
      </c>
      <c r="R290" s="196" t="inlineStr">
        <is>
          <t>WEBER Filippo</t>
        </is>
      </c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inlineStr">
        <is>
          <t>SANTORI Chiara [A]</t>
        </is>
      </c>
      <c r="N293" s="196" t="inlineStr">
        <is>
          <t>MARCHIONI Matteo [AAt]</t>
        </is>
      </c>
      <c r="O293" s="196" t="inlineStr">
        <is>
          <t>LANGER Beatrice [Aest]</t>
        </is>
      </c>
      <c r="P293" s="196" t="inlineStr">
        <is>
          <t>KRUGER Irene</t>
        </is>
      </c>
      <c r="Q293" s="196" t="inlineStr">
        <is>
          <t>ORTEGA Gaelle</t>
        </is>
      </c>
      <c r="R293" s="196" t="inlineStr">
        <is>
          <t>ORTEGA Ilaria</t>
        </is>
      </c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inlineStr">
        <is>
          <t>LANGER Sofia [A]</t>
        </is>
      </c>
      <c r="N298" s="196" t="inlineStr">
        <is>
          <t>ZUPAN Mathilde [A]</t>
        </is>
      </c>
      <c r="O298" s="196" t="inlineStr">
        <is>
          <t>ENGEL Gaelle [AAt]</t>
        </is>
      </c>
      <c r="P298" s="196" t="inlineStr">
        <is>
          <t>HOFFMANN Matteo</t>
        </is>
      </c>
      <c r="Q298" s="196" t="inlineStr">
        <is>
          <t>IGLESIAS Chiara</t>
        </is>
      </c>
      <c r="R298" s="196" t="inlineStr">
        <is>
          <t>BLANCHET Marta</t>
        </is>
      </c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inlineStr">
        <is>
          <t>SOLER Alenka [A]</t>
        </is>
      </c>
      <c r="N301" s="196" t="inlineStr">
        <is>
          <t>BIANCHELLI Tommaso [A]</t>
        </is>
      </c>
      <c r="O301" s="196" t="inlineStr">
        <is>
          <t>ROTH Eva [A]</t>
        </is>
      </c>
      <c r="P301" s="196" t="inlineStr">
        <is>
          <t>MARCHIONI Greta</t>
        </is>
      </c>
      <c r="Q301" s="196" t="inlineStr">
        <is>
          <t>KRUGER Mathilde</t>
        </is>
      </c>
      <c r="R301" s="196" t="inlineStr">
        <is>
          <t>BLANCHET Jonas</t>
        </is>
      </c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inlineStr">
        <is>
          <t>PETERLIN Luca [Aest]</t>
        </is>
      </c>
      <c r="N304" s="196" t="inlineStr">
        <is>
          <t>KOVAC Diego [AAt]</t>
        </is>
      </c>
      <c r="O304" s="196" t="inlineStr">
        <is>
          <t>HORVAT Lea [A]</t>
        </is>
      </c>
      <c r="P304" s="196" t="inlineStr">
        <is>
          <t>LEROUX Paolo</t>
        </is>
      </c>
      <c r="Q304" s="196" t="inlineStr">
        <is>
          <t>WEBER Matteo</t>
        </is>
      </c>
      <c r="R304" s="196" t="inlineStr">
        <is>
          <t>HOFFMANN Matteo</t>
        </is>
      </c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inlineStr">
        <is>
          <t>NOVAK Mathilde [Aest]</t>
        </is>
      </c>
      <c r="N307" s="196" t="inlineStr">
        <is>
          <t>CARON Alenka [AAt]</t>
        </is>
      </c>
      <c r="O307" s="196" t="inlineStr">
        <is>
          <t>NAVARRO Gaelle [A]</t>
        </is>
      </c>
      <c r="P307" s="196" t="inlineStr">
        <is>
          <t>CONTARDI Greta</t>
        </is>
      </c>
      <c r="Q307" s="196" t="inlineStr">
        <is>
          <t>HOFFMANN Paolo</t>
        </is>
      </c>
      <c r="R307" s="196" t="inlineStr">
        <is>
          <t>CAMPOS Noemi</t>
        </is>
      </c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inlineStr">
        <is>
          <t>NADAUD Greta [A]</t>
        </is>
      </c>
      <c r="N310" s="196" t="inlineStr">
        <is>
          <t>WEBER Marco [AAt]</t>
        </is>
      </c>
      <c r="O310" s="196" t="inlineStr">
        <is>
          <t>KOVAC Valerie [AAt]</t>
        </is>
      </c>
      <c r="P310" s="196" t="inlineStr">
        <is>
          <t>NOVAK Lukas</t>
        </is>
      </c>
      <c r="Q310" s="196" t="inlineStr">
        <is>
          <t>KOVAC Gaelle</t>
        </is>
      </c>
      <c r="R310" s="196" t="inlineStr">
        <is>
          <t>MODIC Lea</t>
        </is>
      </c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inlineStr">
        <is>
          <t>CARON Alenka [AAt]</t>
        </is>
      </c>
      <c r="N313" s="196" t="inlineStr">
        <is>
          <t>ROMERO Elena [A]</t>
        </is>
      </c>
      <c r="O313" s="196" t="inlineStr">
        <is>
          <t>NOVAK Mathilde [Aest]</t>
        </is>
      </c>
      <c r="P313" s="196" t="inlineStr">
        <is>
          <t>BLANCO Giulia</t>
        </is>
      </c>
      <c r="Q313" s="196" t="inlineStr">
        <is>
          <t>VIDMAR Ilaria</t>
        </is>
      </c>
      <c r="R313" s="196" t="inlineStr">
        <is>
          <t>BELLANDI Irene</t>
        </is>
      </c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inlineStr">
        <is>
          <t>WEBER Matteo [A]</t>
        </is>
      </c>
      <c r="N316" s="196" t="inlineStr">
        <is>
          <t>ROTH Sofia [A]</t>
        </is>
      </c>
      <c r="O316" s="196" t="inlineStr">
        <is>
          <t>SOLER Stefano [A]</t>
        </is>
      </c>
      <c r="P316" s="196" t="inlineStr">
        <is>
          <t>KRAJNC Marco</t>
        </is>
      </c>
      <c r="Q316" s="196" t="inlineStr">
        <is>
          <t>VOGEL Irene</t>
        </is>
      </c>
      <c r="R316" s="196" t="inlineStr">
        <is>
          <t>SOLER Gaelle</t>
        </is>
      </c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inlineStr">
        <is>
          <t>BIANCHELLI Martina [AAt]</t>
        </is>
      </c>
      <c r="N319" s="196" t="inlineStr">
        <is>
          <t>BRANDT Filippo [AAt]</t>
        </is>
      </c>
      <c r="O319" s="196" t="inlineStr">
        <is>
          <t>VALLET Gaelle [Aest]</t>
        </is>
      </c>
      <c r="P319" s="196" t="inlineStr">
        <is>
          <t>SCHAFER Greta</t>
        </is>
      </c>
      <c r="Q319" s="196" t="inlineStr">
        <is>
          <t>SEVER Hugo</t>
        </is>
      </c>
      <c r="R319" s="196" t="inlineStr">
        <is>
          <t>ROMERO Felix</t>
        </is>
      </c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inlineStr">
        <is>
          <t>ROTH Mathilde [A]</t>
        </is>
      </c>
      <c r="N322" s="196" t="inlineStr">
        <is>
          <t>MODIC Lukas [AAt]</t>
        </is>
      </c>
      <c r="O322" s="196" t="inlineStr">
        <is>
          <t>FOURNIER Andrea [AA]</t>
        </is>
      </c>
      <c r="P322" s="196" t="inlineStr">
        <is>
          <t>BLANCO Stefano</t>
        </is>
      </c>
      <c r="Q322" s="196" t="inlineStr">
        <is>
          <t>LEROUX Stefano</t>
        </is>
      </c>
      <c r="R322" s="196" t="inlineStr">
        <is>
          <t>BLANCHET Jonas</t>
        </is>
      </c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inlineStr">
        <is>
          <t>KRAJNC Beatrice [Aest]</t>
        </is>
      </c>
      <c r="N325" s="196" t="inlineStr">
        <is>
          <t>PELLEGRI Paolo [AAt]</t>
        </is>
      </c>
      <c r="O325" s="196" t="inlineStr">
        <is>
          <t>ORTEGA Diego [A]</t>
        </is>
      </c>
      <c r="P325" s="196" t="inlineStr">
        <is>
          <t>ENGEL Ottavia</t>
        </is>
      </c>
      <c r="Q325" s="196" t="inlineStr">
        <is>
          <t>ROTH Lukas</t>
        </is>
      </c>
      <c r="R325" s="196" t="inlineStr">
        <is>
          <t>NOVAK Tommaso</t>
        </is>
      </c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inlineStr">
        <is>
          <t>ZUPAN Felix [AAt]</t>
        </is>
      </c>
      <c r="N330" s="196" t="inlineStr">
        <is>
          <t>CONTARDI Marta [Aest]</t>
        </is>
      </c>
      <c r="O330" s="196" t="inlineStr">
        <is>
          <t>BLANCO Tommaso [AAt]</t>
        </is>
      </c>
      <c r="P330" s="196" t="inlineStr">
        <is>
          <t>HOFFMANN Diego</t>
        </is>
      </c>
      <c r="Q330" s="196" t="inlineStr">
        <is>
          <t>FERRANTE Hugo</t>
        </is>
      </c>
      <c r="R330" s="196" t="inlineStr">
        <is>
          <t>ROMERO Irene</t>
        </is>
      </c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inlineStr">
        <is>
          <t>PRADO Eva [AAt]</t>
        </is>
      </c>
      <c r="N333" s="196" t="inlineStr">
        <is>
          <t>ORTEGA Diego [A]</t>
        </is>
      </c>
      <c r="O333" s="196" t="inlineStr">
        <is>
          <t>KELLER Beatrice [AAt]</t>
        </is>
      </c>
      <c r="P333" s="196" t="inlineStr">
        <is>
          <t>BRANDT Beatrice</t>
        </is>
      </c>
      <c r="Q333" s="196" t="inlineStr">
        <is>
          <t>NADAUD Jonas</t>
        </is>
      </c>
      <c r="R333" s="196" t="inlineStr">
        <is>
          <t>MARCHIONI Nicola</t>
        </is>
      </c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inlineStr">
        <is>
          <t>PRADO Marta [AAt]</t>
        </is>
      </c>
      <c r="N336" s="196" t="inlineStr">
        <is>
          <t>LEFEVRE Lukas [Aest]</t>
        </is>
      </c>
      <c r="O336" s="196" t="inlineStr">
        <is>
          <t>ENGEL Noemi [Aest]</t>
        </is>
      </c>
      <c r="P336" s="196" t="inlineStr">
        <is>
          <t>NAVARRO Paula</t>
        </is>
      </c>
      <c r="Q336" s="196" t="inlineStr">
        <is>
          <t>VIDMAR Felix</t>
        </is>
      </c>
      <c r="R336" s="196" t="inlineStr">
        <is>
          <t>CARON Pablo</t>
        </is>
      </c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inlineStr">
        <is>
          <t>OBLAK Jonas [AAt]</t>
        </is>
      </c>
      <c r="N339" s="196" t="inlineStr">
        <is>
          <t>BRANDT Stefano [AAt]</t>
        </is>
      </c>
      <c r="O339" s="196" t="inlineStr">
        <is>
          <t>MARCHIONI Paolo [AAt]</t>
        </is>
      </c>
      <c r="P339" s="196" t="inlineStr">
        <is>
          <t>BLANCHET Paula</t>
        </is>
      </c>
      <c r="Q339" s="196" t="inlineStr">
        <is>
          <t>AUBERT Giulia</t>
        </is>
      </c>
      <c r="R339" s="196" t="inlineStr">
        <is>
          <t>ORTEGA Stefano</t>
        </is>
      </c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inlineStr">
        <is>
          <t>LEROUX Filippo [Aest]</t>
        </is>
      </c>
      <c r="N342" s="196" t="inlineStr">
        <is>
          <t>GALLINI Elena [AAt]</t>
        </is>
      </c>
      <c r="O342" s="196" t="inlineStr">
        <is>
          <t>ROTH Lea [A]</t>
        </is>
      </c>
      <c r="P342" s="196" t="inlineStr">
        <is>
          <t>KOVAC Gaelle</t>
        </is>
      </c>
      <c r="Q342" s="196" t="inlineStr">
        <is>
          <t>NAVARRO Paula</t>
        </is>
      </c>
      <c r="R342" s="196" t="inlineStr">
        <is>
          <t>ZUPAN Lucia</t>
        </is>
      </c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inlineStr">
        <is>
          <t>MOREAU Martina [Aest]</t>
        </is>
      </c>
      <c r="N345" s="196" t="inlineStr">
        <is>
          <t>ROSSINI Beatrice [Aest]</t>
        </is>
      </c>
      <c r="O345" s="196" t="inlineStr">
        <is>
          <t>CONTARDI Mathilde [A]</t>
        </is>
      </c>
      <c r="P345" s="196" t="inlineStr">
        <is>
          <t>MORETTO Beatrice</t>
        </is>
      </c>
      <c r="Q345" s="196" t="inlineStr">
        <is>
          <t>GALLINI Tommaso</t>
        </is>
      </c>
      <c r="R345" s="196" t="inlineStr">
        <is>
          <t>MODIC Lucia</t>
        </is>
      </c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inlineStr">
        <is>
          <t>PETERLIN Luca [Aest]</t>
        </is>
      </c>
      <c r="N348" s="196" t="inlineStr">
        <is>
          <t>HOFFMANN Tommaso [A]</t>
        </is>
      </c>
      <c r="O348" s="196" t="inlineStr">
        <is>
          <t>WEBER Filippo [AA]</t>
        </is>
      </c>
      <c r="P348" s="196" t="inlineStr">
        <is>
          <t>MOREAU Vid</t>
        </is>
      </c>
      <c r="Q348" s="196" t="inlineStr">
        <is>
          <t>PRADO Eva</t>
        </is>
      </c>
      <c r="R348" s="196" t="inlineStr">
        <is>
          <t>WEBER Ilaria</t>
        </is>
      </c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inlineStr">
        <is>
          <t>CONTARDI Tommaso [AA]</t>
        </is>
      </c>
      <c r="N351" s="196" t="inlineStr">
        <is>
          <t>ROSSINI Irene [AA]</t>
        </is>
      </c>
      <c r="O351" s="196" t="inlineStr">
        <is>
          <t>NAVARRO Gaelle [A]</t>
        </is>
      </c>
      <c r="P351" s="196" t="inlineStr">
        <is>
          <t>BRANDT Elena</t>
        </is>
      </c>
      <c r="Q351" s="196" t="inlineStr">
        <is>
          <t>KOVAC Martina</t>
        </is>
      </c>
      <c r="R351" s="196" t="inlineStr">
        <is>
          <t>SCHAFER Sofia</t>
        </is>
      </c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inlineStr">
        <is>
          <t>KOVAC Valerie [AAt]</t>
        </is>
      </c>
      <c r="N354" s="196" t="inlineStr">
        <is>
          <t>CAMPOS Ottavia [A]</t>
        </is>
      </c>
      <c r="O354" s="196" t="inlineStr">
        <is>
          <t>VALLET Martina [Aest]</t>
        </is>
      </c>
      <c r="P354" s="196" t="inlineStr">
        <is>
          <t>SOLER Gaelle</t>
        </is>
      </c>
      <c r="Q354" s="196" t="inlineStr">
        <is>
          <t>WEBER Irene</t>
        </is>
      </c>
      <c r="R354" s="196" t="inlineStr">
        <is>
          <t>BIANCHELLI Davide</t>
        </is>
      </c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inlineStr">
        <is>
          <t>ENGEL Lea [AAt]</t>
        </is>
      </c>
      <c r="N357" s="196" t="inlineStr">
        <is>
          <t>VALLET Felix [A]</t>
        </is>
      </c>
      <c r="O357" s="196" t="inlineStr">
        <is>
          <t>AUBERT Beatrice [AA]</t>
        </is>
      </c>
      <c r="P357" s="196" t="inlineStr">
        <is>
          <t>FUENTES Beatrice</t>
        </is>
      </c>
      <c r="Q357" s="196" t="inlineStr">
        <is>
          <t>PRADO Alenka</t>
        </is>
      </c>
      <c r="R357" s="196" t="inlineStr">
        <is>
          <t>GAUTHIER Andrea</t>
        </is>
      </c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inlineStr">
        <is>
          <t>ROMERO Matteo [Aest]</t>
        </is>
      </c>
      <c r="N362" s="196" t="inlineStr">
        <is>
          <t>CASTILLO Irene [Aest]</t>
        </is>
      </c>
      <c r="O362" s="196" t="inlineStr">
        <is>
          <t>IGLESIAS Marco [AAt]</t>
        </is>
      </c>
      <c r="P362" s="196" t="inlineStr">
        <is>
          <t>ZUPAN Irene</t>
        </is>
      </c>
      <c r="Q362" s="196" t="inlineStr">
        <is>
          <t>BRANDT Beatrice</t>
        </is>
      </c>
      <c r="R362" s="196" t="inlineStr">
        <is>
          <t>SANTORI Gaelle</t>
        </is>
      </c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inlineStr">
        <is>
          <t>SANTORI Chiara [A]</t>
        </is>
      </c>
      <c r="N365" s="196" t="inlineStr">
        <is>
          <t>SOLER Marta [AAt]</t>
        </is>
      </c>
      <c r="O365" s="196" t="inlineStr">
        <is>
          <t>MARCHIONI Matteo [AAt]</t>
        </is>
      </c>
      <c r="P365" s="196" t="inlineStr">
        <is>
          <t>GALLINI Tommaso</t>
        </is>
      </c>
      <c r="Q365" s="196" t="inlineStr">
        <is>
          <t>ORTEGA Stefano</t>
        </is>
      </c>
      <c r="R365" s="196" t="inlineStr">
        <is>
          <t>ZUPAN Greta</t>
        </is>
      </c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inlineStr">
        <is>
          <t>MODIC Chiara [AA]</t>
        </is>
      </c>
      <c r="N368" s="196" t="inlineStr">
        <is>
          <t>CARON Alenka [AAt]</t>
        </is>
      </c>
      <c r="O368" s="196" t="inlineStr">
        <is>
          <t>CONTARDI Giulia [AAt]</t>
        </is>
      </c>
      <c r="P368" s="196" t="inlineStr">
        <is>
          <t>AUBERT Pablo</t>
        </is>
      </c>
      <c r="Q368" s="196" t="inlineStr">
        <is>
          <t>SCHAFER Lucia</t>
        </is>
      </c>
      <c r="R368" s="196" t="inlineStr">
        <is>
          <t>FERRANTE Mathilde</t>
        </is>
      </c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inlineStr">
        <is>
          <t>CONTARDI Marta [Aest]</t>
        </is>
      </c>
      <c r="N371" s="196" t="inlineStr">
        <is>
          <t>LANGER Marta [A]</t>
        </is>
      </c>
      <c r="O371" s="196" t="inlineStr">
        <is>
          <t>ENGEL Lea [AAt]</t>
        </is>
      </c>
      <c r="P371" s="196" t="inlineStr">
        <is>
          <t>MORETTO Lea</t>
        </is>
      </c>
      <c r="Q371" s="196" t="inlineStr">
        <is>
          <t>BIANCHELLI Ottavia</t>
        </is>
      </c>
      <c r="R371" s="196" t="inlineStr">
        <is>
          <t>BLANCO Valerie</t>
        </is>
      </c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inlineStr">
        <is>
          <t>HOFFMANN Gaelle [AA]</t>
        </is>
      </c>
      <c r="N374" s="196" t="inlineStr">
        <is>
          <t>ROMERO Elena [A]</t>
        </is>
      </c>
      <c r="O374" s="196" t="inlineStr">
        <is>
          <t>CARON Greta [AA]</t>
        </is>
      </c>
      <c r="P374" s="196" t="inlineStr">
        <is>
          <t>VOGEL Greta</t>
        </is>
      </c>
      <c r="Q374" s="196" t="inlineStr">
        <is>
          <t>BRANDT Paolo</t>
        </is>
      </c>
      <c r="R374" s="196" t="inlineStr">
        <is>
          <t>ORTEGA Filippo</t>
        </is>
      </c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inlineStr">
        <is>
          <t>ORTEGA Katrin [Aest]</t>
        </is>
      </c>
      <c r="N377" s="196" t="inlineStr">
        <is>
          <t>ORTEGA Elena [Aest]</t>
        </is>
      </c>
      <c r="O377" s="196" t="inlineStr">
        <is>
          <t>BLANCO Lucia [Aest]</t>
        </is>
      </c>
      <c r="P377" s="196" t="inlineStr">
        <is>
          <t>ZUPAN Luca</t>
        </is>
      </c>
      <c r="Q377" s="196" t="inlineStr">
        <is>
          <t>SANTORI Eva</t>
        </is>
      </c>
      <c r="R377" s="196" t="inlineStr">
        <is>
          <t>KOVAC Lea</t>
        </is>
      </c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inlineStr">
        <is>
          <t>MODIC Chiara [AA]</t>
        </is>
      </c>
      <c r="N380" s="196" t="inlineStr">
        <is>
          <t>SCHAFER Stefano [A]</t>
        </is>
      </c>
      <c r="O380" s="196" t="inlineStr">
        <is>
          <t>ENGEL Marco [AA]</t>
        </is>
      </c>
      <c r="P380" s="196" t="inlineStr">
        <is>
          <t>IGLESIAS Hugo</t>
        </is>
      </c>
      <c r="Q380" s="196" t="inlineStr">
        <is>
          <t>SANTORI Miha</t>
        </is>
      </c>
      <c r="R380" s="196" t="inlineStr">
        <is>
          <t>LEFEVRE Filippo</t>
        </is>
      </c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inlineStr">
        <is>
          <t>WEBER Matteo [A]</t>
        </is>
      </c>
      <c r="N383" s="196" t="inlineStr">
        <is>
          <t>HORVAT Davide [Aest]</t>
        </is>
      </c>
      <c r="O383" s="196" t="inlineStr">
        <is>
          <t>BELLANDI Paula [A]</t>
        </is>
      </c>
      <c r="P383" s="196" t="inlineStr">
        <is>
          <t>SCHAFER Ottavia</t>
        </is>
      </c>
      <c r="Q383" s="196" t="inlineStr">
        <is>
          <t>ORTEGA Luca</t>
        </is>
      </c>
      <c r="R383" s="196" t="inlineStr">
        <is>
          <t>IGLESIAS Alenka</t>
        </is>
      </c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inlineStr">
        <is>
          <t>LANGER Katrin [AAt]</t>
        </is>
      </c>
      <c r="N386" s="196" t="inlineStr">
        <is>
          <t>BLANCHET Diego [A]</t>
        </is>
      </c>
      <c r="O386" s="196" t="inlineStr">
        <is>
          <t>FOURNIER Matteo [AAt]</t>
        </is>
      </c>
      <c r="P386" s="196" t="inlineStr">
        <is>
          <t>SANTORI Paolo</t>
        </is>
      </c>
      <c r="Q386" s="196" t="inlineStr">
        <is>
          <t>GAUTHIER Andrea</t>
        </is>
      </c>
      <c r="R386" s="196" t="inlineStr">
        <is>
          <t>BLANCO Stefano</t>
        </is>
      </c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inlineStr">
        <is>
          <t>KRUGER Nicola [Aest]</t>
        </is>
      </c>
      <c r="N389" s="196" t="inlineStr">
        <is>
          <t>CAMPOS Miha [Aest]</t>
        </is>
      </c>
      <c r="O389" s="196" t="inlineStr">
        <is>
          <t>HORVAT Lea [A]</t>
        </is>
      </c>
      <c r="P389" s="196" t="inlineStr">
        <is>
          <t>VOGEL Giulia</t>
        </is>
      </c>
      <c r="Q389" s="196" t="inlineStr">
        <is>
          <t>SANTORI Filippo</t>
        </is>
      </c>
      <c r="R389" s="196" t="inlineStr">
        <is>
          <t>PELLEGRI Lea</t>
        </is>
      </c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inlineStr">
        <is>
          <t>BLANCHET Diego [A]</t>
        </is>
      </c>
      <c r="N394" s="196" t="inlineStr">
        <is>
          <t>IGLESIAS Lukas [Aest]</t>
        </is>
      </c>
      <c r="O394" s="196" t="inlineStr">
        <is>
          <t>SOLER Ottavia [AAt]</t>
        </is>
      </c>
      <c r="P394" s="196" t="inlineStr">
        <is>
          <t>BLANCHET Matteo</t>
        </is>
      </c>
      <c r="Q394" s="196" t="inlineStr">
        <is>
          <t>ROTH Katrin</t>
        </is>
      </c>
      <c r="R394" s="196" t="inlineStr">
        <is>
          <t>PRADO Marco</t>
        </is>
      </c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inlineStr">
        <is>
          <t>IGLESIAS Jonas [AAt]</t>
        </is>
      </c>
      <c r="N397" s="196" t="inlineStr">
        <is>
          <t>ZUPAN Felix [AAt]</t>
        </is>
      </c>
      <c r="O397" s="196" t="inlineStr">
        <is>
          <t>BELLANDI Andrea [AA]</t>
        </is>
      </c>
      <c r="P397" s="196" t="inlineStr">
        <is>
          <t>GAUTHIER Luca</t>
        </is>
      </c>
      <c r="Q397" s="196" t="inlineStr">
        <is>
          <t>ROMERO Stefano</t>
        </is>
      </c>
      <c r="R397" s="196" t="inlineStr">
        <is>
          <t>GALLINI Tommaso</t>
        </is>
      </c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inlineStr">
        <is>
          <t>MARCHIONI Filippo [AAt]</t>
        </is>
      </c>
      <c r="N400" s="196" t="inlineStr">
        <is>
          <t>SCHAFER Stefano [A]</t>
        </is>
      </c>
      <c r="O400" s="196" t="inlineStr">
        <is>
          <t>SANTORI Eva [AAt]</t>
        </is>
      </c>
      <c r="P400" s="196" t="inlineStr">
        <is>
          <t>CASTILLO Noemi</t>
        </is>
      </c>
      <c r="Q400" s="196" t="inlineStr">
        <is>
          <t>ORTEGA Luca</t>
        </is>
      </c>
      <c r="R400" s="196" t="inlineStr">
        <is>
          <t>SCHAFER Lucia</t>
        </is>
      </c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inlineStr">
        <is>
          <t>VALLET Martina [Aest]</t>
        </is>
      </c>
      <c r="N403" s="196" t="inlineStr">
        <is>
          <t>PRADO Luca [AA]</t>
        </is>
      </c>
      <c r="O403" s="196" t="inlineStr">
        <is>
          <t>BELLANDI Vid [Aest]</t>
        </is>
      </c>
      <c r="P403" s="196" t="inlineStr">
        <is>
          <t>MODIC Marco</t>
        </is>
      </c>
      <c r="Q403" s="196" t="inlineStr">
        <is>
          <t>CONTARDI Miha</t>
        </is>
      </c>
      <c r="R403" s="196" t="inlineStr">
        <is>
          <t>KELLER Stefano</t>
        </is>
      </c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inlineStr">
        <is>
          <t>MOREAU Martina [Aest]</t>
        </is>
      </c>
      <c r="N406" s="196" t="inlineStr">
        <is>
          <t>PRADO Luca [AA]</t>
        </is>
      </c>
      <c r="O406" s="196" t="inlineStr">
        <is>
          <t>ZUPAN Diego [AA]</t>
        </is>
      </c>
      <c r="P406" s="196" t="inlineStr">
        <is>
          <t>MARCHIONI Irene</t>
        </is>
      </c>
      <c r="Q406" s="196" t="inlineStr">
        <is>
          <t>ROMERO Alenka</t>
        </is>
      </c>
      <c r="R406" s="196" t="inlineStr">
        <is>
          <t>PRADO Marco</t>
        </is>
      </c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inlineStr">
        <is>
          <t>BIANCHELLI Filippo [AAt]</t>
        </is>
      </c>
      <c r="N409" s="196" t="inlineStr">
        <is>
          <t>KRUGER Sofia [A]</t>
        </is>
      </c>
      <c r="O409" s="196" t="inlineStr">
        <is>
          <t>BELLANDI Chiara [Aest]</t>
        </is>
      </c>
      <c r="P409" s="196" t="inlineStr">
        <is>
          <t>LANGER Valerie</t>
        </is>
      </c>
      <c r="Q409" s="196" t="inlineStr">
        <is>
          <t>ORTEGA Stefano</t>
        </is>
      </c>
      <c r="R409" s="196" t="inlineStr">
        <is>
          <t>BLANCO Lukas</t>
        </is>
      </c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inlineStr">
        <is>
          <t>PETERLIN Beatrice [Aest]</t>
        </is>
      </c>
      <c r="N412" s="196" t="inlineStr">
        <is>
          <t>CASTILLO Ilaria [AAt]</t>
        </is>
      </c>
      <c r="O412" s="196" t="inlineStr">
        <is>
          <t>CONTARDI Nicola [Aest]</t>
        </is>
      </c>
      <c r="P412" s="196" t="inlineStr">
        <is>
          <t>NAVARRO Lea</t>
        </is>
      </c>
      <c r="Q412" s="196" t="inlineStr">
        <is>
          <t>SCHAFER Gaelle</t>
        </is>
      </c>
      <c r="R412" s="196" t="inlineStr">
        <is>
          <t>SANTORI Pablo</t>
        </is>
      </c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inlineStr">
        <is>
          <t>MODIC Vid [Aest]</t>
        </is>
      </c>
      <c r="N415" s="196" t="inlineStr">
        <is>
          <t>ROSSINI Beatrice [Aest]</t>
        </is>
      </c>
      <c r="O415" s="196" t="inlineStr">
        <is>
          <t>ROSSINI Chiara [AAt]</t>
        </is>
      </c>
      <c r="P415" s="196" t="inlineStr">
        <is>
          <t>WEBER Irene</t>
        </is>
      </c>
      <c r="Q415" s="196" t="inlineStr">
        <is>
          <t>HOFFMANN Paolo</t>
        </is>
      </c>
      <c r="R415" s="196" t="inlineStr">
        <is>
          <t>ROMERO Giulia</t>
        </is>
      </c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inlineStr">
        <is>
          <t>SEVER Diego [A]</t>
        </is>
      </c>
      <c r="N418" s="196" t="inlineStr">
        <is>
          <t>ENGEL Valerie [Aest]</t>
        </is>
      </c>
      <c r="O418" s="196" t="inlineStr">
        <is>
          <t>CONTARDI Mathilde [A]</t>
        </is>
      </c>
      <c r="P418" s="196" t="inlineStr">
        <is>
          <t>ZUPAN Miha</t>
        </is>
      </c>
      <c r="Q418" s="196" t="inlineStr">
        <is>
          <t>SEVER Greta</t>
        </is>
      </c>
      <c r="R418" s="196" t="inlineStr">
        <is>
          <t>CASTILLO Stefano</t>
        </is>
      </c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inlineStr">
        <is>
          <t>LEROUX Hugo [Aest]</t>
        </is>
      </c>
      <c r="N421" s="196" t="inlineStr">
        <is>
          <t>FERRANTE Filippo [AAt]</t>
        </is>
      </c>
      <c r="O421" s="196" t="inlineStr">
        <is>
          <t>PETERLIN Beatrice [Aest]</t>
        </is>
      </c>
      <c r="P421" s="196" t="inlineStr">
        <is>
          <t>ORTEGA Luca</t>
        </is>
      </c>
      <c r="Q421" s="196" t="inlineStr">
        <is>
          <t>LEFEVRE Filippo</t>
        </is>
      </c>
      <c r="R421" s="196" t="inlineStr">
        <is>
          <t>SEVER Giulia</t>
        </is>
      </c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inlineStr">
        <is>
          <t>KRAJNC Elena [AA]</t>
        </is>
      </c>
      <c r="N426" s="196" t="inlineStr">
        <is>
          <t>CAMPOS Mathilde [Aest]</t>
        </is>
      </c>
      <c r="O426" s="196" t="inlineStr">
        <is>
          <t>CARON Giulia [AAt]</t>
        </is>
      </c>
      <c r="P426" s="196" t="inlineStr">
        <is>
          <t>CASTILLO Davide</t>
        </is>
      </c>
      <c r="Q426" s="196" t="inlineStr">
        <is>
          <t>SCHAFER Lucia</t>
        </is>
      </c>
      <c r="R426" s="196" t="inlineStr">
        <is>
          <t>KOVAC Lea</t>
        </is>
      </c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inlineStr">
        <is>
          <t>IGLESIAS Marco [AAt]</t>
        </is>
      </c>
      <c r="N429" s="196" t="inlineStr">
        <is>
          <t>HOFFMANN Valerie [A]</t>
        </is>
      </c>
      <c r="O429" s="196" t="inlineStr">
        <is>
          <t>KRUGER Greta [A]</t>
        </is>
      </c>
      <c r="P429" s="196" t="inlineStr">
        <is>
          <t>SANTORI Miha</t>
        </is>
      </c>
      <c r="Q429" s="196" t="inlineStr">
        <is>
          <t>FERRANTE Greta</t>
        </is>
      </c>
      <c r="R429" s="196" t="inlineStr">
        <is>
          <t>NOVAK Giulia</t>
        </is>
      </c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inlineStr">
        <is>
          <t>ENGEL Stefano [AAt]</t>
        </is>
      </c>
      <c r="N432" s="196" t="inlineStr">
        <is>
          <t>GALLINI Sofia [AA]</t>
        </is>
      </c>
      <c r="O432" s="196" t="inlineStr">
        <is>
          <t>CARON Martina [AAt]</t>
        </is>
      </c>
      <c r="P432" s="196" t="inlineStr">
        <is>
          <t>ENGEL Nicola</t>
        </is>
      </c>
      <c r="Q432" s="196" t="inlineStr">
        <is>
          <t>HOFFMANN Paolo</t>
        </is>
      </c>
      <c r="R432" s="196" t="inlineStr">
        <is>
          <t>NOVAK Nicola</t>
        </is>
      </c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inlineStr">
        <is>
          <t>MARCHIONI Paula [Aest]</t>
        </is>
      </c>
      <c r="N435" s="196" t="inlineStr">
        <is>
          <t>IGLESIAS Giulia [AAt]</t>
        </is>
      </c>
      <c r="O435" s="196" t="inlineStr">
        <is>
          <t>NADAUD Lucia [AA]</t>
        </is>
      </c>
      <c r="P435" s="196" t="inlineStr">
        <is>
          <t>IGLESIAS Eva</t>
        </is>
      </c>
      <c r="Q435" s="196" t="inlineStr">
        <is>
          <t>ENGEL Lucia</t>
        </is>
      </c>
      <c r="R435" s="196" t="inlineStr">
        <is>
          <t>MODIC Marco</t>
        </is>
      </c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inlineStr">
        <is>
          <t>ENGEL Luca [AA]</t>
        </is>
      </c>
      <c r="N438" s="196" t="inlineStr">
        <is>
          <t>MODIC Chiara [AA]</t>
        </is>
      </c>
      <c r="O438" s="196" t="inlineStr">
        <is>
          <t>VOGEL Martina [AA]</t>
        </is>
      </c>
      <c r="P438" s="196" t="inlineStr">
        <is>
          <t>SCHAFER Lucia</t>
        </is>
      </c>
      <c r="Q438" s="196" t="inlineStr">
        <is>
          <t>MARCHIONI Miha</t>
        </is>
      </c>
      <c r="R438" s="196" t="inlineStr">
        <is>
          <t>KRUGER Irene</t>
        </is>
      </c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inlineStr">
        <is>
          <t>SOLER Stefano [A]</t>
        </is>
      </c>
      <c r="N441" s="196" t="inlineStr">
        <is>
          <t>MARCHIONI Matteo [AAt]</t>
        </is>
      </c>
      <c r="O441" s="196" t="inlineStr">
        <is>
          <t>HOFFMANN Lea [AAt]</t>
        </is>
      </c>
      <c r="P441" s="196" t="inlineStr">
        <is>
          <t>SOLER Gaelle</t>
        </is>
      </c>
      <c r="Q441" s="196" t="inlineStr">
        <is>
          <t>KRUGER Valerie</t>
        </is>
      </c>
      <c r="R441" s="196" t="inlineStr">
        <is>
          <t>LEFEVRE Tommaso</t>
        </is>
      </c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inlineStr">
        <is>
          <t>HOFFMANN Ottavia [AA]</t>
        </is>
      </c>
      <c r="N444" s="196" t="inlineStr">
        <is>
          <t>SANTORI Jonas [Aest]</t>
        </is>
      </c>
      <c r="O444" s="196" t="inlineStr">
        <is>
          <t>ROMERO Matteo [Aest]</t>
        </is>
      </c>
      <c r="P444" s="196" t="inlineStr">
        <is>
          <t>VOGEL Sofia</t>
        </is>
      </c>
      <c r="Q444" s="196" t="inlineStr">
        <is>
          <t>KELLER Jonas</t>
        </is>
      </c>
      <c r="R444" s="196" t="inlineStr">
        <is>
          <t>KRUGER Vid</t>
        </is>
      </c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inlineStr">
        <is>
          <t>CASTILLO Paolo [AAt]</t>
        </is>
      </c>
      <c r="N447" s="196" t="inlineStr">
        <is>
          <t>ORTEGA Katrin [Aest]</t>
        </is>
      </c>
      <c r="O447" s="196" t="inlineStr">
        <is>
          <t>HORVAT Vid [A]</t>
        </is>
      </c>
      <c r="P447" s="196" t="inlineStr">
        <is>
          <t>NOVAK Ilaria</t>
        </is>
      </c>
      <c r="Q447" s="196" t="inlineStr">
        <is>
          <t>CONTARDI Valerie</t>
        </is>
      </c>
      <c r="R447" s="196" t="inlineStr">
        <is>
          <t>SCHAFER Sofia</t>
        </is>
      </c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inlineStr">
        <is>
          <t>MODIC Matteo [AA]</t>
        </is>
      </c>
      <c r="N450" s="196" t="inlineStr">
        <is>
          <t>LEROUX Diego [AAt]</t>
        </is>
      </c>
      <c r="O450" s="196" t="inlineStr">
        <is>
          <t>KELLER Marco [Aest]</t>
        </is>
      </c>
      <c r="P450" s="196" t="inlineStr">
        <is>
          <t>SCHAFER Katrin</t>
        </is>
      </c>
      <c r="Q450" s="196" t="inlineStr">
        <is>
          <t>MARCHIONI Irene</t>
        </is>
      </c>
      <c r="R450" s="196" t="inlineStr">
        <is>
          <t>CARON Pablo</t>
        </is>
      </c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inlineStr">
        <is>
          <t>LEFEVRE Pablo [AA]</t>
        </is>
      </c>
      <c r="N453" s="196" t="inlineStr">
        <is>
          <t>VALLET Felix [A]</t>
        </is>
      </c>
      <c r="O453" s="196" t="inlineStr">
        <is>
          <t>CARON Elena [A]</t>
        </is>
      </c>
      <c r="P453" s="196" t="inlineStr">
        <is>
          <t>SCHAFER Lea</t>
        </is>
      </c>
      <c r="Q453" s="196" t="inlineStr">
        <is>
          <t>BLANCO Giulia</t>
        </is>
      </c>
      <c r="R453" s="196" t="inlineStr">
        <is>
          <t>SANTORI Filippo</t>
        </is>
      </c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inlineStr">
        <is>
          <t>ORTEGA Diego [A]</t>
        </is>
      </c>
      <c r="N458" s="196" t="inlineStr">
        <is>
          <t>ROSSINI Chiara [AAt]</t>
        </is>
      </c>
      <c r="O458" s="196" t="inlineStr">
        <is>
          <t>ORTEGA Elena [Aest]</t>
        </is>
      </c>
      <c r="P458" s="196" t="inlineStr">
        <is>
          <t>KRUGER Katrin</t>
        </is>
      </c>
      <c r="Q458" s="196" t="inlineStr">
        <is>
          <t>KELLER Alenka</t>
        </is>
      </c>
      <c r="R458" s="196" t="inlineStr">
        <is>
          <t>VOGEL Pablo</t>
        </is>
      </c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inlineStr">
        <is>
          <t>VALLET Gaelle [Aest]</t>
        </is>
      </c>
      <c r="N461" s="196" t="inlineStr">
        <is>
          <t>BLANCO Ottavia [AA]</t>
        </is>
      </c>
      <c r="O461" s="196" t="inlineStr">
        <is>
          <t>FERRANTE Luca [AAt]</t>
        </is>
      </c>
      <c r="P461" s="196" t="inlineStr">
        <is>
          <t>CASTILLO Stefano</t>
        </is>
      </c>
      <c r="Q461" s="196" t="inlineStr">
        <is>
          <t>ROTH Lukas</t>
        </is>
      </c>
      <c r="R461" s="196" t="inlineStr">
        <is>
          <t>ZUPAN Irene</t>
        </is>
      </c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inlineStr">
        <is>
          <t>GAUTHIER Lukas [AA]</t>
        </is>
      </c>
      <c r="N464" s="196" t="inlineStr">
        <is>
          <t>BIANCHELLI Felix [Aest]</t>
        </is>
      </c>
      <c r="O464" s="196" t="inlineStr">
        <is>
          <t>ROSSINI Beatrice [Aest]</t>
        </is>
      </c>
      <c r="P464" s="196" t="inlineStr">
        <is>
          <t>ENGEL Martina</t>
        </is>
      </c>
      <c r="Q464" s="196" t="inlineStr">
        <is>
          <t>ENGEL Ottavia</t>
        </is>
      </c>
      <c r="R464" s="196" t="inlineStr">
        <is>
          <t>LANGER Katrin</t>
        </is>
      </c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inlineStr">
        <is>
          <t>WEBER Martina [A]</t>
        </is>
      </c>
      <c r="N467" s="196" t="inlineStr">
        <is>
          <t>OBLAK Lucia [AAt]</t>
        </is>
      </c>
      <c r="O467" s="196" t="inlineStr">
        <is>
          <t>FOURNIER Tommaso [AA]</t>
        </is>
      </c>
      <c r="P467" s="196" t="inlineStr">
        <is>
          <t>BELLANDI Tommaso</t>
        </is>
      </c>
      <c r="Q467" s="196" t="inlineStr">
        <is>
          <t>BLANCHET Alenka</t>
        </is>
      </c>
      <c r="R467" s="196" t="inlineStr">
        <is>
          <t>HOFFMANN Matteo</t>
        </is>
      </c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inlineStr">
        <is>
          <t>FOURNIER Matteo [AAt]</t>
        </is>
      </c>
      <c r="N470" s="196" t="inlineStr">
        <is>
          <t>HORVAT Davide [Aest]</t>
        </is>
      </c>
      <c r="O470" s="196" t="inlineStr">
        <is>
          <t>PELLEGRI Paolo [AAt]</t>
        </is>
      </c>
      <c r="P470" s="196" t="inlineStr">
        <is>
          <t>VALLET Miha</t>
        </is>
      </c>
      <c r="Q470" s="196" t="inlineStr">
        <is>
          <t>NADAUD Mathilde</t>
        </is>
      </c>
      <c r="R470" s="196" t="inlineStr">
        <is>
          <t>BIANCHELLI Katrin</t>
        </is>
      </c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inlineStr">
        <is>
          <t>HOFFMANN Ottavia [AA]</t>
        </is>
      </c>
      <c r="N473" s="196" t="inlineStr">
        <is>
          <t>KOVAC Diego [AAt]</t>
        </is>
      </c>
      <c r="O473" s="196" t="inlineStr">
        <is>
          <t>MARCHIONI Marco [Aest]</t>
        </is>
      </c>
      <c r="P473" s="196" t="inlineStr">
        <is>
          <t>SEVER Davide</t>
        </is>
      </c>
      <c r="Q473" s="196" t="inlineStr">
        <is>
          <t>ZUPAN Elena</t>
        </is>
      </c>
      <c r="R473" s="196" t="inlineStr">
        <is>
          <t>CASTILLO Davide</t>
        </is>
      </c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inlineStr">
        <is>
          <t>SCHAFER Giulia [AA]</t>
        </is>
      </c>
      <c r="N476" s="196" t="inlineStr">
        <is>
          <t>LEFEVRE Mathilde [A]</t>
        </is>
      </c>
      <c r="O476" s="196" t="inlineStr">
        <is>
          <t>BELLANDI Marta [A]</t>
        </is>
      </c>
      <c r="P476" s="196" t="inlineStr">
        <is>
          <t>HOFFMANN Andrea</t>
        </is>
      </c>
      <c r="Q476" s="196" t="inlineStr">
        <is>
          <t>VIDMAR Chiara</t>
        </is>
      </c>
      <c r="R476" s="196" t="inlineStr">
        <is>
          <t>HORVAT Matteo</t>
        </is>
      </c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inlineStr">
        <is>
          <t>WEBER Andrea [AAt]</t>
        </is>
      </c>
      <c r="N479" s="196" t="inlineStr">
        <is>
          <t>NOVAK Mathilde [Aest]</t>
        </is>
      </c>
      <c r="O479" s="196" t="inlineStr">
        <is>
          <t>CASTILLO Irene [Aest]</t>
        </is>
      </c>
      <c r="P479" s="196" t="inlineStr">
        <is>
          <t>KELLER Alenka</t>
        </is>
      </c>
      <c r="Q479" s="196" t="inlineStr">
        <is>
          <t>BLANCO Stefano</t>
        </is>
      </c>
      <c r="R479" s="196" t="inlineStr">
        <is>
          <t>WEBER Ilaria</t>
        </is>
      </c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inlineStr">
        <is>
          <t>MOREAU Pablo [AAt]</t>
        </is>
      </c>
      <c r="N482" s="196" t="inlineStr">
        <is>
          <t>HOFFMANN Ottavia [AA]</t>
        </is>
      </c>
      <c r="O482" s="196" t="inlineStr">
        <is>
          <t>KOVAC Miha [Aest]</t>
        </is>
      </c>
      <c r="P482" s="196" t="inlineStr">
        <is>
          <t>CASTILLO Giulia</t>
        </is>
      </c>
      <c r="Q482" s="196" t="inlineStr">
        <is>
          <t>SOLER Marta</t>
        </is>
      </c>
      <c r="R482" s="196" t="inlineStr">
        <is>
          <t>HOFFMANN Diego</t>
        </is>
      </c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inlineStr">
        <is>
          <t>ORTEGA Elena [Aest]</t>
        </is>
      </c>
      <c r="N485" s="196" t="inlineStr">
        <is>
          <t>ENGEL Noemi [Aest]</t>
        </is>
      </c>
      <c r="O485" s="196" t="inlineStr">
        <is>
          <t>PELLEGRI Chiara [AAt]</t>
        </is>
      </c>
      <c r="P485" s="196" t="inlineStr">
        <is>
          <t>ENGEL Mathilde</t>
        </is>
      </c>
      <c r="Q485" s="196" t="inlineStr">
        <is>
          <t>HOFFMANN Chiara</t>
        </is>
      </c>
      <c r="R485" s="196" t="inlineStr">
        <is>
          <t>ROSSINI Mathilde</t>
        </is>
      </c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inlineStr">
        <is>
          <t>KRUGER Ilaria [A]</t>
        </is>
      </c>
      <c r="N490" s="196" t="inlineStr">
        <is>
          <t>BIANCHELLI Vid [AAt]</t>
        </is>
      </c>
      <c r="O490" s="196" t="inlineStr">
        <is>
          <t>PRADO Eva [AAt]</t>
        </is>
      </c>
      <c r="P490" s="196" t="inlineStr">
        <is>
          <t>CONTARDI Felix</t>
        </is>
      </c>
      <c r="Q490" s="196" t="inlineStr">
        <is>
          <t>BIANCHELLI Eva</t>
        </is>
      </c>
      <c r="R490" s="196" t="inlineStr">
        <is>
          <t>SOLER Gaelle</t>
        </is>
      </c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inlineStr">
        <is>
          <t>ROMERO Stefano [Aest]</t>
        </is>
      </c>
      <c r="N493" s="196" t="inlineStr">
        <is>
          <t>PRADO Eva [AAt]</t>
        </is>
      </c>
      <c r="O493" s="196" t="inlineStr">
        <is>
          <t>FUENTES Noemi [Aest]</t>
        </is>
      </c>
      <c r="P493" s="196" t="inlineStr">
        <is>
          <t>MORETTO Beatrice</t>
        </is>
      </c>
      <c r="Q493" s="196" t="inlineStr">
        <is>
          <t>FERRANTE Hugo</t>
        </is>
      </c>
      <c r="R493" s="196" t="inlineStr">
        <is>
          <t>FOURNIER Lucia</t>
        </is>
      </c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inlineStr">
        <is>
          <t>ORTEGA Elena [Aest]</t>
        </is>
      </c>
      <c r="N496" s="196" t="inlineStr">
        <is>
          <t>ROMERO Matteo [Aest]</t>
        </is>
      </c>
      <c r="O496" s="196" t="inlineStr">
        <is>
          <t>PRADO Giulia [AAt]</t>
        </is>
      </c>
      <c r="P496" s="196" t="inlineStr">
        <is>
          <t>VIDMAR Chiara</t>
        </is>
      </c>
      <c r="Q496" s="196" t="inlineStr">
        <is>
          <t>HORVAT Matteo</t>
        </is>
      </c>
      <c r="R496" s="196" t="inlineStr">
        <is>
          <t>VIDMAR Diego</t>
        </is>
      </c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inlineStr">
        <is>
          <t>VOGEL Martina [AA]</t>
        </is>
      </c>
      <c r="N499" s="196" t="inlineStr">
        <is>
          <t>OBLAK Beatrice [AA]</t>
        </is>
      </c>
      <c r="O499" s="196" t="inlineStr">
        <is>
          <t>SANTORI Eva [AAt]</t>
        </is>
      </c>
      <c r="P499" s="196" t="inlineStr">
        <is>
          <t>KRUGER Valerie</t>
        </is>
      </c>
      <c r="Q499" s="196" t="inlineStr">
        <is>
          <t>VIDMAR Chiara</t>
        </is>
      </c>
      <c r="R499" s="196" t="inlineStr">
        <is>
          <t>NADAUD Nicola</t>
        </is>
      </c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inlineStr">
        <is>
          <t>NADAUD Lucia [AA]</t>
        </is>
      </c>
      <c r="N502" s="196" t="inlineStr">
        <is>
          <t>CAMPOS Jonas [AAt]</t>
        </is>
      </c>
      <c r="O502" s="196" t="inlineStr">
        <is>
          <t>VIDMAR Noemi [AA]</t>
        </is>
      </c>
      <c r="P502" s="196" t="inlineStr">
        <is>
          <t>KRUGER Katrin</t>
        </is>
      </c>
      <c r="Q502" s="196" t="inlineStr">
        <is>
          <t>MODIC Lucia</t>
        </is>
      </c>
      <c r="R502" s="196" t="inlineStr">
        <is>
          <t>BLANCHET Alenka</t>
        </is>
      </c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inlineStr">
        <is>
          <t>ENGEL Lea [AAt]</t>
        </is>
      </c>
      <c r="N505" s="196" t="inlineStr">
        <is>
          <t>MODIC Gaelle [AA]</t>
        </is>
      </c>
      <c r="O505" s="196" t="inlineStr">
        <is>
          <t>VIDMAR Pablo [Aest]</t>
        </is>
      </c>
      <c r="P505" s="196" t="inlineStr">
        <is>
          <t>LEFEVRE Alenka</t>
        </is>
      </c>
      <c r="Q505" s="196" t="inlineStr">
        <is>
          <t>MARCHIONI Greta</t>
        </is>
      </c>
      <c r="R505" s="196" t="inlineStr">
        <is>
          <t>ENGEL Elena</t>
        </is>
      </c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inlineStr">
        <is>
          <t>CAMPOS Jonas [AAt]</t>
        </is>
      </c>
      <c r="N508" s="196" t="inlineStr">
        <is>
          <t>VIDMAR Elena [AAt]</t>
        </is>
      </c>
      <c r="O508" s="196" t="inlineStr">
        <is>
          <t>ENGEL Filippo [A]</t>
        </is>
      </c>
      <c r="P508" s="196" t="inlineStr">
        <is>
          <t>WEBER Andrea</t>
        </is>
      </c>
      <c r="Q508" s="196" t="inlineStr">
        <is>
          <t>WEBER Filippo</t>
        </is>
      </c>
      <c r="R508" s="196" t="inlineStr">
        <is>
          <t>ZUPAN Elena</t>
        </is>
      </c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inlineStr">
        <is>
          <t>GAUTHIER Lukas [AA]</t>
        </is>
      </c>
      <c r="N511" s="196" t="inlineStr">
        <is>
          <t>VOGEL Giulia [Aest]</t>
        </is>
      </c>
      <c r="O511" s="196" t="inlineStr">
        <is>
          <t>MOREAU Martina [Aest]</t>
        </is>
      </c>
      <c r="P511" s="196" t="inlineStr">
        <is>
          <t>SCHAFER Gaelle</t>
        </is>
      </c>
      <c r="Q511" s="196" t="inlineStr">
        <is>
          <t>ORTEGA Gaelle</t>
        </is>
      </c>
      <c r="R511" s="196" t="inlineStr">
        <is>
          <t>FUENTES Chiara</t>
        </is>
      </c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inlineStr">
        <is>
          <t>ROSSINI Sofia [AA]</t>
        </is>
      </c>
      <c r="N514" s="196" t="inlineStr">
        <is>
          <t>BIANCHELLI Paolo [AA]</t>
        </is>
      </c>
      <c r="O514" s="196" t="inlineStr">
        <is>
          <t>KRUGER Sofia [A]</t>
        </is>
      </c>
      <c r="P514" s="196" t="inlineStr">
        <is>
          <t>SANTORI Gaelle</t>
        </is>
      </c>
      <c r="Q514" s="196" t="inlineStr">
        <is>
          <t>ROMERO Greta</t>
        </is>
      </c>
      <c r="R514" s="196" t="inlineStr">
        <is>
          <t>BRANDT Elena</t>
        </is>
      </c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inlineStr">
        <is>
          <t>GAUTHIER Noemi [AA]</t>
        </is>
      </c>
      <c r="N517" s="196" t="inlineStr">
        <is>
          <t>LEROUX Filippo [Aest]</t>
        </is>
      </c>
      <c r="O517" s="196" t="inlineStr">
        <is>
          <t>OBLAK Beatrice [AA]</t>
        </is>
      </c>
      <c r="P517" s="196" t="inlineStr">
        <is>
          <t>BIANCHELLI Valerie</t>
        </is>
      </c>
      <c r="Q517" s="196" t="inlineStr">
        <is>
          <t>FERRANTE Chiara</t>
        </is>
      </c>
      <c r="R517" s="196" t="inlineStr">
        <is>
          <t>MOREAU Felix</t>
        </is>
      </c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inlineStr">
        <is>
          <t>BELLANDI Matteo [AA]</t>
        </is>
      </c>
      <c r="N522" s="196" t="inlineStr">
        <is>
          <t>VALLET Tommaso [AAt]</t>
        </is>
      </c>
      <c r="O522" s="196" t="inlineStr">
        <is>
          <t>ROMERO Matteo [Aest]</t>
        </is>
      </c>
      <c r="P522" s="196" t="inlineStr">
        <is>
          <t>BLANCO Stefano</t>
        </is>
      </c>
      <c r="Q522" s="196" t="inlineStr">
        <is>
          <t>VIDMAR Chiara</t>
        </is>
      </c>
      <c r="R522" s="196" t="inlineStr">
        <is>
          <t>ROSSINI Mathilde</t>
        </is>
      </c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inlineStr">
        <is>
          <t>BRANDT Felix [A]</t>
        </is>
      </c>
      <c r="N525" s="196" t="inlineStr">
        <is>
          <t>CONTARDI Nicola [Aest]</t>
        </is>
      </c>
      <c r="O525" s="196" t="inlineStr">
        <is>
          <t>ROTH Lea [A]</t>
        </is>
      </c>
      <c r="P525" s="196" t="inlineStr">
        <is>
          <t>CARON Diego</t>
        </is>
      </c>
      <c r="Q525" s="196" t="inlineStr">
        <is>
          <t>HOFFMANN Diego</t>
        </is>
      </c>
      <c r="R525" s="196" t="inlineStr">
        <is>
          <t>MORETTO Beatrice</t>
        </is>
      </c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inlineStr">
        <is>
          <t>VOGEL Giulia [Aest]</t>
        </is>
      </c>
      <c r="N528" s="196" t="inlineStr">
        <is>
          <t>BLANCHET Valerie [A]</t>
        </is>
      </c>
      <c r="O528" s="196" t="inlineStr">
        <is>
          <t>BLANCHET Nicola [AA]</t>
        </is>
      </c>
      <c r="P528" s="196" t="inlineStr">
        <is>
          <t>MORETTO Beatrice</t>
        </is>
      </c>
      <c r="Q528" s="196" t="inlineStr">
        <is>
          <t>ROSSINI Andrea</t>
        </is>
      </c>
      <c r="R528" s="196" t="inlineStr">
        <is>
          <t>ZUPAN Alenka</t>
        </is>
      </c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inlineStr">
        <is>
          <t>NADAUD Hugo [AAt]</t>
        </is>
      </c>
      <c r="N531" s="196" t="inlineStr">
        <is>
          <t>WEBER Lucia [AA]</t>
        </is>
      </c>
      <c r="O531" s="196" t="inlineStr">
        <is>
          <t>ROTH Katrin [A]</t>
        </is>
      </c>
      <c r="P531" s="196" t="inlineStr">
        <is>
          <t>FERRANTE Stefano</t>
        </is>
      </c>
      <c r="Q531" s="196" t="inlineStr">
        <is>
          <t>NADAUD Andrea</t>
        </is>
      </c>
      <c r="R531" s="196" t="inlineStr">
        <is>
          <t>CARON Anja</t>
        </is>
      </c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inlineStr">
        <is>
          <t>LANGER Sofia [A]</t>
        </is>
      </c>
      <c r="N534" s="196" t="inlineStr">
        <is>
          <t>ORTEGA Elena [Aest]</t>
        </is>
      </c>
      <c r="O534" s="196" t="inlineStr">
        <is>
          <t>CAMPOS Ilaria [A]</t>
        </is>
      </c>
      <c r="P534" s="196" t="inlineStr">
        <is>
          <t>ROTH Hugo</t>
        </is>
      </c>
      <c r="Q534" s="196" t="inlineStr">
        <is>
          <t>ENGEL Elena</t>
        </is>
      </c>
      <c r="R534" s="196" t="inlineStr">
        <is>
          <t>GALLINI Gaelle</t>
        </is>
      </c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inlineStr">
        <is>
          <t>WEBER Martina [A]</t>
        </is>
      </c>
      <c r="N537" s="196" t="inlineStr">
        <is>
          <t>ROMERO Elena [A]</t>
        </is>
      </c>
      <c r="O537" s="196" t="inlineStr">
        <is>
          <t>ROSSINI Martina [AAt]</t>
        </is>
      </c>
      <c r="P537" s="196" t="inlineStr">
        <is>
          <t>VOGEL Lea</t>
        </is>
      </c>
      <c r="Q537" s="196" t="inlineStr">
        <is>
          <t>KRUGER Katrin</t>
        </is>
      </c>
      <c r="R537" s="196" t="inlineStr">
        <is>
          <t>PRADO Alenka</t>
        </is>
      </c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inlineStr">
        <is>
          <t>BIANCHELLI Filippo [AAt]</t>
        </is>
      </c>
      <c r="N540" s="196" t="inlineStr">
        <is>
          <t>NAVARRO Irene [Aest]</t>
        </is>
      </c>
      <c r="O540" s="196" t="inlineStr">
        <is>
          <t>KRAJNC Elena [AA]</t>
        </is>
      </c>
      <c r="P540" s="196" t="inlineStr">
        <is>
          <t>HOFFMANN Matteo</t>
        </is>
      </c>
      <c r="Q540" s="196" t="inlineStr">
        <is>
          <t>AUBERT Paolo</t>
        </is>
      </c>
      <c r="R540" s="196" t="inlineStr">
        <is>
          <t>VALLET Stefano</t>
        </is>
      </c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inlineStr">
        <is>
          <t>LEROUX Filippo [Aest]</t>
        </is>
      </c>
      <c r="N543" s="196" t="inlineStr">
        <is>
          <t>BLANCHET Giulia [AA]</t>
        </is>
      </c>
      <c r="O543" s="196" t="inlineStr">
        <is>
          <t>ROTH Lea [A]</t>
        </is>
      </c>
      <c r="P543" s="196" t="inlineStr">
        <is>
          <t>LEFEVRE Ilaria</t>
        </is>
      </c>
      <c r="Q543" s="196" t="inlineStr">
        <is>
          <t>VIDMAR Paula</t>
        </is>
      </c>
      <c r="R543" s="196" t="inlineStr">
        <is>
          <t>ROTH Stefano</t>
        </is>
      </c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inlineStr">
        <is>
          <t>HORVAT Vid [A]</t>
        </is>
      </c>
      <c r="N546" s="196" t="inlineStr">
        <is>
          <t>MARCHIONI Marco [Aest]</t>
        </is>
      </c>
      <c r="O546" s="196" t="inlineStr">
        <is>
          <t>NAVARRO Gaelle [A]</t>
        </is>
      </c>
      <c r="P546" s="196" t="inlineStr">
        <is>
          <t>FUENTES Anja</t>
        </is>
      </c>
      <c r="Q546" s="196" t="inlineStr">
        <is>
          <t>CARON Diego</t>
        </is>
      </c>
      <c r="R546" s="196" t="inlineStr">
        <is>
          <t>BIANCHELLI Eva</t>
        </is>
      </c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inlineStr">
        <is>
          <t>MODIC Lukas [AAt]</t>
        </is>
      </c>
      <c r="N549" s="196" t="inlineStr">
        <is>
          <t>HORVAT Marco [AA]</t>
        </is>
      </c>
      <c r="O549" s="196" t="inlineStr">
        <is>
          <t>CONTARDI Lucia [AA]</t>
        </is>
      </c>
      <c r="P549" s="196" t="inlineStr">
        <is>
          <t>KOVAC Nicola</t>
        </is>
      </c>
      <c r="Q549" s="196" t="inlineStr">
        <is>
          <t>MARCHIONI Miha</t>
        </is>
      </c>
      <c r="R549" s="196" t="inlineStr">
        <is>
          <t>MORETTO Beatrice</t>
        </is>
      </c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inlineStr">
        <is>
          <t>SEVER Tommaso [AAt]</t>
        </is>
      </c>
      <c r="N554" s="196" t="inlineStr">
        <is>
          <t>PELLEGRI Eva [AA]</t>
        </is>
      </c>
      <c r="O554" s="196" t="inlineStr">
        <is>
          <t>SEVER Nicola [AA]</t>
        </is>
      </c>
      <c r="P554" s="196" t="inlineStr">
        <is>
          <t>BLANCO Diego</t>
        </is>
      </c>
      <c r="Q554" s="196" t="inlineStr">
        <is>
          <t>HORVAT Pablo</t>
        </is>
      </c>
      <c r="R554" s="196" t="inlineStr">
        <is>
          <t>KELLER Ottavia</t>
        </is>
      </c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inlineStr">
        <is>
          <t>KRUGER Lea [AA]</t>
        </is>
      </c>
      <c r="N557" s="196" t="inlineStr">
        <is>
          <t>BLANCHET Giulia [AA]</t>
        </is>
      </c>
      <c r="O557" s="196" t="inlineStr">
        <is>
          <t>HORVAT Giulia [A]</t>
        </is>
      </c>
      <c r="P557" s="196" t="inlineStr">
        <is>
          <t>FUENTES Lukas</t>
        </is>
      </c>
      <c r="Q557" s="196" t="inlineStr">
        <is>
          <t>MORETTO Ilaria</t>
        </is>
      </c>
      <c r="R557" s="196" t="inlineStr">
        <is>
          <t>LEFEVRE Tommaso</t>
        </is>
      </c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inlineStr">
        <is>
          <t>MARCHIONI Matteo [AAt]</t>
        </is>
      </c>
      <c r="N560" s="196" t="inlineStr">
        <is>
          <t>KELLER Andrea [Aest]</t>
        </is>
      </c>
      <c r="O560" s="196" t="inlineStr">
        <is>
          <t>BIANCHELLI Tommaso [A]</t>
        </is>
      </c>
      <c r="P560" s="196" t="inlineStr">
        <is>
          <t>NOVAK Nicola</t>
        </is>
      </c>
      <c r="Q560" s="196" t="inlineStr">
        <is>
          <t>KRAJNC Greta</t>
        </is>
      </c>
      <c r="R560" s="196" t="inlineStr">
        <is>
          <t>IGLESIAS Jonas</t>
        </is>
      </c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inlineStr">
        <is>
          <t>SEVER Nicola [AA]</t>
        </is>
      </c>
      <c r="N563" s="196" t="inlineStr">
        <is>
          <t>BLANCHET Nicola [AA]</t>
        </is>
      </c>
      <c r="O563" s="196" t="inlineStr">
        <is>
          <t>FUENTES Irene [AA]</t>
        </is>
      </c>
      <c r="P563" s="196" t="inlineStr">
        <is>
          <t>FUENTES Beatrice</t>
        </is>
      </c>
      <c r="Q563" s="196" t="inlineStr">
        <is>
          <t>ORTEGA Filippo</t>
        </is>
      </c>
      <c r="R563" s="196" t="inlineStr">
        <is>
          <t>LANGER Valerie</t>
        </is>
      </c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inlineStr">
        <is>
          <t>MARCHIONI Lea [AAt]</t>
        </is>
      </c>
      <c r="N566" s="196" t="inlineStr">
        <is>
          <t>NAVARRO Martina [A]</t>
        </is>
      </c>
      <c r="O566" s="196" t="inlineStr">
        <is>
          <t>LEFEVRE Mathilde [A]</t>
        </is>
      </c>
      <c r="P566" s="196" t="inlineStr">
        <is>
          <t>KELLER Pablo</t>
        </is>
      </c>
      <c r="Q566" s="196" t="inlineStr">
        <is>
          <t>ZUPAN Irene</t>
        </is>
      </c>
      <c r="R566" s="196" t="inlineStr">
        <is>
          <t>FERRANTE Chiara</t>
        </is>
      </c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inlineStr">
        <is>
          <t>KELLER Marco [Aest]</t>
        </is>
      </c>
      <c r="N569" s="196" t="inlineStr">
        <is>
          <t>KRAJNC Elena [AA]</t>
        </is>
      </c>
      <c r="O569" s="196" t="inlineStr">
        <is>
          <t>VIDMAR Pablo [Aest]</t>
        </is>
      </c>
      <c r="P569" s="196" t="inlineStr">
        <is>
          <t>BIANCHELLI Mathilde</t>
        </is>
      </c>
      <c r="Q569" s="196" t="inlineStr">
        <is>
          <t>SCHAFER Ottavia</t>
        </is>
      </c>
      <c r="R569" s="196" t="inlineStr">
        <is>
          <t>KRUGER Irene</t>
        </is>
      </c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inlineStr">
        <is>
          <t>NAVARRO Gaelle [A]</t>
        </is>
      </c>
      <c r="N572" s="196" t="inlineStr">
        <is>
          <t>FUENTES Valerie [AAt]</t>
        </is>
      </c>
      <c r="O572" s="196" t="inlineStr">
        <is>
          <t>ROSSINI Irene [AA]</t>
        </is>
      </c>
      <c r="P572" s="196" t="inlineStr">
        <is>
          <t>ORTEGA Andrea</t>
        </is>
      </c>
      <c r="Q572" s="196" t="inlineStr">
        <is>
          <t>FUENTES Beatrice</t>
        </is>
      </c>
      <c r="R572" s="196" t="inlineStr">
        <is>
          <t>MORETTO Lea</t>
        </is>
      </c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inlineStr">
        <is>
          <t>CARON Greta [AA]</t>
        </is>
      </c>
      <c r="N575" s="196" t="inlineStr">
        <is>
          <t>VIDMAR Elena [AAt]</t>
        </is>
      </c>
      <c r="O575" s="196" t="inlineStr">
        <is>
          <t>SCHAFER Eva [AA]</t>
        </is>
      </c>
      <c r="P575" s="196" t="inlineStr">
        <is>
          <t>ROMERO Stefano</t>
        </is>
      </c>
      <c r="Q575" s="196" t="inlineStr">
        <is>
          <t>SCHAFER Greta</t>
        </is>
      </c>
      <c r="R575" s="196" t="inlineStr">
        <is>
          <t>HOFFMANN Diego</t>
        </is>
      </c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inlineStr">
        <is>
          <t>HORVAT Lea [A]</t>
        </is>
      </c>
      <c r="N578" s="196" t="inlineStr">
        <is>
          <t>KRAJNC Lukas [Aest]</t>
        </is>
      </c>
      <c r="O578" s="196" t="inlineStr">
        <is>
          <t>BRANDT Felix [A]</t>
        </is>
      </c>
      <c r="P578" s="196" t="inlineStr">
        <is>
          <t>GAUTHIER Davide</t>
        </is>
      </c>
      <c r="Q578" s="196" t="inlineStr">
        <is>
          <t>PRADO Stefano</t>
        </is>
      </c>
      <c r="R578" s="196" t="inlineStr">
        <is>
          <t>VIDMAR Diego</t>
        </is>
      </c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inlineStr">
        <is>
          <t>FOURNIER Ottavia [A]</t>
        </is>
      </c>
      <c r="N581" s="196" t="inlineStr">
        <is>
          <t>NADAUD Greta [A]</t>
        </is>
      </c>
      <c r="O581" s="196" t="inlineStr">
        <is>
          <t>MOREAU Pablo [AAt]</t>
        </is>
      </c>
      <c r="P581" s="196" t="inlineStr">
        <is>
          <t>CAMPOS Martina</t>
        </is>
      </c>
      <c r="Q581" s="196" t="inlineStr">
        <is>
          <t>BLANCO Elena</t>
        </is>
      </c>
      <c r="R581" s="196" t="inlineStr">
        <is>
          <t>LEFEVRE Mathilde</t>
        </is>
      </c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inlineStr">
        <is>
          <t>LEROUX Elena [AA]</t>
        </is>
      </c>
      <c r="N586" s="196" t="inlineStr">
        <is>
          <t>PELLEGRI Valerie [AA]</t>
        </is>
      </c>
      <c r="O586" s="196" t="inlineStr">
        <is>
          <t>MOREAU Martina [Aest]</t>
        </is>
      </c>
      <c r="P586" s="196" t="inlineStr">
        <is>
          <t>KRUGER Paolo</t>
        </is>
      </c>
      <c r="Q586" s="196" t="inlineStr">
        <is>
          <t>SEVER Marco</t>
        </is>
      </c>
      <c r="R586" s="196" t="inlineStr">
        <is>
          <t>ROMERO Greta</t>
        </is>
      </c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inlineStr">
        <is>
          <t>NAVARRO Gaelle [A]</t>
        </is>
      </c>
      <c r="N589" s="196" t="inlineStr">
        <is>
          <t>MODIC Matteo [AA]</t>
        </is>
      </c>
      <c r="O589" s="196" t="inlineStr">
        <is>
          <t>SOLER Stefano [A]</t>
        </is>
      </c>
      <c r="P589" s="196" t="inlineStr">
        <is>
          <t>CASTILLO Davide</t>
        </is>
      </c>
      <c r="Q589" s="196" t="inlineStr">
        <is>
          <t>HORVAT Lukas</t>
        </is>
      </c>
      <c r="R589" s="196" t="inlineStr">
        <is>
          <t>FERRANTE Felix</t>
        </is>
      </c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inlineStr">
        <is>
          <t>LANGER Marta [A]</t>
        </is>
      </c>
      <c r="N592" s="196" t="inlineStr">
        <is>
          <t>ROTH Mathilde [A]</t>
        </is>
      </c>
      <c r="O592" s="196" t="inlineStr">
        <is>
          <t>AUBERT Lucia [AAt]</t>
        </is>
      </c>
      <c r="P592" s="196" t="inlineStr">
        <is>
          <t>IGLESIAS Jonas</t>
        </is>
      </c>
      <c r="Q592" s="196" t="inlineStr">
        <is>
          <t>BLANCO Giulia</t>
        </is>
      </c>
      <c r="R592" s="196" t="inlineStr">
        <is>
          <t>LEROUX Paolo</t>
        </is>
      </c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inlineStr">
        <is>
          <t>KELLER Valerie [AAt]</t>
        </is>
      </c>
      <c r="N595" s="196" t="inlineStr">
        <is>
          <t>LEFEVRE Filippo [AA]</t>
        </is>
      </c>
      <c r="O595" s="196" t="inlineStr">
        <is>
          <t>ZUPAN Felix [AAt]</t>
        </is>
      </c>
      <c r="P595" s="196" t="inlineStr">
        <is>
          <t>FERRANTE Felix</t>
        </is>
      </c>
      <c r="Q595" s="196" t="inlineStr">
        <is>
          <t>GAUTHIER Irene</t>
        </is>
      </c>
      <c r="R595" s="196" t="inlineStr">
        <is>
          <t>VOGEL Sofia</t>
        </is>
      </c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inlineStr">
        <is>
          <t>KRUGER Ilaria [A]</t>
        </is>
      </c>
      <c r="N598" s="196" t="inlineStr">
        <is>
          <t>SOLER Alenka [A]</t>
        </is>
      </c>
      <c r="O598" s="196" t="inlineStr">
        <is>
          <t>MODIC Valerie [A]</t>
        </is>
      </c>
      <c r="P598" s="196" t="inlineStr">
        <is>
          <t>FUENTES Chiara</t>
        </is>
      </c>
      <c r="Q598" s="196" t="inlineStr">
        <is>
          <t>NADAUD Andrea</t>
        </is>
      </c>
      <c r="R598" s="196" t="inlineStr">
        <is>
          <t>HOFFMANN Diego</t>
        </is>
      </c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inlineStr">
        <is>
          <t>ROTH Katrin [A]</t>
        </is>
      </c>
      <c r="N601" s="196" t="inlineStr">
        <is>
          <t>LEROUX Hugo [Aest]</t>
        </is>
      </c>
      <c r="O601" s="196" t="inlineStr">
        <is>
          <t>GAUTHIER Irene [Aest]</t>
        </is>
      </c>
      <c r="P601" s="196" t="inlineStr">
        <is>
          <t>FERRANTE Felix</t>
        </is>
      </c>
      <c r="Q601" s="196" t="inlineStr">
        <is>
          <t>PRADO Eva</t>
        </is>
      </c>
      <c r="R601" s="196" t="inlineStr">
        <is>
          <t>BLANCO Lukas</t>
        </is>
      </c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inlineStr">
        <is>
          <t>AUBERT Greta [Aest]</t>
        </is>
      </c>
      <c r="N604" s="196" t="inlineStr">
        <is>
          <t>ROTH Mathilde [A]</t>
        </is>
      </c>
      <c r="O604" s="196" t="inlineStr">
        <is>
          <t>ROTH Eva [A]</t>
        </is>
      </c>
      <c r="P604" s="196" t="inlineStr">
        <is>
          <t>BELLANDI Greta</t>
        </is>
      </c>
      <c r="Q604" s="196" t="inlineStr">
        <is>
          <t>NOVAK Tommaso</t>
        </is>
      </c>
      <c r="R604" s="196" t="inlineStr">
        <is>
          <t>LEROUX Gaelle</t>
        </is>
      </c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inlineStr">
        <is>
          <t>CONTARDI Nicola [Aest]</t>
        </is>
      </c>
      <c r="N607" s="196" t="inlineStr">
        <is>
          <t>MODIC Chiara [AA]</t>
        </is>
      </c>
      <c r="O607" s="196" t="inlineStr">
        <is>
          <t>BRANDT Filippo [AAt]</t>
        </is>
      </c>
      <c r="P607" s="196" t="inlineStr">
        <is>
          <t>IGLESIAS Alenka</t>
        </is>
      </c>
      <c r="Q607" s="196" t="inlineStr">
        <is>
          <t>CONTARDI Felix</t>
        </is>
      </c>
      <c r="R607" s="196" t="inlineStr">
        <is>
          <t>HOFFMANN Andrea</t>
        </is>
      </c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inlineStr">
        <is>
          <t>MORETTO Ottavia [A]</t>
        </is>
      </c>
      <c r="N610" s="196" t="inlineStr">
        <is>
          <t>MODIC Gaelle [AA]</t>
        </is>
      </c>
      <c r="O610" s="196" t="inlineStr">
        <is>
          <t>LEROUX Filippo [Aest]</t>
        </is>
      </c>
      <c r="P610" s="196" t="inlineStr">
        <is>
          <t>KRAJNC Davide</t>
        </is>
      </c>
      <c r="Q610" s="196" t="inlineStr">
        <is>
          <t>ROTH Stefano</t>
        </is>
      </c>
      <c r="R610" s="196" t="inlineStr">
        <is>
          <t>VIDMAR Matteo</t>
        </is>
      </c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inlineStr">
        <is>
          <t>SEVER Diego [A]</t>
        </is>
      </c>
      <c r="N613" s="196" t="inlineStr">
        <is>
          <t>PETERLIN Beatrice [Aest]</t>
        </is>
      </c>
      <c r="O613" s="196" t="inlineStr">
        <is>
          <t>CARON Martina [AAt]</t>
        </is>
      </c>
      <c r="P613" s="196" t="inlineStr">
        <is>
          <t>KOVAC Martina</t>
        </is>
      </c>
      <c r="Q613" s="196" t="inlineStr">
        <is>
          <t>SANTORI Jonas</t>
        </is>
      </c>
      <c r="R613" s="196" t="inlineStr">
        <is>
          <t>ROSSINI Filippo</t>
        </is>
      </c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inlineStr">
        <is>
          <t>MARCHIONI Lukas [AAt]</t>
        </is>
      </c>
      <c r="N650" s="196" t="inlineStr">
        <is>
          <t>MORETTO Ottavia [A]</t>
        </is>
      </c>
      <c r="O650" s="196" t="inlineStr">
        <is>
          <t>KRUGER Nicola [Aest]</t>
        </is>
      </c>
      <c r="P650" s="196" t="inlineStr">
        <is>
          <t>CASTILLO Stefano</t>
        </is>
      </c>
      <c r="Q650" s="196" t="inlineStr">
        <is>
          <t>SOLER Stefano</t>
        </is>
      </c>
      <c r="R650" s="196" t="inlineStr">
        <is>
          <t>AUBERT Paolo</t>
        </is>
      </c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inlineStr">
        <is>
          <t>ROMERO Matteo [Aest]</t>
        </is>
      </c>
      <c r="N653" s="196" t="inlineStr">
        <is>
          <t>ROSSINI Alenka [AAt]</t>
        </is>
      </c>
      <c r="O653" s="196" t="inlineStr">
        <is>
          <t>ORTEGA Diego [A]</t>
        </is>
      </c>
      <c r="P653" s="196" t="inlineStr">
        <is>
          <t>HORVAT Pablo</t>
        </is>
      </c>
      <c r="Q653" s="196" t="inlineStr">
        <is>
          <t>LEROUX Stefano</t>
        </is>
      </c>
      <c r="R653" s="196" t="inlineStr">
        <is>
          <t>ROTH Stefano</t>
        </is>
      </c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inlineStr">
        <is>
          <t>LANGER Beatrice [Aest]</t>
        </is>
      </c>
      <c r="N656" s="196" t="inlineStr">
        <is>
          <t>MOREAU Pablo [AAt]</t>
        </is>
      </c>
      <c r="O656" s="196" t="inlineStr">
        <is>
          <t>ENGEL Gaelle [AAt]</t>
        </is>
      </c>
      <c r="P656" s="196" t="inlineStr">
        <is>
          <t>FERRANTE Chiara</t>
        </is>
      </c>
      <c r="Q656" s="196" t="inlineStr">
        <is>
          <t>AUBERT Pablo</t>
        </is>
      </c>
      <c r="R656" s="196" t="inlineStr">
        <is>
          <t>CASTILLO Elena</t>
        </is>
      </c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inlineStr">
        <is>
          <t>IGLESIAS Chiara [AAt]</t>
        </is>
      </c>
      <c r="N659" s="196" t="inlineStr">
        <is>
          <t>KRAJNC Marta [Aest]</t>
        </is>
      </c>
      <c r="O659" s="196" t="inlineStr">
        <is>
          <t>MOREAU Katrin [A]</t>
        </is>
      </c>
      <c r="P659" s="196" t="inlineStr">
        <is>
          <t>CAMPOS Anja</t>
        </is>
      </c>
      <c r="Q659" s="196" t="inlineStr">
        <is>
          <t>ENGEL Lucia</t>
        </is>
      </c>
      <c r="R659" s="196" t="inlineStr">
        <is>
          <t>LANGER Andrea</t>
        </is>
      </c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inlineStr">
        <is>
          <t>HOFFMANN Valerie [A]</t>
        </is>
      </c>
      <c r="N662" s="196" t="inlineStr">
        <is>
          <t>BRANDT Felix [A]</t>
        </is>
      </c>
      <c r="O662" s="196" t="inlineStr">
        <is>
          <t>FERRANTE Filippo [AAt]</t>
        </is>
      </c>
      <c r="P662" s="196" t="inlineStr">
        <is>
          <t>NADAUD Jonas</t>
        </is>
      </c>
      <c r="Q662" s="196" t="inlineStr">
        <is>
          <t>KOVAC Chiara</t>
        </is>
      </c>
      <c r="R662" s="196" t="inlineStr">
        <is>
          <t>LEFEVRE Mathilde</t>
        </is>
      </c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inlineStr">
        <is>
          <t>PETERLIN Luca [Aest]</t>
        </is>
      </c>
      <c r="N665" s="196" t="inlineStr">
        <is>
          <t>MODIC Valerie [A]</t>
        </is>
      </c>
      <c r="O665" s="196" t="inlineStr">
        <is>
          <t>CASTILLO Paolo [AAt]</t>
        </is>
      </c>
      <c r="P665" s="196" t="inlineStr">
        <is>
          <t>LEFEVRE Noemi</t>
        </is>
      </c>
      <c r="Q665" s="196" t="inlineStr">
        <is>
          <t>GAUTHIER Andrea</t>
        </is>
      </c>
      <c r="R665" s="196" t="inlineStr">
        <is>
          <t>SEVER Giulia</t>
        </is>
      </c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inlineStr">
        <is>
          <t>PELLEGRI Eva [AA]</t>
        </is>
      </c>
      <c r="N668" s="196" t="inlineStr">
        <is>
          <t>SOLER Alenka [A]</t>
        </is>
      </c>
      <c r="O668" s="196" t="inlineStr">
        <is>
          <t>HORVAT Lea [A]</t>
        </is>
      </c>
      <c r="P668" s="196" t="inlineStr">
        <is>
          <t>ENGEL Elena</t>
        </is>
      </c>
      <c r="Q668" s="196" t="inlineStr">
        <is>
          <t>SCHAFER Katrin</t>
        </is>
      </c>
      <c r="R668" s="196" t="inlineStr">
        <is>
          <t>KRUGER Marco</t>
        </is>
      </c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inlineStr">
        <is>
          <t>GALLINI Lukas [AA]</t>
        </is>
      </c>
      <c r="N671" s="196" t="inlineStr">
        <is>
          <t>BLANCHET Giulia [AA]</t>
        </is>
      </c>
      <c r="O671" s="196" t="inlineStr">
        <is>
          <t>MARCHIONI Paula [Aest]</t>
        </is>
      </c>
      <c r="P671" s="196" t="inlineStr">
        <is>
          <t>SEVER Ottavia</t>
        </is>
      </c>
      <c r="Q671" s="196" t="inlineStr">
        <is>
          <t>GAUTHIER Pablo</t>
        </is>
      </c>
      <c r="R671" s="196" t="inlineStr">
        <is>
          <t>VOGEL Lea</t>
        </is>
      </c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inlineStr">
        <is>
          <t>CONTARDI Nicola [Aest]</t>
        </is>
      </c>
      <c r="N674" s="196" t="inlineStr">
        <is>
          <t>WEBER Nicola [AAt]</t>
        </is>
      </c>
      <c r="O674" s="196" t="inlineStr">
        <is>
          <t>HORVAT Ottavia [A]</t>
        </is>
      </c>
      <c r="P674" s="196" t="inlineStr">
        <is>
          <t>KRUGER Valerie</t>
        </is>
      </c>
      <c r="Q674" s="196" t="inlineStr">
        <is>
          <t>FUENTES Anja</t>
        </is>
      </c>
      <c r="R674" s="196" t="inlineStr">
        <is>
          <t>CONTARDI Miha</t>
        </is>
      </c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inlineStr">
        <is>
          <t>PETERLIN Mathilde [Aest]</t>
        </is>
      </c>
      <c r="N677" s="196" t="inlineStr">
        <is>
          <t>LANGER Beatrice [Aest]</t>
        </is>
      </c>
      <c r="O677" s="196" t="inlineStr">
        <is>
          <t>GAUTHIER Noemi [AA]</t>
        </is>
      </c>
      <c r="P677" s="196" t="inlineStr">
        <is>
          <t>SCHAFER Lucia</t>
        </is>
      </c>
      <c r="Q677" s="196" t="inlineStr">
        <is>
          <t>LEROUX Paolo</t>
        </is>
      </c>
      <c r="R677" s="196" t="inlineStr">
        <is>
          <t>CASTILLO Alenka</t>
        </is>
      </c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inlineStr">
        <is>
          <t>GALLINI Filippo [A]</t>
        </is>
      </c>
      <c r="N682" s="196" t="inlineStr">
        <is>
          <t>PELLEGRI Eva [AA]</t>
        </is>
      </c>
      <c r="O682" s="196" t="inlineStr">
        <is>
          <t>OBLAK Beatrice [AA]</t>
        </is>
      </c>
      <c r="P682" s="196" t="inlineStr">
        <is>
          <t>GAUTHIER Davide</t>
        </is>
      </c>
      <c r="Q682" s="196" t="inlineStr">
        <is>
          <t>OBLAK Chiara</t>
        </is>
      </c>
      <c r="R682" s="196" t="inlineStr">
        <is>
          <t>ENGEL Martina</t>
        </is>
      </c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inlineStr">
        <is>
          <t>KOVAC Valerie [AAt]</t>
        </is>
      </c>
      <c r="N685" s="196" t="inlineStr">
        <is>
          <t>ROMERO Diego [AA]</t>
        </is>
      </c>
      <c r="O685" s="196" t="inlineStr">
        <is>
          <t>KRUGER Greta [A]</t>
        </is>
      </c>
      <c r="P685" s="196" t="inlineStr">
        <is>
          <t>GAUTHIER Sofia</t>
        </is>
      </c>
      <c r="Q685" s="196" t="inlineStr">
        <is>
          <t>NADAUD Paula</t>
        </is>
      </c>
      <c r="R685" s="196" t="inlineStr">
        <is>
          <t>BLANCHET Tommaso</t>
        </is>
      </c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inlineStr">
        <is>
          <t>LEROUX Elena [AA]</t>
        </is>
      </c>
      <c r="N688" s="196" t="inlineStr">
        <is>
          <t>ROTH Katrin [A]</t>
        </is>
      </c>
      <c r="O688" s="196" t="inlineStr">
        <is>
          <t>FUENTES Noemi [Aest]</t>
        </is>
      </c>
      <c r="P688" s="196" t="inlineStr">
        <is>
          <t>ROMERO Felix</t>
        </is>
      </c>
      <c r="Q688" s="196" t="inlineStr">
        <is>
          <t>FERRANTE Andrea</t>
        </is>
      </c>
      <c r="R688" s="196" t="inlineStr">
        <is>
          <t>BELLANDI Giulia</t>
        </is>
      </c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inlineStr">
        <is>
          <t>BRANDT Felix [A]</t>
        </is>
      </c>
      <c r="N691" s="196" t="inlineStr">
        <is>
          <t>NOVAK Lea [AA]</t>
        </is>
      </c>
      <c r="O691" s="196" t="inlineStr">
        <is>
          <t>WEBER Andrea [AAt]</t>
        </is>
      </c>
      <c r="P691" s="196" t="inlineStr">
        <is>
          <t>SOLER Pablo</t>
        </is>
      </c>
      <c r="Q691" s="196" t="inlineStr">
        <is>
          <t>KELLER Alenka</t>
        </is>
      </c>
      <c r="R691" s="196" t="inlineStr">
        <is>
          <t>NADAUD Mathilde</t>
        </is>
      </c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inlineStr">
        <is>
          <t>ROMERO Diego [AA]</t>
        </is>
      </c>
      <c r="N694" s="196" t="inlineStr">
        <is>
          <t>ROSSINI Sofia [AA]</t>
        </is>
      </c>
      <c r="O694" s="196" t="inlineStr">
        <is>
          <t>NAVARRO Miha [A]</t>
        </is>
      </c>
      <c r="P694" s="196" t="inlineStr">
        <is>
          <t>ROMERO Felix</t>
        </is>
      </c>
      <c r="Q694" s="196" t="inlineStr">
        <is>
          <t>HOFFMANN Tommaso</t>
        </is>
      </c>
      <c r="R694" s="196" t="inlineStr">
        <is>
          <t>HOFFMANN Andrea</t>
        </is>
      </c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inlineStr">
        <is>
          <t>KOVAC Valerie [AAt]</t>
        </is>
      </c>
      <c r="N697" s="196" t="inlineStr">
        <is>
          <t>HORVAT Davide [Aest]</t>
        </is>
      </c>
      <c r="O697" s="196" t="inlineStr">
        <is>
          <t>SOLER Ottavia [AAt]</t>
        </is>
      </c>
      <c r="P697" s="196" t="inlineStr">
        <is>
          <t>NOVAK Tommaso</t>
        </is>
      </c>
      <c r="Q697" s="196" t="inlineStr">
        <is>
          <t>LEFEVRE Filippo</t>
        </is>
      </c>
      <c r="R697" s="196" t="inlineStr">
        <is>
          <t>ROTH Paolo</t>
        </is>
      </c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inlineStr">
        <is>
          <t>GALLINI Sofia [AA]</t>
        </is>
      </c>
      <c r="N700" s="196" t="inlineStr">
        <is>
          <t>BRANDT Felix [A]</t>
        </is>
      </c>
      <c r="O700" s="196" t="inlineStr">
        <is>
          <t>NOVAK Lea [AA]</t>
        </is>
      </c>
      <c r="P700" s="196" t="inlineStr">
        <is>
          <t>KOVAC Martina</t>
        </is>
      </c>
      <c r="Q700" s="196" t="inlineStr">
        <is>
          <t>ROTH Andrea</t>
        </is>
      </c>
      <c r="R700" s="196" t="inlineStr">
        <is>
          <t>WEBER Sofia</t>
        </is>
      </c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inlineStr">
        <is>
          <t>VIDMAR Elena [AAt]</t>
        </is>
      </c>
      <c r="N703" s="196" t="inlineStr">
        <is>
          <t>BLANCHET Giulia [AA]</t>
        </is>
      </c>
      <c r="O703" s="196" t="inlineStr">
        <is>
          <t>BRANDT Felix [A]</t>
        </is>
      </c>
      <c r="P703" s="196" t="inlineStr">
        <is>
          <t>MODIC Lucia</t>
        </is>
      </c>
      <c r="Q703" s="196" t="inlineStr">
        <is>
          <t>MORETTO Beatrice</t>
        </is>
      </c>
      <c r="R703" s="196" t="inlineStr">
        <is>
          <t>FOURNIER Stefano</t>
        </is>
      </c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inlineStr">
        <is>
          <t>HORVAT Giulia [A]</t>
        </is>
      </c>
      <c r="N706" s="196" t="inlineStr">
        <is>
          <t>KRUGER Greta [A]</t>
        </is>
      </c>
      <c r="O706" s="196" t="inlineStr">
        <is>
          <t>CASTILLO Paolo [AAt]</t>
        </is>
      </c>
      <c r="P706" s="196" t="inlineStr">
        <is>
          <t>BLANCHET Jonas</t>
        </is>
      </c>
      <c r="Q706" s="196" t="inlineStr">
        <is>
          <t>FERRANTE Nicola</t>
        </is>
      </c>
      <c r="R706" s="196" t="inlineStr">
        <is>
          <t>ROMERO Elena</t>
        </is>
      </c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inlineStr">
        <is>
          <t>CAMPOS Anja [Aest]</t>
        </is>
      </c>
      <c r="N709" s="196" t="inlineStr">
        <is>
          <t>GALLINI Sofia [AA]</t>
        </is>
      </c>
      <c r="O709" s="196" t="inlineStr">
        <is>
          <t>VOGEL Andrea [A]</t>
        </is>
      </c>
      <c r="P709" s="196" t="inlineStr">
        <is>
          <t>ROSSINI Gaelle</t>
        </is>
      </c>
      <c r="Q709" s="196" t="inlineStr">
        <is>
          <t>BLANCHET Marta</t>
        </is>
      </c>
      <c r="R709" s="196" t="inlineStr">
        <is>
          <t>CASTILLO Martina</t>
        </is>
      </c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inlineStr">
        <is>
          <t>ORTEGA Elena [Aest]</t>
        </is>
      </c>
      <c r="N714" s="196" t="inlineStr">
        <is>
          <t>GALLINI Valerie [AA]</t>
        </is>
      </c>
      <c r="O714" s="196" t="inlineStr">
        <is>
          <t>CAMPOS Miha [Aest]</t>
        </is>
      </c>
      <c r="P714" s="196" t="inlineStr">
        <is>
          <t>LEFEVRE Alenka</t>
        </is>
      </c>
      <c r="Q714" s="196" t="inlineStr">
        <is>
          <t>KOVAC Lea</t>
        </is>
      </c>
      <c r="R714" s="196" t="inlineStr">
        <is>
          <t>FUENTES Greta</t>
        </is>
      </c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inlineStr">
        <is>
          <t>CAMPOS Noemi [AA]</t>
        </is>
      </c>
      <c r="N717" s="196" t="inlineStr">
        <is>
          <t>GALLINI Gaelle [A]</t>
        </is>
      </c>
      <c r="O717" s="196" t="inlineStr">
        <is>
          <t>SCHAFER Stefano [A]</t>
        </is>
      </c>
      <c r="P717" s="196" t="inlineStr">
        <is>
          <t>KRUGER Giulia</t>
        </is>
      </c>
      <c r="Q717" s="196" t="inlineStr">
        <is>
          <t>KRAJNC Greta</t>
        </is>
      </c>
      <c r="R717" s="196" t="inlineStr">
        <is>
          <t>PRADO Stefano</t>
        </is>
      </c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inlineStr">
        <is>
          <t>CASTILLO Lucia [AA]</t>
        </is>
      </c>
      <c r="N720" s="196" t="inlineStr">
        <is>
          <t>ROSSINI Sofia [AA]</t>
        </is>
      </c>
      <c r="O720" s="196" t="inlineStr">
        <is>
          <t>SANTORI Gaelle [AA]</t>
        </is>
      </c>
      <c r="P720" s="196" t="inlineStr">
        <is>
          <t>NAVARRO Paula</t>
        </is>
      </c>
      <c r="Q720" s="196" t="inlineStr">
        <is>
          <t>LANGER Valerie</t>
        </is>
      </c>
      <c r="R720" s="196" t="inlineStr">
        <is>
          <t>BELLANDI Hugo</t>
        </is>
      </c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inlineStr">
        <is>
          <t>NAVARRO Gaelle [A]</t>
        </is>
      </c>
      <c r="N723" s="196" t="inlineStr">
        <is>
          <t>BRANDT Stefano [AAt]</t>
        </is>
      </c>
      <c r="O723" s="196" t="inlineStr">
        <is>
          <t>SANTORI Chiara [A]</t>
        </is>
      </c>
      <c r="P723" s="196" t="inlineStr">
        <is>
          <t>MARCHIONI Nicola</t>
        </is>
      </c>
      <c r="Q723" s="196" t="inlineStr">
        <is>
          <t>IGLESIAS Jonas</t>
        </is>
      </c>
      <c r="R723" s="196" t="inlineStr">
        <is>
          <t>BLANCO Valerie</t>
        </is>
      </c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inlineStr">
        <is>
          <t>VALLET Martina [Aest]</t>
        </is>
      </c>
      <c r="N726" s="196" t="inlineStr">
        <is>
          <t>CARON Vid [A]</t>
        </is>
      </c>
      <c r="O726" s="196" t="inlineStr">
        <is>
          <t>KRAJNC Marta [Aest]</t>
        </is>
      </c>
      <c r="P726" s="196" t="inlineStr">
        <is>
          <t>KRAJNC Tommaso</t>
        </is>
      </c>
      <c r="Q726" s="196" t="inlineStr">
        <is>
          <t>WEBER Nicola</t>
        </is>
      </c>
      <c r="R726" s="196" t="inlineStr">
        <is>
          <t>ROMERO Giulia</t>
        </is>
      </c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inlineStr">
        <is>
          <t>SCHAFER Stefano [A]</t>
        </is>
      </c>
      <c r="N729" s="196" t="inlineStr">
        <is>
          <t>LANGER Hugo [AA]</t>
        </is>
      </c>
      <c r="O729" s="196" t="inlineStr">
        <is>
          <t>CASTILLO Jonas [AA]</t>
        </is>
      </c>
      <c r="P729" s="196" t="inlineStr">
        <is>
          <t>IGLESIAS Chiara</t>
        </is>
      </c>
      <c r="Q729" s="196" t="inlineStr">
        <is>
          <t>HOFFMANN Tommaso</t>
        </is>
      </c>
      <c r="R729" s="196" t="inlineStr">
        <is>
          <t>NOVAK Lukas</t>
        </is>
      </c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inlineStr">
        <is>
          <t>MARCHIONI Filippo [AAt]</t>
        </is>
      </c>
      <c r="N732" s="196" t="inlineStr">
        <is>
          <t>KRUGER Lea [AA]</t>
        </is>
      </c>
      <c r="O732" s="196" t="inlineStr">
        <is>
          <t>HORVAT Vid [A]</t>
        </is>
      </c>
      <c r="P732" s="196" t="inlineStr">
        <is>
          <t>NADAUD Marco</t>
        </is>
      </c>
      <c r="Q732" s="196" t="inlineStr">
        <is>
          <t>HORVAT Lukas</t>
        </is>
      </c>
      <c r="R732" s="196" t="inlineStr">
        <is>
          <t>CASTILLO Davide</t>
        </is>
      </c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inlineStr">
        <is>
          <t>VOGEL Andrea [A]</t>
        </is>
      </c>
      <c r="N735" s="196" t="inlineStr">
        <is>
          <t>ZUPAN Beatrice [AAt]</t>
        </is>
      </c>
      <c r="O735" s="196" t="inlineStr">
        <is>
          <t>HORVAT Vid [A]</t>
        </is>
      </c>
      <c r="P735" s="196" t="inlineStr">
        <is>
          <t>MOREAU Vid</t>
        </is>
      </c>
      <c r="Q735" s="196" t="inlineStr">
        <is>
          <t>CASTILLO Alenka</t>
        </is>
      </c>
      <c r="R735" s="196" t="inlineStr">
        <is>
          <t>PELLEGRI Lea</t>
        </is>
      </c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inlineStr">
        <is>
          <t>SOLER Ottavia [AAt]</t>
        </is>
      </c>
      <c r="N738" s="196" t="inlineStr">
        <is>
          <t>VIDMAR Pablo [Aest]</t>
        </is>
      </c>
      <c r="O738" s="196" t="inlineStr">
        <is>
          <t>FOURNIER Matteo [AAt]</t>
        </is>
      </c>
      <c r="P738" s="196" t="inlineStr">
        <is>
          <t>MORETTO Beatrice</t>
        </is>
      </c>
      <c r="Q738" s="196" t="inlineStr">
        <is>
          <t>CAMPOS Noemi</t>
        </is>
      </c>
      <c r="R738" s="196" t="inlineStr">
        <is>
          <t>SCHAFER Lea</t>
        </is>
      </c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inlineStr">
        <is>
          <t>HOFFMANN Filippo [AA]</t>
        </is>
      </c>
      <c r="N741" s="196" t="inlineStr">
        <is>
          <t>BLANCO Tommaso [AAt]</t>
        </is>
      </c>
      <c r="O741" s="196" t="inlineStr">
        <is>
          <t>PETERLIN Beatrice [Aest]</t>
        </is>
      </c>
      <c r="P741" s="196" t="inlineStr">
        <is>
          <t>FUENTES Chiara</t>
        </is>
      </c>
      <c r="Q741" s="196" t="inlineStr">
        <is>
          <t>SCHAFER Gaelle</t>
        </is>
      </c>
      <c r="R741" s="196" t="inlineStr">
        <is>
          <t>ZUPAN Irene</t>
        </is>
      </c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inlineStr">
        <is>
          <t>ROSSINI Paula [AAt]</t>
        </is>
      </c>
      <c r="N746" s="196" t="inlineStr">
        <is>
          <t>FUENTES Eva [A]</t>
        </is>
      </c>
      <c r="O746" s="196" t="inlineStr">
        <is>
          <t>BIANCHELLI Paolo [AA]</t>
        </is>
      </c>
      <c r="P746" s="196" t="inlineStr">
        <is>
          <t>MORETTO Lea</t>
        </is>
      </c>
      <c r="Q746" s="196" t="inlineStr">
        <is>
          <t>KRUGER Katrin</t>
        </is>
      </c>
      <c r="R746" s="196" t="inlineStr">
        <is>
          <t>BELLANDI Hugo</t>
        </is>
      </c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inlineStr">
        <is>
          <t>CASTILLO Paolo [AAt]</t>
        </is>
      </c>
      <c r="N749" s="196" t="inlineStr">
        <is>
          <t>ORTEGA Katrin [Aest]</t>
        </is>
      </c>
      <c r="O749" s="196" t="inlineStr">
        <is>
          <t>KELLER Beatrice [AAt]</t>
        </is>
      </c>
      <c r="P749" s="196" t="inlineStr">
        <is>
          <t>VALLET Stefano</t>
        </is>
      </c>
      <c r="Q749" s="196" t="inlineStr">
        <is>
          <t>ROTH Stefano</t>
        </is>
      </c>
      <c r="R749" s="196" t="inlineStr">
        <is>
          <t>NOVAK Lukas</t>
        </is>
      </c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inlineStr">
        <is>
          <t>PELLEGRI Chiara [AAt]</t>
        </is>
      </c>
      <c r="N752" s="196" t="inlineStr">
        <is>
          <t>BLANCHET Nicola [AA]</t>
        </is>
      </c>
      <c r="O752" s="196" t="inlineStr">
        <is>
          <t>LANGER Valerie [Aest]</t>
        </is>
      </c>
      <c r="P752" s="196" t="inlineStr">
        <is>
          <t>SANTORI Jonas</t>
        </is>
      </c>
      <c r="Q752" s="196" t="inlineStr">
        <is>
          <t>VOGEL Pablo</t>
        </is>
      </c>
      <c r="R752" s="196" t="inlineStr">
        <is>
          <t>GAUTHIER Irene</t>
        </is>
      </c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inlineStr">
        <is>
          <t>KELLER Marta [AAt]</t>
        </is>
      </c>
      <c r="N755" s="196" t="inlineStr">
        <is>
          <t>IGLESIAS Marco [AAt]</t>
        </is>
      </c>
      <c r="O755" s="196" t="inlineStr">
        <is>
          <t>LEFEVRE Paula [A]</t>
        </is>
      </c>
      <c r="P755" s="196" t="inlineStr">
        <is>
          <t>NAVARRO Luca</t>
        </is>
      </c>
      <c r="Q755" s="196" t="inlineStr">
        <is>
          <t>LEFEVRE Ilaria</t>
        </is>
      </c>
      <c r="R755" s="196" t="inlineStr">
        <is>
          <t>NOVAK Nicola</t>
        </is>
      </c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inlineStr">
        <is>
          <t>FUENTES Lukas [Aest]</t>
        </is>
      </c>
      <c r="N758" s="196" t="inlineStr">
        <is>
          <t>CONTARDI Lea [AAt]</t>
        </is>
      </c>
      <c r="O758" s="196" t="inlineStr">
        <is>
          <t>KOVAC Valerie [AAt]</t>
        </is>
      </c>
      <c r="P758" s="196" t="inlineStr">
        <is>
          <t>BLANCO Diego</t>
        </is>
      </c>
      <c r="Q758" s="196" t="inlineStr">
        <is>
          <t>LEFEVRE Alenka</t>
        </is>
      </c>
      <c r="R758" s="196" t="inlineStr">
        <is>
          <t>ROMERO Felix</t>
        </is>
      </c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inlineStr">
        <is>
          <t>MARCHIONI Marco [Aest]</t>
        </is>
      </c>
      <c r="N761" s="196" t="inlineStr">
        <is>
          <t>ZUPAN Felix [AAt]</t>
        </is>
      </c>
      <c r="O761" s="196" t="inlineStr">
        <is>
          <t>HOFFMANN Valerie [A]</t>
        </is>
      </c>
      <c r="P761" s="196" t="inlineStr">
        <is>
          <t>FOURNIER Miha</t>
        </is>
      </c>
      <c r="Q761" s="196" t="inlineStr">
        <is>
          <t>FUENTES Matteo</t>
        </is>
      </c>
      <c r="R761" s="196" t="inlineStr">
        <is>
          <t>CONTARDI Greta</t>
        </is>
      </c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inlineStr">
        <is>
          <t>MOREAU Martina [Aest]</t>
        </is>
      </c>
      <c r="N764" s="196" t="inlineStr">
        <is>
          <t>SEVER Nicola [AA]</t>
        </is>
      </c>
      <c r="O764" s="196" t="inlineStr">
        <is>
          <t>MORETTO Jonas [AAt]</t>
        </is>
      </c>
      <c r="P764" s="196" t="inlineStr">
        <is>
          <t>CONTARDI Greta</t>
        </is>
      </c>
      <c r="Q764" s="196" t="inlineStr">
        <is>
          <t>BIANCHELLI Valerie</t>
        </is>
      </c>
      <c r="R764" s="196" t="inlineStr">
        <is>
          <t>KOVAC Gaelle</t>
        </is>
      </c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inlineStr">
        <is>
          <t>OBLAK Mathilde [A]</t>
        </is>
      </c>
      <c r="N767" s="196" t="inlineStr">
        <is>
          <t>ENGEL Luca [AA]</t>
        </is>
      </c>
      <c r="O767" s="196" t="inlineStr">
        <is>
          <t>MARCHIONI Lea [AAt]</t>
        </is>
      </c>
      <c r="P767" s="196" t="inlineStr">
        <is>
          <t>ORTEGA Alenka</t>
        </is>
      </c>
      <c r="Q767" s="196" t="inlineStr">
        <is>
          <t>FERRANTE Hugo</t>
        </is>
      </c>
      <c r="R767" s="196" t="inlineStr">
        <is>
          <t>KRUGER Irene</t>
        </is>
      </c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inlineStr">
        <is>
          <t>GALLINI Valerie [AA]</t>
        </is>
      </c>
      <c r="N770" s="196" t="inlineStr">
        <is>
          <t>NOVAK Mathilde [Aest]</t>
        </is>
      </c>
      <c r="O770" s="196" t="inlineStr">
        <is>
          <t>PRADO Marco [AAt]</t>
        </is>
      </c>
      <c r="P770" s="196" t="inlineStr">
        <is>
          <t>ZUPAN Katrin</t>
        </is>
      </c>
      <c r="Q770" s="196" t="inlineStr">
        <is>
          <t>VIDMAR Chiara</t>
        </is>
      </c>
      <c r="R770" s="196" t="inlineStr">
        <is>
          <t>IGLESIAS Alenka</t>
        </is>
      </c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inlineStr">
        <is>
          <t>KRUGER Lea [AA]</t>
        </is>
      </c>
      <c r="N773" s="196" t="inlineStr">
        <is>
          <t>VALLET Felix [A]</t>
        </is>
      </c>
      <c r="O773" s="196" t="inlineStr">
        <is>
          <t>NAVARRO Martina [A]</t>
        </is>
      </c>
      <c r="P773" s="196" t="inlineStr">
        <is>
          <t>BLANCO Ottavia</t>
        </is>
      </c>
      <c r="Q773" s="196" t="inlineStr">
        <is>
          <t>WEBER Sofia</t>
        </is>
      </c>
      <c r="R773" s="196" t="inlineStr">
        <is>
          <t>LANGER Andrea</t>
        </is>
      </c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inlineStr">
        <is>
          <t>ROTH Eva [A]</t>
        </is>
      </c>
      <c r="N778" s="196" t="inlineStr">
        <is>
          <t>MODIC Matteo [AA]</t>
        </is>
      </c>
      <c r="O778" s="196" t="inlineStr">
        <is>
          <t>MARCHIONI Paolo [AAt]</t>
        </is>
      </c>
      <c r="P778" s="196" t="inlineStr">
        <is>
          <t>VIDMAR Matteo</t>
        </is>
      </c>
      <c r="Q778" s="196" t="inlineStr">
        <is>
          <t>KELLER Alenka</t>
        </is>
      </c>
      <c r="R778" s="196" t="inlineStr">
        <is>
          <t>MORETTO Jonas</t>
        </is>
      </c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inlineStr">
        <is>
          <t>GAUTHIER Alenka [Aest]</t>
        </is>
      </c>
      <c r="N781" s="196" t="inlineStr">
        <is>
          <t>FOURNIER Lucia [AA]</t>
        </is>
      </c>
      <c r="O781" s="196" t="inlineStr">
        <is>
          <t>VOGEL Giulia [Aest]</t>
        </is>
      </c>
      <c r="P781" s="196" t="inlineStr">
        <is>
          <t>VOGEL Giulia</t>
        </is>
      </c>
      <c r="Q781" s="196" t="inlineStr">
        <is>
          <t>FUENTES Lukas</t>
        </is>
      </c>
      <c r="R781" s="196" t="inlineStr">
        <is>
          <t>MARCHIONI Gaelle</t>
        </is>
      </c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inlineStr">
        <is>
          <t>ENGEL Valerie [Aest]</t>
        </is>
      </c>
      <c r="N784" s="196" t="inlineStr">
        <is>
          <t>SANTORI Eva [AAt]</t>
        </is>
      </c>
      <c r="O784" s="196" t="inlineStr">
        <is>
          <t>GALLINI Valerie [AA]</t>
        </is>
      </c>
      <c r="P784" s="196" t="inlineStr">
        <is>
          <t>ORTEGA Gaelle</t>
        </is>
      </c>
      <c r="Q784" s="196" t="inlineStr">
        <is>
          <t>NAVARRO Giulia</t>
        </is>
      </c>
      <c r="R784" s="196" t="inlineStr">
        <is>
          <t>FERRANTE Greta</t>
        </is>
      </c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inlineStr">
        <is>
          <t>SANTORI Chiara [A]</t>
        </is>
      </c>
      <c r="N787" s="196" t="inlineStr">
        <is>
          <t>KOVAC Valerie [AAt]</t>
        </is>
      </c>
      <c r="O787" s="196" t="inlineStr">
        <is>
          <t>SANTORI Sofia [AA]</t>
        </is>
      </c>
      <c r="P787" s="196" t="inlineStr">
        <is>
          <t>ORTEGA Jonas</t>
        </is>
      </c>
      <c r="Q787" s="196" t="inlineStr">
        <is>
          <t>KRUGER Paolo</t>
        </is>
      </c>
      <c r="R787" s="196" t="inlineStr">
        <is>
          <t>CASTILLO Alenka</t>
        </is>
      </c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inlineStr">
        <is>
          <t>CAMPOS Mathilde [Aest]</t>
        </is>
      </c>
      <c r="N790" s="196" t="inlineStr">
        <is>
          <t>SOLER Ottavia [AAt]</t>
        </is>
      </c>
      <c r="O790" s="196" t="inlineStr">
        <is>
          <t>MARCHIONI Paolo [AAt]</t>
        </is>
      </c>
      <c r="P790" s="196" t="inlineStr">
        <is>
          <t>SEVER Greta</t>
        </is>
      </c>
      <c r="Q790" s="196" t="inlineStr">
        <is>
          <t>VIDMAR Diego</t>
        </is>
      </c>
      <c r="R790" s="196" t="inlineStr">
        <is>
          <t>KELLER Pablo</t>
        </is>
      </c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inlineStr">
        <is>
          <t>BLANCO Lucia [Aest]</t>
        </is>
      </c>
      <c r="N793" s="196" t="inlineStr">
        <is>
          <t>KOVAC Noemi [Aest]</t>
        </is>
      </c>
      <c r="O793" s="196" t="inlineStr">
        <is>
          <t>MARCHIONI Filippo [AAt]</t>
        </is>
      </c>
      <c r="P793" s="196" t="inlineStr">
        <is>
          <t>CAMPOS Jonas</t>
        </is>
      </c>
      <c r="Q793" s="196" t="inlineStr">
        <is>
          <t>VALLET Stefano</t>
        </is>
      </c>
      <c r="R793" s="196" t="inlineStr">
        <is>
          <t>BLANCHET Paula</t>
        </is>
      </c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inlineStr">
        <is>
          <t>PETERLIN Filippo [AAt]</t>
        </is>
      </c>
      <c r="N796" s="196" t="inlineStr">
        <is>
          <t>VALLET Stefano [AAt]</t>
        </is>
      </c>
      <c r="O796" s="196" t="inlineStr">
        <is>
          <t>LANGER Valerie [Aest]</t>
        </is>
      </c>
      <c r="P796" s="196" t="inlineStr">
        <is>
          <t>SANTORI Jonas</t>
        </is>
      </c>
      <c r="Q796" s="196" t="inlineStr">
        <is>
          <t>GALLINI Irene</t>
        </is>
      </c>
      <c r="R796" s="196" t="inlineStr">
        <is>
          <t>KRAJNC Greta</t>
        </is>
      </c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inlineStr">
        <is>
          <t>ENGEL Lea [AAt]</t>
        </is>
      </c>
      <c r="N799" s="196" t="inlineStr">
        <is>
          <t>SOLER Stefano [A]</t>
        </is>
      </c>
      <c r="O799" s="196" t="inlineStr">
        <is>
          <t>MOREAU Andrea [AAt]</t>
        </is>
      </c>
      <c r="P799" s="196" t="inlineStr">
        <is>
          <t>LEROUX Paolo</t>
        </is>
      </c>
      <c r="Q799" s="196" t="inlineStr">
        <is>
          <t>FOURNIER Paula</t>
        </is>
      </c>
      <c r="R799" s="196" t="inlineStr">
        <is>
          <t>NADAUD Mathilde</t>
        </is>
      </c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inlineStr">
        <is>
          <t>HOFFMANN Filippo [AA]</t>
        </is>
      </c>
      <c r="N802" s="196" t="inlineStr">
        <is>
          <t>LEROUX Elena [AA]</t>
        </is>
      </c>
      <c r="O802" s="196" t="inlineStr">
        <is>
          <t>AUBERT Lucia [AAt]</t>
        </is>
      </c>
      <c r="P802" s="196" t="inlineStr">
        <is>
          <t>NADAUD Ilaria</t>
        </is>
      </c>
      <c r="Q802" s="196" t="inlineStr">
        <is>
          <t>FOURNIER Elena</t>
        </is>
      </c>
      <c r="R802" s="196" t="inlineStr">
        <is>
          <t>WEBER Sofia</t>
        </is>
      </c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inlineStr">
        <is>
          <t>ENGEL Filippo [A]</t>
        </is>
      </c>
      <c r="N805" s="196" t="inlineStr">
        <is>
          <t>FOURNIER Andrea [AA]</t>
        </is>
      </c>
      <c r="O805" s="196" t="inlineStr">
        <is>
          <t>GALLINI Elena [AAt]</t>
        </is>
      </c>
      <c r="P805" s="196" t="inlineStr">
        <is>
          <t>BELLANDI Greta</t>
        </is>
      </c>
      <c r="Q805" s="196" t="inlineStr">
        <is>
          <t>LEROUX Beatrice</t>
        </is>
      </c>
      <c r="R805" s="196" t="inlineStr">
        <is>
          <t>WEBER Irene</t>
        </is>
      </c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inlineStr">
        <is>
          <t>HOFFMANN Anja [A]</t>
        </is>
      </c>
      <c r="N810" s="196" t="inlineStr">
        <is>
          <t>KELLER Mathilde [Aest]</t>
        </is>
      </c>
      <c r="O810" s="196" t="inlineStr">
        <is>
          <t>PELLEGRI Chiara [AAt]</t>
        </is>
      </c>
      <c r="P810" s="196" t="inlineStr">
        <is>
          <t>WEBER Irene</t>
        </is>
      </c>
      <c r="Q810" s="196" t="inlineStr">
        <is>
          <t>CONTARDI Felix</t>
        </is>
      </c>
      <c r="R810" s="196" t="inlineStr">
        <is>
          <t>BLANCO Stefano</t>
        </is>
      </c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inlineStr">
        <is>
          <t>VALLET Gaelle [Aest]</t>
        </is>
      </c>
      <c r="N813" s="196" t="inlineStr">
        <is>
          <t>BELLANDI Vid [Aest]</t>
        </is>
      </c>
      <c r="O813" s="196" t="inlineStr">
        <is>
          <t>MARCHIONI Paula [Aest]</t>
        </is>
      </c>
      <c r="P813" s="196" t="inlineStr">
        <is>
          <t>GAUTHIER Luca</t>
        </is>
      </c>
      <c r="Q813" s="196" t="inlineStr">
        <is>
          <t>FERRANTE Hugo</t>
        </is>
      </c>
      <c r="R813" s="196" t="inlineStr">
        <is>
          <t>BLANCO Irene</t>
        </is>
      </c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inlineStr">
        <is>
          <t>SOLER Ottavia [AAt]</t>
        </is>
      </c>
      <c r="N816" s="196" t="inlineStr">
        <is>
          <t>MARCHIONI Filippo [AAt]</t>
        </is>
      </c>
      <c r="O816" s="196" t="inlineStr">
        <is>
          <t>PRADO Diego [Aest]</t>
        </is>
      </c>
      <c r="P816" s="196" t="inlineStr">
        <is>
          <t>KELLER Pablo</t>
        </is>
      </c>
      <c r="Q816" s="196" t="inlineStr">
        <is>
          <t>NOVAK Ilaria</t>
        </is>
      </c>
      <c r="R816" s="196" t="inlineStr">
        <is>
          <t>GALLINI Gaelle</t>
        </is>
      </c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inlineStr">
        <is>
          <t>FOURNIER Lucia [AA]</t>
        </is>
      </c>
      <c r="N819" s="196" t="inlineStr">
        <is>
          <t>LEROUX Hugo [Aest]</t>
        </is>
      </c>
      <c r="O819" s="196" t="inlineStr">
        <is>
          <t>WEBER Andrea [AAt]</t>
        </is>
      </c>
      <c r="P819" s="196" t="inlineStr">
        <is>
          <t>FOURNIER Paula</t>
        </is>
      </c>
      <c r="Q819" s="196" t="inlineStr">
        <is>
          <t>CAMPOS Noemi</t>
        </is>
      </c>
      <c r="R819" s="196" t="inlineStr">
        <is>
          <t>KRAJNC Davide</t>
        </is>
      </c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inlineStr">
        <is>
          <t>BELLANDI Marta [A]</t>
        </is>
      </c>
      <c r="N822" s="196" t="inlineStr">
        <is>
          <t>ZUPAN Felix [AAt]</t>
        </is>
      </c>
      <c r="O822" s="196" t="inlineStr">
        <is>
          <t>MODIC Miha [A]</t>
        </is>
      </c>
      <c r="P822" s="196" t="inlineStr">
        <is>
          <t>PRADO Stefano</t>
        </is>
      </c>
      <c r="Q822" s="196" t="inlineStr">
        <is>
          <t>BLANCHET Jonas</t>
        </is>
      </c>
      <c r="R822" s="196" t="inlineStr">
        <is>
          <t>IGLESIAS Eva</t>
        </is>
      </c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inlineStr">
        <is>
          <t>LANGER Katrin [AAt]</t>
        </is>
      </c>
      <c r="N825" s="196" t="inlineStr">
        <is>
          <t>BELLANDI Marta [A]</t>
        </is>
      </c>
      <c r="O825" s="196" t="inlineStr">
        <is>
          <t>KRAJNC Lukas [Aest]</t>
        </is>
      </c>
      <c r="P825" s="196" t="inlineStr">
        <is>
          <t>WEBER Ilaria</t>
        </is>
      </c>
      <c r="Q825" s="196" t="inlineStr">
        <is>
          <t>ROTH Andrea</t>
        </is>
      </c>
      <c r="R825" s="196" t="inlineStr">
        <is>
          <t>GAUTHIER Pablo</t>
        </is>
      </c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inlineStr">
        <is>
          <t>OBLAK Jonas [AAt]</t>
        </is>
      </c>
      <c r="N828" s="196" t="inlineStr">
        <is>
          <t>WEBER Martina [A]</t>
        </is>
      </c>
      <c r="O828" s="196" t="inlineStr">
        <is>
          <t>PELLEGRI Valerie [AA]</t>
        </is>
      </c>
      <c r="P828" s="196" t="inlineStr">
        <is>
          <t>KELLER Matteo</t>
        </is>
      </c>
      <c r="Q828" s="196" t="inlineStr">
        <is>
          <t>MOREAU Felix</t>
        </is>
      </c>
      <c r="R828" s="196" t="inlineStr">
        <is>
          <t>FERRANTE Chiara</t>
        </is>
      </c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inlineStr">
        <is>
          <t>MARCHIONI Lukas [AAt]</t>
        </is>
      </c>
      <c r="N831" s="196" t="inlineStr">
        <is>
          <t>MODIC Vid [Aest]</t>
        </is>
      </c>
      <c r="O831" s="196" t="inlineStr">
        <is>
          <t>ROSSINI Sofia [AA]</t>
        </is>
      </c>
      <c r="P831" s="196" t="inlineStr">
        <is>
          <t>AUBERT Paolo</t>
        </is>
      </c>
      <c r="Q831" s="196" t="inlineStr">
        <is>
          <t>BLANCHET Matteo</t>
        </is>
      </c>
      <c r="R831" s="196" t="inlineStr">
        <is>
          <t>ZUPAN Paula</t>
        </is>
      </c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inlineStr">
        <is>
          <t>FUENTES Noemi [Aest]</t>
        </is>
      </c>
      <c r="N834" s="196" t="inlineStr">
        <is>
          <t>BLANCO Stefano [A]</t>
        </is>
      </c>
      <c r="O834" s="196" t="inlineStr">
        <is>
          <t>MODIC Katrin [A]</t>
        </is>
      </c>
      <c r="P834" s="196" t="inlineStr">
        <is>
          <t>VIDMAR Chiara</t>
        </is>
      </c>
      <c r="Q834" s="196" t="inlineStr">
        <is>
          <t>SCHAFER Gaelle</t>
        </is>
      </c>
      <c r="R834" s="196" t="inlineStr">
        <is>
          <t>BLANCO Valerie</t>
        </is>
      </c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inlineStr">
        <is>
          <t>KELLER Marco [Aest]</t>
        </is>
      </c>
      <c r="N837" s="196" t="inlineStr">
        <is>
          <t>BELLANDI Chiara [Aest]</t>
        </is>
      </c>
      <c r="O837" s="196" t="inlineStr">
        <is>
          <t>NAVARRO Gaelle [A]</t>
        </is>
      </c>
      <c r="P837" s="196" t="inlineStr">
        <is>
          <t>CONTARDI Valerie</t>
        </is>
      </c>
      <c r="Q837" s="196" t="inlineStr">
        <is>
          <t>KOVAC Felix</t>
        </is>
      </c>
      <c r="R837" s="196" t="inlineStr">
        <is>
          <t>LEFEVRE Filippo</t>
        </is>
      </c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inlineStr">
        <is>
          <t>ENGEL Stefano [AAt]</t>
        </is>
      </c>
      <c r="N842" s="196" t="inlineStr">
        <is>
          <t>NOVAK Mathilde [Aest]</t>
        </is>
      </c>
      <c r="O842" s="196" t="inlineStr">
        <is>
          <t>NAVARRO Katrin [A]</t>
        </is>
      </c>
      <c r="P842" s="196" t="inlineStr">
        <is>
          <t>NADAUD Marco</t>
        </is>
      </c>
      <c r="Q842" s="196" t="inlineStr">
        <is>
          <t>IGLESIAS Giulia</t>
        </is>
      </c>
      <c r="R842" s="196" t="inlineStr">
        <is>
          <t>MOREAU Felix</t>
        </is>
      </c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inlineStr">
        <is>
          <t>OBLAK Lucia [AAt]</t>
        </is>
      </c>
      <c r="N845" s="196" t="inlineStr">
        <is>
          <t>SOLER Ottavia [AAt]</t>
        </is>
      </c>
      <c r="O845" s="196" t="inlineStr">
        <is>
          <t>GALLINI Valerie [AA]</t>
        </is>
      </c>
      <c r="P845" s="196" t="inlineStr">
        <is>
          <t>CASTILLO Stefano</t>
        </is>
      </c>
      <c r="Q845" s="196" t="inlineStr">
        <is>
          <t>PELLEGRI Lea</t>
        </is>
      </c>
      <c r="R845" s="196" t="inlineStr">
        <is>
          <t>NAVARRO Luca</t>
        </is>
      </c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inlineStr">
        <is>
          <t>CAMPOS Anja [Aest]</t>
        </is>
      </c>
      <c r="N848" s="196" t="inlineStr">
        <is>
          <t>PELLEGRI Chiara [AAt]</t>
        </is>
      </c>
      <c r="O848" s="196" t="inlineStr">
        <is>
          <t>GALLINI Gaelle [A]</t>
        </is>
      </c>
      <c r="P848" s="196" t="inlineStr">
        <is>
          <t>GAUTHIER Irene</t>
        </is>
      </c>
      <c r="Q848" s="196" t="inlineStr">
        <is>
          <t>BRANDT Beatrice</t>
        </is>
      </c>
      <c r="R848" s="196" t="inlineStr">
        <is>
          <t>ENGEL Martina</t>
        </is>
      </c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inlineStr">
        <is>
          <t>KOVAC Noemi [Aest]</t>
        </is>
      </c>
      <c r="N851" s="196" t="inlineStr">
        <is>
          <t>ORTEGA Diego [A]</t>
        </is>
      </c>
      <c r="O851" s="196" t="inlineStr">
        <is>
          <t>FERRANTE Filippo [AAt]</t>
        </is>
      </c>
      <c r="P851" s="196" t="inlineStr">
        <is>
          <t>LANGER Katrin</t>
        </is>
      </c>
      <c r="Q851" s="196" t="inlineStr">
        <is>
          <t>SOLER Irene</t>
        </is>
      </c>
      <c r="R851" s="196" t="inlineStr">
        <is>
          <t>ORTEGA Andrea</t>
        </is>
      </c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inlineStr">
        <is>
          <t>GAUTHIER Davide [AA]</t>
        </is>
      </c>
      <c r="N854" s="196" t="inlineStr">
        <is>
          <t>CARON Alenka [AAt]</t>
        </is>
      </c>
      <c r="O854" s="196" t="inlineStr">
        <is>
          <t>LEROUX Lea [Aest]</t>
        </is>
      </c>
      <c r="P854" s="196" t="inlineStr">
        <is>
          <t>LEROUX Stefano</t>
        </is>
      </c>
      <c r="Q854" s="196" t="inlineStr">
        <is>
          <t>VOGEL Greta</t>
        </is>
      </c>
      <c r="R854" s="196" t="inlineStr">
        <is>
          <t>LEROUX Gaelle</t>
        </is>
      </c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inlineStr">
        <is>
          <t>BLANCHET Giulia [AA]</t>
        </is>
      </c>
      <c r="N857" s="196" t="inlineStr">
        <is>
          <t>MARCHIONI Marco [Aest]</t>
        </is>
      </c>
      <c r="O857" s="196" t="inlineStr">
        <is>
          <t>LEROUX Filippo [Aest]</t>
        </is>
      </c>
      <c r="P857" s="196" t="inlineStr">
        <is>
          <t>CAMPOS Jonas</t>
        </is>
      </c>
      <c r="Q857" s="196" t="inlineStr">
        <is>
          <t>NOVAK Lukas</t>
        </is>
      </c>
      <c r="R857" s="196" t="inlineStr">
        <is>
          <t>ROSSINI Mathilde</t>
        </is>
      </c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inlineStr">
        <is>
          <t>VOGEL Giulia [Aest]</t>
        </is>
      </c>
      <c r="N860" s="196" t="inlineStr">
        <is>
          <t>LEROUX Filippo [Aest]</t>
        </is>
      </c>
      <c r="O860" s="196" t="inlineStr">
        <is>
          <t>NAVARRO Martina [A]</t>
        </is>
      </c>
      <c r="P860" s="196" t="inlineStr">
        <is>
          <t>SANTORI Filippo</t>
        </is>
      </c>
      <c r="Q860" s="196" t="inlineStr">
        <is>
          <t>SEVER Davide</t>
        </is>
      </c>
      <c r="R860" s="196" t="inlineStr">
        <is>
          <t>ROSSINI Sofia</t>
        </is>
      </c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inlineStr">
        <is>
          <t>MORETTO Chiara [A]</t>
        </is>
      </c>
      <c r="N863" s="196" t="inlineStr">
        <is>
          <t>OBLAK Mathilde [A]</t>
        </is>
      </c>
      <c r="O863" s="196" t="inlineStr">
        <is>
          <t>LEFEVRE Vid [A]</t>
        </is>
      </c>
      <c r="P863" s="196" t="inlineStr">
        <is>
          <t>PRADO Lea</t>
        </is>
      </c>
      <c r="Q863" s="196" t="inlineStr">
        <is>
          <t>ROSSINI Stefano</t>
        </is>
      </c>
      <c r="R863" s="196" t="inlineStr">
        <is>
          <t>HOFFMANN Davide</t>
        </is>
      </c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inlineStr">
        <is>
          <t>KOVAC Diego [AAt]</t>
        </is>
      </c>
      <c r="N866" s="196" t="inlineStr">
        <is>
          <t>SOLER Ottavia [AAt]</t>
        </is>
      </c>
      <c r="O866" s="196" t="inlineStr">
        <is>
          <t>BLANCHET Anja [AA]</t>
        </is>
      </c>
      <c r="P866" s="196" t="inlineStr">
        <is>
          <t>MODIC Lea</t>
        </is>
      </c>
      <c r="Q866" s="196" t="inlineStr">
        <is>
          <t>FERRANTE Felix</t>
        </is>
      </c>
      <c r="R866" s="196" t="inlineStr">
        <is>
          <t>ZUPAN Alenka</t>
        </is>
      </c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inlineStr">
        <is>
          <t>LANGER Beatrice [Aest]</t>
        </is>
      </c>
      <c r="N869" s="196" t="inlineStr">
        <is>
          <t>KELLER Mathilde [Aest]</t>
        </is>
      </c>
      <c r="O869" s="196" t="inlineStr">
        <is>
          <t>SANTORI Chiara [A]</t>
        </is>
      </c>
      <c r="P869" s="196" t="inlineStr">
        <is>
          <t>ROMERO Irene</t>
        </is>
      </c>
      <c r="Q869" s="196" t="inlineStr">
        <is>
          <t>MODIC Jonas</t>
        </is>
      </c>
      <c r="R869" s="196" t="inlineStr">
        <is>
          <t>NADAUD Marco</t>
        </is>
      </c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inlineStr">
        <is>
          <t>BRANDT Filippo [AAt]</t>
        </is>
      </c>
      <c r="N874" s="196" t="inlineStr">
        <is>
          <t>FUENTES Irene [AA]</t>
        </is>
      </c>
      <c r="O874" s="196" t="inlineStr">
        <is>
          <t>WEBER Martina [A]</t>
        </is>
      </c>
      <c r="P874" s="196" t="inlineStr">
        <is>
          <t>BRANDT Elena</t>
        </is>
      </c>
      <c r="Q874" s="196" t="inlineStr">
        <is>
          <t>BRANDT Paolo</t>
        </is>
      </c>
      <c r="R874" s="196" t="inlineStr">
        <is>
          <t>VOGEL Giulia</t>
        </is>
      </c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inlineStr">
        <is>
          <t>MORETTO Jonas [AAt]</t>
        </is>
      </c>
      <c r="N877" s="196" t="inlineStr">
        <is>
          <t>KRAJNC Marta [Aest]</t>
        </is>
      </c>
      <c r="O877" s="196" t="inlineStr">
        <is>
          <t>GAUTHIER Noemi [AA]</t>
        </is>
      </c>
      <c r="P877" s="196" t="inlineStr">
        <is>
          <t>MARCHIONI Irene</t>
        </is>
      </c>
      <c r="Q877" s="196" t="inlineStr">
        <is>
          <t>IGLESIAS Greta</t>
        </is>
      </c>
      <c r="R877" s="196" t="inlineStr">
        <is>
          <t>MARCHIONI Nicola</t>
        </is>
      </c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inlineStr">
        <is>
          <t>CONTARDI Beatrice [AAt]</t>
        </is>
      </c>
      <c r="N880" s="196" t="inlineStr">
        <is>
          <t>LANGER Katrin [AAt]</t>
        </is>
      </c>
      <c r="O880" s="196" t="inlineStr">
        <is>
          <t>VIDMAR Noemi [AA]</t>
        </is>
      </c>
      <c r="P880" s="196" t="inlineStr">
        <is>
          <t>VIDMAR Diego</t>
        </is>
      </c>
      <c r="Q880" s="196" t="inlineStr">
        <is>
          <t>ORTEGA Luca</t>
        </is>
      </c>
      <c r="R880" s="196" t="inlineStr">
        <is>
          <t>ROTH Lukas</t>
        </is>
      </c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inlineStr">
        <is>
          <t>HOFFMANN Anja [A]</t>
        </is>
      </c>
      <c r="N883" s="196" t="inlineStr">
        <is>
          <t>AUBERT Martina [AA]</t>
        </is>
      </c>
      <c r="O883" s="196" t="inlineStr">
        <is>
          <t>BLANCHET Lucia [Aest]</t>
        </is>
      </c>
      <c r="P883" s="196" t="inlineStr">
        <is>
          <t>SANTORI Eva</t>
        </is>
      </c>
      <c r="Q883" s="196" t="inlineStr">
        <is>
          <t>VOGEL Irene</t>
        </is>
      </c>
      <c r="R883" s="196" t="inlineStr">
        <is>
          <t>ORTEGA Filippo</t>
        </is>
      </c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inlineStr">
        <is>
          <t>FUENTES Katrin [A]</t>
        </is>
      </c>
      <c r="N886" s="196" t="inlineStr">
        <is>
          <t>CONTARDI Mathilde [A]</t>
        </is>
      </c>
      <c r="O886" s="196" t="inlineStr">
        <is>
          <t>KELLER Chiara [AAt]</t>
        </is>
      </c>
      <c r="P886" s="196" t="inlineStr">
        <is>
          <t>WEBER Matteo</t>
        </is>
      </c>
      <c r="Q886" s="196" t="inlineStr">
        <is>
          <t>BLANCHET Jonas</t>
        </is>
      </c>
      <c r="R886" s="196" t="inlineStr">
        <is>
          <t>BLANCO Stefano</t>
        </is>
      </c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inlineStr">
        <is>
          <t>KELLER Marta [AAt]</t>
        </is>
      </c>
      <c r="N889" s="196" t="inlineStr">
        <is>
          <t>BELLANDI Vid [Aest]</t>
        </is>
      </c>
      <c r="O889" s="196" t="inlineStr">
        <is>
          <t>HOFFMANN Ottavia [AA]</t>
        </is>
      </c>
      <c r="P889" s="196" t="inlineStr">
        <is>
          <t>ZUPAN Paula</t>
        </is>
      </c>
      <c r="Q889" s="196" t="inlineStr">
        <is>
          <t>KRAJNC Stefano</t>
        </is>
      </c>
      <c r="R889" s="196" t="inlineStr">
        <is>
          <t>ROSSINI Sofia</t>
        </is>
      </c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inlineStr">
        <is>
          <t>ROTH Sofia [A]</t>
        </is>
      </c>
      <c r="N892" s="196" t="inlineStr">
        <is>
          <t>ROSSINI Chiara [AAt]</t>
        </is>
      </c>
      <c r="O892" s="196" t="inlineStr">
        <is>
          <t>PELLEGRI Chiara [AAt]</t>
        </is>
      </c>
      <c r="P892" s="196" t="inlineStr">
        <is>
          <t>MARCHIONI Gaelle</t>
        </is>
      </c>
      <c r="Q892" s="196" t="inlineStr">
        <is>
          <t>HOFFMANN Paolo</t>
        </is>
      </c>
      <c r="R892" s="196" t="inlineStr">
        <is>
          <t>MORETTO Beatrice</t>
        </is>
      </c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inlineStr">
        <is>
          <t>HORVAT Giulia [A]</t>
        </is>
      </c>
      <c r="N895" s="196" t="inlineStr">
        <is>
          <t>VALLET Martina [Aest]</t>
        </is>
      </c>
      <c r="O895" s="196" t="inlineStr">
        <is>
          <t>SOLER Alenka [A]</t>
        </is>
      </c>
      <c r="P895" s="196" t="inlineStr">
        <is>
          <t>KOVAC Chiara</t>
        </is>
      </c>
      <c r="Q895" s="196" t="inlineStr">
        <is>
          <t>FUENTES Lukas</t>
        </is>
      </c>
      <c r="R895" s="196" t="inlineStr">
        <is>
          <t>ZUPAN Paula</t>
        </is>
      </c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inlineStr">
        <is>
          <t>CARON Martina [AAt]</t>
        </is>
      </c>
      <c r="N898" s="196" t="inlineStr">
        <is>
          <t>KRUGER Greta [A]</t>
        </is>
      </c>
      <c r="O898" s="196" t="inlineStr">
        <is>
          <t>BIANCHELLI Filippo [AAt]</t>
        </is>
      </c>
      <c r="P898" s="196" t="inlineStr">
        <is>
          <t>AUBERT Lea</t>
        </is>
      </c>
      <c r="Q898" s="196" t="inlineStr">
        <is>
          <t>BLANCO Elena</t>
        </is>
      </c>
      <c r="R898" s="196" t="inlineStr">
        <is>
          <t>GAUTHIER Davide</t>
        </is>
      </c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inlineStr">
        <is>
          <t>VIDMAR Matteo [AA]</t>
        </is>
      </c>
      <c r="N901" s="196" t="inlineStr">
        <is>
          <t>KRUGER Ilaria [A]</t>
        </is>
      </c>
      <c r="O901" s="196" t="inlineStr">
        <is>
          <t>HORVAT Davide [Aest]</t>
        </is>
      </c>
      <c r="P901" s="196" t="inlineStr">
        <is>
          <t>KRAJNC Davide</t>
        </is>
      </c>
      <c r="Q901" s="196" t="inlineStr">
        <is>
          <t>VOGEL Lea</t>
        </is>
      </c>
      <c r="R901" s="196" t="inlineStr">
        <is>
          <t>HORVAT Matteo</t>
        </is>
      </c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inlineStr">
        <is>
          <t>PETERLIN Beatrice [Aest]</t>
        </is>
      </c>
      <c r="N906" s="196" t="inlineStr">
        <is>
          <t>AUBERT Lucia [AAt]</t>
        </is>
      </c>
      <c r="O906" s="196" t="inlineStr">
        <is>
          <t>SEVER Tommaso [AAt]</t>
        </is>
      </c>
      <c r="P906" s="196" t="inlineStr">
        <is>
          <t>KOVAC Nicola</t>
        </is>
      </c>
      <c r="Q906" s="196" t="inlineStr">
        <is>
          <t>ORTEGA Stefano</t>
        </is>
      </c>
      <c r="R906" s="196" t="inlineStr">
        <is>
          <t>SANTORI Miha</t>
        </is>
      </c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inlineStr">
        <is>
          <t>FOURNIER Matteo [AAt]</t>
        </is>
      </c>
      <c r="N909" s="196" t="inlineStr">
        <is>
          <t>MODIC Lukas [AAt]</t>
        </is>
      </c>
      <c r="O909" s="196" t="inlineStr">
        <is>
          <t>HOFFMANN Marco [Aest]</t>
        </is>
      </c>
      <c r="P909" s="196" t="inlineStr">
        <is>
          <t>CASTILLO Davide</t>
        </is>
      </c>
      <c r="Q909" s="196" t="inlineStr">
        <is>
          <t>SOLER Stefano</t>
        </is>
      </c>
      <c r="R909" s="196" t="inlineStr">
        <is>
          <t>CARON Pablo</t>
        </is>
      </c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inlineStr">
        <is>
          <t>WEBER Martina [A]</t>
        </is>
      </c>
      <c r="N912" s="196" t="inlineStr">
        <is>
          <t>PETERLIN Tommaso [AAt]</t>
        </is>
      </c>
      <c r="O912" s="196" t="inlineStr">
        <is>
          <t>OBLAK Stefano [AA]</t>
        </is>
      </c>
      <c r="P912" s="196" t="inlineStr">
        <is>
          <t>VIDMAR Paula</t>
        </is>
      </c>
      <c r="Q912" s="196" t="inlineStr">
        <is>
          <t>GALLINI Irene</t>
        </is>
      </c>
      <c r="R912" s="196" t="inlineStr">
        <is>
          <t>GALLINI Tommaso</t>
        </is>
      </c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inlineStr">
        <is>
          <t>HORVAT Lea [A]</t>
        </is>
      </c>
      <c r="N915" s="196" t="inlineStr">
        <is>
          <t>SEVER Nicola [AA]</t>
        </is>
      </c>
      <c r="O915" s="196" t="inlineStr">
        <is>
          <t>CAMPOS Noemi [AA]</t>
        </is>
      </c>
      <c r="P915" s="196" t="inlineStr">
        <is>
          <t>SEVER Marco</t>
        </is>
      </c>
      <c r="Q915" s="196" t="inlineStr">
        <is>
          <t>IGLESIAS Chiara</t>
        </is>
      </c>
      <c r="R915" s="196" t="inlineStr">
        <is>
          <t>NADAUD Nicola</t>
        </is>
      </c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inlineStr">
        <is>
          <t>ZUPAN Beatrice [AAt]</t>
        </is>
      </c>
      <c r="N918" s="196" t="inlineStr">
        <is>
          <t>SANTORI Nicola [AA]</t>
        </is>
      </c>
      <c r="O918" s="196" t="inlineStr">
        <is>
          <t>WEBER Nicola [AAt]</t>
        </is>
      </c>
      <c r="P918" s="196" t="inlineStr">
        <is>
          <t>MORETTO Noemi</t>
        </is>
      </c>
      <c r="Q918" s="196" t="inlineStr">
        <is>
          <t>MODIC Lucia</t>
        </is>
      </c>
      <c r="R918" s="196" t="inlineStr">
        <is>
          <t>ROMERO Stefano</t>
        </is>
      </c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inlineStr">
        <is>
          <t>MARCHIONI Miha [Aest]</t>
        </is>
      </c>
      <c r="N921" s="196" t="inlineStr">
        <is>
          <t>ROSSINI Alenka [AAt]</t>
        </is>
      </c>
      <c r="O921" s="196" t="inlineStr">
        <is>
          <t>VOGEL Beatrice [AAt]</t>
        </is>
      </c>
      <c r="P921" s="196" t="inlineStr">
        <is>
          <t>BELLANDI Giulia</t>
        </is>
      </c>
      <c r="Q921" s="196" t="inlineStr">
        <is>
          <t>KRAJNC Stefano</t>
        </is>
      </c>
      <c r="R921" s="196" t="inlineStr">
        <is>
          <t>IGLESIAS Eva</t>
        </is>
      </c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inlineStr">
        <is>
          <t>SCHAFER Giulia [AA]</t>
        </is>
      </c>
      <c r="N924" s="196" t="inlineStr">
        <is>
          <t>LANGER Katrin [AAt]</t>
        </is>
      </c>
      <c r="O924" s="196" t="inlineStr">
        <is>
          <t>HOFFMANN Ottavia [AA]</t>
        </is>
      </c>
      <c r="P924" s="196" t="inlineStr">
        <is>
          <t>KRUGER Mathilde</t>
        </is>
      </c>
      <c r="Q924" s="196" t="inlineStr">
        <is>
          <t>OBLAK Anja</t>
        </is>
      </c>
      <c r="R924" s="196" t="inlineStr">
        <is>
          <t>VALLET Stefano</t>
        </is>
      </c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inlineStr">
        <is>
          <t>ENGEL Marco [AA]</t>
        </is>
      </c>
      <c r="N927" s="196" t="inlineStr">
        <is>
          <t>MODIC Katrin [A]</t>
        </is>
      </c>
      <c r="O927" s="196" t="inlineStr">
        <is>
          <t>HORVAT Davide [Aest]</t>
        </is>
      </c>
      <c r="P927" s="196" t="inlineStr">
        <is>
          <t>GAUTHIER Diego</t>
        </is>
      </c>
      <c r="Q927" s="196" t="inlineStr">
        <is>
          <t>ZUPAN Noemi</t>
        </is>
      </c>
      <c r="R927" s="196" t="inlineStr">
        <is>
          <t>CASTILLO Stefano</t>
        </is>
      </c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inlineStr">
        <is>
          <t>PELLEGRI Valerie [AA]</t>
        </is>
      </c>
      <c r="N930" s="196" t="inlineStr">
        <is>
          <t>VALLET Felix [A]</t>
        </is>
      </c>
      <c r="O930" s="196" t="inlineStr">
        <is>
          <t>ZUPAN Felix [AAt]</t>
        </is>
      </c>
      <c r="P930" s="196" t="inlineStr">
        <is>
          <t>VOGEL Giulia</t>
        </is>
      </c>
      <c r="Q930" s="196" t="inlineStr">
        <is>
          <t>PELLEGRI Lea</t>
        </is>
      </c>
      <c r="R930" s="196" t="inlineStr">
        <is>
          <t>PRADO Eva</t>
        </is>
      </c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inlineStr">
        <is>
          <t>MOREAU Pablo [AAt]</t>
        </is>
      </c>
      <c r="N933" s="196" t="inlineStr">
        <is>
          <t>KRAJNC Beatrice [Aest]</t>
        </is>
      </c>
      <c r="O933" s="196" t="inlineStr">
        <is>
          <t>OBLAK Mathilde [A]</t>
        </is>
      </c>
      <c r="P933" s="196" t="inlineStr">
        <is>
          <t>SANTORI Gaelle</t>
        </is>
      </c>
      <c r="Q933" s="196" t="inlineStr">
        <is>
          <t>MARCHIONI Nicola</t>
        </is>
      </c>
      <c r="R933" s="196" t="inlineStr">
        <is>
          <t>SEVER Davide</t>
        </is>
      </c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inlineStr">
        <is>
          <t>PRADO Eva [AAt]</t>
        </is>
      </c>
      <c r="N938" s="196" t="inlineStr">
        <is>
          <t>ORTEGA Diego [A]</t>
        </is>
      </c>
      <c r="O938" s="196" t="inlineStr">
        <is>
          <t>ROTH Eva [A]</t>
        </is>
      </c>
      <c r="P938" s="196" t="inlineStr">
        <is>
          <t>AUBERT Pablo</t>
        </is>
      </c>
      <c r="Q938" s="196" t="inlineStr">
        <is>
          <t>CAMPOS Martina</t>
        </is>
      </c>
      <c r="R938" s="196" t="inlineStr">
        <is>
          <t>NAVARRO Paula</t>
        </is>
      </c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inlineStr">
        <is>
          <t>AUBERT Diego [A]</t>
        </is>
      </c>
      <c r="N941" s="196" t="inlineStr">
        <is>
          <t>LEROUX Elena [AA]</t>
        </is>
      </c>
      <c r="O941" s="196" t="inlineStr">
        <is>
          <t>CONTARDI Lea [AAt]</t>
        </is>
      </c>
      <c r="P941" s="196" t="inlineStr">
        <is>
          <t>NADAUD Andrea</t>
        </is>
      </c>
      <c r="Q941" s="196" t="inlineStr">
        <is>
          <t>MARCHIONI Gaelle</t>
        </is>
      </c>
      <c r="R941" s="196" t="inlineStr">
        <is>
          <t>IGLESIAS Alenka</t>
        </is>
      </c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inlineStr">
        <is>
          <t>NADAUD Paula [Aest]</t>
        </is>
      </c>
      <c r="N944" s="196" t="inlineStr">
        <is>
          <t>BIANCHELLI Vid [AAt]</t>
        </is>
      </c>
      <c r="O944" s="196" t="inlineStr">
        <is>
          <t>KRUGER Nicola [Aest]</t>
        </is>
      </c>
      <c r="P944" s="196" t="inlineStr">
        <is>
          <t>WEBER Ilaria</t>
        </is>
      </c>
      <c r="Q944" s="196" t="inlineStr">
        <is>
          <t>VIDMAR Felix</t>
        </is>
      </c>
      <c r="R944" s="196" t="inlineStr">
        <is>
          <t>ROSSINI Filippo</t>
        </is>
      </c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inlineStr">
        <is>
          <t>KRUGER Lea [AA]</t>
        </is>
      </c>
      <c r="N947" s="196" t="inlineStr">
        <is>
          <t>VIDMAR Elena [AAt]</t>
        </is>
      </c>
      <c r="O947" s="196" t="inlineStr">
        <is>
          <t>ORTEGA Katrin [Aest]</t>
        </is>
      </c>
      <c r="P947" s="196" t="inlineStr">
        <is>
          <t>PRADO Elena</t>
        </is>
      </c>
      <c r="Q947" s="196" t="inlineStr">
        <is>
          <t>HOFFMANN Davide</t>
        </is>
      </c>
      <c r="R947" s="196" t="inlineStr">
        <is>
          <t>ORTEGA Stefano</t>
        </is>
      </c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inlineStr">
        <is>
          <t>MOREAU Andrea [AAt]</t>
        </is>
      </c>
      <c r="N950" s="196" t="inlineStr">
        <is>
          <t>CARON Alenka [AAt]</t>
        </is>
      </c>
      <c r="O950" s="196" t="inlineStr">
        <is>
          <t>NAVARRO Matteo [AA]</t>
        </is>
      </c>
      <c r="P950" s="196" t="inlineStr">
        <is>
          <t>AUBERT Paolo</t>
        </is>
      </c>
      <c r="Q950" s="196" t="inlineStr">
        <is>
          <t>SOLER Pablo</t>
        </is>
      </c>
      <c r="R950" s="196" t="inlineStr">
        <is>
          <t>WEBER Andrea</t>
        </is>
      </c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inlineStr">
        <is>
          <t>ROMERO Stefano [Aest]</t>
        </is>
      </c>
      <c r="N953" s="196" t="inlineStr">
        <is>
          <t>BIANCHELLI Martina [AAt]</t>
        </is>
      </c>
      <c r="O953" s="196" t="inlineStr">
        <is>
          <t>LANGER Ilaria [Aest]</t>
        </is>
      </c>
      <c r="P953" s="196" t="inlineStr">
        <is>
          <t>ROSSINI Mathilde</t>
        </is>
      </c>
      <c r="Q953" s="196" t="inlineStr">
        <is>
          <t>ZUPAN Irene</t>
        </is>
      </c>
      <c r="R953" s="196" t="inlineStr">
        <is>
          <t>GAUTHIER Pablo</t>
        </is>
      </c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inlineStr">
        <is>
          <t>FUENTES Marta [Aest]</t>
        </is>
      </c>
      <c r="N956" s="196" t="inlineStr">
        <is>
          <t>GALLINI Lukas [AA]</t>
        </is>
      </c>
      <c r="O956" s="196" t="inlineStr">
        <is>
          <t>ZUPAN Beatrice [AAt]</t>
        </is>
      </c>
      <c r="P956" s="196" t="inlineStr">
        <is>
          <t>IGLESIAS Hugo</t>
        </is>
      </c>
      <c r="Q956" s="196" t="inlineStr">
        <is>
          <t>FOURNIER Stefano</t>
        </is>
      </c>
      <c r="R956" s="196" t="inlineStr">
        <is>
          <t>MARCHIONI Miha</t>
        </is>
      </c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inlineStr">
        <is>
          <t>MARCHIONI Paolo [AAt]</t>
        </is>
      </c>
      <c r="N959" s="196" t="inlineStr">
        <is>
          <t>BLANCHET Valerie [A]</t>
        </is>
      </c>
      <c r="O959" s="196" t="inlineStr">
        <is>
          <t>MODIC Lukas [AAt]</t>
        </is>
      </c>
      <c r="P959" s="196" t="inlineStr">
        <is>
          <t>KOVAC Paolo</t>
        </is>
      </c>
      <c r="Q959" s="196" t="inlineStr">
        <is>
          <t>BLANCO Lukas</t>
        </is>
      </c>
      <c r="R959" s="196" t="inlineStr">
        <is>
          <t>FOURNIER Paula</t>
        </is>
      </c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inlineStr">
        <is>
          <t>SOLER Ottavia [AAt]</t>
        </is>
      </c>
      <c r="N962" s="196" t="inlineStr">
        <is>
          <t>BELLANDI Paula [A]</t>
        </is>
      </c>
      <c r="O962" s="196" t="inlineStr">
        <is>
          <t>VIDMAR Hugo [AAt]</t>
        </is>
      </c>
      <c r="P962" s="196" t="inlineStr">
        <is>
          <t>BLANCO Lukas</t>
        </is>
      </c>
      <c r="Q962" s="196" t="inlineStr">
        <is>
          <t>NADAUD Andrea</t>
        </is>
      </c>
      <c r="R962" s="196" t="inlineStr">
        <is>
          <t>KELLER Jonas</t>
        </is>
      </c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inlineStr">
        <is>
          <t>ROTH Lucia [A]</t>
        </is>
      </c>
      <c r="N965" s="196" t="inlineStr">
        <is>
          <t>LANGER Marta [A]</t>
        </is>
      </c>
      <c r="O965" s="196" t="inlineStr">
        <is>
          <t>FOURNIER Ottavia [A]</t>
        </is>
      </c>
      <c r="P965" s="196" t="inlineStr">
        <is>
          <t>BLANCHET Alenka</t>
        </is>
      </c>
      <c r="Q965" s="196" t="inlineStr">
        <is>
          <t>BLANCHET Paula</t>
        </is>
      </c>
      <c r="R965" s="196" t="inlineStr">
        <is>
          <t>MARCHIONI Irene</t>
        </is>
      </c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inlineStr">
        <is>
          <t>SOLER Stefano [A]</t>
        </is>
      </c>
      <c r="N970" s="196" t="inlineStr">
        <is>
          <t>FUENTES Katrin [A]</t>
        </is>
      </c>
      <c r="O970" s="196" t="inlineStr">
        <is>
          <t>CARON Martina [AAt]</t>
        </is>
      </c>
      <c r="P970" s="196" t="inlineStr">
        <is>
          <t>KOVAC Nicola</t>
        </is>
      </c>
      <c r="Q970" s="196" t="inlineStr">
        <is>
          <t>SCHAFER Gaelle</t>
        </is>
      </c>
      <c r="R970" s="196" t="inlineStr">
        <is>
          <t>BRANDT Paolo</t>
        </is>
      </c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inlineStr">
        <is>
          <t>KRUGER Sofia [A]</t>
        </is>
      </c>
      <c r="N973" s="196" t="inlineStr">
        <is>
          <t>CAMPOS Vid [AA]</t>
        </is>
      </c>
      <c r="O973" s="196" t="inlineStr">
        <is>
          <t>MOREAU Andrea [AAt]</t>
        </is>
      </c>
      <c r="P973" s="196" t="inlineStr">
        <is>
          <t>VOGEL Greta</t>
        </is>
      </c>
      <c r="Q973" s="196" t="inlineStr">
        <is>
          <t>PRADO Hugo</t>
        </is>
      </c>
      <c r="R973" s="196" t="inlineStr">
        <is>
          <t>SOLER Pablo</t>
        </is>
      </c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inlineStr">
        <is>
          <t>BIANCHELLI Paolo [AA]</t>
        </is>
      </c>
      <c r="N976" s="196" t="inlineStr">
        <is>
          <t>LANGER Marta [A]</t>
        </is>
      </c>
      <c r="O976" s="196" t="inlineStr">
        <is>
          <t>ROSSINI Alenka [AAt]</t>
        </is>
      </c>
      <c r="P976" s="196" t="inlineStr">
        <is>
          <t>KRAJNC Nicola</t>
        </is>
      </c>
      <c r="Q976" s="196" t="inlineStr">
        <is>
          <t>ZUPAN Lucia</t>
        </is>
      </c>
      <c r="R976" s="196" t="inlineStr">
        <is>
          <t>ENGEL Mathilde</t>
        </is>
      </c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inlineStr">
        <is>
          <t>KRAJNC Marta [Aest]</t>
        </is>
      </c>
      <c r="N979" s="196" t="inlineStr">
        <is>
          <t>LANGER Marta [A]</t>
        </is>
      </c>
      <c r="O979" s="196" t="inlineStr">
        <is>
          <t>KRUGER Sofia [A]</t>
        </is>
      </c>
      <c r="P979" s="196" t="inlineStr">
        <is>
          <t>HOFFMANN Paolo</t>
        </is>
      </c>
      <c r="Q979" s="196" t="inlineStr">
        <is>
          <t>WEBER Lea</t>
        </is>
      </c>
      <c r="R979" s="196" t="inlineStr">
        <is>
          <t>BELLANDI Hugo</t>
        </is>
      </c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inlineStr">
        <is>
          <t>SCHAFER Giulia [AA]</t>
        </is>
      </c>
      <c r="N982" s="196" t="inlineStr">
        <is>
          <t>IGLESIAS Felix [AAt]</t>
        </is>
      </c>
      <c r="O982" s="196" t="inlineStr">
        <is>
          <t>CASTILLO Irene [Aest]</t>
        </is>
      </c>
      <c r="P982" s="196" t="inlineStr">
        <is>
          <t>SANTORI Eva</t>
        </is>
      </c>
      <c r="Q982" s="196" t="inlineStr">
        <is>
          <t>MORETTO Noemi</t>
        </is>
      </c>
      <c r="R982" s="196" t="inlineStr">
        <is>
          <t>NAVARRO Giulia</t>
        </is>
      </c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inlineStr">
        <is>
          <t>KRUGER Nicola [Aest]</t>
        </is>
      </c>
      <c r="N985" s="196" t="inlineStr">
        <is>
          <t>MARCHIONI Lukas [AAt]</t>
        </is>
      </c>
      <c r="O985" s="196" t="inlineStr">
        <is>
          <t>GAUTHIER Noemi [AA]</t>
        </is>
      </c>
      <c r="P985" s="196" t="inlineStr">
        <is>
          <t>BELLANDI Lucia</t>
        </is>
      </c>
      <c r="Q985" s="196" t="inlineStr">
        <is>
          <t>SANTORI Filippo</t>
        </is>
      </c>
      <c r="R985" s="196" t="inlineStr">
        <is>
          <t>ZUPAN Greta</t>
        </is>
      </c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inlineStr">
        <is>
          <t>CASTILLO Lucia [AA]</t>
        </is>
      </c>
      <c r="N988" s="196" t="inlineStr">
        <is>
          <t>BLANCHET Anja [AA]</t>
        </is>
      </c>
      <c r="O988" s="196" t="inlineStr">
        <is>
          <t>BIANCHELLI Felix [Aest]</t>
        </is>
      </c>
      <c r="P988" s="196" t="inlineStr">
        <is>
          <t>IGLESIAS Hugo</t>
        </is>
      </c>
      <c r="Q988" s="196" t="inlineStr">
        <is>
          <t>SEVER Nicola</t>
        </is>
      </c>
      <c r="R988" s="196" t="inlineStr">
        <is>
          <t>SEVER Ottavia</t>
        </is>
      </c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inlineStr">
        <is>
          <t>OBLAK Beatrice [AA]</t>
        </is>
      </c>
      <c r="N991" s="196" t="inlineStr">
        <is>
          <t>LEROUX Lea [Aest]</t>
        </is>
      </c>
      <c r="O991" s="196" t="inlineStr">
        <is>
          <t>OBLAK Lucia [AAt]</t>
        </is>
      </c>
      <c r="P991" s="196" t="inlineStr">
        <is>
          <t>SANTORI Paolo</t>
        </is>
      </c>
      <c r="Q991" s="196" t="inlineStr">
        <is>
          <t>WEBER Matteo</t>
        </is>
      </c>
      <c r="R991" s="196" t="inlineStr">
        <is>
          <t>NOVAK Tommaso</t>
        </is>
      </c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inlineStr">
        <is>
          <t>LEROUX Hugo [Aest]</t>
        </is>
      </c>
      <c r="N994" s="196" t="inlineStr">
        <is>
          <t>VIDMAR Noemi [AA]</t>
        </is>
      </c>
      <c r="O994" s="196" t="inlineStr">
        <is>
          <t>BIANCHELLI Felix [Aest]</t>
        </is>
      </c>
      <c r="P994" s="196" t="inlineStr">
        <is>
          <t>ROSSINI Filippo</t>
        </is>
      </c>
      <c r="Q994" s="196" t="inlineStr">
        <is>
          <t>BLANCHET Alenka</t>
        </is>
      </c>
      <c r="R994" s="196" t="inlineStr">
        <is>
          <t>LEROUX Paolo</t>
        </is>
      </c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inlineStr">
        <is>
          <t>ENGEL Gaelle [AAt]</t>
        </is>
      </c>
      <c r="N997" s="196" t="inlineStr">
        <is>
          <t>HORVAT Lea [A]</t>
        </is>
      </c>
      <c r="O997" s="196" t="inlineStr">
        <is>
          <t>MORETTO Anja [Aest]</t>
        </is>
      </c>
      <c r="P997" s="196" t="inlineStr">
        <is>
          <t>KELLER Ottavia</t>
        </is>
      </c>
      <c r="Q997" s="196" t="inlineStr">
        <is>
          <t>ENGEL Elena</t>
        </is>
      </c>
      <c r="R997" s="196" t="inlineStr">
        <is>
          <t>KRUGER Marco</t>
        </is>
      </c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inlineStr">
        <is>
          <t>VOGEL Martina [AA]</t>
        </is>
      </c>
      <c r="N1002" s="196" t="inlineStr">
        <is>
          <t>PETERLIN Luca [Aest]</t>
        </is>
      </c>
      <c r="O1002" s="196" t="inlineStr">
        <is>
          <t>ENGEL Marco [AA]</t>
        </is>
      </c>
      <c r="P1002" s="196" t="inlineStr">
        <is>
          <t>GAUTHIER Andrea</t>
        </is>
      </c>
      <c r="Q1002" s="196" t="inlineStr">
        <is>
          <t>KELLER Stefano</t>
        </is>
      </c>
      <c r="R1002" s="196" t="inlineStr">
        <is>
          <t>KELLER Matteo</t>
        </is>
      </c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inlineStr">
        <is>
          <t>PETERLIN Mathilde [Aest]</t>
        </is>
      </c>
      <c r="N1005" s="196" t="inlineStr">
        <is>
          <t>FOURNIER Tommaso [AA]</t>
        </is>
      </c>
      <c r="O1005" s="196" t="inlineStr">
        <is>
          <t>KELLER Mathilde [Aest]</t>
        </is>
      </c>
      <c r="P1005" s="196" t="inlineStr">
        <is>
          <t>CARON Pablo</t>
        </is>
      </c>
      <c r="Q1005" s="196" t="inlineStr">
        <is>
          <t>ROTH Katrin</t>
        </is>
      </c>
      <c r="R1005" s="196" t="inlineStr">
        <is>
          <t>MORETTO Lea</t>
        </is>
      </c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inlineStr">
        <is>
          <t>MARCHIONI Miha [Aest]</t>
        </is>
      </c>
      <c r="N1008" s="196" t="inlineStr">
        <is>
          <t>MARCHIONI Marco [Aest]</t>
        </is>
      </c>
      <c r="O1008" s="196" t="inlineStr">
        <is>
          <t>IGLESIAS Marco [AAt]</t>
        </is>
      </c>
      <c r="P1008" s="196" t="inlineStr">
        <is>
          <t>BLANCO Chiara</t>
        </is>
      </c>
      <c r="Q1008" s="196" t="inlineStr">
        <is>
          <t>FOURNIER Lucia</t>
        </is>
      </c>
      <c r="R1008" s="196" t="inlineStr">
        <is>
          <t>WEBER Ilaria</t>
        </is>
      </c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inlineStr">
        <is>
          <t>VALLET Tommaso [AAt]</t>
        </is>
      </c>
      <c r="N1011" s="196" t="inlineStr">
        <is>
          <t>SANTORI Eva [AAt]</t>
        </is>
      </c>
      <c r="O1011" s="196" t="inlineStr">
        <is>
          <t>ROTH Katrin [A]</t>
        </is>
      </c>
      <c r="P1011" s="196" t="inlineStr">
        <is>
          <t>GAUTHIER Diego</t>
        </is>
      </c>
      <c r="Q1011" s="196" t="inlineStr">
        <is>
          <t>SOLER Gaelle</t>
        </is>
      </c>
      <c r="R1011" s="196" t="inlineStr">
        <is>
          <t>BELLANDI Lukas</t>
        </is>
      </c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inlineStr">
        <is>
          <t>MOREAU Martina [Aest]</t>
        </is>
      </c>
      <c r="N1014" s="196" t="inlineStr">
        <is>
          <t>GAUTHIER Davide [AA]</t>
        </is>
      </c>
      <c r="O1014" s="196" t="inlineStr">
        <is>
          <t>PRADO Diego [Aest]</t>
        </is>
      </c>
      <c r="P1014" s="196" t="inlineStr">
        <is>
          <t>GAUTHIER Luca</t>
        </is>
      </c>
      <c r="Q1014" s="196" t="inlineStr">
        <is>
          <t>ZUPAN Elena</t>
        </is>
      </c>
      <c r="R1014" s="196" t="inlineStr">
        <is>
          <t>MORETTO Lea</t>
        </is>
      </c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inlineStr">
        <is>
          <t>BRANDT Stefano [AAt]</t>
        </is>
      </c>
      <c r="N1017" s="196" t="inlineStr">
        <is>
          <t>BIANCHELLI Tommaso [A]</t>
        </is>
      </c>
      <c r="O1017" s="196" t="inlineStr">
        <is>
          <t>VIDMAR Hugo [AAt]</t>
        </is>
      </c>
      <c r="P1017" s="196" t="inlineStr">
        <is>
          <t>GAUTHIER Luca</t>
        </is>
      </c>
      <c r="Q1017" s="196" t="inlineStr">
        <is>
          <t>NADAUD Marco</t>
        </is>
      </c>
      <c r="R1017" s="196" t="inlineStr">
        <is>
          <t>ENGEL Tommaso</t>
        </is>
      </c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inlineStr">
        <is>
          <t>LEFEVRE Lukas [Aest]</t>
        </is>
      </c>
      <c r="N1020" s="196" t="inlineStr">
        <is>
          <t>IGLESIAS Beatrice [A]</t>
        </is>
      </c>
      <c r="O1020" s="196" t="inlineStr">
        <is>
          <t>ROMERO Matteo [Aest]</t>
        </is>
      </c>
      <c r="P1020" s="196" t="inlineStr">
        <is>
          <t>KRAJNC Davide</t>
        </is>
      </c>
      <c r="Q1020" s="196" t="inlineStr">
        <is>
          <t>MARCHIONI Gaelle</t>
        </is>
      </c>
      <c r="R1020" s="196" t="inlineStr">
        <is>
          <t>MARCHIONI Nicola</t>
        </is>
      </c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inlineStr">
        <is>
          <t>CONTARDI Nicola [Aest]</t>
        </is>
      </c>
      <c r="N1023" s="196" t="inlineStr">
        <is>
          <t>FUENTES Marta [Aest]</t>
        </is>
      </c>
      <c r="O1023" s="196" t="inlineStr">
        <is>
          <t>KELLER Valerie [AAt]</t>
        </is>
      </c>
      <c r="P1023" s="196" t="inlineStr">
        <is>
          <t>CONTARDI Greta</t>
        </is>
      </c>
      <c r="Q1023" s="196" t="inlineStr">
        <is>
          <t>SANTORI Jonas</t>
        </is>
      </c>
      <c r="R1023" s="196" t="inlineStr">
        <is>
          <t>SCHAFER Sofia</t>
        </is>
      </c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inlineStr">
        <is>
          <t>BELLANDI Paula [A]</t>
        </is>
      </c>
      <c r="N1026" s="196" t="inlineStr">
        <is>
          <t>ORTEGA Elena [Aest]</t>
        </is>
      </c>
      <c r="O1026" s="196" t="inlineStr">
        <is>
          <t>GALLINI Gaelle [A]</t>
        </is>
      </c>
      <c r="P1026" s="196" t="inlineStr">
        <is>
          <t>ROMERO Greta</t>
        </is>
      </c>
      <c r="Q1026" s="196" t="inlineStr">
        <is>
          <t>PRADO Hugo</t>
        </is>
      </c>
      <c r="R1026" s="196" t="inlineStr">
        <is>
          <t>OBLAK Hugo</t>
        </is>
      </c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inlineStr">
        <is>
          <t>FUENTES Eva [A]</t>
        </is>
      </c>
      <c r="N1029" s="196" t="inlineStr">
        <is>
          <t>CARON Alenka [AAt]</t>
        </is>
      </c>
      <c r="O1029" s="196" t="inlineStr">
        <is>
          <t>SOLER Stefano [A]</t>
        </is>
      </c>
      <c r="P1029" s="196" t="inlineStr">
        <is>
          <t>ENGEL Ottavia</t>
        </is>
      </c>
      <c r="Q1029" s="196" t="inlineStr">
        <is>
          <t>CAMPOS Jonas</t>
        </is>
      </c>
      <c r="R1029" s="196" t="inlineStr">
        <is>
          <t>HOFFMANN Paolo</t>
        </is>
      </c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inlineStr">
        <is>
          <t>ENGEL Filippo [A]</t>
        </is>
      </c>
      <c r="N1034" s="196" t="inlineStr">
        <is>
          <t>VALLET Stefano [AAt]</t>
        </is>
      </c>
      <c r="O1034" s="196" t="inlineStr">
        <is>
          <t>VOGEL Andrea [A]</t>
        </is>
      </c>
      <c r="P1034" s="196" t="inlineStr">
        <is>
          <t>ROTH Stefano</t>
        </is>
      </c>
      <c r="Q1034" s="196" t="inlineStr">
        <is>
          <t>KOVAC Nicola</t>
        </is>
      </c>
      <c r="R1034" s="196" t="inlineStr">
        <is>
          <t>KRUGER Marco</t>
        </is>
      </c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inlineStr">
        <is>
          <t>HORVAT Giulia [A]</t>
        </is>
      </c>
      <c r="N1037" s="196" t="inlineStr">
        <is>
          <t>MODIC Katrin [A]</t>
        </is>
      </c>
      <c r="O1037" s="196" t="inlineStr">
        <is>
          <t>VIDMAR Pablo [Aest]</t>
        </is>
      </c>
      <c r="P1037" s="196" t="inlineStr">
        <is>
          <t>ROMERO Greta</t>
        </is>
      </c>
      <c r="Q1037" s="196" t="inlineStr">
        <is>
          <t>VIDMAR Chiara</t>
        </is>
      </c>
      <c r="R1037" s="196" t="inlineStr">
        <is>
          <t>KRUGER Irene</t>
        </is>
      </c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inlineStr">
        <is>
          <t>KELLER Andrea [Aest]</t>
        </is>
      </c>
      <c r="N1040" s="196" t="inlineStr">
        <is>
          <t>BELLANDI Paula [A]</t>
        </is>
      </c>
      <c r="O1040" s="196" t="inlineStr">
        <is>
          <t>MARCHIONI Paula [Aest]</t>
        </is>
      </c>
      <c r="P1040" s="196" t="inlineStr">
        <is>
          <t>OBLAK Chiara</t>
        </is>
      </c>
      <c r="Q1040" s="196" t="inlineStr">
        <is>
          <t>FUENTES Chiara</t>
        </is>
      </c>
      <c r="R1040" s="196" t="inlineStr">
        <is>
          <t>BELLANDI Lucia</t>
        </is>
      </c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inlineStr">
        <is>
          <t>HOFFMANN Lea [AAt]</t>
        </is>
      </c>
      <c r="N1043" s="196" t="inlineStr">
        <is>
          <t>KOVAC Diego [AAt]</t>
        </is>
      </c>
      <c r="O1043" s="196" t="inlineStr">
        <is>
          <t>GAUTHIER Lukas [AA]</t>
        </is>
      </c>
      <c r="P1043" s="196" t="inlineStr">
        <is>
          <t>HORVAT Irene</t>
        </is>
      </c>
      <c r="Q1043" s="196" t="inlineStr">
        <is>
          <t>BLANCO Valerie</t>
        </is>
      </c>
      <c r="R1043" s="196" t="inlineStr">
        <is>
          <t>ORTEGA Marta</t>
        </is>
      </c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inlineStr">
        <is>
          <t>MODIC Miha [A]</t>
        </is>
      </c>
      <c r="N1046" s="196" t="inlineStr">
        <is>
          <t>VOGEL Giulia [Aest]</t>
        </is>
      </c>
      <c r="O1046" s="196" t="inlineStr">
        <is>
          <t>MODIC Matteo [AA]</t>
        </is>
      </c>
      <c r="P1046" s="196" t="inlineStr">
        <is>
          <t>ROTH Lucia</t>
        </is>
      </c>
      <c r="Q1046" s="196" t="inlineStr">
        <is>
          <t>CONTARDI Felix</t>
        </is>
      </c>
      <c r="R1046" s="196" t="inlineStr">
        <is>
          <t>MODIC Marco</t>
        </is>
      </c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inlineStr">
        <is>
          <t>HOFFMANN Anja [A]</t>
        </is>
      </c>
      <c r="N1049" s="196" t="inlineStr">
        <is>
          <t>ZUPAN Felix [AAt]</t>
        </is>
      </c>
      <c r="O1049" s="196" t="inlineStr">
        <is>
          <t>FUENTES Katrin [A]</t>
        </is>
      </c>
      <c r="P1049" s="196" t="inlineStr">
        <is>
          <t>MORETTO Ilaria</t>
        </is>
      </c>
      <c r="Q1049" s="196" t="inlineStr">
        <is>
          <t>KRAJNC Greta</t>
        </is>
      </c>
      <c r="R1049" s="196" t="inlineStr">
        <is>
          <t>CASTILLO Noemi</t>
        </is>
      </c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inlineStr">
        <is>
          <t>SANTORI Jonas [Aest]</t>
        </is>
      </c>
      <c r="N1052" s="196" t="inlineStr">
        <is>
          <t>LANGER Ilaria [Aest]</t>
        </is>
      </c>
      <c r="O1052" s="196" t="inlineStr">
        <is>
          <t>CAMPOS Felix [Aest]</t>
        </is>
      </c>
      <c r="P1052" s="196" t="inlineStr">
        <is>
          <t>MORETTO Lea</t>
        </is>
      </c>
      <c r="Q1052" s="196" t="inlineStr">
        <is>
          <t>OBLAK Anja</t>
        </is>
      </c>
      <c r="R1052" s="196" t="inlineStr">
        <is>
          <t>CASTILLO Giulia</t>
        </is>
      </c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inlineStr">
        <is>
          <t>BRANDT Filippo [AAt]</t>
        </is>
      </c>
      <c r="N1055" s="196" t="inlineStr">
        <is>
          <t>MARCHIONI Lea [AAt]</t>
        </is>
      </c>
      <c r="O1055" s="196" t="inlineStr">
        <is>
          <t>CARON Martina [AAt]</t>
        </is>
      </c>
      <c r="P1055" s="196" t="inlineStr">
        <is>
          <t>ZUPAN Paula</t>
        </is>
      </c>
      <c r="Q1055" s="196" t="inlineStr">
        <is>
          <t>CONTARDI Valerie</t>
        </is>
      </c>
      <c r="R1055" s="196" t="inlineStr">
        <is>
          <t>ORTEGA Ilaria</t>
        </is>
      </c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inlineStr">
        <is>
          <t>GAUTHIER Alenka [Aest]</t>
        </is>
      </c>
      <c r="N1058" s="196" t="inlineStr">
        <is>
          <t>ROTH Andrea [AAt]</t>
        </is>
      </c>
      <c r="O1058" s="196" t="inlineStr">
        <is>
          <t>VALLET Gaelle [Aest]</t>
        </is>
      </c>
      <c r="P1058" s="196" t="inlineStr">
        <is>
          <t>SOLER Pablo</t>
        </is>
      </c>
      <c r="Q1058" s="196" t="inlineStr">
        <is>
          <t>CAMPOS Martina</t>
        </is>
      </c>
      <c r="R1058" s="196" t="inlineStr">
        <is>
          <t>SEVER Giulia</t>
        </is>
      </c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inlineStr">
        <is>
          <t>BELLANDI Chiara [Aest]</t>
        </is>
      </c>
      <c r="N1061" s="196" t="inlineStr">
        <is>
          <t>SOLER Alenka [A]</t>
        </is>
      </c>
      <c r="O1061" s="196" t="inlineStr">
        <is>
          <t>KOVAC Diego [AAt]</t>
        </is>
      </c>
      <c r="P1061" s="196" t="inlineStr">
        <is>
          <t>ORTEGA Gaelle</t>
        </is>
      </c>
      <c r="Q1061" s="196" t="inlineStr">
        <is>
          <t>MORETTO Ilaria</t>
        </is>
      </c>
      <c r="R1061" s="196" t="inlineStr">
        <is>
          <t>KELLER Jonas</t>
        </is>
      </c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inlineStr">
        <is>
          <t>PRADO Marta [AAt]</t>
        </is>
      </c>
      <c r="N1066" s="196" t="inlineStr">
        <is>
          <t>KRUGER Lea [AA]</t>
        </is>
      </c>
      <c r="O1066" s="196" t="inlineStr">
        <is>
          <t>LANGER Katrin [AAt]</t>
        </is>
      </c>
      <c r="P1066" s="196" t="inlineStr">
        <is>
          <t>ORTEGA Marta</t>
        </is>
      </c>
      <c r="Q1066" s="196" t="inlineStr">
        <is>
          <t>FERRANTE Stefano</t>
        </is>
      </c>
      <c r="R1066" s="196" t="inlineStr">
        <is>
          <t>ZUPAN Elena</t>
        </is>
      </c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inlineStr">
        <is>
          <t>LANGER Ilaria [Aest]</t>
        </is>
      </c>
      <c r="N1069" s="196" t="inlineStr">
        <is>
          <t>PETERLIN Tommaso [AAt]</t>
        </is>
      </c>
      <c r="O1069" s="196" t="inlineStr">
        <is>
          <t>KRAJNC Paolo [Aest]</t>
        </is>
      </c>
      <c r="P1069" s="196" t="inlineStr">
        <is>
          <t>ORTEGA Andrea</t>
        </is>
      </c>
      <c r="Q1069" s="196" t="inlineStr">
        <is>
          <t>NADAUD Marco</t>
        </is>
      </c>
      <c r="R1069" s="196" t="inlineStr">
        <is>
          <t>KOVAC Nicola</t>
        </is>
      </c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inlineStr">
        <is>
          <t>KRUGER Lea [AA]</t>
        </is>
      </c>
      <c r="N1072" s="196" t="inlineStr">
        <is>
          <t>MODIC Valerie [A]</t>
        </is>
      </c>
      <c r="O1072" s="196" t="inlineStr">
        <is>
          <t>LEFEVRE Vid [A]</t>
        </is>
      </c>
      <c r="P1072" s="196" t="inlineStr">
        <is>
          <t>MODIC Marco</t>
        </is>
      </c>
      <c r="Q1072" s="196" t="inlineStr">
        <is>
          <t>IGLESIAS Irene</t>
        </is>
      </c>
      <c r="R1072" s="196" t="inlineStr">
        <is>
          <t>FUENTES Matteo</t>
        </is>
      </c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inlineStr">
        <is>
          <t>VIDMAR Pablo [Aest]</t>
        </is>
      </c>
      <c r="N1075" s="196" t="inlineStr">
        <is>
          <t>FUENTES Marta [Aest]</t>
        </is>
      </c>
      <c r="O1075" s="196" t="inlineStr">
        <is>
          <t>BIANCHELLI Martina [AAt]</t>
        </is>
      </c>
      <c r="P1075" s="196" t="inlineStr">
        <is>
          <t>CAMPOS Jonas</t>
        </is>
      </c>
      <c r="Q1075" s="196" t="inlineStr">
        <is>
          <t>CASTILLO Alenka</t>
        </is>
      </c>
      <c r="R1075" s="196" t="inlineStr">
        <is>
          <t>FERRANTE Andrea</t>
        </is>
      </c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inlineStr">
        <is>
          <t>OBLAK Lucia [AAt]</t>
        </is>
      </c>
      <c r="N1078" s="196" t="inlineStr">
        <is>
          <t>GALLINI Valerie [AA]</t>
        </is>
      </c>
      <c r="O1078" s="196" t="inlineStr">
        <is>
          <t>ENGEL Marco [AA]</t>
        </is>
      </c>
      <c r="P1078" s="196" t="inlineStr">
        <is>
          <t>LEROUX Beatrice</t>
        </is>
      </c>
      <c r="Q1078" s="196" t="inlineStr">
        <is>
          <t>WEBER Lea</t>
        </is>
      </c>
      <c r="R1078" s="196" t="inlineStr">
        <is>
          <t>SANTORI Eva</t>
        </is>
      </c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inlineStr">
        <is>
          <t>NADAUD Lucia [AA]</t>
        </is>
      </c>
      <c r="N1081" s="196" t="inlineStr">
        <is>
          <t>KRUGER Gaelle [AAt]</t>
        </is>
      </c>
      <c r="O1081" s="196" t="inlineStr">
        <is>
          <t>VALLET Tommaso [AAt]</t>
        </is>
      </c>
      <c r="P1081" s="196" t="inlineStr">
        <is>
          <t>KRUGER Mathilde</t>
        </is>
      </c>
      <c r="Q1081" s="196" t="inlineStr">
        <is>
          <t>CARON Anja</t>
        </is>
      </c>
      <c r="R1081" s="196" t="inlineStr">
        <is>
          <t>KOVAC Martina</t>
        </is>
      </c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inlineStr">
        <is>
          <t>CONTARDI Giulia [AAt]</t>
        </is>
      </c>
      <c r="N1084" s="196" t="inlineStr">
        <is>
          <t>WEBER Martina [A]</t>
        </is>
      </c>
      <c r="O1084" s="196" t="inlineStr">
        <is>
          <t>PRADO Luca [AA]</t>
        </is>
      </c>
      <c r="P1084" s="196" t="inlineStr">
        <is>
          <t>SANTORI Jonas</t>
        </is>
      </c>
      <c r="Q1084" s="196" t="inlineStr">
        <is>
          <t>SANTORI Marco</t>
        </is>
      </c>
      <c r="R1084" s="196" t="inlineStr">
        <is>
          <t>NADAUD Nicola</t>
        </is>
      </c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inlineStr">
        <is>
          <t>VALLET Gaelle [Aest]</t>
        </is>
      </c>
      <c r="N1087" s="196" t="inlineStr">
        <is>
          <t>VIDMAR Hugo [AAt]</t>
        </is>
      </c>
      <c r="O1087" s="196" t="inlineStr">
        <is>
          <t>NAVARRO Martina [A]</t>
        </is>
      </c>
      <c r="P1087" s="196" t="inlineStr">
        <is>
          <t>ROTH Katrin</t>
        </is>
      </c>
      <c r="Q1087" s="196" t="inlineStr">
        <is>
          <t>NADAUD Jonas</t>
        </is>
      </c>
      <c r="R1087" s="196" t="inlineStr">
        <is>
          <t>NOVAK Filippo</t>
        </is>
      </c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inlineStr">
        <is>
          <t>SANTORI Eva [AAt]</t>
        </is>
      </c>
      <c r="N1090" s="196" t="inlineStr">
        <is>
          <t>AUBERT Diego [A]</t>
        </is>
      </c>
      <c r="O1090" s="196" t="inlineStr">
        <is>
          <t>SANTORI Sofia [AA]</t>
        </is>
      </c>
      <c r="P1090" s="196" t="inlineStr">
        <is>
          <t>GAUTHIER Luca</t>
        </is>
      </c>
      <c r="Q1090" s="196" t="inlineStr">
        <is>
          <t>BLANCO Diego</t>
        </is>
      </c>
      <c r="R1090" s="196" t="inlineStr">
        <is>
          <t>BLANCO Ottavia</t>
        </is>
      </c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inlineStr">
        <is>
          <t>LEROUX Hugo [Aest]</t>
        </is>
      </c>
      <c r="N1093" s="196" t="inlineStr">
        <is>
          <t>KRAJNC Nicola [A]</t>
        </is>
      </c>
      <c r="O1093" s="196" t="inlineStr">
        <is>
          <t>LEROUX Mathilde [AA]</t>
        </is>
      </c>
      <c r="P1093" s="196" t="inlineStr">
        <is>
          <t>VIDMAR Matteo</t>
        </is>
      </c>
      <c r="Q1093" s="196" t="inlineStr">
        <is>
          <t>SANTORI Jonas</t>
        </is>
      </c>
      <c r="R1093" s="196" t="inlineStr">
        <is>
          <t>CARON Diego</t>
        </is>
      </c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inlineStr">
        <is>
          <t>MARCHIONI Filippo [AAt]</t>
        </is>
      </c>
      <c r="N1098" s="196" t="inlineStr">
        <is>
          <t>LANGER Valerie [Aest]</t>
        </is>
      </c>
      <c r="O1098" s="196" t="inlineStr">
        <is>
          <t>LEROUX Elena [AA]</t>
        </is>
      </c>
      <c r="P1098" s="196" t="inlineStr">
        <is>
          <t>OBLAK Chiara</t>
        </is>
      </c>
      <c r="Q1098" s="196" t="inlineStr">
        <is>
          <t>SCHAFER Ottavia</t>
        </is>
      </c>
      <c r="R1098" s="196" t="inlineStr">
        <is>
          <t>BLANCO Eva</t>
        </is>
      </c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inlineStr">
        <is>
          <t>WEBER Nicola [AAt]</t>
        </is>
      </c>
      <c r="N1101" s="196" t="inlineStr">
        <is>
          <t>HOFFMANN Ottavia [AA]</t>
        </is>
      </c>
      <c r="O1101" s="196" t="inlineStr">
        <is>
          <t>CONTARDI Mathilde [A]</t>
        </is>
      </c>
      <c r="P1101" s="196" t="inlineStr">
        <is>
          <t>BIANCHELLI Katrin</t>
        </is>
      </c>
      <c r="Q1101" s="196" t="inlineStr">
        <is>
          <t>VOGEL Lea</t>
        </is>
      </c>
      <c r="R1101" s="196" t="inlineStr">
        <is>
          <t>CAMPOS Anja</t>
        </is>
      </c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inlineStr">
        <is>
          <t>CAMPOS Vid [AA]</t>
        </is>
      </c>
      <c r="N1104" s="196" t="inlineStr">
        <is>
          <t>ZUPAN Mathilde [A]</t>
        </is>
      </c>
      <c r="O1104" s="196" t="inlineStr">
        <is>
          <t>PRADO Luca [AA]</t>
        </is>
      </c>
      <c r="P1104" s="196" t="inlineStr">
        <is>
          <t>IGLESIAS Hugo</t>
        </is>
      </c>
      <c r="Q1104" s="196" t="inlineStr">
        <is>
          <t>ROMERO Elena</t>
        </is>
      </c>
      <c r="R1104" s="196" t="inlineStr">
        <is>
          <t>NAVARRO Giulia</t>
        </is>
      </c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inlineStr">
        <is>
          <t>ENGEL Gaelle [AAt]</t>
        </is>
      </c>
      <c r="N1107" s="196" t="inlineStr">
        <is>
          <t>KOVAC Diego [AAt]</t>
        </is>
      </c>
      <c r="O1107" s="196" t="inlineStr">
        <is>
          <t>SOLER Davide [A]</t>
        </is>
      </c>
      <c r="P1107" s="196" t="inlineStr">
        <is>
          <t>PRADO Elena</t>
        </is>
      </c>
      <c r="Q1107" s="196" t="inlineStr">
        <is>
          <t>KRUGER Katrin</t>
        </is>
      </c>
      <c r="R1107" s="196" t="inlineStr">
        <is>
          <t>ROMERO Alenka</t>
        </is>
      </c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inlineStr">
        <is>
          <t>FOURNIER Tommaso [AA]</t>
        </is>
      </c>
      <c r="N1110" s="196" t="inlineStr">
        <is>
          <t>VOGEL Beatrice [AAt]</t>
        </is>
      </c>
      <c r="O1110" s="196" t="inlineStr">
        <is>
          <t>NADAUD Elena [AA]</t>
        </is>
      </c>
      <c r="P1110" s="196" t="inlineStr">
        <is>
          <t>ROTH Hugo</t>
        </is>
      </c>
      <c r="Q1110" s="196" t="inlineStr">
        <is>
          <t>ROTH Paolo</t>
        </is>
      </c>
      <c r="R1110" s="196" t="inlineStr">
        <is>
          <t>ZUPAN Greta</t>
        </is>
      </c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inlineStr">
        <is>
          <t>LEFEVRE Mathilde [A]</t>
        </is>
      </c>
      <c r="N1113" s="196" t="inlineStr">
        <is>
          <t>CASTILLO Jonas [AA]</t>
        </is>
      </c>
      <c r="O1113" s="196" t="inlineStr">
        <is>
          <t>MARCHIONI Katrin [AA]</t>
        </is>
      </c>
      <c r="P1113" s="196" t="inlineStr">
        <is>
          <t>IGLESIAS Giulia</t>
        </is>
      </c>
      <c r="Q1113" s="196" t="inlineStr">
        <is>
          <t>NADAUD Mathilde</t>
        </is>
      </c>
      <c r="R1113" s="196" t="inlineStr">
        <is>
          <t>KOVAC Nicola</t>
        </is>
      </c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inlineStr">
        <is>
          <t>BIANCHELLI Filippo [AAt]</t>
        </is>
      </c>
      <c r="N1116" s="196" t="inlineStr">
        <is>
          <t>PRADO Marta [AAt]</t>
        </is>
      </c>
      <c r="O1116" s="196" t="inlineStr">
        <is>
          <t>PRADO Marco [AAt]</t>
        </is>
      </c>
      <c r="P1116" s="196" t="inlineStr">
        <is>
          <t>ORTEGA Ilaria</t>
        </is>
      </c>
      <c r="Q1116" s="196" t="inlineStr">
        <is>
          <t>LEFEVRE Ilaria</t>
        </is>
      </c>
      <c r="R1116" s="196" t="inlineStr">
        <is>
          <t>VALLET Miha</t>
        </is>
      </c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inlineStr">
        <is>
          <t>ENGEL Luca [AA]</t>
        </is>
      </c>
      <c r="N1119" s="196" t="inlineStr">
        <is>
          <t>ROMERO Diego [AA]</t>
        </is>
      </c>
      <c r="O1119" s="196" t="inlineStr">
        <is>
          <t>FUENTES Marta [Aest]</t>
        </is>
      </c>
      <c r="P1119" s="196" t="inlineStr">
        <is>
          <t>PRADO Hugo</t>
        </is>
      </c>
      <c r="Q1119" s="196" t="inlineStr">
        <is>
          <t>MORETTO Anja</t>
        </is>
      </c>
      <c r="R1119" s="196" t="inlineStr">
        <is>
          <t>SOLER Gaelle</t>
        </is>
      </c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inlineStr">
        <is>
          <t>LANGER Marta [A]</t>
        </is>
      </c>
      <c r="N1122" s="196" t="inlineStr">
        <is>
          <t>KELLER Valerie [AAt]</t>
        </is>
      </c>
      <c r="O1122" s="196" t="inlineStr">
        <is>
          <t>ROMERO Matteo [Aest]</t>
        </is>
      </c>
      <c r="P1122" s="196" t="inlineStr">
        <is>
          <t>ORTEGA Ilaria</t>
        </is>
      </c>
      <c r="Q1122" s="196" t="inlineStr">
        <is>
          <t>ROTH Paula</t>
        </is>
      </c>
      <c r="R1122" s="196" t="inlineStr">
        <is>
          <t>VOGEL Sofia</t>
        </is>
      </c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inlineStr">
        <is>
          <t>MARCHIONI Matteo [AAt]</t>
        </is>
      </c>
      <c r="N1125" s="196" t="inlineStr">
        <is>
          <t>MODIC Katrin [A]</t>
        </is>
      </c>
      <c r="O1125" s="196" t="inlineStr">
        <is>
          <t>ROSSINI Irene [AA]</t>
        </is>
      </c>
      <c r="P1125" s="196" t="inlineStr">
        <is>
          <t>ENGEL Ottavia</t>
        </is>
      </c>
      <c r="Q1125" s="196" t="inlineStr">
        <is>
          <t>ORTEGA Filippo</t>
        </is>
      </c>
      <c r="R1125" s="196" t="inlineStr">
        <is>
          <t>VOGEL Davide</t>
        </is>
      </c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inlineStr">
        <is>
          <t>NOVAK Felix [A]</t>
        </is>
      </c>
      <c r="N1130" s="196" t="inlineStr">
        <is>
          <t>OBLAK Stefano [AA]</t>
        </is>
      </c>
      <c r="O1130" s="196" t="inlineStr">
        <is>
          <t>KELLER Felix [AAt]</t>
        </is>
      </c>
      <c r="P1130" s="196" t="inlineStr">
        <is>
          <t>GAUTHIER Diego</t>
        </is>
      </c>
      <c r="Q1130" s="196" t="inlineStr">
        <is>
          <t>OBLAK Hugo</t>
        </is>
      </c>
      <c r="R1130" s="196" t="inlineStr">
        <is>
          <t>WEBER Andrea</t>
        </is>
      </c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inlineStr">
        <is>
          <t>KRAJNC Beatrice [Aest]</t>
        </is>
      </c>
      <c r="N1133" s="196" t="inlineStr">
        <is>
          <t>ORTEGA Katrin [Aest]</t>
        </is>
      </c>
      <c r="O1133" s="196" t="inlineStr">
        <is>
          <t>ROSSINI Paula [AAt]</t>
        </is>
      </c>
      <c r="P1133" s="196" t="inlineStr">
        <is>
          <t>FUENTES Chiara</t>
        </is>
      </c>
      <c r="Q1133" s="196" t="inlineStr">
        <is>
          <t>CARON Diego</t>
        </is>
      </c>
      <c r="R1133" s="196" t="inlineStr">
        <is>
          <t>ROTH Paula</t>
        </is>
      </c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inlineStr">
        <is>
          <t>ENGEL Stefano [AAt]</t>
        </is>
      </c>
      <c r="N1136" s="196" t="inlineStr">
        <is>
          <t>SANTORI Sofia [AA]</t>
        </is>
      </c>
      <c r="O1136" s="196" t="inlineStr">
        <is>
          <t>ROSSINI Alenka [AAt]</t>
        </is>
      </c>
      <c r="P1136" s="196" t="inlineStr">
        <is>
          <t>ZUPAN Alenka</t>
        </is>
      </c>
      <c r="Q1136" s="196" t="inlineStr">
        <is>
          <t>BLANCHET Alenka</t>
        </is>
      </c>
      <c r="R1136" s="196" t="inlineStr">
        <is>
          <t>CARON Anja</t>
        </is>
      </c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inlineStr">
        <is>
          <t>SANTORI Nicola [AA]</t>
        </is>
      </c>
      <c r="N1139" s="196" t="inlineStr">
        <is>
          <t>KRUGER Gaelle [AAt]</t>
        </is>
      </c>
      <c r="O1139" s="196" t="inlineStr">
        <is>
          <t>CAMPOS Miha [Aest]</t>
        </is>
      </c>
      <c r="P1139" s="196" t="inlineStr">
        <is>
          <t>SCHAFER Gaelle</t>
        </is>
      </c>
      <c r="Q1139" s="196" t="inlineStr">
        <is>
          <t>PRADO Elena</t>
        </is>
      </c>
      <c r="R1139" s="196" t="inlineStr">
        <is>
          <t>NADAUD Paula</t>
        </is>
      </c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inlineStr">
        <is>
          <t>SANTORI Gaelle [AA]</t>
        </is>
      </c>
      <c r="N1142" s="196" t="inlineStr">
        <is>
          <t>KOVAC Valerie [AAt]</t>
        </is>
      </c>
      <c r="O1142" s="196" t="inlineStr">
        <is>
          <t>NADAUD Elena [AA]</t>
        </is>
      </c>
      <c r="P1142" s="196" t="inlineStr">
        <is>
          <t>LEFEVRE Alenka</t>
        </is>
      </c>
      <c r="Q1142" s="196" t="inlineStr">
        <is>
          <t>ORTEGA Felix</t>
        </is>
      </c>
      <c r="R1142" s="196" t="inlineStr">
        <is>
          <t>PETERLIN Martina</t>
        </is>
      </c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inlineStr">
        <is>
          <t>VIDMAR Noemi [AA]</t>
        </is>
      </c>
      <c r="N1145" s="196" t="inlineStr">
        <is>
          <t>ROSSINI Irene [AA]</t>
        </is>
      </c>
      <c r="O1145" s="196" t="inlineStr">
        <is>
          <t>OBLAK Lucia [AAt]</t>
        </is>
      </c>
      <c r="P1145" s="196" t="inlineStr">
        <is>
          <t>GALLINI Irene</t>
        </is>
      </c>
      <c r="Q1145" s="196" t="inlineStr">
        <is>
          <t>PETERLIN Martina</t>
        </is>
      </c>
      <c r="R1145" s="196" t="inlineStr">
        <is>
          <t>ORTEGA Alenka</t>
        </is>
      </c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inlineStr">
        <is>
          <t>NAVARRO Gaelle [A]</t>
        </is>
      </c>
      <c r="N1148" s="196" t="inlineStr">
        <is>
          <t>KRUGER Lea [AA]</t>
        </is>
      </c>
      <c r="O1148" s="196" t="inlineStr">
        <is>
          <t>HOFFMANN Marco [Aest]</t>
        </is>
      </c>
      <c r="P1148" s="196" t="inlineStr">
        <is>
          <t>SANTORI Eva</t>
        </is>
      </c>
      <c r="Q1148" s="196" t="inlineStr">
        <is>
          <t>VIDMAR Diego</t>
        </is>
      </c>
      <c r="R1148" s="196" t="inlineStr">
        <is>
          <t>SEVER Ottavia</t>
        </is>
      </c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inlineStr">
        <is>
          <t>MODIC Chiara [AA]</t>
        </is>
      </c>
      <c r="N1151" s="196" t="inlineStr">
        <is>
          <t>CONTARDI Beatrice [AAt]</t>
        </is>
      </c>
      <c r="O1151" s="196" t="inlineStr">
        <is>
          <t>FOURNIER Ottavia [A]</t>
        </is>
      </c>
      <c r="P1151" s="196" t="inlineStr">
        <is>
          <t>FOURNIER Stefano</t>
        </is>
      </c>
      <c r="Q1151" s="196" t="inlineStr">
        <is>
          <t>CAMPOS Jonas</t>
        </is>
      </c>
      <c r="R1151" s="196" t="inlineStr">
        <is>
          <t>BIANCHELLI Ottavia</t>
        </is>
      </c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inlineStr">
        <is>
          <t>KRAJNC Elena [AA]</t>
        </is>
      </c>
      <c r="N1154" s="196" t="inlineStr">
        <is>
          <t>PRADO Luca [AA]</t>
        </is>
      </c>
      <c r="O1154" s="196" t="inlineStr">
        <is>
          <t>IGLESIAS Lukas [Aest]</t>
        </is>
      </c>
      <c r="P1154" s="196" t="inlineStr">
        <is>
          <t>BIANCHELLI Valerie</t>
        </is>
      </c>
      <c r="Q1154" s="196" t="inlineStr">
        <is>
          <t>FOURNIER Lucia</t>
        </is>
      </c>
      <c r="R1154" s="196" t="inlineStr">
        <is>
          <t>KRAJNC Greta</t>
        </is>
      </c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inlineStr">
        <is>
          <t>ROSSINI Irene [AA]</t>
        </is>
      </c>
      <c r="N1157" s="196" t="inlineStr">
        <is>
          <t>LEROUX Elena [AA]</t>
        </is>
      </c>
      <c r="O1157" s="196" t="inlineStr">
        <is>
          <t>HOFFMANN Valerie [A]</t>
        </is>
      </c>
      <c r="P1157" s="196" t="inlineStr">
        <is>
          <t>BLANCO Giulia</t>
        </is>
      </c>
      <c r="Q1157" s="196" t="inlineStr">
        <is>
          <t>ZUPAN Elena</t>
        </is>
      </c>
      <c r="R1157" s="196" t="inlineStr">
        <is>
          <t>SEVER Greta</t>
        </is>
      </c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inlineStr">
        <is>
          <t>CAMPOS Miha [Aest]</t>
        </is>
      </c>
      <c r="N1162" s="196" t="inlineStr">
        <is>
          <t>MARCHIONI Filippo [AAt]</t>
        </is>
      </c>
      <c r="O1162" s="196" t="inlineStr">
        <is>
          <t>HOFFMANN Anja [A]</t>
        </is>
      </c>
      <c r="P1162" s="196" t="inlineStr">
        <is>
          <t>BLANCHET Paula</t>
        </is>
      </c>
      <c r="Q1162" s="196" t="inlineStr">
        <is>
          <t>KRUGER Marco</t>
        </is>
      </c>
      <c r="R1162" s="196" t="inlineStr">
        <is>
          <t>BLANCHET Jonas</t>
        </is>
      </c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inlineStr">
        <is>
          <t>AUBERT Diego [A]</t>
        </is>
      </c>
      <c r="N1165" s="196" t="inlineStr">
        <is>
          <t>WEBER Marco [AAt]</t>
        </is>
      </c>
      <c r="O1165" s="196" t="inlineStr">
        <is>
          <t>WEBER Filippo [AA]</t>
        </is>
      </c>
      <c r="P1165" s="196" t="inlineStr">
        <is>
          <t>KELLER Ottavia</t>
        </is>
      </c>
      <c r="Q1165" s="196" t="inlineStr">
        <is>
          <t>FOURNIER Lucia</t>
        </is>
      </c>
      <c r="R1165" s="196" t="inlineStr">
        <is>
          <t>FUENTES Lukas</t>
        </is>
      </c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inlineStr">
        <is>
          <t>CAMPOS Felix [Aest]</t>
        </is>
      </c>
      <c r="N1168" s="196" t="inlineStr">
        <is>
          <t>NADAUD Elena [AA]</t>
        </is>
      </c>
      <c r="O1168" s="196" t="inlineStr">
        <is>
          <t>BELLANDI Paula [A]</t>
        </is>
      </c>
      <c r="P1168" s="196" t="inlineStr">
        <is>
          <t>AUBERT Paolo</t>
        </is>
      </c>
      <c r="Q1168" s="196" t="inlineStr">
        <is>
          <t>FOURNIER Lea</t>
        </is>
      </c>
      <c r="R1168" s="196" t="inlineStr">
        <is>
          <t>WEBER Filippo</t>
        </is>
      </c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inlineStr">
        <is>
          <t>FOURNIER Tommaso [AA]</t>
        </is>
      </c>
      <c r="N1171" s="196" t="inlineStr">
        <is>
          <t>BLANCO Lucia [Aest]</t>
        </is>
      </c>
      <c r="O1171" s="196" t="inlineStr">
        <is>
          <t>OBLAK Lucia [AAt]</t>
        </is>
      </c>
      <c r="P1171" s="196" t="inlineStr">
        <is>
          <t>OBLAK Anja</t>
        </is>
      </c>
      <c r="Q1171" s="196" t="inlineStr">
        <is>
          <t>FERRANTE Chiara</t>
        </is>
      </c>
      <c r="R1171" s="196" t="inlineStr">
        <is>
          <t>SANTORI Marco</t>
        </is>
      </c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inlineStr">
        <is>
          <t>FOURNIER Lucia [AA]</t>
        </is>
      </c>
      <c r="N1174" s="196" t="inlineStr">
        <is>
          <t>VIDMAR Greta [Aest]</t>
        </is>
      </c>
      <c r="O1174" s="196" t="inlineStr">
        <is>
          <t>ROSSINI Irene [AA]</t>
        </is>
      </c>
      <c r="P1174" s="196" t="inlineStr">
        <is>
          <t>FOURNIER Paula</t>
        </is>
      </c>
      <c r="Q1174" s="196" t="inlineStr">
        <is>
          <t>ZUPAN Miha</t>
        </is>
      </c>
      <c r="R1174" s="196" t="inlineStr">
        <is>
          <t>SOLER Irene</t>
        </is>
      </c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inlineStr">
        <is>
          <t>KRAJNC Nicola [A]</t>
        </is>
      </c>
      <c r="N1177" s="196" t="inlineStr">
        <is>
          <t>FOURNIER Ottavia [A]</t>
        </is>
      </c>
      <c r="O1177" s="196" t="inlineStr">
        <is>
          <t>LANGER Sofia [A]</t>
        </is>
      </c>
      <c r="P1177" s="196" t="inlineStr">
        <is>
          <t>KOVAC Chiara</t>
        </is>
      </c>
      <c r="Q1177" s="196" t="inlineStr">
        <is>
          <t>FERRANTE Nicola</t>
        </is>
      </c>
      <c r="R1177" s="196" t="inlineStr">
        <is>
          <t>SOLER Pablo</t>
        </is>
      </c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inlineStr">
        <is>
          <t>CARON Elena [A]</t>
        </is>
      </c>
      <c r="N1180" s="196" t="inlineStr">
        <is>
          <t>LEFEVRE Mathilde [A]</t>
        </is>
      </c>
      <c r="O1180" s="196" t="inlineStr">
        <is>
          <t>MODIC Lukas [AAt]</t>
        </is>
      </c>
      <c r="P1180" s="196" t="inlineStr">
        <is>
          <t>SCHAFER Greta</t>
        </is>
      </c>
      <c r="Q1180" s="196" t="inlineStr">
        <is>
          <t>CAMPOS Martina</t>
        </is>
      </c>
      <c r="R1180" s="196" t="inlineStr">
        <is>
          <t>ROSSINI Stefano</t>
        </is>
      </c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inlineStr">
        <is>
          <t>NOVAK Lea [AA]</t>
        </is>
      </c>
      <c r="N1183" s="196" t="inlineStr">
        <is>
          <t>FOURNIER Matteo [AAt]</t>
        </is>
      </c>
      <c r="O1183" s="196" t="inlineStr">
        <is>
          <t>MARCHIONI Marco [Aest]</t>
        </is>
      </c>
      <c r="P1183" s="196" t="inlineStr">
        <is>
          <t>CASTILLO Elena</t>
        </is>
      </c>
      <c r="Q1183" s="196" t="inlineStr">
        <is>
          <t>KELLER Pablo</t>
        </is>
      </c>
      <c r="R1183" s="196" t="inlineStr">
        <is>
          <t>NOVAK Nicola</t>
        </is>
      </c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inlineStr">
        <is>
          <t>HORVAT Davide [Aest]</t>
        </is>
      </c>
      <c r="N1186" s="196" t="inlineStr">
        <is>
          <t>VIDMAR Stefano [AAt]</t>
        </is>
      </c>
      <c r="O1186" s="196" t="inlineStr">
        <is>
          <t>HOFFMANN Mathilde [AAt]</t>
        </is>
      </c>
      <c r="P1186" s="196" t="inlineStr">
        <is>
          <t>ZUPAN Greta</t>
        </is>
      </c>
      <c r="Q1186" s="196" t="inlineStr">
        <is>
          <t>ZUPAN Alenka</t>
        </is>
      </c>
      <c r="R1186" s="196" t="inlineStr">
        <is>
          <t>SCHAFER Lucia</t>
        </is>
      </c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inlineStr">
        <is>
          <t>IGLESIAS Chiara [AAt]</t>
        </is>
      </c>
      <c r="N1189" s="196" t="inlineStr">
        <is>
          <t>GAUTHIER Noemi [AA]</t>
        </is>
      </c>
      <c r="O1189" s="196" t="inlineStr">
        <is>
          <t>KRAJNC Paolo [Aest]</t>
        </is>
      </c>
      <c r="P1189" s="196" t="inlineStr">
        <is>
          <t>FUENTES Chiara</t>
        </is>
      </c>
      <c r="Q1189" s="196" t="inlineStr">
        <is>
          <t>ENGEL Nicola</t>
        </is>
      </c>
      <c r="R1189" s="196" t="inlineStr">
        <is>
          <t>ZUPAN Lucia</t>
        </is>
      </c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inlineStr">
        <is>
          <t>LEFEVRE Sofia [AAt]</t>
        </is>
      </c>
      <c r="N1194" s="196" t="inlineStr">
        <is>
          <t>CAMPOS Mathilde [Aest]</t>
        </is>
      </c>
      <c r="O1194" s="196" t="inlineStr">
        <is>
          <t>ROSSINI Chiara [AAt]</t>
        </is>
      </c>
      <c r="P1194" s="196" t="inlineStr">
        <is>
          <t>GAUTHIER Filippo</t>
        </is>
      </c>
      <c r="Q1194" s="196" t="inlineStr">
        <is>
          <t>MODIC Jonas</t>
        </is>
      </c>
      <c r="R1194" s="196" t="inlineStr">
        <is>
          <t>PELLEGRI Eva</t>
        </is>
      </c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inlineStr">
        <is>
          <t>LANGER Hugo [AA]</t>
        </is>
      </c>
      <c r="N1197" s="196" t="inlineStr">
        <is>
          <t>KRUGER Greta [A]</t>
        </is>
      </c>
      <c r="O1197" s="196" t="inlineStr">
        <is>
          <t>ZUPAN Felix [AAt]</t>
        </is>
      </c>
      <c r="P1197" s="196" t="inlineStr">
        <is>
          <t>BIANCHELLI Ottavia</t>
        </is>
      </c>
      <c r="Q1197" s="196" t="inlineStr">
        <is>
          <t>CONTARDI Greta</t>
        </is>
      </c>
      <c r="R1197" s="196" t="inlineStr">
        <is>
          <t>FOURNIER Stefano</t>
        </is>
      </c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inlineStr">
        <is>
          <t>KELLER Chiara [AAt]</t>
        </is>
      </c>
      <c r="N1200" s="196" t="inlineStr">
        <is>
          <t>MORETTO Anja [Aest]</t>
        </is>
      </c>
      <c r="O1200" s="196" t="inlineStr">
        <is>
          <t>ENGEL Valerie [Aest]</t>
        </is>
      </c>
      <c r="P1200" s="196" t="inlineStr">
        <is>
          <t>NADAUD Ilaria</t>
        </is>
      </c>
      <c r="Q1200" s="196" t="inlineStr">
        <is>
          <t>KRUGER Marco</t>
        </is>
      </c>
      <c r="R1200" s="196" t="inlineStr">
        <is>
          <t>KRAJNC Stefano</t>
        </is>
      </c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inlineStr">
        <is>
          <t>PETERLIN Filippo [AAt]</t>
        </is>
      </c>
      <c r="N1203" s="196" t="inlineStr">
        <is>
          <t>CONTARDI Marta [Aest]</t>
        </is>
      </c>
      <c r="O1203" s="196" t="inlineStr">
        <is>
          <t>CARON Davide [Aest]</t>
        </is>
      </c>
      <c r="P1203" s="196" t="inlineStr">
        <is>
          <t>WEBER Matteo</t>
        </is>
      </c>
      <c r="Q1203" s="196" t="inlineStr">
        <is>
          <t>LEFEVRE Mathilde</t>
        </is>
      </c>
      <c r="R1203" s="196" t="inlineStr">
        <is>
          <t>GALLINI Irene</t>
        </is>
      </c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inlineStr">
        <is>
          <t>PETERLIN Tommaso [AAt]</t>
        </is>
      </c>
      <c r="N1206" s="196" t="inlineStr">
        <is>
          <t>ROTH Sofia [A]</t>
        </is>
      </c>
      <c r="O1206" s="196" t="inlineStr">
        <is>
          <t>MOREAU Andrea [AAt]</t>
        </is>
      </c>
      <c r="P1206" s="196" t="inlineStr">
        <is>
          <t>PELLEGRI Lea</t>
        </is>
      </c>
      <c r="Q1206" s="196" t="inlineStr">
        <is>
          <t>SANTORI Gaelle</t>
        </is>
      </c>
      <c r="R1206" s="196" t="inlineStr">
        <is>
          <t>OBLAK Hugo</t>
        </is>
      </c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inlineStr">
        <is>
          <t>HOFFMANN Valerie [A]</t>
        </is>
      </c>
      <c r="N1209" s="196" t="inlineStr">
        <is>
          <t>HOFFMANN Marco [Aest]</t>
        </is>
      </c>
      <c r="O1209" s="196" t="inlineStr">
        <is>
          <t>SEVER Diego [A]</t>
        </is>
      </c>
      <c r="P1209" s="196" t="inlineStr">
        <is>
          <t>GALLINI Irene</t>
        </is>
      </c>
      <c r="Q1209" s="196" t="inlineStr">
        <is>
          <t>LEROUX Paolo</t>
        </is>
      </c>
      <c r="R1209" s="196" t="inlineStr">
        <is>
          <t>HOFFMANN Tommaso</t>
        </is>
      </c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inlineStr">
        <is>
          <t>KELLER Marco [Aest]</t>
        </is>
      </c>
      <c r="N1212" s="196" t="inlineStr">
        <is>
          <t>VOGEL Andrea [A]</t>
        </is>
      </c>
      <c r="O1212" s="196" t="inlineStr">
        <is>
          <t>OBLAK Lucia [AAt]</t>
        </is>
      </c>
      <c r="P1212" s="196" t="inlineStr">
        <is>
          <t>ORTEGA Stefano</t>
        </is>
      </c>
      <c r="Q1212" s="196" t="inlineStr">
        <is>
          <t>LANGER Valerie</t>
        </is>
      </c>
      <c r="R1212" s="196" t="inlineStr">
        <is>
          <t>MOREAU Vid</t>
        </is>
      </c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inlineStr">
        <is>
          <t>KRAJNC Elena [AA]</t>
        </is>
      </c>
      <c r="N1215" s="196" t="inlineStr">
        <is>
          <t>LEFEVRE Paula [A]</t>
        </is>
      </c>
      <c r="O1215" s="196" t="inlineStr">
        <is>
          <t>HOFFMANN Marco [Aest]</t>
        </is>
      </c>
      <c r="P1215" s="196" t="inlineStr">
        <is>
          <t>ORTEGA Marta</t>
        </is>
      </c>
      <c r="Q1215" s="196" t="inlineStr">
        <is>
          <t>CAMPOS Noemi</t>
        </is>
      </c>
      <c r="R1215" s="196" t="inlineStr">
        <is>
          <t>FERRANTE Mathilde</t>
        </is>
      </c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inlineStr">
        <is>
          <t>CAMPOS Jonas [AAt]</t>
        </is>
      </c>
      <c r="N1218" s="196" t="inlineStr">
        <is>
          <t>NADAUD Mathilde [AA]</t>
        </is>
      </c>
      <c r="O1218" s="196" t="inlineStr">
        <is>
          <t>KRAJNC Elena [AA]</t>
        </is>
      </c>
      <c r="P1218" s="196" t="inlineStr">
        <is>
          <t>GAUTHIER Andrea</t>
        </is>
      </c>
      <c r="Q1218" s="196" t="inlineStr">
        <is>
          <t>BIANCHELLI Eva</t>
        </is>
      </c>
      <c r="R1218" s="196" t="inlineStr">
        <is>
          <t>VOGEL Davide</t>
        </is>
      </c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inlineStr">
        <is>
          <t>ROTH Katrin [A]</t>
        </is>
      </c>
      <c r="N1221" s="196" t="inlineStr">
        <is>
          <t>LANGER Marta [A]</t>
        </is>
      </c>
      <c r="O1221" s="196" t="inlineStr">
        <is>
          <t>IGLESIAS Lukas [Aest]</t>
        </is>
      </c>
      <c r="P1221" s="196" t="inlineStr">
        <is>
          <t>WEBER Irene</t>
        </is>
      </c>
      <c r="Q1221" s="196" t="inlineStr">
        <is>
          <t>ORTEGA Andrea</t>
        </is>
      </c>
      <c r="R1221" s="196" t="inlineStr">
        <is>
          <t>SOLER Marta</t>
        </is>
      </c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inlineStr">
        <is>
          <t>SEVER Nicola [AA]</t>
        </is>
      </c>
      <c r="N1226" s="196" t="inlineStr">
        <is>
          <t>PELLEGRI Chiara [AAt]</t>
        </is>
      </c>
      <c r="O1226" s="196" t="inlineStr">
        <is>
          <t>VOGEL Andrea [A]</t>
        </is>
      </c>
      <c r="P1226" s="196" t="inlineStr">
        <is>
          <t>CAMPOS Martina</t>
        </is>
      </c>
      <c r="Q1226" s="196" t="inlineStr">
        <is>
          <t>CASTILLO Stefano</t>
        </is>
      </c>
      <c r="R1226" s="196" t="inlineStr">
        <is>
          <t>SCHAFER Katrin</t>
        </is>
      </c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inlineStr">
        <is>
          <t>VIDMAR Matteo [AA]</t>
        </is>
      </c>
      <c r="N1229" s="196" t="inlineStr">
        <is>
          <t>BIANCHELLI Martina [AAt]</t>
        </is>
      </c>
      <c r="O1229" s="196" t="inlineStr">
        <is>
          <t>VALLET Gaelle [Aest]</t>
        </is>
      </c>
      <c r="P1229" s="196" t="inlineStr">
        <is>
          <t>BLANCHET Marta</t>
        </is>
      </c>
      <c r="Q1229" s="196" t="inlineStr">
        <is>
          <t>BLANCHET Paula</t>
        </is>
      </c>
      <c r="R1229" s="196" t="inlineStr">
        <is>
          <t>KELLER Matteo</t>
        </is>
      </c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inlineStr">
        <is>
          <t>OBLAK Beatrice [AA]</t>
        </is>
      </c>
      <c r="N1232" s="196" t="inlineStr">
        <is>
          <t>BLANCHET Valerie [A]</t>
        </is>
      </c>
      <c r="O1232" s="196" t="inlineStr">
        <is>
          <t>KRUGER Lea [AA]</t>
        </is>
      </c>
      <c r="P1232" s="196" t="inlineStr">
        <is>
          <t>ROTH Lucia</t>
        </is>
      </c>
      <c r="Q1232" s="196" t="inlineStr">
        <is>
          <t>CAMPOS Jonas</t>
        </is>
      </c>
      <c r="R1232" s="196" t="inlineStr">
        <is>
          <t>VOGEL Sofia</t>
        </is>
      </c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inlineStr">
        <is>
          <t>MODIC Lukas [AAt]</t>
        </is>
      </c>
      <c r="N1235" s="196" t="inlineStr">
        <is>
          <t>HORVAT Marco [AA]</t>
        </is>
      </c>
      <c r="O1235" s="196" t="inlineStr">
        <is>
          <t>PRADO Diego [Aest]</t>
        </is>
      </c>
      <c r="P1235" s="196" t="inlineStr">
        <is>
          <t>LEROUX Paolo</t>
        </is>
      </c>
      <c r="Q1235" s="196" t="inlineStr">
        <is>
          <t>IGLESIAS Irene</t>
        </is>
      </c>
      <c r="R1235" s="196" t="inlineStr">
        <is>
          <t>PRADO Alenka</t>
        </is>
      </c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inlineStr">
        <is>
          <t>MOREAU Andrea [AAt]</t>
        </is>
      </c>
      <c r="N1238" s="196" t="inlineStr">
        <is>
          <t>AUBERT Beatrice [AA]</t>
        </is>
      </c>
      <c r="O1238" s="196" t="inlineStr">
        <is>
          <t>NOVAK Beatrice [Aest]</t>
        </is>
      </c>
      <c r="P1238" s="196" t="inlineStr">
        <is>
          <t>BIANCHELLI Davide</t>
        </is>
      </c>
      <c r="Q1238" s="196" t="inlineStr">
        <is>
          <t>BIANCHELLI Eva</t>
        </is>
      </c>
      <c r="R1238" s="196" t="inlineStr">
        <is>
          <t>KRUGER Marco</t>
        </is>
      </c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inlineStr">
        <is>
          <t>FUENTES Eva [A]</t>
        </is>
      </c>
      <c r="N1241" s="196" t="inlineStr">
        <is>
          <t>VOGEL Beatrice [AAt]</t>
        </is>
      </c>
      <c r="O1241" s="196" t="inlineStr">
        <is>
          <t>FOURNIER Lucia [AA]</t>
        </is>
      </c>
      <c r="P1241" s="196" t="inlineStr">
        <is>
          <t>ROSSINI Stefano</t>
        </is>
      </c>
      <c r="Q1241" s="196" t="inlineStr">
        <is>
          <t>NAVARRO Lea</t>
        </is>
      </c>
      <c r="R1241" s="196" t="inlineStr">
        <is>
          <t>CARON Diego</t>
        </is>
      </c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inlineStr">
        <is>
          <t>PELLEGRI Chiara [AAt]</t>
        </is>
      </c>
      <c r="N1244" s="196" t="inlineStr">
        <is>
          <t>BIANCHELLI Paolo [AA]</t>
        </is>
      </c>
      <c r="O1244" s="196" t="inlineStr">
        <is>
          <t>LEROUX Hugo [Aest]</t>
        </is>
      </c>
      <c r="P1244" s="196" t="inlineStr">
        <is>
          <t>HOFFMANN Diego</t>
        </is>
      </c>
      <c r="Q1244" s="196" t="inlineStr">
        <is>
          <t>BLANCHET Jonas</t>
        </is>
      </c>
      <c r="R1244" s="196" t="inlineStr">
        <is>
          <t>KELLER Alenka</t>
        </is>
      </c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inlineStr">
        <is>
          <t>OBLAK Jonas [AAt]</t>
        </is>
      </c>
      <c r="N1247" s="196" t="inlineStr">
        <is>
          <t>CAMPOS Noemi [AA]</t>
        </is>
      </c>
      <c r="O1247" s="196" t="inlineStr">
        <is>
          <t>IGLESIAS Felix [AAt]</t>
        </is>
      </c>
      <c r="P1247" s="196" t="inlineStr">
        <is>
          <t>PRADO Lea</t>
        </is>
      </c>
      <c r="Q1247" s="196" t="inlineStr">
        <is>
          <t>ZUPAN Irene</t>
        </is>
      </c>
      <c r="R1247" s="196" t="inlineStr">
        <is>
          <t>BLANCHET Marta</t>
        </is>
      </c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inlineStr">
        <is>
          <t>FERRANTE Luca [AAt]</t>
        </is>
      </c>
      <c r="N1250" s="196" t="inlineStr">
        <is>
          <t>BLANCHET Anja [AA]</t>
        </is>
      </c>
      <c r="O1250" s="196" t="inlineStr">
        <is>
          <t>VOGEL Miha [AAt]</t>
        </is>
      </c>
      <c r="P1250" s="196" t="inlineStr">
        <is>
          <t>HORVAT Matteo</t>
        </is>
      </c>
      <c r="Q1250" s="196" t="inlineStr">
        <is>
          <t>KELLER Ottavia</t>
        </is>
      </c>
      <c r="R1250" s="196" t="inlineStr">
        <is>
          <t>WEBER Matteo</t>
        </is>
      </c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inlineStr">
        <is>
          <t>PRADO Marco [AAt]</t>
        </is>
      </c>
      <c r="N1253" s="196" t="inlineStr">
        <is>
          <t>CAMPOS Vid [AA]</t>
        </is>
      </c>
      <c r="O1253" s="196" t="inlineStr">
        <is>
          <t>BRANDT Felix [A]</t>
        </is>
      </c>
      <c r="P1253" s="196" t="inlineStr">
        <is>
          <t>SCHAFER Gaelle</t>
        </is>
      </c>
      <c r="Q1253" s="196" t="inlineStr">
        <is>
          <t>ENGEL Lucia</t>
        </is>
      </c>
      <c r="R1253" s="196" t="inlineStr">
        <is>
          <t>PETERLIN Martina</t>
        </is>
      </c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78">
        <f>IF('Calendario C'!A8="","",'Calendario C'!A8)</f>
        <v/>
      </c>
      <c r="B1288" s="79">
        <f>IF('Calendario C'!B8="","",'Calendario C'!B8)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00" t="inlineStr">
        <is>
          <t>ARBITRI</t>
        </is>
      </c>
      <c r="N1288" s="9" t="n"/>
      <c r="O1288" s="10" t="n"/>
      <c r="P1288" s="200" t="inlineStr">
        <is>
          <t>UFFICIALI DI CAMPO</t>
        </is>
      </c>
      <c r="Q1288" s="9" t="n"/>
      <c r="R1288" s="10" t="n"/>
    </row>
    <row r="1289" ht="14" customHeight="1">
      <c r="A1289" s="81" t="inlineStr">
        <is>
          <t>Gara N.</t>
        </is>
      </c>
      <c r="B1289" s="81" t="inlineStr">
        <is>
          <t>Squadra A</t>
        </is>
      </c>
      <c r="C1289" s="10" t="n"/>
      <c r="D1289" s="81" t="inlineStr">
        <is>
          <t>Squadra B</t>
        </is>
      </c>
      <c r="E1289" s="10" t="n"/>
      <c r="F1289" s="81" t="inlineStr">
        <is>
          <t>Giorno</t>
        </is>
      </c>
      <c r="G1289" s="81" t="inlineStr">
        <is>
          <t>Data</t>
        </is>
      </c>
      <c r="H1289" s="81" t="inlineStr">
        <is>
          <t>Ora</t>
        </is>
      </c>
      <c r="I1289" s="10" t="n"/>
      <c r="J1289" s="81" t="inlineStr">
        <is>
          <t>Risultato</t>
        </is>
      </c>
      <c r="K1289" s="9" t="n"/>
      <c r="L1289" s="10" t="n"/>
      <c r="M1289" s="201" t="inlineStr">
        <is>
          <t>1o Arbitro</t>
        </is>
      </c>
      <c r="N1289" s="201" t="inlineStr">
        <is>
          <t>2o Arbitro</t>
        </is>
      </c>
      <c r="O1289" s="201" t="inlineStr">
        <is>
          <t>3o Arbitro/Tirocinante</t>
        </is>
      </c>
      <c r="P1289" s="201" t="inlineStr">
        <is>
          <t>Referto</t>
        </is>
      </c>
      <c r="Q1289" s="201" t="inlineStr">
        <is>
          <t>Cronometro</t>
        </is>
      </c>
      <c r="R1289" s="201" t="inlineStr">
        <is>
          <t>Foglio Tiri</t>
        </is>
      </c>
    </row>
    <row r="1290" ht="22" customHeight="1">
      <c r="A1290" s="83">
        <f>IF('Calendario C'!A10="","",'Calendario C'!A10)</f>
        <v/>
      </c>
      <c r="B1290" s="61">
        <f>IF('Calendario C'!B10="","",'Calendario C'!B10)</f>
        <v/>
      </c>
      <c r="C1290" s="62">
        <f>IF('Calendario C'!C10="","",'Calendario C'!C10)</f>
        <v/>
      </c>
      <c r="D1290" s="61">
        <f>IF('Calendario C'!D10="","",'Calendario C'!D10)</f>
        <v/>
      </c>
      <c r="E1290" s="62">
        <f>IF('Calendario C'!E10="","",'Calendario C'!E10)</f>
        <v/>
      </c>
      <c r="F1290" s="63">
        <f>IF('Calendario C'!F10="","",'Calendario C'!F10)</f>
        <v/>
      </c>
      <c r="G1290" s="9" t="n"/>
      <c r="H1290" s="9" t="n"/>
      <c r="I1290" s="10" t="n"/>
      <c r="J1290" s="195">
        <f>IF('Calendario C'!J10="","",'Calendario C'!J10)</f>
        <v/>
      </c>
      <c r="K1290" s="64" t="inlineStr">
        <is>
          <t>-</t>
        </is>
      </c>
      <c r="L1290" s="195">
        <f>IF('Calendario C'!L10="","",'Calendario C'!L10)</f>
        <v/>
      </c>
      <c r="M1290" s="196" t="inlineStr">
        <is>
          <t>AUBERT Greta [Aest]</t>
        </is>
      </c>
      <c r="N1290" s="196" t="inlineStr">
        <is>
          <t>CASTILLO Irene [Aest]</t>
        </is>
      </c>
      <c r="O1290" s="196" t="inlineStr">
        <is>
          <t>AUBERT Diego [A]</t>
        </is>
      </c>
      <c r="P1290" s="196" t="inlineStr">
        <is>
          <t>SCHAFER Greta</t>
        </is>
      </c>
      <c r="Q1290" s="196" t="inlineStr">
        <is>
          <t>ROTH Paula</t>
        </is>
      </c>
      <c r="R1290" s="196" t="inlineStr">
        <is>
          <t>FERRANTE Felix</t>
        </is>
      </c>
    </row>
    <row r="1291" ht="15" customHeight="1">
      <c r="A1291" s="141" t="n"/>
      <c r="B1291" s="69">
        <f>IF('Calendario C'!B11="","",'Calendario C'!B11)</f>
        <v/>
      </c>
      <c r="C1291" s="9" t="n"/>
      <c r="D1291" s="9" t="n"/>
      <c r="E1291" s="9" t="n"/>
      <c r="F1291" s="9" t="n"/>
      <c r="G1291" s="9" t="n"/>
      <c r="H1291" s="10" t="n"/>
      <c r="I1291" s="62">
        <f>IF('Calendario C'!I11="","",'Calendario C'!I11)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81" t="inlineStr">
        <is>
          <t>Gara N.</t>
        </is>
      </c>
      <c r="B1292" s="81" t="inlineStr">
        <is>
          <t>Squadra A</t>
        </is>
      </c>
      <c r="C1292" s="10" t="n"/>
      <c r="D1292" s="81" t="inlineStr">
        <is>
          <t>Squadra B</t>
        </is>
      </c>
      <c r="E1292" s="10" t="n"/>
      <c r="F1292" s="81" t="inlineStr">
        <is>
          <t>Giorno</t>
        </is>
      </c>
      <c r="G1292" s="81" t="inlineStr">
        <is>
          <t>Data</t>
        </is>
      </c>
      <c r="H1292" s="81" t="inlineStr">
        <is>
          <t>Ora</t>
        </is>
      </c>
      <c r="I1292" s="10" t="n"/>
      <c r="J1292" s="81" t="inlineStr">
        <is>
          <t>Risultato</t>
        </is>
      </c>
      <c r="K1292" s="9" t="n"/>
      <c r="L1292" s="10" t="n"/>
      <c r="M1292" s="201" t="inlineStr">
        <is>
          <t>1o Arbitro</t>
        </is>
      </c>
      <c r="N1292" s="201" t="inlineStr">
        <is>
          <t>2o Arbitro</t>
        </is>
      </c>
      <c r="O1292" s="201" t="inlineStr">
        <is>
          <t>3o Arbitro/Tirocinante</t>
        </is>
      </c>
      <c r="P1292" s="201" t="inlineStr">
        <is>
          <t>Referto</t>
        </is>
      </c>
      <c r="Q1292" s="201" t="inlineStr">
        <is>
          <t>Cronometro</t>
        </is>
      </c>
      <c r="R1292" s="201" t="inlineStr">
        <is>
          <t>Foglio Tiri</t>
        </is>
      </c>
    </row>
    <row r="1293" ht="22" customHeight="1">
      <c r="A1293" s="83">
        <f>IF('Calendario C'!A13="","",'Calendario C'!A13)</f>
        <v/>
      </c>
      <c r="B1293" s="61">
        <f>IF('Calendario C'!B13="","",'Calendario C'!B13)</f>
        <v/>
      </c>
      <c r="C1293" s="62">
        <f>IF('Calendario C'!C13="","",'Calendario C'!C13)</f>
        <v/>
      </c>
      <c r="D1293" s="61">
        <f>IF('Calendario C'!D13="","",'Calendario C'!D13)</f>
        <v/>
      </c>
      <c r="E1293" s="62">
        <f>IF('Calendario C'!E13="","",'Calendario C'!E13)</f>
        <v/>
      </c>
      <c r="F1293" s="63">
        <f>IF('Calendario C'!F13="","",'Calendario C'!F13)</f>
        <v/>
      </c>
      <c r="G1293" s="9" t="n"/>
      <c r="H1293" s="9" t="n"/>
      <c r="I1293" s="10" t="n"/>
      <c r="J1293" s="195">
        <f>IF('Calendario C'!J13="","",'Calendario C'!J13)</f>
        <v/>
      </c>
      <c r="K1293" s="64" t="inlineStr">
        <is>
          <t>-</t>
        </is>
      </c>
      <c r="L1293" s="195">
        <f>IF('Calendario C'!L13="","",'Calendario C'!L13)</f>
        <v/>
      </c>
      <c r="M1293" s="196" t="inlineStr">
        <is>
          <t>KRUGER Nicola [Aest]</t>
        </is>
      </c>
      <c r="N1293" s="196" t="inlineStr">
        <is>
          <t>VALLET Gaelle [Aest]</t>
        </is>
      </c>
      <c r="O1293" s="196" t="inlineStr">
        <is>
          <t>CONTARDI Tommaso [AA]</t>
        </is>
      </c>
      <c r="P1293" s="196" t="inlineStr">
        <is>
          <t>BELLANDI Hugo</t>
        </is>
      </c>
      <c r="Q1293" s="196" t="inlineStr">
        <is>
          <t>LEROUX Paolo</t>
        </is>
      </c>
      <c r="R1293" s="196" t="inlineStr">
        <is>
          <t>LEROUX Lucia</t>
        </is>
      </c>
    </row>
    <row r="1294" ht="15" customHeight="1">
      <c r="A1294" s="141" t="n"/>
      <c r="B1294" s="69">
        <f>IF('Calendario C'!B14="","",'Calendario C'!B14)</f>
        <v/>
      </c>
      <c r="C1294" s="9" t="n"/>
      <c r="D1294" s="9" t="n"/>
      <c r="E1294" s="9" t="n"/>
      <c r="F1294" s="9" t="n"/>
      <c r="G1294" s="9" t="n"/>
      <c r="H1294" s="10" t="n"/>
      <c r="I1294" s="62">
        <f>IF('Calendario C'!I14="","",'Calendario C'!I14)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81" t="inlineStr">
        <is>
          <t>Gara N.</t>
        </is>
      </c>
      <c r="B1295" s="81" t="inlineStr">
        <is>
          <t>Squadra A</t>
        </is>
      </c>
      <c r="C1295" s="10" t="n"/>
      <c r="D1295" s="81" t="inlineStr">
        <is>
          <t>Squadra B</t>
        </is>
      </c>
      <c r="E1295" s="10" t="n"/>
      <c r="F1295" s="81" t="inlineStr">
        <is>
          <t>Giorno</t>
        </is>
      </c>
      <c r="G1295" s="81" t="inlineStr">
        <is>
          <t>Data</t>
        </is>
      </c>
      <c r="H1295" s="81" t="inlineStr">
        <is>
          <t>Ora</t>
        </is>
      </c>
      <c r="I1295" s="10" t="n"/>
      <c r="J1295" s="81" t="inlineStr">
        <is>
          <t>Risultato</t>
        </is>
      </c>
      <c r="K1295" s="9" t="n"/>
      <c r="L1295" s="10" t="n"/>
      <c r="M1295" s="201" t="inlineStr">
        <is>
          <t>1o Arbitro</t>
        </is>
      </c>
      <c r="N1295" s="201" t="inlineStr">
        <is>
          <t>2o Arbitro</t>
        </is>
      </c>
      <c r="O1295" s="201" t="inlineStr">
        <is>
          <t>3o Arbitro/Tirocinante</t>
        </is>
      </c>
      <c r="P1295" s="201" t="inlineStr">
        <is>
          <t>Referto</t>
        </is>
      </c>
      <c r="Q1295" s="201" t="inlineStr">
        <is>
          <t>Cronometro</t>
        </is>
      </c>
      <c r="R1295" s="201" t="inlineStr">
        <is>
          <t>Foglio Tiri</t>
        </is>
      </c>
    </row>
    <row r="1296" ht="22" customHeight="1">
      <c r="A1296" s="83">
        <f>IF('Calendario C'!A16="","",'Calendario C'!A16)</f>
        <v/>
      </c>
      <c r="B1296" s="61">
        <f>IF('Calendario C'!B16="","",'Calendario C'!B16)</f>
        <v/>
      </c>
      <c r="C1296" s="62">
        <f>IF('Calendario C'!C16="","",'Calendario C'!C16)</f>
        <v/>
      </c>
      <c r="D1296" s="61">
        <f>IF('Calendario C'!D16="","",'Calendario C'!D16)</f>
        <v/>
      </c>
      <c r="E1296" s="62">
        <f>IF('Calendario C'!E16="","",'Calendario C'!E16)</f>
        <v/>
      </c>
      <c r="F1296" s="63">
        <f>IF('Calendario C'!F16="","",'Calendario C'!F16)</f>
        <v/>
      </c>
      <c r="G1296" s="9" t="n"/>
      <c r="H1296" s="9" t="n"/>
      <c r="I1296" s="10" t="n"/>
      <c r="J1296" s="195">
        <f>IF('Calendario C'!J16="","",'Calendario C'!J16)</f>
        <v/>
      </c>
      <c r="K1296" s="64" t="inlineStr">
        <is>
          <t>-</t>
        </is>
      </c>
      <c r="L1296" s="195">
        <f>IF('Calendario C'!L16="","",'Calendario C'!L16)</f>
        <v/>
      </c>
      <c r="M1296" s="196" t="inlineStr">
        <is>
          <t>GAUTHIER Irene [Aest]</t>
        </is>
      </c>
      <c r="N1296" s="196" t="inlineStr">
        <is>
          <t>ORTEGA Diego [A]</t>
        </is>
      </c>
      <c r="O1296" s="196" t="inlineStr">
        <is>
          <t>FUENTES Noemi [Aest]</t>
        </is>
      </c>
      <c r="P1296" s="196" t="inlineStr">
        <is>
          <t>FUENTES Greta</t>
        </is>
      </c>
      <c r="Q1296" s="196" t="inlineStr">
        <is>
          <t>ROSSINI Stefano</t>
        </is>
      </c>
      <c r="R1296" s="196" t="inlineStr">
        <is>
          <t>KELLER Pablo</t>
        </is>
      </c>
    </row>
    <row r="1297" ht="15" customHeight="1">
      <c r="A1297" s="141" t="n"/>
      <c r="B1297" s="69">
        <f>IF('Calendario C'!B17="","",'Calendario C'!B17)</f>
        <v/>
      </c>
      <c r="C1297" s="9" t="n"/>
      <c r="D1297" s="9" t="n"/>
      <c r="E1297" s="9" t="n"/>
      <c r="F1297" s="9" t="n"/>
      <c r="G1297" s="9" t="n"/>
      <c r="H1297" s="10" t="n"/>
      <c r="I1297" s="62">
        <f>IF('Calendario C'!I17="","",'Calendario C'!I17)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81" t="inlineStr">
        <is>
          <t>Gara N.</t>
        </is>
      </c>
      <c r="B1298" s="81" t="inlineStr">
        <is>
          <t>Squadra A</t>
        </is>
      </c>
      <c r="C1298" s="10" t="n"/>
      <c r="D1298" s="81" t="inlineStr">
        <is>
          <t>Squadra B</t>
        </is>
      </c>
      <c r="E1298" s="10" t="n"/>
      <c r="F1298" s="81" t="inlineStr">
        <is>
          <t>Giorno</t>
        </is>
      </c>
      <c r="G1298" s="81" t="inlineStr">
        <is>
          <t>Data</t>
        </is>
      </c>
      <c r="H1298" s="81" t="inlineStr">
        <is>
          <t>Ora</t>
        </is>
      </c>
      <c r="I1298" s="10" t="n"/>
      <c r="J1298" s="81" t="inlineStr">
        <is>
          <t>Risultato</t>
        </is>
      </c>
      <c r="K1298" s="9" t="n"/>
      <c r="L1298" s="10" t="n"/>
      <c r="M1298" s="201" t="inlineStr">
        <is>
          <t>1o Arbitro</t>
        </is>
      </c>
      <c r="N1298" s="201" t="inlineStr">
        <is>
          <t>2o Arbitro</t>
        </is>
      </c>
      <c r="O1298" s="201" t="inlineStr">
        <is>
          <t>3o Arbitro/Tirocinante</t>
        </is>
      </c>
      <c r="P1298" s="201" t="inlineStr">
        <is>
          <t>Referto</t>
        </is>
      </c>
      <c r="Q1298" s="201" t="inlineStr">
        <is>
          <t>Cronometro</t>
        </is>
      </c>
      <c r="R1298" s="201" t="inlineStr">
        <is>
          <t>Foglio Tiri</t>
        </is>
      </c>
    </row>
    <row r="1299" ht="22" customHeight="1">
      <c r="A1299" s="83">
        <f>IF('Calendario C'!A19="","",'Calendario C'!A19)</f>
        <v/>
      </c>
      <c r="B1299" s="61">
        <f>IF('Calendario C'!B19="","",'Calendario C'!B19)</f>
        <v/>
      </c>
      <c r="C1299" s="62">
        <f>IF('Calendario C'!C19="","",'Calendario C'!C19)</f>
        <v/>
      </c>
      <c r="D1299" s="61">
        <f>IF('Calendario C'!D19="","",'Calendario C'!D19)</f>
        <v/>
      </c>
      <c r="E1299" s="62">
        <f>IF('Calendario C'!E19="","",'Calendario C'!E19)</f>
        <v/>
      </c>
      <c r="F1299" s="63">
        <f>IF('Calendario C'!F19="","",'Calendario C'!F19)</f>
        <v/>
      </c>
      <c r="G1299" s="9" t="n"/>
      <c r="H1299" s="9" t="n"/>
      <c r="I1299" s="10" t="n"/>
      <c r="J1299" s="195">
        <f>IF('Calendario C'!J19="","",'Calendario C'!J19)</f>
        <v/>
      </c>
      <c r="K1299" s="64" t="inlineStr">
        <is>
          <t>-</t>
        </is>
      </c>
      <c r="L1299" s="195">
        <f>IF('Calendario C'!L19="","",'Calendario C'!L19)</f>
        <v/>
      </c>
      <c r="M1299" s="196" t="inlineStr">
        <is>
          <t>PRADO Marta [AAt]</t>
        </is>
      </c>
      <c r="N1299" s="196" t="inlineStr">
        <is>
          <t>CAMPOS Ottavia [A]</t>
        </is>
      </c>
      <c r="O1299" s="196" t="inlineStr">
        <is>
          <t>ENGEL Stefano [AAt]</t>
        </is>
      </c>
      <c r="P1299" s="196" t="inlineStr">
        <is>
          <t>SEVER Greta</t>
        </is>
      </c>
      <c r="Q1299" s="196" t="inlineStr">
        <is>
          <t>KRAJNC Tommaso</t>
        </is>
      </c>
      <c r="R1299" s="196" t="inlineStr">
        <is>
          <t>ROTH Andrea</t>
        </is>
      </c>
    </row>
    <row r="1300" ht="15" customHeight="1">
      <c r="A1300" s="141" t="n"/>
      <c r="B1300" s="69">
        <f>IF('Calendario C'!B20="","",'Calendario C'!B20)</f>
        <v/>
      </c>
      <c r="C1300" s="9" t="n"/>
      <c r="D1300" s="9" t="n"/>
      <c r="E1300" s="9" t="n"/>
      <c r="F1300" s="9" t="n"/>
      <c r="G1300" s="9" t="n"/>
      <c r="H1300" s="10" t="n"/>
      <c r="I1300" s="62">
        <f>IF('Calendario C'!I20="","",'Calendario C'!I20)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1" ht="14" customHeight="1">
      <c r="A1301" s="81" t="inlineStr">
        <is>
          <t>Gara N.</t>
        </is>
      </c>
      <c r="B1301" s="81" t="inlineStr">
        <is>
          <t>Squadra A</t>
        </is>
      </c>
      <c r="C1301" s="10" t="n"/>
      <c r="D1301" s="81" t="inlineStr">
        <is>
          <t>Squadra B</t>
        </is>
      </c>
      <c r="E1301" s="10" t="n"/>
      <c r="F1301" s="81" t="inlineStr">
        <is>
          <t>Giorno</t>
        </is>
      </c>
      <c r="G1301" s="81" t="inlineStr">
        <is>
          <t>Data</t>
        </is>
      </c>
      <c r="H1301" s="81" t="inlineStr">
        <is>
          <t>Ora</t>
        </is>
      </c>
      <c r="I1301" s="10" t="n"/>
      <c r="J1301" s="81" t="inlineStr">
        <is>
          <t>Risultato</t>
        </is>
      </c>
      <c r="K1301" s="9" t="n"/>
      <c r="L1301" s="10" t="n"/>
      <c r="M1301" s="201" t="inlineStr">
        <is>
          <t>1o Arbitro</t>
        </is>
      </c>
      <c r="N1301" s="201" t="inlineStr">
        <is>
          <t>2o Arbitro</t>
        </is>
      </c>
      <c r="O1301" s="201" t="inlineStr">
        <is>
          <t>3o Arbitro/Tirocinante</t>
        </is>
      </c>
      <c r="P1301" s="201" t="inlineStr">
        <is>
          <t>Referto</t>
        </is>
      </c>
      <c r="Q1301" s="201" t="inlineStr">
        <is>
          <t>Cronometro</t>
        </is>
      </c>
      <c r="R1301" s="201" t="inlineStr">
        <is>
          <t>Foglio Tiri</t>
        </is>
      </c>
    </row>
    <row r="1302" ht="22" customHeight="1">
      <c r="A1302" s="83">
        <f>IF('Calendario C'!A22="","",'Calendario C'!A22)</f>
        <v/>
      </c>
      <c r="B1302" s="61">
        <f>IF('Calendario C'!B22="","",'Calendario C'!B22)</f>
        <v/>
      </c>
      <c r="C1302" s="62">
        <f>IF('Calendario C'!C22="","",'Calendario C'!C22)</f>
        <v/>
      </c>
      <c r="D1302" s="61">
        <f>IF('Calendario C'!D22="","",'Calendario C'!D22)</f>
        <v/>
      </c>
      <c r="E1302" s="62">
        <f>IF('Calendario C'!E22="","",'Calendario C'!E22)</f>
        <v/>
      </c>
      <c r="F1302" s="63">
        <f>IF('Calendario C'!F22="","",'Calendario C'!F22)</f>
        <v/>
      </c>
      <c r="G1302" s="9" t="n"/>
      <c r="H1302" s="9" t="n"/>
      <c r="I1302" s="10" t="n"/>
      <c r="J1302" s="195">
        <f>IF('Calendario C'!J22="","",'Calendario C'!J22)</f>
        <v/>
      </c>
      <c r="K1302" s="64" t="inlineStr">
        <is>
          <t>-</t>
        </is>
      </c>
      <c r="L1302" s="195">
        <f>IF('Calendario C'!L22="","",'Calendario C'!L22)</f>
        <v/>
      </c>
      <c r="M1302" s="196" t="inlineStr">
        <is>
          <t>NAVARRO Miha [A]</t>
        </is>
      </c>
      <c r="N1302" s="196" t="inlineStr">
        <is>
          <t>ROTH Andrea [AAt]</t>
        </is>
      </c>
      <c r="O1302" s="196" t="inlineStr">
        <is>
          <t>PELLEGRI Chiara [AAt]</t>
        </is>
      </c>
      <c r="P1302" s="196" t="inlineStr">
        <is>
          <t>ORTEGA Gaelle</t>
        </is>
      </c>
      <c r="Q1302" s="196" t="inlineStr">
        <is>
          <t>GALLINI Tommaso</t>
        </is>
      </c>
      <c r="R1302" s="196" t="inlineStr">
        <is>
          <t>KRAJNC Stefano</t>
        </is>
      </c>
    </row>
    <row r="1303" ht="15" customHeight="1">
      <c r="A1303" s="141" t="n"/>
      <c r="B1303" s="69">
        <f>IF('Calendario C'!B23="","",'Calendario C'!B23)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C'!I23="","",'Calendario C'!I23)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81" t="inlineStr">
        <is>
          <t>Gara N.</t>
        </is>
      </c>
      <c r="B1304" s="81" t="inlineStr">
        <is>
          <t>Squadra A</t>
        </is>
      </c>
      <c r="C1304" s="10" t="n"/>
      <c r="D1304" s="81" t="inlineStr">
        <is>
          <t>Squadra B</t>
        </is>
      </c>
      <c r="E1304" s="10" t="n"/>
      <c r="F1304" s="81" t="inlineStr">
        <is>
          <t>Giorno</t>
        </is>
      </c>
      <c r="G1304" s="81" t="inlineStr">
        <is>
          <t>Data</t>
        </is>
      </c>
      <c r="H1304" s="81" t="inlineStr">
        <is>
          <t>Ora</t>
        </is>
      </c>
      <c r="I1304" s="10" t="n"/>
      <c r="J1304" s="81" t="inlineStr">
        <is>
          <t>Risultato</t>
        </is>
      </c>
      <c r="K1304" s="9" t="n"/>
      <c r="L1304" s="10" t="n"/>
      <c r="M1304" s="201" t="inlineStr">
        <is>
          <t>1o Arbitro</t>
        </is>
      </c>
      <c r="N1304" s="201" t="inlineStr">
        <is>
          <t>2o Arbitro</t>
        </is>
      </c>
      <c r="O1304" s="201" t="inlineStr">
        <is>
          <t>3o Arbitro/Tirocinante</t>
        </is>
      </c>
      <c r="P1304" s="201" t="inlineStr">
        <is>
          <t>Referto</t>
        </is>
      </c>
      <c r="Q1304" s="201" t="inlineStr">
        <is>
          <t>Cronometro</t>
        </is>
      </c>
      <c r="R1304" s="201" t="inlineStr">
        <is>
          <t>Foglio Tiri</t>
        </is>
      </c>
    </row>
    <row r="1305" ht="22" customHeight="1">
      <c r="A1305" s="83">
        <f>IF('Calendario C'!A25="","",'Calendario C'!A25)</f>
        <v/>
      </c>
      <c r="B1305" s="61">
        <f>IF('Calendario C'!B25="","",'Calendario C'!B25)</f>
        <v/>
      </c>
      <c r="C1305" s="62">
        <f>IF('Calendario C'!C25="","",'Calendario C'!C25)</f>
        <v/>
      </c>
      <c r="D1305" s="61">
        <f>IF('Calendario C'!D25="","",'Calendario C'!D25)</f>
        <v/>
      </c>
      <c r="E1305" s="62">
        <f>IF('Calendario C'!E25="","",'Calendario C'!E25)</f>
        <v/>
      </c>
      <c r="F1305" s="63">
        <f>IF('Calendario C'!F25="","",'Calendario C'!F25)</f>
        <v/>
      </c>
      <c r="G1305" s="9" t="n"/>
      <c r="H1305" s="9" t="n"/>
      <c r="I1305" s="10" t="n"/>
      <c r="J1305" s="195">
        <f>IF('Calendario C'!J25="","",'Calendario C'!J25)</f>
        <v/>
      </c>
      <c r="K1305" s="64" t="inlineStr">
        <is>
          <t>-</t>
        </is>
      </c>
      <c r="L1305" s="195">
        <f>IF('Calendario C'!L25="","",'Calendario C'!L25)</f>
        <v/>
      </c>
      <c r="M1305" s="196" t="inlineStr">
        <is>
          <t>VIDMAR Matteo [AA]</t>
        </is>
      </c>
      <c r="N1305" s="196" t="inlineStr">
        <is>
          <t>ROMERO Elena [A]</t>
        </is>
      </c>
      <c r="O1305" s="196" t="inlineStr">
        <is>
          <t>ENGEL Lea [AAt]</t>
        </is>
      </c>
      <c r="P1305" s="196" t="inlineStr">
        <is>
          <t>AUBERT Lea</t>
        </is>
      </c>
      <c r="Q1305" s="196" t="inlineStr">
        <is>
          <t>NAVARRO Pablo</t>
        </is>
      </c>
      <c r="R1305" s="196" t="inlineStr">
        <is>
          <t>ROSSINI Sofia</t>
        </is>
      </c>
    </row>
    <row r="1306" ht="15" customHeight="1">
      <c r="A1306" s="141" t="n"/>
      <c r="B1306" s="69">
        <f>IF('Calendario C'!B26="","",'Calendario C'!B26)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C'!I26="","",'Calendario C'!I26)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81" t="inlineStr">
        <is>
          <t>Gara N.</t>
        </is>
      </c>
      <c r="B1307" s="81" t="inlineStr">
        <is>
          <t>Squadra A</t>
        </is>
      </c>
      <c r="C1307" s="10" t="n"/>
      <c r="D1307" s="81" t="inlineStr">
        <is>
          <t>Squadra B</t>
        </is>
      </c>
      <c r="E1307" s="10" t="n"/>
      <c r="F1307" s="81" t="inlineStr">
        <is>
          <t>Giorno</t>
        </is>
      </c>
      <c r="G1307" s="81" t="inlineStr">
        <is>
          <t>Data</t>
        </is>
      </c>
      <c r="H1307" s="81" t="inlineStr">
        <is>
          <t>Ora</t>
        </is>
      </c>
      <c r="I1307" s="10" t="n"/>
      <c r="J1307" s="81" t="inlineStr">
        <is>
          <t>Risultato</t>
        </is>
      </c>
      <c r="K1307" s="9" t="n"/>
      <c r="L1307" s="10" t="n"/>
      <c r="M1307" s="201" t="inlineStr">
        <is>
          <t>1o Arbitro</t>
        </is>
      </c>
      <c r="N1307" s="201" t="inlineStr">
        <is>
          <t>2o Arbitro</t>
        </is>
      </c>
      <c r="O1307" s="201" t="inlineStr">
        <is>
          <t>3o Arbitro/Tirocinante</t>
        </is>
      </c>
      <c r="P1307" s="201" t="inlineStr">
        <is>
          <t>Referto</t>
        </is>
      </c>
      <c r="Q1307" s="201" t="inlineStr">
        <is>
          <t>Cronometro</t>
        </is>
      </c>
      <c r="R1307" s="201" t="inlineStr">
        <is>
          <t>Foglio Tiri</t>
        </is>
      </c>
    </row>
    <row r="1308" ht="22" customHeight="1">
      <c r="A1308" s="83">
        <f>IF('Calendario C'!A28="","",'Calendario C'!A28)</f>
        <v/>
      </c>
      <c r="B1308" s="61">
        <f>IF('Calendario C'!B28="","",'Calendario C'!B28)</f>
        <v/>
      </c>
      <c r="C1308" s="62">
        <f>IF('Calendario C'!C28="","",'Calendario C'!C28)</f>
        <v/>
      </c>
      <c r="D1308" s="61">
        <f>IF('Calendario C'!D28="","",'Calendario C'!D28)</f>
        <v/>
      </c>
      <c r="E1308" s="62">
        <f>IF('Calendario C'!E28="","",'Calendario C'!E28)</f>
        <v/>
      </c>
      <c r="F1308" s="63">
        <f>IF('Calendario C'!F28="","",'Calendario C'!F28)</f>
        <v/>
      </c>
      <c r="G1308" s="9" t="n"/>
      <c r="H1308" s="9" t="n"/>
      <c r="I1308" s="10" t="n"/>
      <c r="J1308" s="195">
        <f>IF('Calendario C'!J28="","",'Calendario C'!J28)</f>
        <v/>
      </c>
      <c r="K1308" s="64" t="inlineStr">
        <is>
          <t>-</t>
        </is>
      </c>
      <c r="L1308" s="195">
        <f>IF('Calendario C'!L28="","",'Calendario C'!L28)</f>
        <v/>
      </c>
      <c r="M1308" s="196" t="inlineStr">
        <is>
          <t>PETERLIN Mathilde [Aest]</t>
        </is>
      </c>
      <c r="N1308" s="196" t="inlineStr">
        <is>
          <t>LEROUX Elena [AA]</t>
        </is>
      </c>
      <c r="O1308" s="196" t="inlineStr">
        <is>
          <t>SCHAFER Stefano [A]</t>
        </is>
      </c>
      <c r="P1308" s="196" t="inlineStr">
        <is>
          <t>KELLER Jonas</t>
        </is>
      </c>
      <c r="Q1308" s="196" t="inlineStr">
        <is>
          <t>ENGEL Lucia</t>
        </is>
      </c>
      <c r="R1308" s="196" t="inlineStr">
        <is>
          <t>ORTEGA Gaelle</t>
        </is>
      </c>
    </row>
    <row r="1309" ht="15" customHeight="1">
      <c r="A1309" s="141" t="n"/>
      <c r="B1309" s="69">
        <f>IF('Calendario C'!B29="","",'Calendario C'!B29)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C'!I29="","",'Calendario C'!I29)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81" t="inlineStr">
        <is>
          <t>Gara N.</t>
        </is>
      </c>
      <c r="B1310" s="81" t="inlineStr">
        <is>
          <t>Squadra A</t>
        </is>
      </c>
      <c r="C1310" s="10" t="n"/>
      <c r="D1310" s="81" t="inlineStr">
        <is>
          <t>Squadra B</t>
        </is>
      </c>
      <c r="E1310" s="10" t="n"/>
      <c r="F1310" s="81" t="inlineStr">
        <is>
          <t>Giorno</t>
        </is>
      </c>
      <c r="G1310" s="81" t="inlineStr">
        <is>
          <t>Data</t>
        </is>
      </c>
      <c r="H1310" s="81" t="inlineStr">
        <is>
          <t>Ora</t>
        </is>
      </c>
      <c r="I1310" s="10" t="n"/>
      <c r="J1310" s="81" t="inlineStr">
        <is>
          <t>Risultato</t>
        </is>
      </c>
      <c r="K1310" s="9" t="n"/>
      <c r="L1310" s="10" t="n"/>
      <c r="M1310" s="201" t="inlineStr">
        <is>
          <t>1o Arbitro</t>
        </is>
      </c>
      <c r="N1310" s="201" t="inlineStr">
        <is>
          <t>2o Arbitro</t>
        </is>
      </c>
      <c r="O1310" s="201" t="inlineStr">
        <is>
          <t>3o Arbitro/Tirocinante</t>
        </is>
      </c>
      <c r="P1310" s="201" t="inlineStr">
        <is>
          <t>Referto</t>
        </is>
      </c>
      <c r="Q1310" s="201" t="inlineStr">
        <is>
          <t>Cronometro</t>
        </is>
      </c>
      <c r="R1310" s="201" t="inlineStr">
        <is>
          <t>Foglio Tiri</t>
        </is>
      </c>
    </row>
    <row r="1311" ht="22" customHeight="1">
      <c r="A1311" s="83">
        <f>IF('Calendario C'!A31="","",'Calendario C'!A31)</f>
        <v/>
      </c>
      <c r="B1311" s="61">
        <f>IF('Calendario C'!B31="","",'Calendario C'!B31)</f>
        <v/>
      </c>
      <c r="C1311" s="62">
        <f>IF('Calendario C'!C31="","",'Calendario C'!C31)</f>
        <v/>
      </c>
      <c r="D1311" s="61">
        <f>IF('Calendario C'!D31="","",'Calendario C'!D31)</f>
        <v/>
      </c>
      <c r="E1311" s="62">
        <f>IF('Calendario C'!E31="","",'Calendario C'!E31)</f>
        <v/>
      </c>
      <c r="F1311" s="63">
        <f>IF('Calendario C'!F31="","",'Calendario C'!F31)</f>
        <v/>
      </c>
      <c r="G1311" s="9" t="n"/>
      <c r="H1311" s="9" t="n"/>
      <c r="I1311" s="10" t="n"/>
      <c r="J1311" s="195">
        <f>IF('Calendario C'!J31="","",'Calendario C'!J31)</f>
        <v/>
      </c>
      <c r="K1311" s="64" t="inlineStr">
        <is>
          <t>-</t>
        </is>
      </c>
      <c r="L1311" s="195">
        <f>IF('Calendario C'!L31="","",'Calendario C'!L31)</f>
        <v/>
      </c>
      <c r="M1311" s="196" t="inlineStr">
        <is>
          <t>KRUGER Ilaria [A]</t>
        </is>
      </c>
      <c r="N1311" s="196" t="inlineStr">
        <is>
          <t>VIDMAR Elena [AAt]</t>
        </is>
      </c>
      <c r="O1311" s="196" t="inlineStr">
        <is>
          <t>CONTARDI Mathilde [A]</t>
        </is>
      </c>
      <c r="P1311" s="196" t="inlineStr">
        <is>
          <t>KELLER Matteo</t>
        </is>
      </c>
      <c r="Q1311" s="196" t="inlineStr">
        <is>
          <t>SOLER Stefano</t>
        </is>
      </c>
      <c r="R1311" s="196" t="inlineStr">
        <is>
          <t>PETERLIN Martina</t>
        </is>
      </c>
    </row>
    <row r="1312" ht="15" customHeight="1">
      <c r="A1312" s="141" t="n"/>
      <c r="B1312" s="69">
        <f>IF('Calendario C'!B32="","",'Calendario C'!B32)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C'!I32="","",'Calendario C'!I32)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81" t="inlineStr">
        <is>
          <t>Gara N.</t>
        </is>
      </c>
      <c r="B1313" s="81" t="inlineStr">
        <is>
          <t>Squadra A</t>
        </is>
      </c>
      <c r="C1313" s="10" t="n"/>
      <c r="D1313" s="81" t="inlineStr">
        <is>
          <t>Squadra B</t>
        </is>
      </c>
      <c r="E1313" s="10" t="n"/>
      <c r="F1313" s="81" t="inlineStr">
        <is>
          <t>Giorno</t>
        </is>
      </c>
      <c r="G1313" s="81" t="inlineStr">
        <is>
          <t>Data</t>
        </is>
      </c>
      <c r="H1313" s="81" t="inlineStr">
        <is>
          <t>Ora</t>
        </is>
      </c>
      <c r="I1313" s="10" t="n"/>
      <c r="J1313" s="81" t="inlineStr">
        <is>
          <t>Risultato</t>
        </is>
      </c>
      <c r="K1313" s="9" t="n"/>
      <c r="L1313" s="10" t="n"/>
      <c r="M1313" s="201" t="inlineStr">
        <is>
          <t>1o Arbitro</t>
        </is>
      </c>
      <c r="N1313" s="201" t="inlineStr">
        <is>
          <t>2o Arbitro</t>
        </is>
      </c>
      <c r="O1313" s="201" t="inlineStr">
        <is>
          <t>3o Arbitro/Tirocinante</t>
        </is>
      </c>
      <c r="P1313" s="201" t="inlineStr">
        <is>
          <t>Referto</t>
        </is>
      </c>
      <c r="Q1313" s="201" t="inlineStr">
        <is>
          <t>Cronometro</t>
        </is>
      </c>
      <c r="R1313" s="201" t="inlineStr">
        <is>
          <t>Foglio Tiri</t>
        </is>
      </c>
    </row>
    <row r="1314" ht="22" customHeight="1">
      <c r="A1314" s="83">
        <f>IF('Calendario C'!A34="","",'Calendario C'!A34)</f>
        <v/>
      </c>
      <c r="B1314" s="61">
        <f>IF('Calendario C'!B34="","",'Calendario C'!B34)</f>
        <v/>
      </c>
      <c r="C1314" s="62">
        <f>IF('Calendario C'!C34="","",'Calendario C'!C34)</f>
        <v/>
      </c>
      <c r="D1314" s="61">
        <f>IF('Calendario C'!D34="","",'Calendario C'!D34)</f>
        <v/>
      </c>
      <c r="E1314" s="62">
        <f>IF('Calendario C'!E34="","",'Calendario C'!E34)</f>
        <v/>
      </c>
      <c r="F1314" s="63">
        <f>IF('Calendario C'!F34="","",'Calendario C'!F34)</f>
        <v/>
      </c>
      <c r="G1314" s="9" t="n"/>
      <c r="H1314" s="9" t="n"/>
      <c r="I1314" s="10" t="n"/>
      <c r="J1314" s="195">
        <f>IF('Calendario C'!J34="","",'Calendario C'!J34)</f>
        <v/>
      </c>
      <c r="K1314" s="64" t="inlineStr">
        <is>
          <t>-</t>
        </is>
      </c>
      <c r="L1314" s="195">
        <f>IF('Calendario C'!L34="","",'Calendario C'!L34)</f>
        <v/>
      </c>
      <c r="M1314" s="196" t="inlineStr">
        <is>
          <t>BLANCHET Anja [AA]</t>
        </is>
      </c>
      <c r="N1314" s="196" t="inlineStr">
        <is>
          <t>LEROUX Lea [Aest]</t>
        </is>
      </c>
      <c r="O1314" s="196" t="inlineStr">
        <is>
          <t>KRAJNC Elena [AA]</t>
        </is>
      </c>
      <c r="P1314" s="196" t="inlineStr">
        <is>
          <t>SCHAFER Lucia</t>
        </is>
      </c>
      <c r="Q1314" s="196" t="inlineStr">
        <is>
          <t>LEROUX Lucia</t>
        </is>
      </c>
      <c r="R1314" s="196" t="inlineStr">
        <is>
          <t>LEROUX Beatrice</t>
        </is>
      </c>
    </row>
    <row r="1315" ht="15" customHeight="1">
      <c r="A1315" s="141" t="n"/>
      <c r="B1315" s="69">
        <f>IF('Calendario C'!B35="","",'Calendario C'!B35)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C'!I35="","",'Calendario C'!I35)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6" ht="14" customHeight="1">
      <c r="A1316" s="81" t="inlineStr">
        <is>
          <t>Gara N.</t>
        </is>
      </c>
      <c r="B1316" s="81" t="inlineStr">
        <is>
          <t>Squadra A</t>
        </is>
      </c>
      <c r="C1316" s="10" t="n"/>
      <c r="D1316" s="81" t="inlineStr">
        <is>
          <t>Squadra B</t>
        </is>
      </c>
      <c r="E1316" s="10" t="n"/>
      <c r="F1316" s="81" t="inlineStr">
        <is>
          <t>Giorno</t>
        </is>
      </c>
      <c r="G1316" s="81" t="inlineStr">
        <is>
          <t>Data</t>
        </is>
      </c>
      <c r="H1316" s="81" t="inlineStr">
        <is>
          <t>Ora</t>
        </is>
      </c>
      <c r="I1316" s="10" t="n"/>
      <c r="J1316" s="81" t="inlineStr">
        <is>
          <t>Risultato</t>
        </is>
      </c>
      <c r="K1316" s="9" t="n"/>
      <c r="L1316" s="10" t="n"/>
      <c r="M1316" s="201" t="inlineStr">
        <is>
          <t>1o Arbitro</t>
        </is>
      </c>
      <c r="N1316" s="201" t="inlineStr">
        <is>
          <t>2o Arbitro</t>
        </is>
      </c>
      <c r="O1316" s="201" t="inlineStr">
        <is>
          <t>3o Arbitro/Tirocinante</t>
        </is>
      </c>
      <c r="P1316" s="201" t="inlineStr">
        <is>
          <t>Referto</t>
        </is>
      </c>
      <c r="Q1316" s="201" t="inlineStr">
        <is>
          <t>Cronometro</t>
        </is>
      </c>
      <c r="R1316" s="201" t="inlineStr">
        <is>
          <t>Foglio Tiri</t>
        </is>
      </c>
    </row>
    <row r="1317" ht="22" customHeight="1">
      <c r="A1317" s="83">
        <f>IF('Calendario C'!A37="","",'Calendario C'!A37)</f>
        <v/>
      </c>
      <c r="B1317" s="61">
        <f>IF('Calendario C'!B37="","",'Calendario C'!B37)</f>
        <v/>
      </c>
      <c r="C1317" s="62">
        <f>IF('Calendario C'!C37="","",'Calendario C'!C37)</f>
        <v/>
      </c>
      <c r="D1317" s="61">
        <f>IF('Calendario C'!D37="","",'Calendario C'!D37)</f>
        <v/>
      </c>
      <c r="E1317" s="62">
        <f>IF('Calendario C'!E37="","",'Calendario C'!E37)</f>
        <v/>
      </c>
      <c r="F1317" s="63">
        <f>IF('Calendario C'!F37="","",'Calendario C'!F37)</f>
        <v/>
      </c>
      <c r="G1317" s="9" t="n"/>
      <c r="H1317" s="9" t="n"/>
      <c r="I1317" s="10" t="n"/>
      <c r="J1317" s="195">
        <f>IF('Calendario C'!J37="","",'Calendario C'!J37)</f>
        <v/>
      </c>
      <c r="K1317" s="64" t="inlineStr">
        <is>
          <t>-</t>
        </is>
      </c>
      <c r="L1317" s="195">
        <f>IF('Calendario C'!L37="","",'Calendario C'!L37)</f>
        <v/>
      </c>
      <c r="M1317" s="196" t="inlineStr">
        <is>
          <t>PRADO Marta [AAt]</t>
        </is>
      </c>
      <c r="N1317" s="196" t="inlineStr">
        <is>
          <t>CONTARDI Beatrice [AAt]</t>
        </is>
      </c>
      <c r="O1317" s="196" t="inlineStr">
        <is>
          <t>IGLESIAS Beatrice [A]</t>
        </is>
      </c>
      <c r="P1317" s="196" t="inlineStr">
        <is>
          <t>FOURNIER Paula</t>
        </is>
      </c>
      <c r="Q1317" s="196" t="inlineStr">
        <is>
          <t>CAMPOS Martina</t>
        </is>
      </c>
      <c r="R1317" s="196" t="inlineStr">
        <is>
          <t>CASTILLO Noemi</t>
        </is>
      </c>
    </row>
    <row r="1318" ht="15" customHeight="1">
      <c r="A1318" s="141" t="n"/>
      <c r="B1318" s="69">
        <f>IF('Calendario C'!B38="","",'Calendario C'!B38)</f>
        <v/>
      </c>
      <c r="C1318" s="9" t="n"/>
      <c r="D1318" s="9" t="n"/>
      <c r="E1318" s="9" t="n"/>
      <c r="F1318" s="9" t="n"/>
      <c r="G1318" s="9" t="n"/>
      <c r="H1318" s="10" t="n"/>
      <c r="I1318" s="62">
        <f>IF('Calendario C'!I38="","",'Calendario C'!I38)</f>
        <v/>
      </c>
      <c r="J1318" s="141" t="n"/>
      <c r="K1318" s="141" t="n"/>
      <c r="L1318" s="141" t="n"/>
      <c r="M1318" s="141" t="n"/>
      <c r="N1318" s="141" t="n"/>
      <c r="O1318" s="141" t="n"/>
      <c r="P1318" s="141" t="n"/>
      <c r="Q1318" s="141" t="n"/>
      <c r="R1318" s="141" t="n"/>
    </row>
    <row r="1320" ht="20" customHeight="1">
      <c r="A1320" s="78">
        <f>IF('Calendario C'!A40="","",'Calendario C'!A40)</f>
        <v/>
      </c>
      <c r="B1320" s="79">
        <f>IF('Calendario C'!B40="","",'Calendario C'!B40)</f>
        <v/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10" t="n"/>
      <c r="M1320" s="200" t="inlineStr">
        <is>
          <t>ARBITRI</t>
        </is>
      </c>
      <c r="N1320" s="9" t="n"/>
      <c r="O1320" s="10" t="n"/>
      <c r="P1320" s="200" t="inlineStr">
        <is>
          <t>UFFICIALI DI CAMPO</t>
        </is>
      </c>
      <c r="Q1320" s="9" t="n"/>
      <c r="R1320" s="10" t="n"/>
    </row>
    <row r="1321" ht="14" customHeight="1">
      <c r="A1321" s="81" t="inlineStr">
        <is>
          <t>Gara N.</t>
        </is>
      </c>
      <c r="B1321" s="81" t="inlineStr">
        <is>
          <t>Squadra A</t>
        </is>
      </c>
      <c r="C1321" s="10" t="n"/>
      <c r="D1321" s="81" t="inlineStr">
        <is>
          <t>Squadra B</t>
        </is>
      </c>
      <c r="E1321" s="10" t="n"/>
      <c r="F1321" s="81" t="inlineStr">
        <is>
          <t>Giorno</t>
        </is>
      </c>
      <c r="G1321" s="81" t="inlineStr">
        <is>
          <t>Data</t>
        </is>
      </c>
      <c r="H1321" s="81" t="inlineStr">
        <is>
          <t>Ora</t>
        </is>
      </c>
      <c r="I1321" s="10" t="n"/>
      <c r="J1321" s="81" t="inlineStr">
        <is>
          <t>Risultato</t>
        </is>
      </c>
      <c r="K1321" s="9" t="n"/>
      <c r="L1321" s="10" t="n"/>
      <c r="M1321" s="201" t="inlineStr">
        <is>
          <t>1o Arbitro</t>
        </is>
      </c>
      <c r="N1321" s="201" t="inlineStr">
        <is>
          <t>2o Arbitro</t>
        </is>
      </c>
      <c r="O1321" s="201" t="inlineStr">
        <is>
          <t>3o Arbitro/Tirocinante</t>
        </is>
      </c>
      <c r="P1321" s="201" t="inlineStr">
        <is>
          <t>Referto</t>
        </is>
      </c>
      <c r="Q1321" s="201" t="inlineStr">
        <is>
          <t>Cronometro</t>
        </is>
      </c>
      <c r="R1321" s="201" t="inlineStr">
        <is>
          <t>Foglio Tiri</t>
        </is>
      </c>
    </row>
    <row r="1322" ht="22" customHeight="1">
      <c r="A1322" s="83">
        <f>IF('Calendario C'!A42="","",'Calendario C'!A42)</f>
        <v/>
      </c>
      <c r="B1322" s="61">
        <f>IF('Calendario C'!B42="","",'Calendario C'!B42)</f>
        <v/>
      </c>
      <c r="C1322" s="62">
        <f>IF('Calendario C'!C42="","",'Calendario C'!C42)</f>
        <v/>
      </c>
      <c r="D1322" s="61">
        <f>IF('Calendario C'!D42="","",'Calendario C'!D42)</f>
        <v/>
      </c>
      <c r="E1322" s="62">
        <f>IF('Calendario C'!E42="","",'Calendario C'!E42)</f>
        <v/>
      </c>
      <c r="F1322" s="63">
        <f>IF('Calendario C'!F42="","",'Calendario C'!F42)</f>
        <v/>
      </c>
      <c r="G1322" s="9" t="n"/>
      <c r="H1322" s="9" t="n"/>
      <c r="I1322" s="10" t="n"/>
      <c r="J1322" s="195">
        <f>IF('Calendario C'!J42="","",'Calendario C'!J42)</f>
        <v/>
      </c>
      <c r="K1322" s="64" t="inlineStr">
        <is>
          <t>-</t>
        </is>
      </c>
      <c r="L1322" s="195">
        <f>IF('Calendario C'!L42="","",'Calendario C'!L42)</f>
        <v/>
      </c>
      <c r="M1322" s="196" t="inlineStr">
        <is>
          <t>CASTILLO Lucia [AA]</t>
        </is>
      </c>
      <c r="N1322" s="196" t="inlineStr">
        <is>
          <t>BLANCHET Valerie [A]</t>
        </is>
      </c>
      <c r="O1322" s="196" t="inlineStr">
        <is>
          <t>LANGER Katrin [AAt]</t>
        </is>
      </c>
      <c r="P1322" s="196" t="inlineStr">
        <is>
          <t>BLANCHET Alenka</t>
        </is>
      </c>
      <c r="Q1322" s="196" t="inlineStr">
        <is>
          <t>VIDMAR Matteo</t>
        </is>
      </c>
      <c r="R1322" s="196" t="inlineStr">
        <is>
          <t>FUENTES Matteo</t>
        </is>
      </c>
    </row>
    <row r="1323" ht="15" customHeight="1">
      <c r="A1323" s="141" t="n"/>
      <c r="B1323" s="69">
        <f>IF('Calendario C'!B43="","",'Calendario C'!B43)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C'!I43="","",'Calendario C'!I43)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81" t="inlineStr">
        <is>
          <t>Gara N.</t>
        </is>
      </c>
      <c r="B1324" s="81" t="inlineStr">
        <is>
          <t>Squadra A</t>
        </is>
      </c>
      <c r="C1324" s="10" t="n"/>
      <c r="D1324" s="81" t="inlineStr">
        <is>
          <t>Squadra B</t>
        </is>
      </c>
      <c r="E1324" s="10" t="n"/>
      <c r="F1324" s="81" t="inlineStr">
        <is>
          <t>Giorno</t>
        </is>
      </c>
      <c r="G1324" s="81" t="inlineStr">
        <is>
          <t>Data</t>
        </is>
      </c>
      <c r="H1324" s="81" t="inlineStr">
        <is>
          <t>Ora</t>
        </is>
      </c>
      <c r="I1324" s="10" t="n"/>
      <c r="J1324" s="81" t="inlineStr">
        <is>
          <t>Risultato</t>
        </is>
      </c>
      <c r="K1324" s="9" t="n"/>
      <c r="L1324" s="10" t="n"/>
      <c r="M1324" s="201" t="inlineStr">
        <is>
          <t>1o Arbitro</t>
        </is>
      </c>
      <c r="N1324" s="201" t="inlineStr">
        <is>
          <t>2o Arbitro</t>
        </is>
      </c>
      <c r="O1324" s="201" t="inlineStr">
        <is>
          <t>3o Arbitro/Tirocinante</t>
        </is>
      </c>
      <c r="P1324" s="201" t="inlineStr">
        <is>
          <t>Referto</t>
        </is>
      </c>
      <c r="Q1324" s="201" t="inlineStr">
        <is>
          <t>Cronometro</t>
        </is>
      </c>
      <c r="R1324" s="201" t="inlineStr">
        <is>
          <t>Foglio Tiri</t>
        </is>
      </c>
    </row>
    <row r="1325" ht="22" customHeight="1">
      <c r="A1325" s="83">
        <f>IF('Calendario C'!A45="","",'Calendario C'!A45)</f>
        <v/>
      </c>
      <c r="B1325" s="61">
        <f>IF('Calendario C'!B45="","",'Calendario C'!B45)</f>
        <v/>
      </c>
      <c r="C1325" s="62">
        <f>IF('Calendario C'!C45="","",'Calendario C'!C45)</f>
        <v/>
      </c>
      <c r="D1325" s="61">
        <f>IF('Calendario C'!D45="","",'Calendario C'!D45)</f>
        <v/>
      </c>
      <c r="E1325" s="62">
        <f>IF('Calendario C'!E45="","",'Calendario C'!E45)</f>
        <v/>
      </c>
      <c r="F1325" s="63">
        <f>IF('Calendario C'!F45="","",'Calendario C'!F45)</f>
        <v/>
      </c>
      <c r="G1325" s="9" t="n"/>
      <c r="H1325" s="9" t="n"/>
      <c r="I1325" s="10" t="n"/>
      <c r="J1325" s="195">
        <f>IF('Calendario C'!J45="","",'Calendario C'!J45)</f>
        <v/>
      </c>
      <c r="K1325" s="64" t="inlineStr">
        <is>
          <t>-</t>
        </is>
      </c>
      <c r="L1325" s="195">
        <f>IF('Calendario C'!L45="","",'Calendario C'!L45)</f>
        <v/>
      </c>
      <c r="M1325" s="196" t="inlineStr">
        <is>
          <t>SANTORI Chiara [A]</t>
        </is>
      </c>
      <c r="N1325" s="196" t="inlineStr">
        <is>
          <t>LEROUX Mathilde [AA]</t>
        </is>
      </c>
      <c r="O1325" s="196" t="inlineStr">
        <is>
          <t>GALLINI Lukas [AA]</t>
        </is>
      </c>
      <c r="P1325" s="196" t="inlineStr">
        <is>
          <t>FOURNIER Paula</t>
        </is>
      </c>
      <c r="Q1325" s="196" t="inlineStr">
        <is>
          <t>CASTILLO Noemi</t>
        </is>
      </c>
      <c r="R1325" s="196" t="inlineStr">
        <is>
          <t>ROMERO Stefano</t>
        </is>
      </c>
    </row>
    <row r="1326" ht="15" customHeight="1">
      <c r="A1326" s="141" t="n"/>
      <c r="B1326" s="69">
        <f>IF('Calendario C'!B46="","",'Calendario C'!B46)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C'!I46="","",'Calendario C'!I46)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81" t="inlineStr">
        <is>
          <t>Gara N.</t>
        </is>
      </c>
      <c r="B1327" s="81" t="inlineStr">
        <is>
          <t>Squadra A</t>
        </is>
      </c>
      <c r="C1327" s="10" t="n"/>
      <c r="D1327" s="81" t="inlineStr">
        <is>
          <t>Squadra B</t>
        </is>
      </c>
      <c r="E1327" s="10" t="n"/>
      <c r="F1327" s="81" t="inlineStr">
        <is>
          <t>Giorno</t>
        </is>
      </c>
      <c r="G1327" s="81" t="inlineStr">
        <is>
          <t>Data</t>
        </is>
      </c>
      <c r="H1327" s="81" t="inlineStr">
        <is>
          <t>Ora</t>
        </is>
      </c>
      <c r="I1327" s="10" t="n"/>
      <c r="J1327" s="81" t="inlineStr">
        <is>
          <t>Risultato</t>
        </is>
      </c>
      <c r="K1327" s="9" t="n"/>
      <c r="L1327" s="10" t="n"/>
      <c r="M1327" s="201" t="inlineStr">
        <is>
          <t>1o Arbitro</t>
        </is>
      </c>
      <c r="N1327" s="201" t="inlineStr">
        <is>
          <t>2o Arbitro</t>
        </is>
      </c>
      <c r="O1327" s="201" t="inlineStr">
        <is>
          <t>3o Arbitro/Tirocinante</t>
        </is>
      </c>
      <c r="P1327" s="201" t="inlineStr">
        <is>
          <t>Referto</t>
        </is>
      </c>
      <c r="Q1327" s="201" t="inlineStr">
        <is>
          <t>Cronometro</t>
        </is>
      </c>
      <c r="R1327" s="201" t="inlineStr">
        <is>
          <t>Foglio Tiri</t>
        </is>
      </c>
    </row>
    <row r="1328" ht="22" customHeight="1">
      <c r="A1328" s="83">
        <f>IF('Calendario C'!A48="","",'Calendario C'!A48)</f>
        <v/>
      </c>
      <c r="B1328" s="61">
        <f>IF('Calendario C'!B48="","",'Calendario C'!B48)</f>
        <v/>
      </c>
      <c r="C1328" s="62">
        <f>IF('Calendario C'!C48="","",'Calendario C'!C48)</f>
        <v/>
      </c>
      <c r="D1328" s="61">
        <f>IF('Calendario C'!D48="","",'Calendario C'!D48)</f>
        <v/>
      </c>
      <c r="E1328" s="62">
        <f>IF('Calendario C'!E48="","",'Calendario C'!E48)</f>
        <v/>
      </c>
      <c r="F1328" s="63">
        <f>IF('Calendario C'!F48="","",'Calendario C'!F48)</f>
        <v/>
      </c>
      <c r="G1328" s="9" t="n"/>
      <c r="H1328" s="9" t="n"/>
      <c r="I1328" s="10" t="n"/>
      <c r="J1328" s="195">
        <f>IF('Calendario C'!J48="","",'Calendario C'!J48)</f>
        <v/>
      </c>
      <c r="K1328" s="64" t="inlineStr">
        <is>
          <t>-</t>
        </is>
      </c>
      <c r="L1328" s="195">
        <f>IF('Calendario C'!L48="","",'Calendario C'!L48)</f>
        <v/>
      </c>
      <c r="M1328" s="196" t="inlineStr">
        <is>
          <t>MARCHIONI Marco [Aest]</t>
        </is>
      </c>
      <c r="N1328" s="196" t="inlineStr">
        <is>
          <t>BLANCHET Diego [A]</t>
        </is>
      </c>
      <c r="O1328" s="196" t="inlineStr">
        <is>
          <t>ROTH Lucia [A]</t>
        </is>
      </c>
      <c r="P1328" s="196" t="inlineStr">
        <is>
          <t>CARON Pablo</t>
        </is>
      </c>
      <c r="Q1328" s="196" t="inlineStr">
        <is>
          <t>KRUGER Irene</t>
        </is>
      </c>
      <c r="R1328" s="196" t="inlineStr">
        <is>
          <t>CARON Diego</t>
        </is>
      </c>
    </row>
    <row r="1329" ht="15" customHeight="1">
      <c r="A1329" s="141" t="n"/>
      <c r="B1329" s="69">
        <f>IF('Calendario C'!B49="","",'Calendario C'!B49)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C'!I49="","",'Calendario C'!I49)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81" t="inlineStr">
        <is>
          <t>Gara N.</t>
        </is>
      </c>
      <c r="B1330" s="81" t="inlineStr">
        <is>
          <t>Squadra A</t>
        </is>
      </c>
      <c r="C1330" s="10" t="n"/>
      <c r="D1330" s="81" t="inlineStr">
        <is>
          <t>Squadra B</t>
        </is>
      </c>
      <c r="E1330" s="10" t="n"/>
      <c r="F1330" s="81" t="inlineStr">
        <is>
          <t>Giorno</t>
        </is>
      </c>
      <c r="G1330" s="81" t="inlineStr">
        <is>
          <t>Data</t>
        </is>
      </c>
      <c r="H1330" s="81" t="inlineStr">
        <is>
          <t>Ora</t>
        </is>
      </c>
      <c r="I1330" s="10" t="n"/>
      <c r="J1330" s="81" t="inlineStr">
        <is>
          <t>Risultato</t>
        </is>
      </c>
      <c r="K1330" s="9" t="n"/>
      <c r="L1330" s="10" t="n"/>
      <c r="M1330" s="201" t="inlineStr">
        <is>
          <t>1o Arbitro</t>
        </is>
      </c>
      <c r="N1330" s="201" t="inlineStr">
        <is>
          <t>2o Arbitro</t>
        </is>
      </c>
      <c r="O1330" s="201" t="inlineStr">
        <is>
          <t>3o Arbitro/Tirocinante</t>
        </is>
      </c>
      <c r="P1330" s="201" t="inlineStr">
        <is>
          <t>Referto</t>
        </is>
      </c>
      <c r="Q1330" s="201" t="inlineStr">
        <is>
          <t>Cronometro</t>
        </is>
      </c>
      <c r="R1330" s="201" t="inlineStr">
        <is>
          <t>Foglio Tiri</t>
        </is>
      </c>
    </row>
    <row r="1331" ht="22" customHeight="1">
      <c r="A1331" s="83">
        <f>IF('Calendario C'!A51="","",'Calendario C'!A51)</f>
        <v/>
      </c>
      <c r="B1331" s="61">
        <f>IF('Calendario C'!B51="","",'Calendario C'!B51)</f>
        <v/>
      </c>
      <c r="C1331" s="62">
        <f>IF('Calendario C'!C51="","",'Calendario C'!C51)</f>
        <v/>
      </c>
      <c r="D1331" s="61">
        <f>IF('Calendario C'!D51="","",'Calendario C'!D51)</f>
        <v/>
      </c>
      <c r="E1331" s="62">
        <f>IF('Calendario C'!E51="","",'Calendario C'!E51)</f>
        <v/>
      </c>
      <c r="F1331" s="63">
        <f>IF('Calendario C'!F51="","",'Calendario C'!F51)</f>
        <v/>
      </c>
      <c r="G1331" s="9" t="n"/>
      <c r="H1331" s="9" t="n"/>
      <c r="I1331" s="10" t="n"/>
      <c r="J1331" s="195">
        <f>IF('Calendario C'!J51="","",'Calendario C'!J51)</f>
        <v/>
      </c>
      <c r="K1331" s="64" t="inlineStr">
        <is>
          <t>-</t>
        </is>
      </c>
      <c r="L1331" s="195">
        <f>IF('Calendario C'!L51="","",'Calendario C'!L51)</f>
        <v/>
      </c>
      <c r="M1331" s="196" t="inlineStr">
        <is>
          <t>MODIC Katrin [A]</t>
        </is>
      </c>
      <c r="N1331" s="196" t="inlineStr">
        <is>
          <t>BIANCHELLI Paolo [AA]</t>
        </is>
      </c>
      <c r="O1331" s="196" t="inlineStr">
        <is>
          <t>SEVER Diego [A]</t>
        </is>
      </c>
      <c r="P1331" s="196" t="inlineStr">
        <is>
          <t>ROMERO Alenka</t>
        </is>
      </c>
      <c r="Q1331" s="196" t="inlineStr">
        <is>
          <t>VOGEL Giulia</t>
        </is>
      </c>
      <c r="R1331" s="196" t="inlineStr">
        <is>
          <t>CAMPOS Jonas</t>
        </is>
      </c>
    </row>
    <row r="1332" ht="15" customHeight="1">
      <c r="A1332" s="141" t="n"/>
      <c r="B1332" s="69">
        <f>IF('Calendario C'!B52="","",'Calendario C'!B52)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C'!I52="","",'Calendario C'!I52)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3" ht="14" customHeight="1">
      <c r="A1333" s="81" t="inlineStr">
        <is>
          <t>Gara N.</t>
        </is>
      </c>
      <c r="B1333" s="81" t="inlineStr">
        <is>
          <t>Squadra A</t>
        </is>
      </c>
      <c r="C1333" s="10" t="n"/>
      <c r="D1333" s="81" t="inlineStr">
        <is>
          <t>Squadra B</t>
        </is>
      </c>
      <c r="E1333" s="10" t="n"/>
      <c r="F1333" s="81" t="inlineStr">
        <is>
          <t>Giorno</t>
        </is>
      </c>
      <c r="G1333" s="81" t="inlineStr">
        <is>
          <t>Data</t>
        </is>
      </c>
      <c r="H1333" s="81" t="inlineStr">
        <is>
          <t>Ora</t>
        </is>
      </c>
      <c r="I1333" s="10" t="n"/>
      <c r="J1333" s="81" t="inlineStr">
        <is>
          <t>Risultato</t>
        </is>
      </c>
      <c r="K1333" s="9" t="n"/>
      <c r="L1333" s="10" t="n"/>
      <c r="M1333" s="201" t="inlineStr">
        <is>
          <t>1o Arbitro</t>
        </is>
      </c>
      <c r="N1333" s="201" t="inlineStr">
        <is>
          <t>2o Arbitro</t>
        </is>
      </c>
      <c r="O1333" s="201" t="inlineStr">
        <is>
          <t>3o Arbitro/Tirocinante</t>
        </is>
      </c>
      <c r="P1333" s="201" t="inlineStr">
        <is>
          <t>Referto</t>
        </is>
      </c>
      <c r="Q1333" s="201" t="inlineStr">
        <is>
          <t>Cronometro</t>
        </is>
      </c>
      <c r="R1333" s="201" t="inlineStr">
        <is>
          <t>Foglio Tiri</t>
        </is>
      </c>
    </row>
    <row r="1334" ht="22" customHeight="1">
      <c r="A1334" s="83">
        <f>IF('Calendario C'!A54="","",'Calendario C'!A54)</f>
        <v/>
      </c>
      <c r="B1334" s="61">
        <f>IF('Calendario C'!B54="","",'Calendario C'!B54)</f>
        <v/>
      </c>
      <c r="C1334" s="62">
        <f>IF('Calendario C'!C54="","",'Calendario C'!C54)</f>
        <v/>
      </c>
      <c r="D1334" s="61">
        <f>IF('Calendario C'!D54="","",'Calendario C'!D54)</f>
        <v/>
      </c>
      <c r="E1334" s="62">
        <f>IF('Calendario C'!E54="","",'Calendario C'!E54)</f>
        <v/>
      </c>
      <c r="F1334" s="63">
        <f>IF('Calendario C'!F54="","",'Calendario C'!F54)</f>
        <v/>
      </c>
      <c r="G1334" s="9" t="n"/>
      <c r="H1334" s="9" t="n"/>
      <c r="I1334" s="10" t="n"/>
      <c r="J1334" s="195">
        <f>IF('Calendario C'!J54="","",'Calendario C'!J54)</f>
        <v/>
      </c>
      <c r="K1334" s="64" t="inlineStr">
        <is>
          <t>-</t>
        </is>
      </c>
      <c r="L1334" s="195">
        <f>IF('Calendario C'!L54="","",'Calendario C'!L54)</f>
        <v/>
      </c>
      <c r="M1334" s="196" t="inlineStr">
        <is>
          <t>LANGER Beatrice [Aest]</t>
        </is>
      </c>
      <c r="N1334" s="196" t="inlineStr">
        <is>
          <t>SCHAFER Eva [AA]</t>
        </is>
      </c>
      <c r="O1334" s="196" t="inlineStr">
        <is>
          <t>KRUGER Lea [AA]</t>
        </is>
      </c>
      <c r="P1334" s="196" t="inlineStr">
        <is>
          <t>FERRANTE Martina</t>
        </is>
      </c>
      <c r="Q1334" s="196" t="inlineStr">
        <is>
          <t>NADAUD Alenka</t>
        </is>
      </c>
      <c r="R1334" s="196" t="inlineStr">
        <is>
          <t>BIANCHELLI Ottavia</t>
        </is>
      </c>
    </row>
    <row r="1335" ht="15" customHeight="1">
      <c r="A1335" s="141" t="n"/>
      <c r="B1335" s="69">
        <f>IF('Calendario C'!B55="","",'Calendario C'!B55)</f>
        <v/>
      </c>
      <c r="C1335" s="9" t="n"/>
      <c r="D1335" s="9" t="n"/>
      <c r="E1335" s="9" t="n"/>
      <c r="F1335" s="9" t="n"/>
      <c r="G1335" s="9" t="n"/>
      <c r="H1335" s="10" t="n"/>
      <c r="I1335" s="62">
        <f>IF('Calendario C'!I55="","",'Calendario C'!I55)</f>
        <v/>
      </c>
      <c r="J1335" s="141" t="n"/>
      <c r="K1335" s="141" t="n"/>
      <c r="L1335" s="141" t="n"/>
      <c r="M1335" s="141" t="n"/>
      <c r="N1335" s="141" t="n"/>
      <c r="O1335" s="141" t="n"/>
      <c r="P1335" s="141" t="n"/>
      <c r="Q1335" s="141" t="n"/>
      <c r="R1335" s="141" t="n"/>
    </row>
    <row r="1336" ht="14" customHeight="1">
      <c r="A1336" s="81" t="inlineStr">
        <is>
          <t>Gara N.</t>
        </is>
      </c>
      <c r="B1336" s="81" t="inlineStr">
        <is>
          <t>Squadra A</t>
        </is>
      </c>
      <c r="C1336" s="10" t="n"/>
      <c r="D1336" s="81" t="inlineStr">
        <is>
          <t>Squadra B</t>
        </is>
      </c>
      <c r="E1336" s="10" t="n"/>
      <c r="F1336" s="81" t="inlineStr">
        <is>
          <t>Giorno</t>
        </is>
      </c>
      <c r="G1336" s="81" t="inlineStr">
        <is>
          <t>Data</t>
        </is>
      </c>
      <c r="H1336" s="81" t="inlineStr">
        <is>
          <t>Ora</t>
        </is>
      </c>
      <c r="I1336" s="10" t="n"/>
      <c r="J1336" s="81" t="inlineStr">
        <is>
          <t>Risultato</t>
        </is>
      </c>
      <c r="K1336" s="9" t="n"/>
      <c r="L1336" s="10" t="n"/>
      <c r="M1336" s="201" t="inlineStr">
        <is>
          <t>1o Arbitro</t>
        </is>
      </c>
      <c r="N1336" s="201" t="inlineStr">
        <is>
          <t>2o Arbitro</t>
        </is>
      </c>
      <c r="O1336" s="201" t="inlineStr">
        <is>
          <t>3o Arbitro/Tirocinante</t>
        </is>
      </c>
      <c r="P1336" s="201" t="inlineStr">
        <is>
          <t>Referto</t>
        </is>
      </c>
      <c r="Q1336" s="201" t="inlineStr">
        <is>
          <t>Cronometro</t>
        </is>
      </c>
      <c r="R1336" s="201" t="inlineStr">
        <is>
          <t>Foglio Tiri</t>
        </is>
      </c>
    </row>
    <row r="1337" ht="22" customHeight="1">
      <c r="A1337" s="83">
        <f>IF('Calendario C'!A57="","",'Calendario C'!A57)</f>
        <v/>
      </c>
      <c r="B1337" s="61">
        <f>IF('Calendario C'!B57="","",'Calendario C'!B57)</f>
        <v/>
      </c>
      <c r="C1337" s="62">
        <f>IF('Calendario C'!C57="","",'Calendario C'!C57)</f>
        <v/>
      </c>
      <c r="D1337" s="61">
        <f>IF('Calendario C'!D57="","",'Calendario C'!D57)</f>
        <v/>
      </c>
      <c r="E1337" s="62">
        <f>IF('Calendario C'!E57="","",'Calendario C'!E57)</f>
        <v/>
      </c>
      <c r="F1337" s="63">
        <f>IF('Calendario C'!F57="","",'Calendario C'!F57)</f>
        <v/>
      </c>
      <c r="G1337" s="9" t="n"/>
      <c r="H1337" s="9" t="n"/>
      <c r="I1337" s="10" t="n"/>
      <c r="J1337" s="195">
        <f>IF('Calendario C'!J57="","",'Calendario C'!J57)</f>
        <v/>
      </c>
      <c r="K1337" s="64" t="inlineStr">
        <is>
          <t>-</t>
        </is>
      </c>
      <c r="L1337" s="195">
        <f>IF('Calendario C'!L57="","",'Calendario C'!L57)</f>
        <v/>
      </c>
      <c r="M1337" s="196" t="inlineStr">
        <is>
          <t>ENGEL Stefano [AAt]</t>
        </is>
      </c>
      <c r="N1337" s="196" t="inlineStr">
        <is>
          <t>HOFFMANN Gaelle [AA]</t>
        </is>
      </c>
      <c r="O1337" s="196" t="inlineStr">
        <is>
          <t>BIANCHELLI Martina [AAt]</t>
        </is>
      </c>
      <c r="P1337" s="196" t="inlineStr">
        <is>
          <t>ORTEGA Felix</t>
        </is>
      </c>
      <c r="Q1337" s="196" t="inlineStr">
        <is>
          <t>WEBER Irene</t>
        </is>
      </c>
      <c r="R1337" s="196" t="inlineStr">
        <is>
          <t>GALLINI Gaelle</t>
        </is>
      </c>
    </row>
    <row r="1338" ht="15" customHeight="1">
      <c r="A1338" s="141" t="n"/>
      <c r="B1338" s="69">
        <f>IF('Calendario C'!B58="","",'Calendario C'!B58)</f>
        <v/>
      </c>
      <c r="C1338" s="9" t="n"/>
      <c r="D1338" s="9" t="n"/>
      <c r="E1338" s="9" t="n"/>
      <c r="F1338" s="9" t="n"/>
      <c r="G1338" s="9" t="n"/>
      <c r="H1338" s="10" t="n"/>
      <c r="I1338" s="62">
        <f>IF('Calendario C'!I58="","",'Calendario C'!I58)</f>
        <v/>
      </c>
      <c r="J1338" s="141" t="n"/>
      <c r="K1338" s="141" t="n"/>
      <c r="L1338" s="141" t="n"/>
      <c r="M1338" s="141" t="n"/>
      <c r="N1338" s="141" t="n"/>
      <c r="O1338" s="141" t="n"/>
      <c r="P1338" s="141" t="n"/>
      <c r="Q1338" s="141" t="n"/>
      <c r="R1338" s="141" t="n"/>
    </row>
    <row r="1339" ht="14" customHeight="1">
      <c r="A1339" s="81" t="inlineStr">
        <is>
          <t>Gara N.</t>
        </is>
      </c>
      <c r="B1339" s="81" t="inlineStr">
        <is>
          <t>Squadra A</t>
        </is>
      </c>
      <c r="C1339" s="10" t="n"/>
      <c r="D1339" s="81" t="inlineStr">
        <is>
          <t>Squadra B</t>
        </is>
      </c>
      <c r="E1339" s="10" t="n"/>
      <c r="F1339" s="81" t="inlineStr">
        <is>
          <t>Giorno</t>
        </is>
      </c>
      <c r="G1339" s="81" t="inlineStr">
        <is>
          <t>Data</t>
        </is>
      </c>
      <c r="H1339" s="81" t="inlineStr">
        <is>
          <t>Ora</t>
        </is>
      </c>
      <c r="I1339" s="10" t="n"/>
      <c r="J1339" s="81" t="inlineStr">
        <is>
          <t>Risultato</t>
        </is>
      </c>
      <c r="K1339" s="9" t="n"/>
      <c r="L1339" s="10" t="n"/>
      <c r="M1339" s="201" t="inlineStr">
        <is>
          <t>1o Arbitro</t>
        </is>
      </c>
      <c r="N1339" s="201" t="inlineStr">
        <is>
          <t>2o Arbitro</t>
        </is>
      </c>
      <c r="O1339" s="201" t="inlineStr">
        <is>
          <t>3o Arbitro/Tirocinante</t>
        </is>
      </c>
      <c r="P1339" s="201" t="inlineStr">
        <is>
          <t>Referto</t>
        </is>
      </c>
      <c r="Q1339" s="201" t="inlineStr">
        <is>
          <t>Cronometro</t>
        </is>
      </c>
      <c r="R1339" s="201" t="inlineStr">
        <is>
          <t>Foglio Tiri</t>
        </is>
      </c>
    </row>
    <row r="1340" ht="22" customHeight="1">
      <c r="A1340" s="83">
        <f>IF('Calendario C'!A60="","",'Calendario C'!A60)</f>
        <v/>
      </c>
      <c r="B1340" s="61">
        <f>IF('Calendario C'!B60="","",'Calendario C'!B60)</f>
        <v/>
      </c>
      <c r="C1340" s="62">
        <f>IF('Calendario C'!C60="","",'Calendario C'!C60)</f>
        <v/>
      </c>
      <c r="D1340" s="61">
        <f>IF('Calendario C'!D60="","",'Calendario C'!D60)</f>
        <v/>
      </c>
      <c r="E1340" s="62">
        <f>IF('Calendario C'!E60="","",'Calendario C'!E60)</f>
        <v/>
      </c>
      <c r="F1340" s="63">
        <f>IF('Calendario C'!F60="","",'Calendario C'!F60)</f>
        <v/>
      </c>
      <c r="G1340" s="9" t="n"/>
      <c r="H1340" s="9" t="n"/>
      <c r="I1340" s="10" t="n"/>
      <c r="J1340" s="195">
        <f>IF('Calendario C'!J60="","",'Calendario C'!J60)</f>
        <v/>
      </c>
      <c r="K1340" s="64" t="inlineStr">
        <is>
          <t>-</t>
        </is>
      </c>
      <c r="L1340" s="195">
        <f>IF('Calendario C'!L60="","",'Calendario C'!L60)</f>
        <v/>
      </c>
      <c r="M1340" s="196" t="inlineStr">
        <is>
          <t>MARCHIONI Matteo [AAt]</t>
        </is>
      </c>
      <c r="N1340" s="196" t="inlineStr">
        <is>
          <t>IGLESIAS Felix [AAt]</t>
        </is>
      </c>
      <c r="O1340" s="196" t="inlineStr">
        <is>
          <t>VOGEL Martina [AA]</t>
        </is>
      </c>
      <c r="P1340" s="196" t="inlineStr">
        <is>
          <t>ZUPAN Katrin</t>
        </is>
      </c>
      <c r="Q1340" s="196" t="inlineStr">
        <is>
          <t>NADAUD Mathilde</t>
        </is>
      </c>
      <c r="R1340" s="196" t="inlineStr">
        <is>
          <t>ZUPAN Noemi</t>
        </is>
      </c>
    </row>
    <row r="1341" ht="15" customHeight="1">
      <c r="A1341" s="141" t="n"/>
      <c r="B1341" s="69">
        <f>IF('Calendario C'!B61="","",'Calendario C'!B61)</f>
        <v/>
      </c>
      <c r="C1341" s="9" t="n"/>
      <c r="D1341" s="9" t="n"/>
      <c r="E1341" s="9" t="n"/>
      <c r="F1341" s="9" t="n"/>
      <c r="G1341" s="9" t="n"/>
      <c r="H1341" s="10" t="n"/>
      <c r="I1341" s="62">
        <f>IF('Calendario C'!I61="","",'Calendario C'!I61)</f>
        <v/>
      </c>
      <c r="J1341" s="141" t="n"/>
      <c r="K1341" s="141" t="n"/>
      <c r="L1341" s="141" t="n"/>
      <c r="M1341" s="141" t="n"/>
      <c r="N1341" s="141" t="n"/>
      <c r="O1341" s="141" t="n"/>
      <c r="P1341" s="141" t="n"/>
      <c r="Q1341" s="141" t="n"/>
      <c r="R1341" s="141" t="n"/>
    </row>
    <row r="1342" ht="14" customHeight="1">
      <c r="A1342" s="81" t="inlineStr">
        <is>
          <t>Gara N.</t>
        </is>
      </c>
      <c r="B1342" s="81" t="inlineStr">
        <is>
          <t>Squadra A</t>
        </is>
      </c>
      <c r="C1342" s="10" t="n"/>
      <c r="D1342" s="81" t="inlineStr">
        <is>
          <t>Squadra B</t>
        </is>
      </c>
      <c r="E1342" s="10" t="n"/>
      <c r="F1342" s="81" t="inlineStr">
        <is>
          <t>Giorno</t>
        </is>
      </c>
      <c r="G1342" s="81" t="inlineStr">
        <is>
          <t>Data</t>
        </is>
      </c>
      <c r="H1342" s="81" t="inlineStr">
        <is>
          <t>Ora</t>
        </is>
      </c>
      <c r="I1342" s="10" t="n"/>
      <c r="J1342" s="81" t="inlineStr">
        <is>
          <t>Risultato</t>
        </is>
      </c>
      <c r="K1342" s="9" t="n"/>
      <c r="L1342" s="10" t="n"/>
      <c r="M1342" s="201" t="inlineStr">
        <is>
          <t>1o Arbitro</t>
        </is>
      </c>
      <c r="N1342" s="201" t="inlineStr">
        <is>
          <t>2o Arbitro</t>
        </is>
      </c>
      <c r="O1342" s="201" t="inlineStr">
        <is>
          <t>3o Arbitro/Tirocinante</t>
        </is>
      </c>
      <c r="P1342" s="201" t="inlineStr">
        <is>
          <t>Referto</t>
        </is>
      </c>
      <c r="Q1342" s="201" t="inlineStr">
        <is>
          <t>Cronometro</t>
        </is>
      </c>
      <c r="R1342" s="201" t="inlineStr">
        <is>
          <t>Foglio Tiri</t>
        </is>
      </c>
    </row>
    <row r="1343" ht="22" customHeight="1">
      <c r="A1343" s="83">
        <f>IF('Calendario C'!A63="","",'Calendario C'!A63)</f>
        <v/>
      </c>
      <c r="B1343" s="61">
        <f>IF('Calendario C'!B63="","",'Calendario C'!B63)</f>
        <v/>
      </c>
      <c r="C1343" s="62">
        <f>IF('Calendario C'!C63="","",'Calendario C'!C63)</f>
        <v/>
      </c>
      <c r="D1343" s="61">
        <f>IF('Calendario C'!D63="","",'Calendario C'!D63)</f>
        <v/>
      </c>
      <c r="E1343" s="62">
        <f>IF('Calendario C'!E63="","",'Calendario C'!E63)</f>
        <v/>
      </c>
      <c r="F1343" s="63">
        <f>IF('Calendario C'!F63="","",'Calendario C'!F63)</f>
        <v/>
      </c>
      <c r="G1343" s="9" t="n"/>
      <c r="H1343" s="9" t="n"/>
      <c r="I1343" s="10" t="n"/>
      <c r="J1343" s="195">
        <f>IF('Calendario C'!J63="","",'Calendario C'!J63)</f>
        <v/>
      </c>
      <c r="K1343" s="64" t="inlineStr">
        <is>
          <t>-</t>
        </is>
      </c>
      <c r="L1343" s="195">
        <f>IF('Calendario C'!L63="","",'Calendario C'!L63)</f>
        <v/>
      </c>
      <c r="M1343" s="196" t="inlineStr">
        <is>
          <t>MOREAU Katrin [A]</t>
        </is>
      </c>
      <c r="N1343" s="196" t="inlineStr">
        <is>
          <t>MARCHIONI Paolo [AAt]</t>
        </is>
      </c>
      <c r="O1343" s="196" t="inlineStr">
        <is>
          <t>WEBER Nicola [AAt]</t>
        </is>
      </c>
      <c r="P1343" s="196" t="inlineStr">
        <is>
          <t>BLANCO Giulia</t>
        </is>
      </c>
      <c r="Q1343" s="196" t="inlineStr">
        <is>
          <t>PRADO Hugo</t>
        </is>
      </c>
      <c r="R1343" s="196" t="inlineStr">
        <is>
          <t>MODIC Marco</t>
        </is>
      </c>
    </row>
    <row r="1344" ht="15" customHeight="1">
      <c r="A1344" s="141" t="n"/>
      <c r="B1344" s="69">
        <f>IF('Calendario C'!B64="","",'Calendario C'!B64)</f>
        <v/>
      </c>
      <c r="C1344" s="9" t="n"/>
      <c r="D1344" s="9" t="n"/>
      <c r="E1344" s="9" t="n"/>
      <c r="F1344" s="9" t="n"/>
      <c r="G1344" s="9" t="n"/>
      <c r="H1344" s="10" t="n"/>
      <c r="I1344" s="62">
        <f>IF('Calendario C'!I64="","",'Calendario C'!I64)</f>
        <v/>
      </c>
      <c r="J1344" s="141" t="n"/>
      <c r="K1344" s="141" t="n"/>
      <c r="L1344" s="141" t="n"/>
      <c r="M1344" s="141" t="n"/>
      <c r="N1344" s="141" t="n"/>
      <c r="O1344" s="141" t="n"/>
      <c r="P1344" s="141" t="n"/>
      <c r="Q1344" s="141" t="n"/>
      <c r="R1344" s="141" t="n"/>
    </row>
    <row r="1345" ht="14" customHeight="1">
      <c r="A1345" s="81" t="inlineStr">
        <is>
          <t>Gara N.</t>
        </is>
      </c>
      <c r="B1345" s="81" t="inlineStr">
        <is>
          <t>Squadra A</t>
        </is>
      </c>
      <c r="C1345" s="10" t="n"/>
      <c r="D1345" s="81" t="inlineStr">
        <is>
          <t>Squadra B</t>
        </is>
      </c>
      <c r="E1345" s="10" t="n"/>
      <c r="F1345" s="81" t="inlineStr">
        <is>
          <t>Giorno</t>
        </is>
      </c>
      <c r="G1345" s="81" t="inlineStr">
        <is>
          <t>Data</t>
        </is>
      </c>
      <c r="H1345" s="81" t="inlineStr">
        <is>
          <t>Ora</t>
        </is>
      </c>
      <c r="I1345" s="10" t="n"/>
      <c r="J1345" s="81" t="inlineStr">
        <is>
          <t>Risultato</t>
        </is>
      </c>
      <c r="K1345" s="9" t="n"/>
      <c r="L1345" s="10" t="n"/>
      <c r="M1345" s="201" t="inlineStr">
        <is>
          <t>1o Arbitro</t>
        </is>
      </c>
      <c r="N1345" s="201" t="inlineStr">
        <is>
          <t>2o Arbitro</t>
        </is>
      </c>
      <c r="O1345" s="201" t="inlineStr">
        <is>
          <t>3o Arbitro/Tirocinante</t>
        </is>
      </c>
      <c r="P1345" s="201" t="inlineStr">
        <is>
          <t>Referto</t>
        </is>
      </c>
      <c r="Q1345" s="201" t="inlineStr">
        <is>
          <t>Cronometro</t>
        </is>
      </c>
      <c r="R1345" s="201" t="inlineStr">
        <is>
          <t>Foglio Tiri</t>
        </is>
      </c>
    </row>
    <row r="1346" ht="22" customHeight="1">
      <c r="A1346" s="83">
        <f>IF('Calendario C'!A66="","",'Calendario C'!A66)</f>
        <v/>
      </c>
      <c r="B1346" s="61">
        <f>IF('Calendario C'!B66="","",'Calendario C'!B66)</f>
        <v/>
      </c>
      <c r="C1346" s="62">
        <f>IF('Calendario C'!C66="","",'Calendario C'!C66)</f>
        <v/>
      </c>
      <c r="D1346" s="61">
        <f>IF('Calendario C'!D66="","",'Calendario C'!D66)</f>
        <v/>
      </c>
      <c r="E1346" s="62">
        <f>IF('Calendario C'!E66="","",'Calendario C'!E66)</f>
        <v/>
      </c>
      <c r="F1346" s="63">
        <f>IF('Calendario C'!F66="","",'Calendario C'!F66)</f>
        <v/>
      </c>
      <c r="G1346" s="9" t="n"/>
      <c r="H1346" s="9" t="n"/>
      <c r="I1346" s="10" t="n"/>
      <c r="J1346" s="195">
        <f>IF('Calendario C'!J66="","",'Calendario C'!J66)</f>
        <v/>
      </c>
      <c r="K1346" s="64" t="inlineStr">
        <is>
          <t>-</t>
        </is>
      </c>
      <c r="L1346" s="195">
        <f>IF('Calendario C'!L66="","",'Calendario C'!L66)</f>
        <v/>
      </c>
      <c r="M1346" s="196" t="inlineStr">
        <is>
          <t>VIDMAR Hugo [AAt]</t>
        </is>
      </c>
      <c r="N1346" s="196" t="inlineStr">
        <is>
          <t>MODIC Chiara [AA]</t>
        </is>
      </c>
      <c r="O1346" s="196" t="inlineStr">
        <is>
          <t>BELLANDI Matteo [AA]</t>
        </is>
      </c>
      <c r="P1346" s="196" t="inlineStr">
        <is>
          <t>NADAUD Marco</t>
        </is>
      </c>
      <c r="Q1346" s="196" t="inlineStr">
        <is>
          <t>SEVER Marco</t>
        </is>
      </c>
      <c r="R1346" s="196" t="inlineStr">
        <is>
          <t>GAUTHIER Filippo</t>
        </is>
      </c>
    </row>
    <row r="1347" ht="15" customHeight="1">
      <c r="A1347" s="141" t="n"/>
      <c r="B1347" s="69">
        <f>IF('Calendario C'!B67="","",'Calendario C'!B67)</f>
        <v/>
      </c>
      <c r="C1347" s="9" t="n"/>
      <c r="D1347" s="9" t="n"/>
      <c r="E1347" s="9" t="n"/>
      <c r="F1347" s="9" t="n"/>
      <c r="G1347" s="9" t="n"/>
      <c r="H1347" s="10" t="n"/>
      <c r="I1347" s="62">
        <f>IF('Calendario C'!I67="","",'Calendario C'!I67)</f>
        <v/>
      </c>
      <c r="J1347" s="141" t="n"/>
      <c r="K1347" s="141" t="n"/>
      <c r="L1347" s="141" t="n"/>
      <c r="M1347" s="141" t="n"/>
      <c r="N1347" s="141" t="n"/>
      <c r="O1347" s="141" t="n"/>
      <c r="P1347" s="141" t="n"/>
      <c r="Q1347" s="141" t="n"/>
      <c r="R1347" s="141" t="n"/>
    </row>
    <row r="1348" ht="14" customHeight="1">
      <c r="A1348" s="81" t="inlineStr">
        <is>
          <t>Gara N.</t>
        </is>
      </c>
      <c r="B1348" s="81" t="inlineStr">
        <is>
          <t>Squadra A</t>
        </is>
      </c>
      <c r="C1348" s="10" t="n"/>
      <c r="D1348" s="81" t="inlineStr">
        <is>
          <t>Squadra B</t>
        </is>
      </c>
      <c r="E1348" s="10" t="n"/>
      <c r="F1348" s="81" t="inlineStr">
        <is>
          <t>Giorno</t>
        </is>
      </c>
      <c r="G1348" s="81" t="inlineStr">
        <is>
          <t>Data</t>
        </is>
      </c>
      <c r="H1348" s="81" t="inlineStr">
        <is>
          <t>Ora</t>
        </is>
      </c>
      <c r="I1348" s="10" t="n"/>
      <c r="J1348" s="81" t="inlineStr">
        <is>
          <t>Risultato</t>
        </is>
      </c>
      <c r="K1348" s="9" t="n"/>
      <c r="L1348" s="10" t="n"/>
      <c r="M1348" s="201" t="inlineStr">
        <is>
          <t>1o Arbitro</t>
        </is>
      </c>
      <c r="N1348" s="201" t="inlineStr">
        <is>
          <t>2o Arbitro</t>
        </is>
      </c>
      <c r="O1348" s="201" t="inlineStr">
        <is>
          <t>3o Arbitro/Tirocinante</t>
        </is>
      </c>
      <c r="P1348" s="201" t="inlineStr">
        <is>
          <t>Referto</t>
        </is>
      </c>
      <c r="Q1348" s="201" t="inlineStr">
        <is>
          <t>Cronometro</t>
        </is>
      </c>
      <c r="R1348" s="201" t="inlineStr">
        <is>
          <t>Foglio Tiri</t>
        </is>
      </c>
    </row>
    <row r="1349" ht="22" customHeight="1">
      <c r="A1349" s="83">
        <f>IF('Calendario C'!A69="","",'Calendario C'!A69)</f>
        <v/>
      </c>
      <c r="B1349" s="61">
        <f>IF('Calendario C'!B69="","",'Calendario C'!B69)</f>
        <v/>
      </c>
      <c r="C1349" s="62">
        <f>IF('Calendario C'!C69="","",'Calendario C'!C69)</f>
        <v/>
      </c>
      <c r="D1349" s="61">
        <f>IF('Calendario C'!D69="","",'Calendario C'!D69)</f>
        <v/>
      </c>
      <c r="E1349" s="62">
        <f>IF('Calendario C'!E69="","",'Calendario C'!E69)</f>
        <v/>
      </c>
      <c r="F1349" s="63">
        <f>IF('Calendario C'!F69="","",'Calendario C'!F69)</f>
        <v/>
      </c>
      <c r="G1349" s="9" t="n"/>
      <c r="H1349" s="9" t="n"/>
      <c r="I1349" s="10" t="n"/>
      <c r="J1349" s="195">
        <f>IF('Calendario C'!J69="","",'Calendario C'!J69)</f>
        <v/>
      </c>
      <c r="K1349" s="64" t="inlineStr">
        <is>
          <t>-</t>
        </is>
      </c>
      <c r="L1349" s="195">
        <f>IF('Calendario C'!L69="","",'Calendario C'!L69)</f>
        <v/>
      </c>
      <c r="M1349" s="196" t="inlineStr">
        <is>
          <t>AUBERT Greta [Aest]</t>
        </is>
      </c>
      <c r="N1349" s="196" t="inlineStr">
        <is>
          <t>NADAUD Mathilde [AA]</t>
        </is>
      </c>
      <c r="O1349" s="196" t="inlineStr">
        <is>
          <t>MORETTO Jonas [AAt]</t>
        </is>
      </c>
      <c r="P1349" s="196" t="inlineStr">
        <is>
          <t>CASTILLO Giulia</t>
        </is>
      </c>
      <c r="Q1349" s="196" t="inlineStr">
        <is>
          <t>LEFEVRE Mathilde</t>
        </is>
      </c>
      <c r="R1349" s="196" t="inlineStr">
        <is>
          <t>FOURNIER Lea</t>
        </is>
      </c>
    </row>
    <row r="1350" ht="15" customHeight="1">
      <c r="A1350" s="141" t="n"/>
      <c r="B1350" s="69">
        <f>IF('Calendario C'!B70="","",'Calendario C'!B70)</f>
        <v/>
      </c>
      <c r="C1350" s="9" t="n"/>
      <c r="D1350" s="9" t="n"/>
      <c r="E1350" s="9" t="n"/>
      <c r="F1350" s="9" t="n"/>
      <c r="G1350" s="9" t="n"/>
      <c r="H1350" s="10" t="n"/>
      <c r="I1350" s="62">
        <f>IF('Calendario C'!I70="","",'Calendario C'!I70)</f>
        <v/>
      </c>
      <c r="J1350" s="141" t="n"/>
      <c r="K1350" s="141" t="n"/>
      <c r="L1350" s="141" t="n"/>
      <c r="M1350" s="141" t="n"/>
      <c r="N1350" s="141" t="n"/>
      <c r="O1350" s="141" t="n"/>
      <c r="P1350" s="141" t="n"/>
      <c r="Q1350" s="141" t="n"/>
      <c r="R1350" s="141" t="n"/>
    </row>
    <row r="1352" ht="20" customHeight="1">
      <c r="A1352" s="78">
        <f>IF('Calendario C'!A72="","",'Calendario C'!A72)</f>
        <v/>
      </c>
      <c r="B1352" s="79">
        <f>IF('Calendario C'!B72="","",'Calendario C'!B72)</f>
        <v/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10" t="n"/>
      <c r="M1352" s="200" t="inlineStr">
        <is>
          <t>ARBITRI</t>
        </is>
      </c>
      <c r="N1352" s="9" t="n"/>
      <c r="O1352" s="10" t="n"/>
      <c r="P1352" s="200" t="inlineStr">
        <is>
          <t>UFFICIALI DI CAMPO</t>
        </is>
      </c>
      <c r="Q1352" s="9" t="n"/>
      <c r="R1352" s="10" t="n"/>
    </row>
    <row r="1353" ht="14" customHeight="1">
      <c r="A1353" s="81" t="inlineStr">
        <is>
          <t>Gara N.</t>
        </is>
      </c>
      <c r="B1353" s="81" t="inlineStr">
        <is>
          <t>Squadra A</t>
        </is>
      </c>
      <c r="C1353" s="10" t="n"/>
      <c r="D1353" s="81" t="inlineStr">
        <is>
          <t>Squadra B</t>
        </is>
      </c>
      <c r="E1353" s="10" t="n"/>
      <c r="F1353" s="81" t="inlineStr">
        <is>
          <t>Giorno</t>
        </is>
      </c>
      <c r="G1353" s="81" t="inlineStr">
        <is>
          <t>Data</t>
        </is>
      </c>
      <c r="H1353" s="81" t="inlineStr">
        <is>
          <t>Ora</t>
        </is>
      </c>
      <c r="I1353" s="10" t="n"/>
      <c r="J1353" s="81" t="inlineStr">
        <is>
          <t>Risultato</t>
        </is>
      </c>
      <c r="K1353" s="9" t="n"/>
      <c r="L1353" s="10" t="n"/>
      <c r="M1353" s="201" t="inlineStr">
        <is>
          <t>1o Arbitro</t>
        </is>
      </c>
      <c r="N1353" s="201" t="inlineStr">
        <is>
          <t>2o Arbitro</t>
        </is>
      </c>
      <c r="O1353" s="201" t="inlineStr">
        <is>
          <t>3o Arbitro/Tirocinante</t>
        </is>
      </c>
      <c r="P1353" s="201" t="inlineStr">
        <is>
          <t>Referto</t>
        </is>
      </c>
      <c r="Q1353" s="201" t="inlineStr">
        <is>
          <t>Cronometro</t>
        </is>
      </c>
      <c r="R1353" s="201" t="inlineStr">
        <is>
          <t>Foglio Tiri</t>
        </is>
      </c>
    </row>
    <row r="1354" ht="22" customHeight="1">
      <c r="A1354" s="83">
        <f>IF('Calendario C'!A74="","",'Calendario C'!A74)</f>
        <v/>
      </c>
      <c r="B1354" s="61">
        <f>IF('Calendario C'!B74="","",'Calendario C'!B74)</f>
        <v/>
      </c>
      <c r="C1354" s="62">
        <f>IF('Calendario C'!C74="","",'Calendario C'!C74)</f>
        <v/>
      </c>
      <c r="D1354" s="61">
        <f>IF('Calendario C'!D74="","",'Calendario C'!D74)</f>
        <v/>
      </c>
      <c r="E1354" s="62">
        <f>IF('Calendario C'!E74="","",'Calendario C'!E74)</f>
        <v/>
      </c>
      <c r="F1354" s="63">
        <f>IF('Calendario C'!F74="","",'Calendario C'!F74)</f>
        <v/>
      </c>
      <c r="G1354" s="9" t="n"/>
      <c r="H1354" s="9" t="n"/>
      <c r="I1354" s="10" t="n"/>
      <c r="J1354" s="195">
        <f>IF('Calendario C'!J74="","",'Calendario C'!J74)</f>
        <v/>
      </c>
      <c r="K1354" s="64" t="inlineStr">
        <is>
          <t>-</t>
        </is>
      </c>
      <c r="L1354" s="195">
        <f>IF('Calendario C'!L74="","",'Calendario C'!L74)</f>
        <v/>
      </c>
      <c r="M1354" s="196" t="inlineStr">
        <is>
          <t>HORVAT Davide [Aest]</t>
        </is>
      </c>
      <c r="N1354" s="196" t="inlineStr">
        <is>
          <t>FUENTES Matteo [Aest]</t>
        </is>
      </c>
      <c r="O1354" s="196" t="inlineStr">
        <is>
          <t>ENGEL Luca [AA]</t>
        </is>
      </c>
      <c r="P1354" s="196" t="inlineStr">
        <is>
          <t>FERRANTE Chiara</t>
        </is>
      </c>
      <c r="Q1354" s="196" t="inlineStr">
        <is>
          <t>VIDMAR Diego</t>
        </is>
      </c>
      <c r="R1354" s="196" t="inlineStr">
        <is>
          <t>KOVAC Gaelle</t>
        </is>
      </c>
    </row>
    <row r="1355" ht="15" customHeight="1">
      <c r="A1355" s="141" t="n"/>
      <c r="B1355" s="69">
        <f>IF('Calendario C'!B75="","",'Calendario C'!B75)</f>
        <v/>
      </c>
      <c r="C1355" s="9" t="n"/>
      <c r="D1355" s="9" t="n"/>
      <c r="E1355" s="9" t="n"/>
      <c r="F1355" s="9" t="n"/>
      <c r="G1355" s="9" t="n"/>
      <c r="H1355" s="10" t="n"/>
      <c r="I1355" s="62">
        <f>IF('Calendario C'!I75="","",'Calendario C'!I75)</f>
        <v/>
      </c>
      <c r="J1355" s="141" t="n"/>
      <c r="K1355" s="141" t="n"/>
      <c r="L1355" s="141" t="n"/>
      <c r="M1355" s="141" t="n"/>
      <c r="N1355" s="141" t="n"/>
      <c r="O1355" s="141" t="n"/>
      <c r="P1355" s="141" t="n"/>
      <c r="Q1355" s="141" t="n"/>
      <c r="R1355" s="141" t="n"/>
    </row>
    <row r="1356" ht="14" customHeight="1">
      <c r="A1356" s="81" t="inlineStr">
        <is>
          <t>Gara N.</t>
        </is>
      </c>
      <c r="B1356" s="81" t="inlineStr">
        <is>
          <t>Squadra A</t>
        </is>
      </c>
      <c r="C1356" s="10" t="n"/>
      <c r="D1356" s="81" t="inlineStr">
        <is>
          <t>Squadra B</t>
        </is>
      </c>
      <c r="E1356" s="10" t="n"/>
      <c r="F1356" s="81" t="inlineStr">
        <is>
          <t>Giorno</t>
        </is>
      </c>
      <c r="G1356" s="81" t="inlineStr">
        <is>
          <t>Data</t>
        </is>
      </c>
      <c r="H1356" s="81" t="inlineStr">
        <is>
          <t>Ora</t>
        </is>
      </c>
      <c r="I1356" s="10" t="n"/>
      <c r="J1356" s="81" t="inlineStr">
        <is>
          <t>Risultato</t>
        </is>
      </c>
      <c r="K1356" s="9" t="n"/>
      <c r="L1356" s="10" t="n"/>
      <c r="M1356" s="201" t="inlineStr">
        <is>
          <t>1o Arbitro</t>
        </is>
      </c>
      <c r="N1356" s="201" t="inlineStr">
        <is>
          <t>2o Arbitro</t>
        </is>
      </c>
      <c r="O1356" s="201" t="inlineStr">
        <is>
          <t>3o Arbitro/Tirocinante</t>
        </is>
      </c>
      <c r="P1356" s="201" t="inlineStr">
        <is>
          <t>Referto</t>
        </is>
      </c>
      <c r="Q1356" s="201" t="inlineStr">
        <is>
          <t>Cronometro</t>
        </is>
      </c>
      <c r="R1356" s="201" t="inlineStr">
        <is>
          <t>Foglio Tiri</t>
        </is>
      </c>
    </row>
    <row r="1357" ht="22" customHeight="1">
      <c r="A1357" s="83">
        <f>IF('Calendario C'!A77="","",'Calendario C'!A77)</f>
        <v/>
      </c>
      <c r="B1357" s="61">
        <f>IF('Calendario C'!B77="","",'Calendario C'!B77)</f>
        <v/>
      </c>
      <c r="C1357" s="62">
        <f>IF('Calendario C'!C77="","",'Calendario C'!C77)</f>
        <v/>
      </c>
      <c r="D1357" s="61">
        <f>IF('Calendario C'!D77="","",'Calendario C'!D77)</f>
        <v/>
      </c>
      <c r="E1357" s="62">
        <f>IF('Calendario C'!E77="","",'Calendario C'!E77)</f>
        <v/>
      </c>
      <c r="F1357" s="63">
        <f>IF('Calendario C'!F77="","",'Calendario C'!F77)</f>
        <v/>
      </c>
      <c r="G1357" s="9" t="n"/>
      <c r="H1357" s="9" t="n"/>
      <c r="I1357" s="10" t="n"/>
      <c r="J1357" s="195">
        <f>IF('Calendario C'!J77="","",'Calendario C'!J77)</f>
        <v/>
      </c>
      <c r="K1357" s="64" t="inlineStr">
        <is>
          <t>-</t>
        </is>
      </c>
      <c r="L1357" s="195">
        <f>IF('Calendario C'!L77="","",'Calendario C'!L77)</f>
        <v/>
      </c>
      <c r="M1357" s="196" t="inlineStr">
        <is>
          <t>MARCHIONI Lea [AAt]</t>
        </is>
      </c>
      <c r="N1357" s="196" t="inlineStr">
        <is>
          <t>GALLINI Lukas [AA]</t>
        </is>
      </c>
      <c r="O1357" s="196" t="inlineStr">
        <is>
          <t>MODIC Miha [A]</t>
        </is>
      </c>
      <c r="P1357" s="196" t="inlineStr">
        <is>
          <t>HORVAT Matteo</t>
        </is>
      </c>
      <c r="Q1357" s="196" t="inlineStr">
        <is>
          <t>BRANDT Paolo</t>
        </is>
      </c>
      <c r="R1357" s="196" t="inlineStr">
        <is>
          <t>KRUGER Paolo</t>
        </is>
      </c>
    </row>
    <row r="1358" ht="15" customHeight="1">
      <c r="A1358" s="141" t="n"/>
      <c r="B1358" s="69">
        <f>IF('Calendario C'!B78="","",'Calendario C'!B78)</f>
        <v/>
      </c>
      <c r="C1358" s="9" t="n"/>
      <c r="D1358" s="9" t="n"/>
      <c r="E1358" s="9" t="n"/>
      <c r="F1358" s="9" t="n"/>
      <c r="G1358" s="9" t="n"/>
      <c r="H1358" s="10" t="n"/>
      <c r="I1358" s="62">
        <f>IF('Calendario C'!I78="","",'Calendario C'!I78)</f>
        <v/>
      </c>
      <c r="J1358" s="141" t="n"/>
      <c r="K1358" s="141" t="n"/>
      <c r="L1358" s="141" t="n"/>
      <c r="M1358" s="141" t="n"/>
      <c r="N1358" s="141" t="n"/>
      <c r="O1358" s="141" t="n"/>
      <c r="P1358" s="141" t="n"/>
      <c r="Q1358" s="141" t="n"/>
      <c r="R1358" s="141" t="n"/>
    </row>
    <row r="1359" ht="14" customHeight="1">
      <c r="A1359" s="81" t="inlineStr">
        <is>
          <t>Gara N.</t>
        </is>
      </c>
      <c r="B1359" s="81" t="inlineStr">
        <is>
          <t>Squadra A</t>
        </is>
      </c>
      <c r="C1359" s="10" t="n"/>
      <c r="D1359" s="81" t="inlineStr">
        <is>
          <t>Squadra B</t>
        </is>
      </c>
      <c r="E1359" s="10" t="n"/>
      <c r="F1359" s="81" t="inlineStr">
        <is>
          <t>Giorno</t>
        </is>
      </c>
      <c r="G1359" s="81" t="inlineStr">
        <is>
          <t>Data</t>
        </is>
      </c>
      <c r="H1359" s="81" t="inlineStr">
        <is>
          <t>Ora</t>
        </is>
      </c>
      <c r="I1359" s="10" t="n"/>
      <c r="J1359" s="81" t="inlineStr">
        <is>
          <t>Risultato</t>
        </is>
      </c>
      <c r="K1359" s="9" t="n"/>
      <c r="L1359" s="10" t="n"/>
      <c r="M1359" s="201" t="inlineStr">
        <is>
          <t>1o Arbitro</t>
        </is>
      </c>
      <c r="N1359" s="201" t="inlineStr">
        <is>
          <t>2o Arbitro</t>
        </is>
      </c>
      <c r="O1359" s="201" t="inlineStr">
        <is>
          <t>3o Arbitro/Tirocinante</t>
        </is>
      </c>
      <c r="P1359" s="201" t="inlineStr">
        <is>
          <t>Referto</t>
        </is>
      </c>
      <c r="Q1359" s="201" t="inlineStr">
        <is>
          <t>Cronometro</t>
        </is>
      </c>
      <c r="R1359" s="201" t="inlineStr">
        <is>
          <t>Foglio Tiri</t>
        </is>
      </c>
    </row>
    <row r="1360" ht="22" customHeight="1">
      <c r="A1360" s="83">
        <f>IF('Calendario C'!A80="","",'Calendario C'!A80)</f>
        <v/>
      </c>
      <c r="B1360" s="61">
        <f>IF('Calendario C'!B80="","",'Calendario C'!B80)</f>
        <v/>
      </c>
      <c r="C1360" s="62">
        <f>IF('Calendario C'!C80="","",'Calendario C'!C80)</f>
        <v/>
      </c>
      <c r="D1360" s="61">
        <f>IF('Calendario C'!D80="","",'Calendario C'!D80)</f>
        <v/>
      </c>
      <c r="E1360" s="62">
        <f>IF('Calendario C'!E80="","",'Calendario C'!E80)</f>
        <v/>
      </c>
      <c r="F1360" s="63">
        <f>IF('Calendario C'!F80="","",'Calendario C'!F80)</f>
        <v/>
      </c>
      <c r="G1360" s="9" t="n"/>
      <c r="H1360" s="9" t="n"/>
      <c r="I1360" s="10" t="n"/>
      <c r="J1360" s="195">
        <f>IF('Calendario C'!J80="","",'Calendario C'!J80)</f>
        <v/>
      </c>
      <c r="K1360" s="64" t="inlineStr">
        <is>
          <t>-</t>
        </is>
      </c>
      <c r="L1360" s="195">
        <f>IF('Calendario C'!L80="","",'Calendario C'!L80)</f>
        <v/>
      </c>
      <c r="M1360" s="196" t="inlineStr">
        <is>
          <t>BRANDT Filippo [AAt]</t>
        </is>
      </c>
      <c r="N1360" s="196" t="inlineStr">
        <is>
          <t>NOVAK Lea [AA]</t>
        </is>
      </c>
      <c r="O1360" s="196" t="inlineStr">
        <is>
          <t>SOLER Davide [A]</t>
        </is>
      </c>
      <c r="P1360" s="196" t="inlineStr">
        <is>
          <t>NADAUD Mathilde</t>
        </is>
      </c>
      <c r="Q1360" s="196" t="inlineStr">
        <is>
          <t>SANTORI Filippo</t>
        </is>
      </c>
      <c r="R1360" s="196" t="inlineStr">
        <is>
          <t>PRADO Eva</t>
        </is>
      </c>
    </row>
    <row r="1361" ht="15" customHeight="1">
      <c r="A1361" s="141" t="n"/>
      <c r="B1361" s="69">
        <f>IF('Calendario C'!B81="","",'Calendario C'!B81)</f>
        <v/>
      </c>
      <c r="C1361" s="9" t="n"/>
      <c r="D1361" s="9" t="n"/>
      <c r="E1361" s="9" t="n"/>
      <c r="F1361" s="9" t="n"/>
      <c r="G1361" s="9" t="n"/>
      <c r="H1361" s="10" t="n"/>
      <c r="I1361" s="62">
        <f>IF('Calendario C'!I81="","",'Calendario C'!I81)</f>
        <v/>
      </c>
      <c r="J1361" s="141" t="n"/>
      <c r="K1361" s="141" t="n"/>
      <c r="L1361" s="141" t="n"/>
      <c r="M1361" s="141" t="n"/>
      <c r="N1361" s="141" t="n"/>
      <c r="O1361" s="141" t="n"/>
      <c r="P1361" s="141" t="n"/>
      <c r="Q1361" s="141" t="n"/>
      <c r="R1361" s="141" t="n"/>
    </row>
    <row r="1362" ht="14" customHeight="1">
      <c r="A1362" s="81" t="inlineStr">
        <is>
          <t>Gara N.</t>
        </is>
      </c>
      <c r="B1362" s="81" t="inlineStr">
        <is>
          <t>Squadra A</t>
        </is>
      </c>
      <c r="C1362" s="10" t="n"/>
      <c r="D1362" s="81" t="inlineStr">
        <is>
          <t>Squadra B</t>
        </is>
      </c>
      <c r="E1362" s="10" t="n"/>
      <c r="F1362" s="81" t="inlineStr">
        <is>
          <t>Giorno</t>
        </is>
      </c>
      <c r="G1362" s="81" t="inlineStr">
        <is>
          <t>Data</t>
        </is>
      </c>
      <c r="H1362" s="81" t="inlineStr">
        <is>
          <t>Ora</t>
        </is>
      </c>
      <c r="I1362" s="10" t="n"/>
      <c r="J1362" s="81" t="inlineStr">
        <is>
          <t>Risultato</t>
        </is>
      </c>
      <c r="K1362" s="9" t="n"/>
      <c r="L1362" s="10" t="n"/>
      <c r="M1362" s="201" t="inlineStr">
        <is>
          <t>1o Arbitro</t>
        </is>
      </c>
      <c r="N1362" s="201" t="inlineStr">
        <is>
          <t>2o Arbitro</t>
        </is>
      </c>
      <c r="O1362" s="201" t="inlineStr">
        <is>
          <t>3o Arbitro/Tirocinante</t>
        </is>
      </c>
      <c r="P1362" s="201" t="inlineStr">
        <is>
          <t>Referto</t>
        </is>
      </c>
      <c r="Q1362" s="201" t="inlineStr">
        <is>
          <t>Cronometro</t>
        </is>
      </c>
      <c r="R1362" s="201" t="inlineStr">
        <is>
          <t>Foglio Tiri</t>
        </is>
      </c>
    </row>
    <row r="1363" ht="22" customHeight="1">
      <c r="A1363" s="83">
        <f>IF('Calendario C'!A83="","",'Calendario C'!A83)</f>
        <v/>
      </c>
      <c r="B1363" s="61">
        <f>IF('Calendario C'!B83="","",'Calendario C'!B83)</f>
        <v/>
      </c>
      <c r="C1363" s="62">
        <f>IF('Calendario C'!C83="","",'Calendario C'!C83)</f>
        <v/>
      </c>
      <c r="D1363" s="61">
        <f>IF('Calendario C'!D83="","",'Calendario C'!D83)</f>
        <v/>
      </c>
      <c r="E1363" s="62">
        <f>IF('Calendario C'!E83="","",'Calendario C'!E83)</f>
        <v/>
      </c>
      <c r="F1363" s="63">
        <f>IF('Calendario C'!F83="","",'Calendario C'!F83)</f>
        <v/>
      </c>
      <c r="G1363" s="9" t="n"/>
      <c r="H1363" s="9" t="n"/>
      <c r="I1363" s="10" t="n"/>
      <c r="J1363" s="195">
        <f>IF('Calendario C'!J83="","",'Calendario C'!J83)</f>
        <v/>
      </c>
      <c r="K1363" s="64" t="inlineStr">
        <is>
          <t>-</t>
        </is>
      </c>
      <c r="L1363" s="195">
        <f>IF('Calendario C'!L83="","",'Calendario C'!L83)</f>
        <v/>
      </c>
      <c r="M1363" s="196" t="inlineStr">
        <is>
          <t>BIANCHELLI Paolo [AA]</t>
        </is>
      </c>
      <c r="N1363" s="196" t="inlineStr">
        <is>
          <t>CARON Giulia [AAt]</t>
        </is>
      </c>
      <c r="O1363" s="196" t="inlineStr">
        <is>
          <t>CAMPOS Jonas [AAt]</t>
        </is>
      </c>
      <c r="P1363" s="196" t="inlineStr">
        <is>
          <t>CONTARDI Miha</t>
        </is>
      </c>
      <c r="Q1363" s="196" t="inlineStr">
        <is>
          <t>AUBERT Giulia</t>
        </is>
      </c>
      <c r="R1363" s="196" t="inlineStr">
        <is>
          <t>BIANCHELLI Katrin</t>
        </is>
      </c>
    </row>
    <row r="1364" ht="15" customHeight="1">
      <c r="A1364" s="141" t="n"/>
      <c r="B1364" s="69">
        <f>IF('Calendario C'!B84="","",'Calendario C'!B84)</f>
        <v/>
      </c>
      <c r="C1364" s="9" t="n"/>
      <c r="D1364" s="9" t="n"/>
      <c r="E1364" s="9" t="n"/>
      <c r="F1364" s="9" t="n"/>
      <c r="G1364" s="9" t="n"/>
      <c r="H1364" s="10" t="n"/>
      <c r="I1364" s="62">
        <f>IF('Calendario C'!I84="","",'Calendario C'!I84)</f>
        <v/>
      </c>
      <c r="J1364" s="141" t="n"/>
      <c r="K1364" s="141" t="n"/>
      <c r="L1364" s="141" t="n"/>
      <c r="M1364" s="141" t="n"/>
      <c r="N1364" s="141" t="n"/>
      <c r="O1364" s="141" t="n"/>
      <c r="P1364" s="141" t="n"/>
      <c r="Q1364" s="141" t="n"/>
      <c r="R1364" s="141" t="n"/>
    </row>
    <row r="1365" ht="14" customHeight="1">
      <c r="A1365" s="81" t="inlineStr">
        <is>
          <t>Gara N.</t>
        </is>
      </c>
      <c r="B1365" s="81" t="inlineStr">
        <is>
          <t>Squadra A</t>
        </is>
      </c>
      <c r="C1365" s="10" t="n"/>
      <c r="D1365" s="81" t="inlineStr">
        <is>
          <t>Squadra B</t>
        </is>
      </c>
      <c r="E1365" s="10" t="n"/>
      <c r="F1365" s="81" t="inlineStr">
        <is>
          <t>Giorno</t>
        </is>
      </c>
      <c r="G1365" s="81" t="inlineStr">
        <is>
          <t>Data</t>
        </is>
      </c>
      <c r="H1365" s="81" t="inlineStr">
        <is>
          <t>Ora</t>
        </is>
      </c>
      <c r="I1365" s="10" t="n"/>
      <c r="J1365" s="81" t="inlineStr">
        <is>
          <t>Risultato</t>
        </is>
      </c>
      <c r="K1365" s="9" t="n"/>
      <c r="L1365" s="10" t="n"/>
      <c r="M1365" s="201" t="inlineStr">
        <is>
          <t>1o Arbitro</t>
        </is>
      </c>
      <c r="N1365" s="201" t="inlineStr">
        <is>
          <t>2o Arbitro</t>
        </is>
      </c>
      <c r="O1365" s="201" t="inlineStr">
        <is>
          <t>3o Arbitro/Tirocinante</t>
        </is>
      </c>
      <c r="P1365" s="201" t="inlineStr">
        <is>
          <t>Referto</t>
        </is>
      </c>
      <c r="Q1365" s="201" t="inlineStr">
        <is>
          <t>Cronometro</t>
        </is>
      </c>
      <c r="R1365" s="201" t="inlineStr">
        <is>
          <t>Foglio Tiri</t>
        </is>
      </c>
    </row>
    <row r="1366" ht="22" customHeight="1">
      <c r="A1366" s="83">
        <f>IF('Calendario C'!A86="","",'Calendario C'!A86)</f>
        <v/>
      </c>
      <c r="B1366" s="61">
        <f>IF('Calendario C'!B86="","",'Calendario C'!B86)</f>
        <v/>
      </c>
      <c r="C1366" s="62">
        <f>IF('Calendario C'!C86="","",'Calendario C'!C86)</f>
        <v/>
      </c>
      <c r="D1366" s="61">
        <f>IF('Calendario C'!D86="","",'Calendario C'!D86)</f>
        <v/>
      </c>
      <c r="E1366" s="62">
        <f>IF('Calendario C'!E86="","",'Calendario C'!E86)</f>
        <v/>
      </c>
      <c r="F1366" s="63">
        <f>IF('Calendario C'!F86="","",'Calendario C'!F86)</f>
        <v/>
      </c>
      <c r="G1366" s="9" t="n"/>
      <c r="H1366" s="9" t="n"/>
      <c r="I1366" s="10" t="n"/>
      <c r="J1366" s="195">
        <f>IF('Calendario C'!J86="","",'Calendario C'!J86)</f>
        <v/>
      </c>
      <c r="K1366" s="64" t="inlineStr">
        <is>
          <t>-</t>
        </is>
      </c>
      <c r="L1366" s="195">
        <f>IF('Calendario C'!L86="","",'Calendario C'!L86)</f>
        <v/>
      </c>
      <c r="M1366" s="196" t="inlineStr">
        <is>
          <t>LEROUX Hugo [Aest]</t>
        </is>
      </c>
      <c r="N1366" s="196" t="inlineStr">
        <is>
          <t>ROTH Andrea [AAt]</t>
        </is>
      </c>
      <c r="O1366" s="196" t="inlineStr">
        <is>
          <t>CARON Paolo [AA]</t>
        </is>
      </c>
      <c r="P1366" s="196" t="inlineStr">
        <is>
          <t>NAVARRO Paula</t>
        </is>
      </c>
      <c r="Q1366" s="196" t="inlineStr">
        <is>
          <t>GAUTHIER Irene</t>
        </is>
      </c>
      <c r="R1366" s="196" t="inlineStr">
        <is>
          <t>BLANCO Giulia</t>
        </is>
      </c>
    </row>
    <row r="1367" ht="15" customHeight="1">
      <c r="A1367" s="141" t="n"/>
      <c r="B1367" s="69">
        <f>IF('Calendario C'!B87="","",'Calendario C'!B87)</f>
        <v/>
      </c>
      <c r="C1367" s="9" t="n"/>
      <c r="D1367" s="9" t="n"/>
      <c r="E1367" s="9" t="n"/>
      <c r="F1367" s="9" t="n"/>
      <c r="G1367" s="9" t="n"/>
      <c r="H1367" s="10" t="n"/>
      <c r="I1367" s="62">
        <f>IF('Calendario C'!I87="","",'Calendario C'!I87)</f>
        <v/>
      </c>
      <c r="J1367" s="141" t="n"/>
      <c r="K1367" s="141" t="n"/>
      <c r="L1367" s="141" t="n"/>
      <c r="M1367" s="141" t="n"/>
      <c r="N1367" s="141" t="n"/>
      <c r="O1367" s="141" t="n"/>
      <c r="P1367" s="141" t="n"/>
      <c r="Q1367" s="141" t="n"/>
      <c r="R1367" s="141" t="n"/>
    </row>
    <row r="1368" ht="14" customHeight="1">
      <c r="A1368" s="81" t="inlineStr">
        <is>
          <t>Gara N.</t>
        </is>
      </c>
      <c r="B1368" s="81" t="inlineStr">
        <is>
          <t>Squadra A</t>
        </is>
      </c>
      <c r="C1368" s="10" t="n"/>
      <c r="D1368" s="81" t="inlineStr">
        <is>
          <t>Squadra B</t>
        </is>
      </c>
      <c r="E1368" s="10" t="n"/>
      <c r="F1368" s="81" t="inlineStr">
        <is>
          <t>Giorno</t>
        </is>
      </c>
      <c r="G1368" s="81" t="inlineStr">
        <is>
          <t>Data</t>
        </is>
      </c>
      <c r="H1368" s="81" t="inlineStr">
        <is>
          <t>Ora</t>
        </is>
      </c>
      <c r="I1368" s="10" t="n"/>
      <c r="J1368" s="81" t="inlineStr">
        <is>
          <t>Risultato</t>
        </is>
      </c>
      <c r="K1368" s="9" t="n"/>
      <c r="L1368" s="10" t="n"/>
      <c r="M1368" s="201" t="inlineStr">
        <is>
          <t>1o Arbitro</t>
        </is>
      </c>
      <c r="N1368" s="201" t="inlineStr">
        <is>
          <t>2o Arbitro</t>
        </is>
      </c>
      <c r="O1368" s="201" t="inlineStr">
        <is>
          <t>3o Arbitro/Tirocinante</t>
        </is>
      </c>
      <c r="P1368" s="201" t="inlineStr">
        <is>
          <t>Referto</t>
        </is>
      </c>
      <c r="Q1368" s="201" t="inlineStr">
        <is>
          <t>Cronometro</t>
        </is>
      </c>
      <c r="R1368" s="201" t="inlineStr">
        <is>
          <t>Foglio Tiri</t>
        </is>
      </c>
    </row>
    <row r="1369" ht="22" customHeight="1">
      <c r="A1369" s="83">
        <f>IF('Calendario C'!A89="","",'Calendario C'!A89)</f>
        <v/>
      </c>
      <c r="B1369" s="61">
        <f>IF('Calendario C'!B89="","",'Calendario C'!B89)</f>
        <v/>
      </c>
      <c r="C1369" s="62">
        <f>IF('Calendario C'!C89="","",'Calendario C'!C89)</f>
        <v/>
      </c>
      <c r="D1369" s="61">
        <f>IF('Calendario C'!D89="","",'Calendario C'!D89)</f>
        <v/>
      </c>
      <c r="E1369" s="62">
        <f>IF('Calendario C'!E89="","",'Calendario C'!E89)</f>
        <v/>
      </c>
      <c r="F1369" s="63">
        <f>IF('Calendario C'!F89="","",'Calendario C'!F89)</f>
        <v/>
      </c>
      <c r="G1369" s="9" t="n"/>
      <c r="H1369" s="9" t="n"/>
      <c r="I1369" s="10" t="n"/>
      <c r="J1369" s="195">
        <f>IF('Calendario C'!J89="","",'Calendario C'!J89)</f>
        <v/>
      </c>
      <c r="K1369" s="64" t="inlineStr">
        <is>
          <t>-</t>
        </is>
      </c>
      <c r="L1369" s="195">
        <f>IF('Calendario C'!L89="","",'Calendario C'!L89)</f>
        <v/>
      </c>
      <c r="M1369" s="196" t="inlineStr">
        <is>
          <t>MODIC Lukas [AAt]</t>
        </is>
      </c>
      <c r="N1369" s="196" t="inlineStr">
        <is>
          <t>MARCHIONI Lukas [AAt]</t>
        </is>
      </c>
      <c r="O1369" s="196" t="inlineStr">
        <is>
          <t>BIANCHELLI Felix [Aest]</t>
        </is>
      </c>
      <c r="P1369" s="196" t="inlineStr">
        <is>
          <t>BIANCHELLI Katrin</t>
        </is>
      </c>
      <c r="Q1369" s="196" t="inlineStr">
        <is>
          <t>LEFEVRE Mathilde</t>
        </is>
      </c>
      <c r="R1369" s="196" t="inlineStr">
        <is>
          <t>ROTH Stefano</t>
        </is>
      </c>
    </row>
    <row r="1370" ht="15" customHeight="1">
      <c r="A1370" s="141" t="n"/>
      <c r="B1370" s="69">
        <f>IF('Calendario C'!B90="","",'Calendario C'!B90)</f>
        <v/>
      </c>
      <c r="C1370" s="9" t="n"/>
      <c r="D1370" s="9" t="n"/>
      <c r="E1370" s="9" t="n"/>
      <c r="F1370" s="9" t="n"/>
      <c r="G1370" s="9" t="n"/>
      <c r="H1370" s="10" t="n"/>
      <c r="I1370" s="62">
        <f>IF('Calendario C'!I90="","",'Calendario C'!I90)</f>
        <v/>
      </c>
      <c r="J1370" s="141" t="n"/>
      <c r="K1370" s="141" t="n"/>
      <c r="L1370" s="141" t="n"/>
      <c r="M1370" s="141" t="n"/>
      <c r="N1370" s="141" t="n"/>
      <c r="O1370" s="141" t="n"/>
      <c r="P1370" s="141" t="n"/>
      <c r="Q1370" s="141" t="n"/>
      <c r="R1370" s="141" t="n"/>
    </row>
    <row r="1371" ht="14" customHeight="1">
      <c r="A1371" s="81" t="inlineStr">
        <is>
          <t>Gara N.</t>
        </is>
      </c>
      <c r="B1371" s="81" t="inlineStr">
        <is>
          <t>Squadra A</t>
        </is>
      </c>
      <c r="C1371" s="10" t="n"/>
      <c r="D1371" s="81" t="inlineStr">
        <is>
          <t>Squadra B</t>
        </is>
      </c>
      <c r="E1371" s="10" t="n"/>
      <c r="F1371" s="81" t="inlineStr">
        <is>
          <t>Giorno</t>
        </is>
      </c>
      <c r="G1371" s="81" t="inlineStr">
        <is>
          <t>Data</t>
        </is>
      </c>
      <c r="H1371" s="81" t="inlineStr">
        <is>
          <t>Ora</t>
        </is>
      </c>
      <c r="I1371" s="10" t="n"/>
      <c r="J1371" s="81" t="inlineStr">
        <is>
          <t>Risultato</t>
        </is>
      </c>
      <c r="K1371" s="9" t="n"/>
      <c r="L1371" s="10" t="n"/>
      <c r="M1371" s="201" t="inlineStr">
        <is>
          <t>1o Arbitro</t>
        </is>
      </c>
      <c r="N1371" s="201" t="inlineStr">
        <is>
          <t>2o Arbitro</t>
        </is>
      </c>
      <c r="O1371" s="201" t="inlineStr">
        <is>
          <t>3o Arbitro/Tirocinante</t>
        </is>
      </c>
      <c r="P1371" s="201" t="inlineStr">
        <is>
          <t>Referto</t>
        </is>
      </c>
      <c r="Q1371" s="201" t="inlineStr">
        <is>
          <t>Cronometro</t>
        </is>
      </c>
      <c r="R1371" s="201" t="inlineStr">
        <is>
          <t>Foglio Tiri</t>
        </is>
      </c>
    </row>
    <row r="1372" ht="22" customHeight="1">
      <c r="A1372" s="83">
        <f>IF('Calendario C'!A92="","",'Calendario C'!A92)</f>
        <v/>
      </c>
      <c r="B1372" s="61">
        <f>IF('Calendario C'!B92="","",'Calendario C'!B92)</f>
        <v/>
      </c>
      <c r="C1372" s="62">
        <f>IF('Calendario C'!C92="","",'Calendario C'!C92)</f>
        <v/>
      </c>
      <c r="D1372" s="61">
        <f>IF('Calendario C'!D92="","",'Calendario C'!D92)</f>
        <v/>
      </c>
      <c r="E1372" s="62">
        <f>IF('Calendario C'!E92="","",'Calendario C'!E92)</f>
        <v/>
      </c>
      <c r="F1372" s="63">
        <f>IF('Calendario C'!F92="","",'Calendario C'!F92)</f>
        <v/>
      </c>
      <c r="G1372" s="9" t="n"/>
      <c r="H1372" s="9" t="n"/>
      <c r="I1372" s="10" t="n"/>
      <c r="J1372" s="195">
        <f>IF('Calendario C'!J92="","",'Calendario C'!J92)</f>
        <v/>
      </c>
      <c r="K1372" s="64" t="inlineStr">
        <is>
          <t>-</t>
        </is>
      </c>
      <c r="L1372" s="195">
        <f>IF('Calendario C'!L92="","",'Calendario C'!L92)</f>
        <v/>
      </c>
      <c r="M1372" s="196" t="inlineStr">
        <is>
          <t>HOFFMANN Mathilde [AAt]</t>
        </is>
      </c>
      <c r="N1372" s="196" t="inlineStr">
        <is>
          <t>SCHAFER Eva [AA]</t>
        </is>
      </c>
      <c r="O1372" s="196" t="inlineStr">
        <is>
          <t>BELLANDI Chiara [Aest]</t>
        </is>
      </c>
      <c r="P1372" s="196" t="inlineStr">
        <is>
          <t>VIDMAR Chiara</t>
        </is>
      </c>
      <c r="Q1372" s="196" t="inlineStr">
        <is>
          <t>KELLER Jonas</t>
        </is>
      </c>
      <c r="R1372" s="196" t="inlineStr">
        <is>
          <t>KRUGER Marco</t>
        </is>
      </c>
    </row>
    <row r="1373" ht="15" customHeight="1">
      <c r="A1373" s="141" t="n"/>
      <c r="B1373" s="69">
        <f>IF('Calendario C'!B93="","",'Calendario C'!B93)</f>
        <v/>
      </c>
      <c r="C1373" s="9" t="n"/>
      <c r="D1373" s="9" t="n"/>
      <c r="E1373" s="9" t="n"/>
      <c r="F1373" s="9" t="n"/>
      <c r="G1373" s="9" t="n"/>
      <c r="H1373" s="10" t="n"/>
      <c r="I1373" s="62">
        <f>IF('Calendario C'!I93="","",'Calendario C'!I93)</f>
        <v/>
      </c>
      <c r="J1373" s="141" t="n"/>
      <c r="K1373" s="141" t="n"/>
      <c r="L1373" s="141" t="n"/>
      <c r="M1373" s="141" t="n"/>
      <c r="N1373" s="141" t="n"/>
      <c r="O1373" s="141" t="n"/>
      <c r="P1373" s="141" t="n"/>
      <c r="Q1373" s="141" t="n"/>
      <c r="R1373" s="141" t="n"/>
    </row>
    <row r="1374" ht="14" customHeight="1">
      <c r="A1374" s="81" t="inlineStr">
        <is>
          <t>Gara N.</t>
        </is>
      </c>
      <c r="B1374" s="81" t="inlineStr">
        <is>
          <t>Squadra A</t>
        </is>
      </c>
      <c r="C1374" s="10" t="n"/>
      <c r="D1374" s="81" t="inlineStr">
        <is>
          <t>Squadra B</t>
        </is>
      </c>
      <c r="E1374" s="10" t="n"/>
      <c r="F1374" s="81" t="inlineStr">
        <is>
          <t>Giorno</t>
        </is>
      </c>
      <c r="G1374" s="81" t="inlineStr">
        <is>
          <t>Data</t>
        </is>
      </c>
      <c r="H1374" s="81" t="inlineStr">
        <is>
          <t>Ora</t>
        </is>
      </c>
      <c r="I1374" s="10" t="n"/>
      <c r="J1374" s="81" t="inlineStr">
        <is>
          <t>Risultato</t>
        </is>
      </c>
      <c r="K1374" s="9" t="n"/>
      <c r="L1374" s="10" t="n"/>
      <c r="M1374" s="201" t="inlineStr">
        <is>
          <t>1o Arbitro</t>
        </is>
      </c>
      <c r="N1374" s="201" t="inlineStr">
        <is>
          <t>2o Arbitro</t>
        </is>
      </c>
      <c r="O1374" s="201" t="inlineStr">
        <is>
          <t>3o Arbitro/Tirocinante</t>
        </is>
      </c>
      <c r="P1374" s="201" t="inlineStr">
        <is>
          <t>Referto</t>
        </is>
      </c>
      <c r="Q1374" s="201" t="inlineStr">
        <is>
          <t>Cronometro</t>
        </is>
      </c>
      <c r="R1374" s="201" t="inlineStr">
        <is>
          <t>Foglio Tiri</t>
        </is>
      </c>
    </row>
    <row r="1375" ht="22" customHeight="1">
      <c r="A1375" s="83">
        <f>IF('Calendario C'!A95="","",'Calendario C'!A95)</f>
        <v/>
      </c>
      <c r="B1375" s="61">
        <f>IF('Calendario C'!B95="","",'Calendario C'!B95)</f>
        <v/>
      </c>
      <c r="C1375" s="62">
        <f>IF('Calendario C'!C95="","",'Calendario C'!C95)</f>
        <v/>
      </c>
      <c r="D1375" s="61">
        <f>IF('Calendario C'!D95="","",'Calendario C'!D95)</f>
        <v/>
      </c>
      <c r="E1375" s="62">
        <f>IF('Calendario C'!E95="","",'Calendario C'!E95)</f>
        <v/>
      </c>
      <c r="F1375" s="63">
        <f>IF('Calendario C'!F95="","",'Calendario C'!F95)</f>
        <v/>
      </c>
      <c r="G1375" s="9" t="n"/>
      <c r="H1375" s="9" t="n"/>
      <c r="I1375" s="10" t="n"/>
      <c r="J1375" s="195">
        <f>IF('Calendario C'!J95="","",'Calendario C'!J95)</f>
        <v/>
      </c>
      <c r="K1375" s="64" t="inlineStr">
        <is>
          <t>-</t>
        </is>
      </c>
      <c r="L1375" s="195">
        <f>IF('Calendario C'!L95="","",'Calendario C'!L95)</f>
        <v/>
      </c>
      <c r="M1375" s="196" t="inlineStr">
        <is>
          <t>NADAUD Lucia [AA]</t>
        </is>
      </c>
      <c r="N1375" s="196" t="inlineStr">
        <is>
          <t>ENGEL Luca [AA]</t>
        </is>
      </c>
      <c r="O1375" s="196" t="inlineStr">
        <is>
          <t>AUBERT Diego [A]</t>
        </is>
      </c>
      <c r="P1375" s="196" t="inlineStr">
        <is>
          <t>FOURNIER Stefano</t>
        </is>
      </c>
      <c r="Q1375" s="196" t="inlineStr">
        <is>
          <t>GAUTHIER Pablo</t>
        </is>
      </c>
      <c r="R1375" s="196" t="inlineStr">
        <is>
          <t>SANTORI Miha</t>
        </is>
      </c>
    </row>
    <row r="1376" ht="15" customHeight="1">
      <c r="A1376" s="141" t="n"/>
      <c r="B1376" s="69">
        <f>IF('Calendario C'!B96="","",'Calendario C'!B96)</f>
        <v/>
      </c>
      <c r="C1376" s="9" t="n"/>
      <c r="D1376" s="9" t="n"/>
      <c r="E1376" s="9" t="n"/>
      <c r="F1376" s="9" t="n"/>
      <c r="G1376" s="9" t="n"/>
      <c r="H1376" s="10" t="n"/>
      <c r="I1376" s="62">
        <f>IF('Calendario C'!I96="","",'Calendario C'!I96)</f>
        <v/>
      </c>
      <c r="J1376" s="141" t="n"/>
      <c r="K1376" s="141" t="n"/>
      <c r="L1376" s="141" t="n"/>
      <c r="M1376" s="141" t="n"/>
      <c r="N1376" s="141" t="n"/>
      <c r="O1376" s="141" t="n"/>
      <c r="P1376" s="141" t="n"/>
      <c r="Q1376" s="141" t="n"/>
      <c r="R1376" s="141" t="n"/>
    </row>
    <row r="1377" ht="14" customHeight="1">
      <c r="A1377" s="81" t="inlineStr">
        <is>
          <t>Gara N.</t>
        </is>
      </c>
      <c r="B1377" s="81" t="inlineStr">
        <is>
          <t>Squadra A</t>
        </is>
      </c>
      <c r="C1377" s="10" t="n"/>
      <c r="D1377" s="81" t="inlineStr">
        <is>
          <t>Squadra B</t>
        </is>
      </c>
      <c r="E1377" s="10" t="n"/>
      <c r="F1377" s="81" t="inlineStr">
        <is>
          <t>Giorno</t>
        </is>
      </c>
      <c r="G1377" s="81" t="inlineStr">
        <is>
          <t>Data</t>
        </is>
      </c>
      <c r="H1377" s="81" t="inlineStr">
        <is>
          <t>Ora</t>
        </is>
      </c>
      <c r="I1377" s="10" t="n"/>
      <c r="J1377" s="81" t="inlineStr">
        <is>
          <t>Risultato</t>
        </is>
      </c>
      <c r="K1377" s="9" t="n"/>
      <c r="L1377" s="10" t="n"/>
      <c r="M1377" s="201" t="inlineStr">
        <is>
          <t>1o Arbitro</t>
        </is>
      </c>
      <c r="N1377" s="201" t="inlineStr">
        <is>
          <t>2o Arbitro</t>
        </is>
      </c>
      <c r="O1377" s="201" t="inlineStr">
        <is>
          <t>3o Arbitro/Tirocinante</t>
        </is>
      </c>
      <c r="P1377" s="201" t="inlineStr">
        <is>
          <t>Referto</t>
        </is>
      </c>
      <c r="Q1377" s="201" t="inlineStr">
        <is>
          <t>Cronometro</t>
        </is>
      </c>
      <c r="R1377" s="201" t="inlineStr">
        <is>
          <t>Foglio Tiri</t>
        </is>
      </c>
    </row>
    <row r="1378" ht="22" customHeight="1">
      <c r="A1378" s="83">
        <f>IF('Calendario C'!A98="","",'Calendario C'!A98)</f>
        <v/>
      </c>
      <c r="B1378" s="61">
        <f>IF('Calendario C'!B98="","",'Calendario C'!B98)</f>
        <v/>
      </c>
      <c r="C1378" s="62">
        <f>IF('Calendario C'!C98="","",'Calendario C'!C98)</f>
        <v/>
      </c>
      <c r="D1378" s="61">
        <f>IF('Calendario C'!D98="","",'Calendario C'!D98)</f>
        <v/>
      </c>
      <c r="E1378" s="62">
        <f>IF('Calendario C'!E98="","",'Calendario C'!E98)</f>
        <v/>
      </c>
      <c r="F1378" s="63">
        <f>IF('Calendario C'!F98="","",'Calendario C'!F98)</f>
        <v/>
      </c>
      <c r="G1378" s="9" t="n"/>
      <c r="H1378" s="9" t="n"/>
      <c r="I1378" s="10" t="n"/>
      <c r="J1378" s="195">
        <f>IF('Calendario C'!J98="","",'Calendario C'!J98)</f>
        <v/>
      </c>
      <c r="K1378" s="64" t="inlineStr">
        <is>
          <t>-</t>
        </is>
      </c>
      <c r="L1378" s="195">
        <f>IF('Calendario C'!L98="","",'Calendario C'!L98)</f>
        <v/>
      </c>
      <c r="M1378" s="196" t="inlineStr">
        <is>
          <t>CARON Martina [AAt]</t>
        </is>
      </c>
      <c r="N1378" s="196" t="inlineStr">
        <is>
          <t>OBLAK Lucia [AAt]</t>
        </is>
      </c>
      <c r="O1378" s="196" t="inlineStr">
        <is>
          <t>CAMPOS Vid [AA]</t>
        </is>
      </c>
      <c r="P1378" s="196" t="inlineStr">
        <is>
          <t>VIDMAR Paula</t>
        </is>
      </c>
      <c r="Q1378" s="196" t="inlineStr">
        <is>
          <t>ZUPAN Lucia</t>
        </is>
      </c>
      <c r="R1378" s="196" t="inlineStr">
        <is>
          <t>IGLESIAS Giulia</t>
        </is>
      </c>
    </row>
    <row r="1379" ht="15" customHeight="1">
      <c r="A1379" s="141" t="n"/>
      <c r="B1379" s="69">
        <f>IF('Calendario C'!B99="","",'Calendario C'!B99)</f>
        <v/>
      </c>
      <c r="C1379" s="9" t="n"/>
      <c r="D1379" s="9" t="n"/>
      <c r="E1379" s="9" t="n"/>
      <c r="F1379" s="9" t="n"/>
      <c r="G1379" s="9" t="n"/>
      <c r="H1379" s="10" t="n"/>
      <c r="I1379" s="62">
        <f>IF('Calendario C'!I99="","",'Calendario C'!I99)</f>
        <v/>
      </c>
      <c r="J1379" s="141" t="n"/>
      <c r="K1379" s="141" t="n"/>
      <c r="L1379" s="141" t="n"/>
      <c r="M1379" s="141" t="n"/>
      <c r="N1379" s="141" t="n"/>
      <c r="O1379" s="141" t="n"/>
      <c r="P1379" s="141" t="n"/>
      <c r="Q1379" s="141" t="n"/>
      <c r="R1379" s="141" t="n"/>
    </row>
    <row r="1380" ht="14" customHeight="1">
      <c r="A1380" s="81" t="inlineStr">
        <is>
          <t>Gara N.</t>
        </is>
      </c>
      <c r="B1380" s="81" t="inlineStr">
        <is>
          <t>Squadra A</t>
        </is>
      </c>
      <c r="C1380" s="10" t="n"/>
      <c r="D1380" s="81" t="inlineStr">
        <is>
          <t>Squadra B</t>
        </is>
      </c>
      <c r="E1380" s="10" t="n"/>
      <c r="F1380" s="81" t="inlineStr">
        <is>
          <t>Giorno</t>
        </is>
      </c>
      <c r="G1380" s="81" t="inlineStr">
        <is>
          <t>Data</t>
        </is>
      </c>
      <c r="H1380" s="81" t="inlineStr">
        <is>
          <t>Ora</t>
        </is>
      </c>
      <c r="I1380" s="10" t="n"/>
      <c r="J1380" s="81" t="inlineStr">
        <is>
          <t>Risultato</t>
        </is>
      </c>
      <c r="K1380" s="9" t="n"/>
      <c r="L1380" s="10" t="n"/>
      <c r="M1380" s="201" t="inlineStr">
        <is>
          <t>1o Arbitro</t>
        </is>
      </c>
      <c r="N1380" s="201" t="inlineStr">
        <is>
          <t>2o Arbitro</t>
        </is>
      </c>
      <c r="O1380" s="201" t="inlineStr">
        <is>
          <t>3o Arbitro/Tirocinante</t>
        </is>
      </c>
      <c r="P1380" s="201" t="inlineStr">
        <is>
          <t>Referto</t>
        </is>
      </c>
      <c r="Q1380" s="201" t="inlineStr">
        <is>
          <t>Cronometro</t>
        </is>
      </c>
      <c r="R1380" s="201" t="inlineStr">
        <is>
          <t>Foglio Tiri</t>
        </is>
      </c>
    </row>
    <row r="1381" ht="22" customHeight="1">
      <c r="A1381" s="83">
        <f>IF('Calendario C'!A101="","",'Calendario C'!A101)</f>
        <v/>
      </c>
      <c r="B1381" s="61">
        <f>IF('Calendario C'!B101="","",'Calendario C'!B101)</f>
        <v/>
      </c>
      <c r="C1381" s="62">
        <f>IF('Calendario C'!C101="","",'Calendario C'!C101)</f>
        <v/>
      </c>
      <c r="D1381" s="61">
        <f>IF('Calendario C'!D101="","",'Calendario C'!D101)</f>
        <v/>
      </c>
      <c r="E1381" s="62">
        <f>IF('Calendario C'!E101="","",'Calendario C'!E101)</f>
        <v/>
      </c>
      <c r="F1381" s="63">
        <f>IF('Calendario C'!F101="","",'Calendario C'!F101)</f>
        <v/>
      </c>
      <c r="G1381" s="9" t="n"/>
      <c r="H1381" s="9" t="n"/>
      <c r="I1381" s="10" t="n"/>
      <c r="J1381" s="195">
        <f>IF('Calendario C'!J101="","",'Calendario C'!J101)</f>
        <v/>
      </c>
      <c r="K1381" s="64" t="inlineStr">
        <is>
          <t>-</t>
        </is>
      </c>
      <c r="L1381" s="195">
        <f>IF('Calendario C'!L101="","",'Calendario C'!L101)</f>
        <v/>
      </c>
      <c r="M1381" s="196" t="inlineStr">
        <is>
          <t>PETERLIN Filippo [AAt]</t>
        </is>
      </c>
      <c r="N1381" s="196" t="inlineStr">
        <is>
          <t>CAMPOS Felix [Aest]</t>
        </is>
      </c>
      <c r="O1381" s="196" t="inlineStr">
        <is>
          <t>HOFFMANN Mathilde [AAt]</t>
        </is>
      </c>
      <c r="P1381" s="196" t="inlineStr">
        <is>
          <t>MORETTO Beatrice</t>
        </is>
      </c>
      <c r="Q1381" s="196" t="inlineStr">
        <is>
          <t>HOFFMANN Chiara</t>
        </is>
      </c>
      <c r="R1381" s="196" t="inlineStr">
        <is>
          <t>ZUPAN Elena</t>
        </is>
      </c>
    </row>
    <row r="1382" ht="15" customHeight="1">
      <c r="A1382" s="141" t="n"/>
      <c r="B1382" s="69">
        <f>IF('Calendario C'!B102="","",'Calendario C'!B102)</f>
        <v/>
      </c>
      <c r="C1382" s="9" t="n"/>
      <c r="D1382" s="9" t="n"/>
      <c r="E1382" s="9" t="n"/>
      <c r="F1382" s="9" t="n"/>
      <c r="G1382" s="9" t="n"/>
      <c r="H1382" s="10" t="n"/>
      <c r="I1382" s="62">
        <f>IF('Calendario C'!I102="","",'Calendario C'!I102)</f>
        <v/>
      </c>
      <c r="J1382" s="141" t="n"/>
      <c r="K1382" s="141" t="n"/>
      <c r="L1382" s="141" t="n"/>
      <c r="M1382" s="141" t="n"/>
      <c r="N1382" s="141" t="n"/>
      <c r="O1382" s="141" t="n"/>
      <c r="P1382" s="141" t="n"/>
      <c r="Q1382" s="141" t="n"/>
      <c r="R1382" s="141" t="n"/>
    </row>
    <row r="1384" ht="20" customHeight="1">
      <c r="A1384" s="78">
        <f>IF('Calendario C'!A104="","",'Calendario C'!A104)</f>
        <v/>
      </c>
      <c r="B1384" s="79">
        <f>IF('Calendario C'!B104="","",'Calendario C'!B104)</f>
        <v/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9" t="n"/>
      <c r="L1384" s="10" t="n"/>
      <c r="M1384" s="200" t="inlineStr">
        <is>
          <t>ARBITRI</t>
        </is>
      </c>
      <c r="N1384" s="9" t="n"/>
      <c r="O1384" s="10" t="n"/>
      <c r="P1384" s="200" t="inlineStr">
        <is>
          <t>UFFICIALI DI CAMPO</t>
        </is>
      </c>
      <c r="Q1384" s="9" t="n"/>
      <c r="R1384" s="10" t="n"/>
    </row>
    <row r="1385" ht="14" customHeight="1">
      <c r="A1385" s="81" t="inlineStr">
        <is>
          <t>Gara N.</t>
        </is>
      </c>
      <c r="B1385" s="81" t="inlineStr">
        <is>
          <t>Squadra A</t>
        </is>
      </c>
      <c r="C1385" s="10" t="n"/>
      <c r="D1385" s="81" t="inlineStr">
        <is>
          <t>Squadra B</t>
        </is>
      </c>
      <c r="E1385" s="10" t="n"/>
      <c r="F1385" s="81" t="inlineStr">
        <is>
          <t>Giorno</t>
        </is>
      </c>
      <c r="G1385" s="81" t="inlineStr">
        <is>
          <t>Data</t>
        </is>
      </c>
      <c r="H1385" s="81" t="inlineStr">
        <is>
          <t>Ora</t>
        </is>
      </c>
      <c r="I1385" s="10" t="n"/>
      <c r="J1385" s="81" t="inlineStr">
        <is>
          <t>Risultato</t>
        </is>
      </c>
      <c r="K1385" s="9" t="n"/>
      <c r="L1385" s="10" t="n"/>
      <c r="M1385" s="201" t="inlineStr">
        <is>
          <t>1o Arbitro</t>
        </is>
      </c>
      <c r="N1385" s="201" t="inlineStr">
        <is>
          <t>2o Arbitro</t>
        </is>
      </c>
      <c r="O1385" s="201" t="inlineStr">
        <is>
          <t>3o Arbitro/Tirocinante</t>
        </is>
      </c>
      <c r="P1385" s="201" t="inlineStr">
        <is>
          <t>Referto</t>
        </is>
      </c>
      <c r="Q1385" s="201" t="inlineStr">
        <is>
          <t>Cronometro</t>
        </is>
      </c>
      <c r="R1385" s="201" t="inlineStr">
        <is>
          <t>Foglio Tiri</t>
        </is>
      </c>
    </row>
    <row r="1386" ht="22" customHeight="1">
      <c r="A1386" s="83">
        <f>IF('Calendario C'!A106="","",'Calendario C'!A106)</f>
        <v/>
      </c>
      <c r="B1386" s="61">
        <f>IF('Calendario C'!B106="","",'Calendario C'!B106)</f>
        <v/>
      </c>
      <c r="C1386" s="62">
        <f>IF('Calendario C'!C106="","",'Calendario C'!C106)</f>
        <v/>
      </c>
      <c r="D1386" s="61">
        <f>IF('Calendario C'!D106="","",'Calendario C'!D106)</f>
        <v/>
      </c>
      <c r="E1386" s="62">
        <f>IF('Calendario C'!E106="","",'Calendario C'!E106)</f>
        <v/>
      </c>
      <c r="F1386" s="63">
        <f>IF('Calendario C'!F106="","",'Calendario C'!F106)</f>
        <v/>
      </c>
      <c r="G1386" s="9" t="n"/>
      <c r="H1386" s="9" t="n"/>
      <c r="I1386" s="10" t="n"/>
      <c r="J1386" s="195">
        <f>IF('Calendario C'!J106="","",'Calendario C'!J106)</f>
        <v/>
      </c>
      <c r="K1386" s="64" t="inlineStr">
        <is>
          <t>-</t>
        </is>
      </c>
      <c r="L1386" s="195">
        <f>IF('Calendario C'!L106="","",'Calendario C'!L106)</f>
        <v/>
      </c>
      <c r="M1386" s="196" t="inlineStr">
        <is>
          <t>BRANDT Felix [A]</t>
        </is>
      </c>
      <c r="N1386" s="196" t="inlineStr">
        <is>
          <t>ENGEL Stefano [AAt]</t>
        </is>
      </c>
      <c r="O1386" s="196" t="inlineStr">
        <is>
          <t>GALLINI Gaelle [A]</t>
        </is>
      </c>
      <c r="P1386" s="196" t="inlineStr">
        <is>
          <t>ROSSINI Gaelle</t>
        </is>
      </c>
      <c r="Q1386" s="196" t="inlineStr">
        <is>
          <t>NADAUD Andrea</t>
        </is>
      </c>
      <c r="R1386" s="196" t="inlineStr">
        <is>
          <t>BRANDT Elena</t>
        </is>
      </c>
    </row>
    <row r="1387" ht="15" customHeight="1">
      <c r="A1387" s="141" t="n"/>
      <c r="B1387" s="69">
        <f>IF('Calendario C'!B107="","",'Calendario C'!B107)</f>
        <v/>
      </c>
      <c r="C1387" s="9" t="n"/>
      <c r="D1387" s="9" t="n"/>
      <c r="E1387" s="9" t="n"/>
      <c r="F1387" s="9" t="n"/>
      <c r="G1387" s="9" t="n"/>
      <c r="H1387" s="10" t="n"/>
      <c r="I1387" s="62">
        <f>IF('Calendario C'!I107="","",'Calendario C'!I107)</f>
        <v/>
      </c>
      <c r="J1387" s="141" t="n"/>
      <c r="K1387" s="141" t="n"/>
      <c r="L1387" s="141" t="n"/>
      <c r="M1387" s="141" t="n"/>
      <c r="N1387" s="141" t="n"/>
      <c r="O1387" s="141" t="n"/>
      <c r="P1387" s="141" t="n"/>
      <c r="Q1387" s="141" t="n"/>
      <c r="R1387" s="141" t="n"/>
    </row>
    <row r="1388" ht="14" customHeight="1">
      <c r="A1388" s="81" t="inlineStr">
        <is>
          <t>Gara N.</t>
        </is>
      </c>
      <c r="B1388" s="81" t="inlineStr">
        <is>
          <t>Squadra A</t>
        </is>
      </c>
      <c r="C1388" s="10" t="n"/>
      <c r="D1388" s="81" t="inlineStr">
        <is>
          <t>Squadra B</t>
        </is>
      </c>
      <c r="E1388" s="10" t="n"/>
      <c r="F1388" s="81" t="inlineStr">
        <is>
          <t>Giorno</t>
        </is>
      </c>
      <c r="G1388" s="81" t="inlineStr">
        <is>
          <t>Data</t>
        </is>
      </c>
      <c r="H1388" s="81" t="inlineStr">
        <is>
          <t>Ora</t>
        </is>
      </c>
      <c r="I1388" s="10" t="n"/>
      <c r="J1388" s="81" t="inlineStr">
        <is>
          <t>Risultato</t>
        </is>
      </c>
      <c r="K1388" s="9" t="n"/>
      <c r="L1388" s="10" t="n"/>
      <c r="M1388" s="201" t="inlineStr">
        <is>
          <t>1o Arbitro</t>
        </is>
      </c>
      <c r="N1388" s="201" t="inlineStr">
        <is>
          <t>2o Arbitro</t>
        </is>
      </c>
      <c r="O1388" s="201" t="inlineStr">
        <is>
          <t>3o Arbitro/Tirocinante</t>
        </is>
      </c>
      <c r="P1388" s="201" t="inlineStr">
        <is>
          <t>Referto</t>
        </is>
      </c>
      <c r="Q1388" s="201" t="inlineStr">
        <is>
          <t>Cronometro</t>
        </is>
      </c>
      <c r="R1388" s="201" t="inlineStr">
        <is>
          <t>Foglio Tiri</t>
        </is>
      </c>
    </row>
    <row r="1389" ht="22" customHeight="1">
      <c r="A1389" s="83">
        <f>IF('Calendario C'!A109="","",'Calendario C'!A109)</f>
        <v/>
      </c>
      <c r="B1389" s="61">
        <f>IF('Calendario C'!B109="","",'Calendario C'!B109)</f>
        <v/>
      </c>
      <c r="C1389" s="62">
        <f>IF('Calendario C'!C109="","",'Calendario C'!C109)</f>
        <v/>
      </c>
      <c r="D1389" s="61">
        <f>IF('Calendario C'!D109="","",'Calendario C'!D109)</f>
        <v/>
      </c>
      <c r="E1389" s="62">
        <f>IF('Calendario C'!E109="","",'Calendario C'!E109)</f>
        <v/>
      </c>
      <c r="F1389" s="63">
        <f>IF('Calendario C'!F109="","",'Calendario C'!F109)</f>
        <v/>
      </c>
      <c r="G1389" s="9" t="n"/>
      <c r="H1389" s="9" t="n"/>
      <c r="I1389" s="10" t="n"/>
      <c r="J1389" s="195">
        <f>IF('Calendario C'!J109="","",'Calendario C'!J109)</f>
        <v/>
      </c>
      <c r="K1389" s="64" t="inlineStr">
        <is>
          <t>-</t>
        </is>
      </c>
      <c r="L1389" s="195">
        <f>IF('Calendario C'!L109="","",'Calendario C'!L109)</f>
        <v/>
      </c>
      <c r="M1389" s="196" t="inlineStr">
        <is>
          <t>VOGEL Beatrice [AAt]</t>
        </is>
      </c>
      <c r="N1389" s="196" t="inlineStr">
        <is>
          <t>CONTARDI Giulia [AAt]</t>
        </is>
      </c>
      <c r="O1389" s="196" t="inlineStr">
        <is>
          <t>LEFEVRE Pablo [AA]</t>
        </is>
      </c>
      <c r="P1389" s="196" t="inlineStr">
        <is>
          <t>LEROUX Lucia</t>
        </is>
      </c>
      <c r="Q1389" s="196" t="inlineStr">
        <is>
          <t>SCHAFER Lucia</t>
        </is>
      </c>
      <c r="R1389" s="196" t="inlineStr">
        <is>
          <t>AUBERT Lea</t>
        </is>
      </c>
    </row>
    <row r="1390" ht="15" customHeight="1">
      <c r="A1390" s="141" t="n"/>
      <c r="B1390" s="69">
        <f>IF('Calendario C'!B110="","",'Calendario C'!B110)</f>
        <v/>
      </c>
      <c r="C1390" s="9" t="n"/>
      <c r="D1390" s="9" t="n"/>
      <c r="E1390" s="9" t="n"/>
      <c r="F1390" s="9" t="n"/>
      <c r="G1390" s="9" t="n"/>
      <c r="H1390" s="10" t="n"/>
      <c r="I1390" s="62">
        <f>IF('Calendario C'!I110="","",'Calendario C'!I110)</f>
        <v/>
      </c>
      <c r="J1390" s="141" t="n"/>
      <c r="K1390" s="141" t="n"/>
      <c r="L1390" s="141" t="n"/>
      <c r="M1390" s="141" t="n"/>
      <c r="N1390" s="141" t="n"/>
      <c r="O1390" s="141" t="n"/>
      <c r="P1390" s="141" t="n"/>
      <c r="Q1390" s="141" t="n"/>
      <c r="R1390" s="141" t="n"/>
    </row>
    <row r="1391" ht="14" customHeight="1">
      <c r="A1391" s="81" t="inlineStr">
        <is>
          <t>Gara N.</t>
        </is>
      </c>
      <c r="B1391" s="81" t="inlineStr">
        <is>
          <t>Squadra A</t>
        </is>
      </c>
      <c r="C1391" s="10" t="n"/>
      <c r="D1391" s="81" t="inlineStr">
        <is>
          <t>Squadra B</t>
        </is>
      </c>
      <c r="E1391" s="10" t="n"/>
      <c r="F1391" s="81" t="inlineStr">
        <is>
          <t>Giorno</t>
        </is>
      </c>
      <c r="G1391" s="81" t="inlineStr">
        <is>
          <t>Data</t>
        </is>
      </c>
      <c r="H1391" s="81" t="inlineStr">
        <is>
          <t>Ora</t>
        </is>
      </c>
      <c r="I1391" s="10" t="n"/>
      <c r="J1391" s="81" t="inlineStr">
        <is>
          <t>Risultato</t>
        </is>
      </c>
      <c r="K1391" s="9" t="n"/>
      <c r="L1391" s="10" t="n"/>
      <c r="M1391" s="201" t="inlineStr">
        <is>
          <t>1o Arbitro</t>
        </is>
      </c>
      <c r="N1391" s="201" t="inlineStr">
        <is>
          <t>2o Arbitro</t>
        </is>
      </c>
      <c r="O1391" s="201" t="inlineStr">
        <is>
          <t>3o Arbitro/Tirocinante</t>
        </is>
      </c>
      <c r="P1391" s="201" t="inlineStr">
        <is>
          <t>Referto</t>
        </is>
      </c>
      <c r="Q1391" s="201" t="inlineStr">
        <is>
          <t>Cronometro</t>
        </is>
      </c>
      <c r="R1391" s="201" t="inlineStr">
        <is>
          <t>Foglio Tiri</t>
        </is>
      </c>
    </row>
    <row r="1392" ht="22" customHeight="1">
      <c r="A1392" s="83">
        <f>IF('Calendario C'!A112="","",'Calendario C'!A112)</f>
        <v/>
      </c>
      <c r="B1392" s="61">
        <f>IF('Calendario C'!B112="","",'Calendario C'!B112)</f>
        <v/>
      </c>
      <c r="C1392" s="62">
        <f>IF('Calendario C'!C112="","",'Calendario C'!C112)</f>
        <v/>
      </c>
      <c r="D1392" s="61">
        <f>IF('Calendario C'!D112="","",'Calendario C'!D112)</f>
        <v/>
      </c>
      <c r="E1392" s="62">
        <f>IF('Calendario C'!E112="","",'Calendario C'!E112)</f>
        <v/>
      </c>
      <c r="F1392" s="63">
        <f>IF('Calendario C'!F112="","",'Calendario C'!F112)</f>
        <v/>
      </c>
      <c r="G1392" s="9" t="n"/>
      <c r="H1392" s="9" t="n"/>
      <c r="I1392" s="10" t="n"/>
      <c r="J1392" s="195">
        <f>IF('Calendario C'!J112="","",'Calendario C'!J112)</f>
        <v/>
      </c>
      <c r="K1392" s="64" t="inlineStr">
        <is>
          <t>-</t>
        </is>
      </c>
      <c r="L1392" s="195">
        <f>IF('Calendario C'!L112="","",'Calendario C'!L112)</f>
        <v/>
      </c>
      <c r="M1392" s="196" t="inlineStr">
        <is>
          <t>SANTORI Nicola [AA]</t>
        </is>
      </c>
      <c r="N1392" s="196" t="inlineStr">
        <is>
          <t>BRANDT Filippo [AAt]</t>
        </is>
      </c>
      <c r="O1392" s="196" t="inlineStr">
        <is>
          <t>LANGER Beatrice [Aest]</t>
        </is>
      </c>
      <c r="P1392" s="196" t="inlineStr">
        <is>
          <t>GALLINI Irene</t>
        </is>
      </c>
      <c r="Q1392" s="196" t="inlineStr">
        <is>
          <t>BLANCHET Matteo</t>
        </is>
      </c>
      <c r="R1392" s="196" t="inlineStr">
        <is>
          <t>NAVARRO Luca</t>
        </is>
      </c>
    </row>
    <row r="1393" ht="15" customHeight="1">
      <c r="A1393" s="141" t="n"/>
      <c r="B1393" s="69">
        <f>IF('Calendario C'!B113="","",'Calendario C'!B113)</f>
        <v/>
      </c>
      <c r="C1393" s="9" t="n"/>
      <c r="D1393" s="9" t="n"/>
      <c r="E1393" s="9" t="n"/>
      <c r="F1393" s="9" t="n"/>
      <c r="G1393" s="9" t="n"/>
      <c r="H1393" s="10" t="n"/>
      <c r="I1393" s="62">
        <f>IF('Calendario C'!I113="","",'Calendario C'!I113)</f>
        <v/>
      </c>
      <c r="J1393" s="141" t="n"/>
      <c r="K1393" s="141" t="n"/>
      <c r="L1393" s="141" t="n"/>
      <c r="M1393" s="141" t="n"/>
      <c r="N1393" s="141" t="n"/>
      <c r="O1393" s="141" t="n"/>
      <c r="P1393" s="141" t="n"/>
      <c r="Q1393" s="141" t="n"/>
      <c r="R1393" s="141" t="n"/>
    </row>
    <row r="1394" ht="14" customHeight="1">
      <c r="A1394" s="81" t="inlineStr">
        <is>
          <t>Gara N.</t>
        </is>
      </c>
      <c r="B1394" s="81" t="inlineStr">
        <is>
          <t>Squadra A</t>
        </is>
      </c>
      <c r="C1394" s="10" t="n"/>
      <c r="D1394" s="81" t="inlineStr">
        <is>
          <t>Squadra B</t>
        </is>
      </c>
      <c r="E1394" s="10" t="n"/>
      <c r="F1394" s="81" t="inlineStr">
        <is>
          <t>Giorno</t>
        </is>
      </c>
      <c r="G1394" s="81" t="inlineStr">
        <is>
          <t>Data</t>
        </is>
      </c>
      <c r="H1394" s="81" t="inlineStr">
        <is>
          <t>Ora</t>
        </is>
      </c>
      <c r="I1394" s="10" t="n"/>
      <c r="J1394" s="81" t="inlineStr">
        <is>
          <t>Risultato</t>
        </is>
      </c>
      <c r="K1394" s="9" t="n"/>
      <c r="L1394" s="10" t="n"/>
      <c r="M1394" s="201" t="inlineStr">
        <is>
          <t>1o Arbitro</t>
        </is>
      </c>
      <c r="N1394" s="201" t="inlineStr">
        <is>
          <t>2o Arbitro</t>
        </is>
      </c>
      <c r="O1394" s="201" t="inlineStr">
        <is>
          <t>3o Arbitro/Tirocinante</t>
        </is>
      </c>
      <c r="P1394" s="201" t="inlineStr">
        <is>
          <t>Referto</t>
        </is>
      </c>
      <c r="Q1394" s="201" t="inlineStr">
        <is>
          <t>Cronometro</t>
        </is>
      </c>
      <c r="R1394" s="201" t="inlineStr">
        <is>
          <t>Foglio Tiri</t>
        </is>
      </c>
    </row>
    <row r="1395" ht="22" customHeight="1">
      <c r="A1395" s="83">
        <f>IF('Calendario C'!A115="","",'Calendario C'!A115)</f>
        <v/>
      </c>
      <c r="B1395" s="61">
        <f>IF('Calendario C'!B115="","",'Calendario C'!B115)</f>
        <v/>
      </c>
      <c r="C1395" s="62">
        <f>IF('Calendario C'!C115="","",'Calendario C'!C115)</f>
        <v/>
      </c>
      <c r="D1395" s="61">
        <f>IF('Calendario C'!D115="","",'Calendario C'!D115)</f>
        <v/>
      </c>
      <c r="E1395" s="62">
        <f>IF('Calendario C'!E115="","",'Calendario C'!E115)</f>
        <v/>
      </c>
      <c r="F1395" s="63">
        <f>IF('Calendario C'!F115="","",'Calendario C'!F115)</f>
        <v/>
      </c>
      <c r="G1395" s="9" t="n"/>
      <c r="H1395" s="9" t="n"/>
      <c r="I1395" s="10" t="n"/>
      <c r="J1395" s="195">
        <f>IF('Calendario C'!J115="","",'Calendario C'!J115)</f>
        <v/>
      </c>
      <c r="K1395" s="64" t="inlineStr">
        <is>
          <t>-</t>
        </is>
      </c>
      <c r="L1395" s="195">
        <f>IF('Calendario C'!L115="","",'Calendario C'!L115)</f>
        <v/>
      </c>
      <c r="M1395" s="196" t="inlineStr">
        <is>
          <t>LEROUX Filippo [Aest]</t>
        </is>
      </c>
      <c r="N1395" s="196" t="inlineStr">
        <is>
          <t>ROMERO Elena [A]</t>
        </is>
      </c>
      <c r="O1395" s="196" t="inlineStr">
        <is>
          <t>PRADO Luca [AA]</t>
        </is>
      </c>
      <c r="P1395" s="196" t="inlineStr">
        <is>
          <t>BRANDT Elena</t>
        </is>
      </c>
      <c r="Q1395" s="196" t="inlineStr">
        <is>
          <t>CONTARDI Felix</t>
        </is>
      </c>
      <c r="R1395" s="196" t="inlineStr">
        <is>
          <t>ROMERO Giulia</t>
        </is>
      </c>
    </row>
    <row r="1396" ht="15" customHeight="1">
      <c r="A1396" s="141" t="n"/>
      <c r="B1396" s="69">
        <f>IF('Calendario C'!B116="","",'Calendario C'!B116)</f>
        <v/>
      </c>
      <c r="C1396" s="9" t="n"/>
      <c r="D1396" s="9" t="n"/>
      <c r="E1396" s="9" t="n"/>
      <c r="F1396" s="9" t="n"/>
      <c r="G1396" s="9" t="n"/>
      <c r="H1396" s="10" t="n"/>
      <c r="I1396" s="62">
        <f>IF('Calendario C'!I116="","",'Calendario C'!I116)</f>
        <v/>
      </c>
      <c r="J1396" s="141" t="n"/>
      <c r="K1396" s="141" t="n"/>
      <c r="L1396" s="141" t="n"/>
      <c r="M1396" s="141" t="n"/>
      <c r="N1396" s="141" t="n"/>
      <c r="O1396" s="141" t="n"/>
      <c r="P1396" s="141" t="n"/>
      <c r="Q1396" s="141" t="n"/>
      <c r="R1396" s="141" t="n"/>
    </row>
    <row r="1397" ht="14" customHeight="1">
      <c r="A1397" s="81" t="inlineStr">
        <is>
          <t>Gara N.</t>
        </is>
      </c>
      <c r="B1397" s="81" t="inlineStr">
        <is>
          <t>Squadra A</t>
        </is>
      </c>
      <c r="C1397" s="10" t="n"/>
      <c r="D1397" s="81" t="inlineStr">
        <is>
          <t>Squadra B</t>
        </is>
      </c>
      <c r="E1397" s="10" t="n"/>
      <c r="F1397" s="81" t="inlineStr">
        <is>
          <t>Giorno</t>
        </is>
      </c>
      <c r="G1397" s="81" t="inlineStr">
        <is>
          <t>Data</t>
        </is>
      </c>
      <c r="H1397" s="81" t="inlineStr">
        <is>
          <t>Ora</t>
        </is>
      </c>
      <c r="I1397" s="10" t="n"/>
      <c r="J1397" s="81" t="inlineStr">
        <is>
          <t>Risultato</t>
        </is>
      </c>
      <c r="K1397" s="9" t="n"/>
      <c r="L1397" s="10" t="n"/>
      <c r="M1397" s="201" t="inlineStr">
        <is>
          <t>1o Arbitro</t>
        </is>
      </c>
      <c r="N1397" s="201" t="inlineStr">
        <is>
          <t>2o Arbitro</t>
        </is>
      </c>
      <c r="O1397" s="201" t="inlineStr">
        <is>
          <t>3o Arbitro/Tirocinante</t>
        </is>
      </c>
      <c r="P1397" s="201" t="inlineStr">
        <is>
          <t>Referto</t>
        </is>
      </c>
      <c r="Q1397" s="201" t="inlineStr">
        <is>
          <t>Cronometro</t>
        </is>
      </c>
      <c r="R1397" s="201" t="inlineStr">
        <is>
          <t>Foglio Tiri</t>
        </is>
      </c>
    </row>
    <row r="1398" ht="22" customHeight="1">
      <c r="A1398" s="83">
        <f>IF('Calendario C'!A118="","",'Calendario C'!A118)</f>
        <v/>
      </c>
      <c r="B1398" s="61">
        <f>IF('Calendario C'!B118="","",'Calendario C'!B118)</f>
        <v/>
      </c>
      <c r="C1398" s="62">
        <f>IF('Calendario C'!C118="","",'Calendario C'!C118)</f>
        <v/>
      </c>
      <c r="D1398" s="61">
        <f>IF('Calendario C'!D118="","",'Calendario C'!D118)</f>
        <v/>
      </c>
      <c r="E1398" s="62">
        <f>IF('Calendario C'!E118="","",'Calendario C'!E118)</f>
        <v/>
      </c>
      <c r="F1398" s="63">
        <f>IF('Calendario C'!F118="","",'Calendario C'!F118)</f>
        <v/>
      </c>
      <c r="G1398" s="9" t="n"/>
      <c r="H1398" s="9" t="n"/>
      <c r="I1398" s="10" t="n"/>
      <c r="J1398" s="195">
        <f>IF('Calendario C'!J118="","",'Calendario C'!J118)</f>
        <v/>
      </c>
      <c r="K1398" s="64" t="inlineStr">
        <is>
          <t>-</t>
        </is>
      </c>
      <c r="L1398" s="195">
        <f>IF('Calendario C'!L118="","",'Calendario C'!L118)</f>
        <v/>
      </c>
      <c r="M1398" s="196" t="inlineStr">
        <is>
          <t>NADAUD Greta [A]</t>
        </is>
      </c>
      <c r="N1398" s="196" t="inlineStr">
        <is>
          <t>CAMPOS Vid [AA]</t>
        </is>
      </c>
      <c r="O1398" s="196" t="inlineStr">
        <is>
          <t>SANTORI Gaelle [AA]</t>
        </is>
      </c>
      <c r="P1398" s="196" t="inlineStr">
        <is>
          <t>CONTARDI Valerie</t>
        </is>
      </c>
      <c r="Q1398" s="196" t="inlineStr">
        <is>
          <t>SCHAFER Gaelle</t>
        </is>
      </c>
      <c r="R1398" s="196" t="inlineStr">
        <is>
          <t>CONTARDI Miha</t>
        </is>
      </c>
    </row>
    <row r="1399" ht="15" customHeight="1">
      <c r="A1399" s="141" t="n"/>
      <c r="B1399" s="69">
        <f>IF('Calendario C'!B119="","",'Calendario C'!B119)</f>
        <v/>
      </c>
      <c r="C1399" s="9" t="n"/>
      <c r="D1399" s="9" t="n"/>
      <c r="E1399" s="9" t="n"/>
      <c r="F1399" s="9" t="n"/>
      <c r="G1399" s="9" t="n"/>
      <c r="H1399" s="10" t="n"/>
      <c r="I1399" s="62">
        <f>IF('Calendario C'!I119="","",'Calendario C'!I119)</f>
        <v/>
      </c>
      <c r="J1399" s="141" t="n"/>
      <c r="K1399" s="141" t="n"/>
      <c r="L1399" s="141" t="n"/>
      <c r="M1399" s="141" t="n"/>
      <c r="N1399" s="141" t="n"/>
      <c r="O1399" s="141" t="n"/>
      <c r="P1399" s="141" t="n"/>
      <c r="Q1399" s="141" t="n"/>
      <c r="R1399" s="141" t="n"/>
    </row>
    <row r="1400" ht="14" customHeight="1">
      <c r="A1400" s="81" t="inlineStr">
        <is>
          <t>Gara N.</t>
        </is>
      </c>
      <c r="B1400" s="81" t="inlineStr">
        <is>
          <t>Squadra A</t>
        </is>
      </c>
      <c r="C1400" s="10" t="n"/>
      <c r="D1400" s="81" t="inlineStr">
        <is>
          <t>Squadra B</t>
        </is>
      </c>
      <c r="E1400" s="10" t="n"/>
      <c r="F1400" s="81" t="inlineStr">
        <is>
          <t>Giorno</t>
        </is>
      </c>
      <c r="G1400" s="81" t="inlineStr">
        <is>
          <t>Data</t>
        </is>
      </c>
      <c r="H1400" s="81" t="inlineStr">
        <is>
          <t>Ora</t>
        </is>
      </c>
      <c r="I1400" s="10" t="n"/>
      <c r="J1400" s="81" t="inlineStr">
        <is>
          <t>Risultato</t>
        </is>
      </c>
      <c r="K1400" s="9" t="n"/>
      <c r="L1400" s="10" t="n"/>
      <c r="M1400" s="201" t="inlineStr">
        <is>
          <t>1o Arbitro</t>
        </is>
      </c>
      <c r="N1400" s="201" t="inlineStr">
        <is>
          <t>2o Arbitro</t>
        </is>
      </c>
      <c r="O1400" s="201" t="inlineStr">
        <is>
          <t>3o Arbitro/Tirocinante</t>
        </is>
      </c>
      <c r="P1400" s="201" t="inlineStr">
        <is>
          <t>Referto</t>
        </is>
      </c>
      <c r="Q1400" s="201" t="inlineStr">
        <is>
          <t>Cronometro</t>
        </is>
      </c>
      <c r="R1400" s="201" t="inlineStr">
        <is>
          <t>Foglio Tiri</t>
        </is>
      </c>
    </row>
    <row r="1401" ht="22" customHeight="1">
      <c r="A1401" s="83">
        <f>IF('Calendario C'!A121="","",'Calendario C'!A121)</f>
        <v/>
      </c>
      <c r="B1401" s="61">
        <f>IF('Calendario C'!B121="","",'Calendario C'!B121)</f>
        <v/>
      </c>
      <c r="C1401" s="62">
        <f>IF('Calendario C'!C121="","",'Calendario C'!C121)</f>
        <v/>
      </c>
      <c r="D1401" s="61">
        <f>IF('Calendario C'!D121="","",'Calendario C'!D121)</f>
        <v/>
      </c>
      <c r="E1401" s="62">
        <f>IF('Calendario C'!E121="","",'Calendario C'!E121)</f>
        <v/>
      </c>
      <c r="F1401" s="63">
        <f>IF('Calendario C'!F121="","",'Calendario C'!F121)</f>
        <v/>
      </c>
      <c r="G1401" s="9" t="n"/>
      <c r="H1401" s="9" t="n"/>
      <c r="I1401" s="10" t="n"/>
      <c r="J1401" s="195">
        <f>IF('Calendario C'!J121="","",'Calendario C'!J121)</f>
        <v/>
      </c>
      <c r="K1401" s="64" t="inlineStr">
        <is>
          <t>-</t>
        </is>
      </c>
      <c r="L1401" s="195">
        <f>IF('Calendario C'!L121="","",'Calendario C'!L121)</f>
        <v/>
      </c>
      <c r="M1401" s="196" t="inlineStr">
        <is>
          <t>CONTARDI Nicola [Aest]</t>
        </is>
      </c>
      <c r="N1401" s="196" t="inlineStr">
        <is>
          <t>VALLET Felix [A]</t>
        </is>
      </c>
      <c r="O1401" s="196" t="inlineStr">
        <is>
          <t>ENGEL Marco [AA]</t>
        </is>
      </c>
      <c r="P1401" s="196" t="inlineStr">
        <is>
          <t>GAUTHIER Matteo</t>
        </is>
      </c>
      <c r="Q1401" s="196" t="inlineStr">
        <is>
          <t>ROSSINI Andrea</t>
        </is>
      </c>
      <c r="R1401" s="196" t="inlineStr">
        <is>
          <t>ROMERO Irene</t>
        </is>
      </c>
    </row>
    <row r="1402" ht="15" customHeight="1">
      <c r="A1402" s="141" t="n"/>
      <c r="B1402" s="69">
        <f>IF('Calendario C'!B122="","",'Calendario C'!B122)</f>
        <v/>
      </c>
      <c r="C1402" s="9" t="n"/>
      <c r="D1402" s="9" t="n"/>
      <c r="E1402" s="9" t="n"/>
      <c r="F1402" s="9" t="n"/>
      <c r="G1402" s="9" t="n"/>
      <c r="H1402" s="10" t="n"/>
      <c r="I1402" s="62">
        <f>IF('Calendario C'!I122="","",'Calendario C'!I122)</f>
        <v/>
      </c>
      <c r="J1402" s="141" t="n"/>
      <c r="K1402" s="141" t="n"/>
      <c r="L1402" s="141" t="n"/>
      <c r="M1402" s="141" t="n"/>
      <c r="N1402" s="141" t="n"/>
      <c r="O1402" s="141" t="n"/>
      <c r="P1402" s="141" t="n"/>
      <c r="Q1402" s="141" t="n"/>
      <c r="R1402" s="141" t="n"/>
    </row>
    <row r="1403" ht="14" customHeight="1">
      <c r="A1403" s="81" t="inlineStr">
        <is>
          <t>Gara N.</t>
        </is>
      </c>
      <c r="B1403" s="81" t="inlineStr">
        <is>
          <t>Squadra A</t>
        </is>
      </c>
      <c r="C1403" s="10" t="n"/>
      <c r="D1403" s="81" t="inlineStr">
        <is>
          <t>Squadra B</t>
        </is>
      </c>
      <c r="E1403" s="10" t="n"/>
      <c r="F1403" s="81" t="inlineStr">
        <is>
          <t>Giorno</t>
        </is>
      </c>
      <c r="G1403" s="81" t="inlineStr">
        <is>
          <t>Data</t>
        </is>
      </c>
      <c r="H1403" s="81" t="inlineStr">
        <is>
          <t>Ora</t>
        </is>
      </c>
      <c r="I1403" s="10" t="n"/>
      <c r="J1403" s="81" t="inlineStr">
        <is>
          <t>Risultato</t>
        </is>
      </c>
      <c r="K1403" s="9" t="n"/>
      <c r="L1403" s="10" t="n"/>
      <c r="M1403" s="201" t="inlineStr">
        <is>
          <t>1o Arbitro</t>
        </is>
      </c>
      <c r="N1403" s="201" t="inlineStr">
        <is>
          <t>2o Arbitro</t>
        </is>
      </c>
      <c r="O1403" s="201" t="inlineStr">
        <is>
          <t>3o Arbitro/Tirocinante</t>
        </is>
      </c>
      <c r="P1403" s="201" t="inlineStr">
        <is>
          <t>Referto</t>
        </is>
      </c>
      <c r="Q1403" s="201" t="inlineStr">
        <is>
          <t>Cronometro</t>
        </is>
      </c>
      <c r="R1403" s="201" t="inlineStr">
        <is>
          <t>Foglio Tiri</t>
        </is>
      </c>
    </row>
    <row r="1404" ht="22" customHeight="1">
      <c r="A1404" s="83">
        <f>IF('Calendario C'!A124="","",'Calendario C'!A124)</f>
        <v/>
      </c>
      <c r="B1404" s="61">
        <f>IF('Calendario C'!B124="","",'Calendario C'!B124)</f>
        <v/>
      </c>
      <c r="C1404" s="62">
        <f>IF('Calendario C'!C124="","",'Calendario C'!C124)</f>
        <v/>
      </c>
      <c r="D1404" s="61">
        <f>IF('Calendario C'!D124="","",'Calendario C'!D124)</f>
        <v/>
      </c>
      <c r="E1404" s="62">
        <f>IF('Calendario C'!E124="","",'Calendario C'!E124)</f>
        <v/>
      </c>
      <c r="F1404" s="63">
        <f>IF('Calendario C'!F124="","",'Calendario C'!F124)</f>
        <v/>
      </c>
      <c r="G1404" s="9" t="n"/>
      <c r="H1404" s="9" t="n"/>
      <c r="I1404" s="10" t="n"/>
      <c r="J1404" s="195">
        <f>IF('Calendario C'!J124="","",'Calendario C'!J124)</f>
        <v/>
      </c>
      <c r="K1404" s="64" t="inlineStr">
        <is>
          <t>-</t>
        </is>
      </c>
      <c r="L1404" s="195">
        <f>IF('Calendario C'!L124="","",'Calendario C'!L124)</f>
        <v/>
      </c>
      <c r="M1404" s="196" t="inlineStr">
        <is>
          <t>ROTH Katrin [A]</t>
        </is>
      </c>
      <c r="N1404" s="196" t="inlineStr">
        <is>
          <t>PRADO Eva [AAt]</t>
        </is>
      </c>
      <c r="O1404" s="196" t="inlineStr">
        <is>
          <t>FERRANTE Luca [AAt]</t>
        </is>
      </c>
      <c r="P1404" s="196" t="inlineStr">
        <is>
          <t>FOURNIER Stefano</t>
        </is>
      </c>
      <c r="Q1404" s="196" t="inlineStr">
        <is>
          <t>ROTH Lukas</t>
        </is>
      </c>
      <c r="R1404" s="196" t="inlineStr">
        <is>
          <t>ROTH Paolo</t>
        </is>
      </c>
    </row>
    <row r="1405" ht="15" customHeight="1">
      <c r="A1405" s="141" t="n"/>
      <c r="B1405" s="69">
        <f>IF('Calendario C'!B125="","",'Calendario C'!B125)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C'!I125="","",'Calendario C'!I125)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81" t="inlineStr">
        <is>
          <t>Gara N.</t>
        </is>
      </c>
      <c r="B1406" s="81" t="inlineStr">
        <is>
          <t>Squadra A</t>
        </is>
      </c>
      <c r="C1406" s="10" t="n"/>
      <c r="D1406" s="81" t="inlineStr">
        <is>
          <t>Squadra B</t>
        </is>
      </c>
      <c r="E1406" s="10" t="n"/>
      <c r="F1406" s="81" t="inlineStr">
        <is>
          <t>Giorno</t>
        </is>
      </c>
      <c r="G1406" s="81" t="inlineStr">
        <is>
          <t>Data</t>
        </is>
      </c>
      <c r="H1406" s="81" t="inlineStr">
        <is>
          <t>Ora</t>
        </is>
      </c>
      <c r="I1406" s="10" t="n"/>
      <c r="J1406" s="81" t="inlineStr">
        <is>
          <t>Risultato</t>
        </is>
      </c>
      <c r="K1406" s="9" t="n"/>
      <c r="L1406" s="10" t="n"/>
      <c r="M1406" s="201" t="inlineStr">
        <is>
          <t>1o Arbitro</t>
        </is>
      </c>
      <c r="N1406" s="201" t="inlineStr">
        <is>
          <t>2o Arbitro</t>
        </is>
      </c>
      <c r="O1406" s="201" t="inlineStr">
        <is>
          <t>3o Arbitro/Tirocinante</t>
        </is>
      </c>
      <c r="P1406" s="201" t="inlineStr">
        <is>
          <t>Referto</t>
        </is>
      </c>
      <c r="Q1406" s="201" t="inlineStr">
        <is>
          <t>Cronometro</t>
        </is>
      </c>
      <c r="R1406" s="201" t="inlineStr">
        <is>
          <t>Foglio Tiri</t>
        </is>
      </c>
    </row>
    <row r="1407" ht="22" customHeight="1">
      <c r="A1407" s="83">
        <f>IF('Calendario C'!A127="","",'Calendario C'!A127)</f>
        <v/>
      </c>
      <c r="B1407" s="61">
        <f>IF('Calendario C'!B127="","",'Calendario C'!B127)</f>
        <v/>
      </c>
      <c r="C1407" s="62">
        <f>IF('Calendario C'!C127="","",'Calendario C'!C127)</f>
        <v/>
      </c>
      <c r="D1407" s="61">
        <f>IF('Calendario C'!D127="","",'Calendario C'!D127)</f>
        <v/>
      </c>
      <c r="E1407" s="62">
        <f>IF('Calendario C'!E127="","",'Calendario C'!E127)</f>
        <v/>
      </c>
      <c r="F1407" s="63">
        <f>IF('Calendario C'!F127="","",'Calendario C'!F127)</f>
        <v/>
      </c>
      <c r="G1407" s="9" t="n"/>
      <c r="H1407" s="9" t="n"/>
      <c r="I1407" s="10" t="n"/>
      <c r="J1407" s="195">
        <f>IF('Calendario C'!J127="","",'Calendario C'!J127)</f>
        <v/>
      </c>
      <c r="K1407" s="64" t="inlineStr">
        <is>
          <t>-</t>
        </is>
      </c>
      <c r="L1407" s="195">
        <f>IF('Calendario C'!L127="","",'Calendario C'!L127)</f>
        <v/>
      </c>
      <c r="M1407" s="196" t="inlineStr">
        <is>
          <t>PETERLIN Filippo [AAt]</t>
        </is>
      </c>
      <c r="N1407" s="196" t="inlineStr">
        <is>
          <t>LEFEVRE Mathilde [A]</t>
        </is>
      </c>
      <c r="O1407" s="196" t="inlineStr">
        <is>
          <t>PETERLIN Beatrice [Aest]</t>
        </is>
      </c>
      <c r="P1407" s="196" t="inlineStr">
        <is>
          <t>BLANCO Eva</t>
        </is>
      </c>
      <c r="Q1407" s="196" t="inlineStr">
        <is>
          <t>VALLET Stefano</t>
        </is>
      </c>
      <c r="R1407" s="196" t="inlineStr">
        <is>
          <t>KRUGER Vid</t>
        </is>
      </c>
    </row>
    <row r="1408" ht="15" customHeight="1">
      <c r="A1408" s="141" t="n"/>
      <c r="B1408" s="69">
        <f>IF('Calendario C'!B128="","",'Calendario C'!B128)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C'!I128="","",'Calendario C'!I128)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81" t="inlineStr">
        <is>
          <t>Gara N.</t>
        </is>
      </c>
      <c r="B1409" s="81" t="inlineStr">
        <is>
          <t>Squadra A</t>
        </is>
      </c>
      <c r="C1409" s="10" t="n"/>
      <c r="D1409" s="81" t="inlineStr">
        <is>
          <t>Squadra B</t>
        </is>
      </c>
      <c r="E1409" s="10" t="n"/>
      <c r="F1409" s="81" t="inlineStr">
        <is>
          <t>Giorno</t>
        </is>
      </c>
      <c r="G1409" s="81" t="inlineStr">
        <is>
          <t>Data</t>
        </is>
      </c>
      <c r="H1409" s="81" t="inlineStr">
        <is>
          <t>Ora</t>
        </is>
      </c>
      <c r="I1409" s="10" t="n"/>
      <c r="J1409" s="81" t="inlineStr">
        <is>
          <t>Risultato</t>
        </is>
      </c>
      <c r="K1409" s="9" t="n"/>
      <c r="L1409" s="10" t="n"/>
      <c r="M1409" s="201" t="inlineStr">
        <is>
          <t>1o Arbitro</t>
        </is>
      </c>
      <c r="N1409" s="201" t="inlineStr">
        <is>
          <t>2o Arbitro</t>
        </is>
      </c>
      <c r="O1409" s="201" t="inlineStr">
        <is>
          <t>3o Arbitro/Tirocinante</t>
        </is>
      </c>
      <c r="P1409" s="201" t="inlineStr">
        <is>
          <t>Referto</t>
        </is>
      </c>
      <c r="Q1409" s="201" t="inlineStr">
        <is>
          <t>Cronometro</t>
        </is>
      </c>
      <c r="R1409" s="201" t="inlineStr">
        <is>
          <t>Foglio Tiri</t>
        </is>
      </c>
    </row>
    <row r="1410" ht="22" customHeight="1">
      <c r="A1410" s="83">
        <f>IF('Calendario C'!A130="","",'Calendario C'!A130)</f>
        <v/>
      </c>
      <c r="B1410" s="61">
        <f>IF('Calendario C'!B130="","",'Calendario C'!B130)</f>
        <v/>
      </c>
      <c r="C1410" s="62">
        <f>IF('Calendario C'!C130="","",'Calendario C'!C130)</f>
        <v/>
      </c>
      <c r="D1410" s="61">
        <f>IF('Calendario C'!D130="","",'Calendario C'!D130)</f>
        <v/>
      </c>
      <c r="E1410" s="62">
        <f>IF('Calendario C'!E130="","",'Calendario C'!E130)</f>
        <v/>
      </c>
      <c r="F1410" s="63">
        <f>IF('Calendario C'!F130="","",'Calendario C'!F130)</f>
        <v/>
      </c>
      <c r="G1410" s="9" t="n"/>
      <c r="H1410" s="9" t="n"/>
      <c r="I1410" s="10" t="n"/>
      <c r="J1410" s="195">
        <f>IF('Calendario C'!J130="","",'Calendario C'!J130)</f>
        <v/>
      </c>
      <c r="K1410" s="64" t="inlineStr">
        <is>
          <t>-</t>
        </is>
      </c>
      <c r="L1410" s="195">
        <f>IF('Calendario C'!L130="","",'Calendario C'!L130)</f>
        <v/>
      </c>
      <c r="M1410" s="196" t="inlineStr">
        <is>
          <t>SANTORI Eva [AAt]</t>
        </is>
      </c>
      <c r="N1410" s="196" t="inlineStr">
        <is>
          <t>GAUTHIER Davide [AA]</t>
        </is>
      </c>
      <c r="O1410" s="196" t="inlineStr">
        <is>
          <t>BLANCO Sofia [AA]</t>
        </is>
      </c>
      <c r="P1410" s="196" t="inlineStr">
        <is>
          <t>BIANCHELLI Katrin</t>
        </is>
      </c>
      <c r="Q1410" s="196" t="inlineStr">
        <is>
          <t>CAMPOS Martina</t>
        </is>
      </c>
      <c r="R1410" s="196" t="inlineStr">
        <is>
          <t>MOREAU Felix</t>
        </is>
      </c>
    </row>
    <row r="1411" ht="15" customHeight="1">
      <c r="A1411" s="141" t="n"/>
      <c r="B1411" s="69">
        <f>IF('Calendario C'!B131="","",'Calendario C'!B131)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C'!I131="","",'Calendario C'!I131)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81" t="inlineStr">
        <is>
          <t>Gara N.</t>
        </is>
      </c>
      <c r="B1412" s="81" t="inlineStr">
        <is>
          <t>Squadra A</t>
        </is>
      </c>
      <c r="C1412" s="10" t="n"/>
      <c r="D1412" s="81" t="inlineStr">
        <is>
          <t>Squadra B</t>
        </is>
      </c>
      <c r="E1412" s="10" t="n"/>
      <c r="F1412" s="81" t="inlineStr">
        <is>
          <t>Giorno</t>
        </is>
      </c>
      <c r="G1412" s="81" t="inlineStr">
        <is>
          <t>Data</t>
        </is>
      </c>
      <c r="H1412" s="81" t="inlineStr">
        <is>
          <t>Ora</t>
        </is>
      </c>
      <c r="I1412" s="10" t="n"/>
      <c r="J1412" s="81" t="inlineStr">
        <is>
          <t>Risultato</t>
        </is>
      </c>
      <c r="K1412" s="9" t="n"/>
      <c r="L1412" s="10" t="n"/>
      <c r="M1412" s="201" t="inlineStr">
        <is>
          <t>1o Arbitro</t>
        </is>
      </c>
      <c r="N1412" s="201" t="inlineStr">
        <is>
          <t>2o Arbitro</t>
        </is>
      </c>
      <c r="O1412" s="201" t="inlineStr">
        <is>
          <t>3o Arbitro/Tirocinante</t>
        </is>
      </c>
      <c r="P1412" s="201" t="inlineStr">
        <is>
          <t>Referto</t>
        </is>
      </c>
      <c r="Q1412" s="201" t="inlineStr">
        <is>
          <t>Cronometro</t>
        </is>
      </c>
      <c r="R1412" s="201" t="inlineStr">
        <is>
          <t>Foglio Tiri</t>
        </is>
      </c>
    </row>
    <row r="1413" ht="22" customHeight="1">
      <c r="A1413" s="83">
        <f>IF('Calendario C'!A133="","",'Calendario C'!A133)</f>
        <v/>
      </c>
      <c r="B1413" s="61">
        <f>IF('Calendario C'!B133="","",'Calendario C'!B133)</f>
        <v/>
      </c>
      <c r="C1413" s="62">
        <f>IF('Calendario C'!C133="","",'Calendario C'!C133)</f>
        <v/>
      </c>
      <c r="D1413" s="61">
        <f>IF('Calendario C'!D133="","",'Calendario C'!D133)</f>
        <v/>
      </c>
      <c r="E1413" s="62">
        <f>IF('Calendario C'!E133="","",'Calendario C'!E133)</f>
        <v/>
      </c>
      <c r="F1413" s="63">
        <f>IF('Calendario C'!F133="","",'Calendario C'!F133)</f>
        <v/>
      </c>
      <c r="G1413" s="9" t="n"/>
      <c r="H1413" s="9" t="n"/>
      <c r="I1413" s="10" t="n"/>
      <c r="J1413" s="195">
        <f>IF('Calendario C'!J133="","",'Calendario C'!J133)</f>
        <v/>
      </c>
      <c r="K1413" s="64" t="inlineStr">
        <is>
          <t>-</t>
        </is>
      </c>
      <c r="L1413" s="195">
        <f>IF('Calendario C'!L133="","",'Calendario C'!L133)</f>
        <v/>
      </c>
      <c r="M1413" s="196" t="inlineStr">
        <is>
          <t>ENGEL Gaelle [AAt]</t>
        </is>
      </c>
      <c r="N1413" s="196" t="inlineStr">
        <is>
          <t>FUENTES Matteo [Aest]</t>
        </is>
      </c>
      <c r="O1413" s="196" t="inlineStr">
        <is>
          <t>KOVAC Diego [AAt]</t>
        </is>
      </c>
      <c r="P1413" s="196" t="inlineStr">
        <is>
          <t>IGLESIAS Giulia</t>
        </is>
      </c>
      <c r="Q1413" s="196" t="inlineStr">
        <is>
          <t>MARCHIONI Irene</t>
        </is>
      </c>
      <c r="R1413" s="196" t="inlineStr">
        <is>
          <t>ORTEGA Jonas</t>
        </is>
      </c>
    </row>
    <row r="1414" ht="15" customHeight="1">
      <c r="A1414" s="141" t="n"/>
      <c r="B1414" s="69">
        <f>IF('Calendario C'!B134="","",'Calendario C'!B134)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C'!I134="","",'Calendario C'!I134)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6" ht="20" customHeight="1">
      <c r="A1416" s="78">
        <f>IF('Calendario C'!A136="","",'Calendario C'!A136)</f>
        <v/>
      </c>
      <c r="B1416" s="79">
        <f>IF('Calendario C'!B136="","",'Calendario C'!B136)</f>
        <v/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10" t="n"/>
      <c r="M1416" s="200" t="inlineStr">
        <is>
          <t>ARBITRI</t>
        </is>
      </c>
      <c r="N1416" s="9" t="n"/>
      <c r="O1416" s="10" t="n"/>
      <c r="P1416" s="200" t="inlineStr">
        <is>
          <t>UFFICIALI DI CAMPO</t>
        </is>
      </c>
      <c r="Q1416" s="9" t="n"/>
      <c r="R1416" s="10" t="n"/>
    </row>
    <row r="1417" ht="14" customHeight="1">
      <c r="A1417" s="81" t="inlineStr">
        <is>
          <t>Gara N.</t>
        </is>
      </c>
      <c r="B1417" s="81" t="inlineStr">
        <is>
          <t>Squadra A</t>
        </is>
      </c>
      <c r="C1417" s="10" t="n"/>
      <c r="D1417" s="81" t="inlineStr">
        <is>
          <t>Squadra B</t>
        </is>
      </c>
      <c r="E1417" s="10" t="n"/>
      <c r="F1417" s="81" t="inlineStr">
        <is>
          <t>Giorno</t>
        </is>
      </c>
      <c r="G1417" s="81" t="inlineStr">
        <is>
          <t>Data</t>
        </is>
      </c>
      <c r="H1417" s="81" t="inlineStr">
        <is>
          <t>Ora</t>
        </is>
      </c>
      <c r="I1417" s="10" t="n"/>
      <c r="J1417" s="81" t="inlineStr">
        <is>
          <t>Risultato</t>
        </is>
      </c>
      <c r="K1417" s="9" t="n"/>
      <c r="L1417" s="10" t="n"/>
      <c r="M1417" s="201" t="inlineStr">
        <is>
          <t>1o Arbitro</t>
        </is>
      </c>
      <c r="N1417" s="201" t="inlineStr">
        <is>
          <t>2o Arbitro</t>
        </is>
      </c>
      <c r="O1417" s="201" t="inlineStr">
        <is>
          <t>3o Arbitro/Tirocinante</t>
        </is>
      </c>
      <c r="P1417" s="201" t="inlineStr">
        <is>
          <t>Referto</t>
        </is>
      </c>
      <c r="Q1417" s="201" t="inlineStr">
        <is>
          <t>Cronometro</t>
        </is>
      </c>
      <c r="R1417" s="201" t="inlineStr">
        <is>
          <t>Foglio Tiri</t>
        </is>
      </c>
    </row>
    <row r="1418" ht="22" customHeight="1">
      <c r="A1418" s="83">
        <f>IF('Calendario C'!A138="","",'Calendario C'!A138)</f>
        <v/>
      </c>
      <c r="B1418" s="61">
        <f>IF('Calendario C'!B138="","",'Calendario C'!B138)</f>
        <v/>
      </c>
      <c r="C1418" s="62">
        <f>IF('Calendario C'!C138="","",'Calendario C'!C138)</f>
        <v/>
      </c>
      <c r="D1418" s="61">
        <f>IF('Calendario C'!D138="","",'Calendario C'!D138)</f>
        <v/>
      </c>
      <c r="E1418" s="62">
        <f>IF('Calendario C'!E138="","",'Calendario C'!E138)</f>
        <v/>
      </c>
      <c r="F1418" s="63">
        <f>IF('Calendario C'!F138="","",'Calendario C'!F138)</f>
        <v/>
      </c>
      <c r="G1418" s="9" t="n"/>
      <c r="H1418" s="9" t="n"/>
      <c r="I1418" s="10" t="n"/>
      <c r="J1418" s="195">
        <f>IF('Calendario C'!J138="","",'Calendario C'!J138)</f>
        <v/>
      </c>
      <c r="K1418" s="64" t="inlineStr">
        <is>
          <t>-</t>
        </is>
      </c>
      <c r="L1418" s="195">
        <f>IF('Calendario C'!L138="","",'Calendario C'!L138)</f>
        <v/>
      </c>
      <c r="M1418" s="196" t="inlineStr">
        <is>
          <t>OBLAK Jonas [AAt]</t>
        </is>
      </c>
      <c r="N1418" s="196" t="inlineStr">
        <is>
          <t>ROTH Sofia [A]</t>
        </is>
      </c>
      <c r="O1418" s="196" t="inlineStr">
        <is>
          <t>MORETTO Ottavia [A]</t>
        </is>
      </c>
      <c r="P1418" s="196" t="inlineStr">
        <is>
          <t>FOURNIER Miha</t>
        </is>
      </c>
      <c r="Q1418" s="196" t="inlineStr">
        <is>
          <t>CAMPOS Martina</t>
        </is>
      </c>
      <c r="R1418" s="196" t="inlineStr">
        <is>
          <t>LEROUX Lucia</t>
        </is>
      </c>
    </row>
    <row r="1419" ht="15" customHeight="1">
      <c r="A1419" s="141" t="n"/>
      <c r="B1419" s="69">
        <f>IF('Calendario C'!B139="","",'Calendario C'!B139)</f>
        <v/>
      </c>
      <c r="C1419" s="9" t="n"/>
      <c r="D1419" s="9" t="n"/>
      <c r="E1419" s="9" t="n"/>
      <c r="F1419" s="9" t="n"/>
      <c r="G1419" s="9" t="n"/>
      <c r="H1419" s="10" t="n"/>
      <c r="I1419" s="62">
        <f>IF('Calendario C'!I139="","",'Calendario C'!I139)</f>
        <v/>
      </c>
      <c r="J1419" s="141" t="n"/>
      <c r="K1419" s="141" t="n"/>
      <c r="L1419" s="141" t="n"/>
      <c r="M1419" s="141" t="n"/>
      <c r="N1419" s="141" t="n"/>
      <c r="O1419" s="141" t="n"/>
      <c r="P1419" s="141" t="n"/>
      <c r="Q1419" s="141" t="n"/>
      <c r="R1419" s="141" t="n"/>
    </row>
    <row r="1420" ht="14" customHeight="1">
      <c r="A1420" s="81" t="inlineStr">
        <is>
          <t>Gara N.</t>
        </is>
      </c>
      <c r="B1420" s="81" t="inlineStr">
        <is>
          <t>Squadra A</t>
        </is>
      </c>
      <c r="C1420" s="10" t="n"/>
      <c r="D1420" s="81" t="inlineStr">
        <is>
          <t>Squadra B</t>
        </is>
      </c>
      <c r="E1420" s="10" t="n"/>
      <c r="F1420" s="81" t="inlineStr">
        <is>
          <t>Giorno</t>
        </is>
      </c>
      <c r="G1420" s="81" t="inlineStr">
        <is>
          <t>Data</t>
        </is>
      </c>
      <c r="H1420" s="81" t="inlineStr">
        <is>
          <t>Ora</t>
        </is>
      </c>
      <c r="I1420" s="10" t="n"/>
      <c r="J1420" s="81" t="inlineStr">
        <is>
          <t>Risultato</t>
        </is>
      </c>
      <c r="K1420" s="9" t="n"/>
      <c r="L1420" s="10" t="n"/>
      <c r="M1420" s="201" t="inlineStr">
        <is>
          <t>1o Arbitro</t>
        </is>
      </c>
      <c r="N1420" s="201" t="inlineStr">
        <is>
          <t>2o Arbitro</t>
        </is>
      </c>
      <c r="O1420" s="201" t="inlineStr">
        <is>
          <t>3o Arbitro/Tirocinante</t>
        </is>
      </c>
      <c r="P1420" s="201" t="inlineStr">
        <is>
          <t>Referto</t>
        </is>
      </c>
      <c r="Q1420" s="201" t="inlineStr">
        <is>
          <t>Cronometro</t>
        </is>
      </c>
      <c r="R1420" s="201" t="inlineStr">
        <is>
          <t>Foglio Tiri</t>
        </is>
      </c>
    </row>
    <row r="1421" ht="22" customHeight="1">
      <c r="A1421" s="83">
        <f>IF('Calendario C'!A141="","",'Calendario C'!A141)</f>
        <v/>
      </c>
      <c r="B1421" s="61">
        <f>IF('Calendario C'!B141="","",'Calendario C'!B141)</f>
        <v/>
      </c>
      <c r="C1421" s="62">
        <f>IF('Calendario C'!C141="","",'Calendario C'!C141)</f>
        <v/>
      </c>
      <c r="D1421" s="61">
        <f>IF('Calendario C'!D141="","",'Calendario C'!D141)</f>
        <v/>
      </c>
      <c r="E1421" s="62">
        <f>IF('Calendario C'!E141="","",'Calendario C'!E141)</f>
        <v/>
      </c>
      <c r="F1421" s="63">
        <f>IF('Calendario C'!F141="","",'Calendario C'!F141)</f>
        <v/>
      </c>
      <c r="G1421" s="9" t="n"/>
      <c r="H1421" s="9" t="n"/>
      <c r="I1421" s="10" t="n"/>
      <c r="J1421" s="195">
        <f>IF('Calendario C'!J141="","",'Calendario C'!J141)</f>
        <v/>
      </c>
      <c r="K1421" s="64" t="inlineStr">
        <is>
          <t>-</t>
        </is>
      </c>
      <c r="L1421" s="195">
        <f>IF('Calendario C'!L141="","",'Calendario C'!L141)</f>
        <v/>
      </c>
      <c r="M1421" s="196" t="inlineStr">
        <is>
          <t>IGLESIAS Chiara [AAt]</t>
        </is>
      </c>
      <c r="N1421" s="196" t="inlineStr">
        <is>
          <t>BLANCO Stefano [A]</t>
        </is>
      </c>
      <c r="O1421" s="196" t="inlineStr">
        <is>
          <t>ROTH Eva [A]</t>
        </is>
      </c>
      <c r="P1421" s="196" t="inlineStr">
        <is>
          <t>ORTEGA Filippo</t>
        </is>
      </c>
      <c r="Q1421" s="196" t="inlineStr">
        <is>
          <t>PELLEGRI Lea</t>
        </is>
      </c>
      <c r="R1421" s="196" t="inlineStr">
        <is>
          <t>WEBER Andrea</t>
        </is>
      </c>
    </row>
    <row r="1422" ht="15" customHeight="1">
      <c r="A1422" s="141" t="n"/>
      <c r="B1422" s="69">
        <f>IF('Calendario C'!B142="","",'Calendario C'!B142)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C'!I142="","",'Calendario C'!I142)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81" t="inlineStr">
        <is>
          <t>Gara N.</t>
        </is>
      </c>
      <c r="B1423" s="81" t="inlineStr">
        <is>
          <t>Squadra A</t>
        </is>
      </c>
      <c r="C1423" s="10" t="n"/>
      <c r="D1423" s="81" t="inlineStr">
        <is>
          <t>Squadra B</t>
        </is>
      </c>
      <c r="E1423" s="10" t="n"/>
      <c r="F1423" s="81" t="inlineStr">
        <is>
          <t>Giorno</t>
        </is>
      </c>
      <c r="G1423" s="81" t="inlineStr">
        <is>
          <t>Data</t>
        </is>
      </c>
      <c r="H1423" s="81" t="inlineStr">
        <is>
          <t>Ora</t>
        </is>
      </c>
      <c r="I1423" s="10" t="n"/>
      <c r="J1423" s="81" t="inlineStr">
        <is>
          <t>Risultato</t>
        </is>
      </c>
      <c r="K1423" s="9" t="n"/>
      <c r="L1423" s="10" t="n"/>
      <c r="M1423" s="201" t="inlineStr">
        <is>
          <t>1o Arbitro</t>
        </is>
      </c>
      <c r="N1423" s="201" t="inlineStr">
        <is>
          <t>2o Arbitro</t>
        </is>
      </c>
      <c r="O1423" s="201" t="inlineStr">
        <is>
          <t>3o Arbitro/Tirocinante</t>
        </is>
      </c>
      <c r="P1423" s="201" t="inlineStr">
        <is>
          <t>Referto</t>
        </is>
      </c>
      <c r="Q1423" s="201" t="inlineStr">
        <is>
          <t>Cronometro</t>
        </is>
      </c>
      <c r="R1423" s="201" t="inlineStr">
        <is>
          <t>Foglio Tiri</t>
        </is>
      </c>
    </row>
    <row r="1424" ht="22" customHeight="1">
      <c r="A1424" s="83">
        <f>IF('Calendario C'!A144="","",'Calendario C'!A144)</f>
        <v/>
      </c>
      <c r="B1424" s="61">
        <f>IF('Calendario C'!B144="","",'Calendario C'!B144)</f>
        <v/>
      </c>
      <c r="C1424" s="62">
        <f>IF('Calendario C'!C144="","",'Calendario C'!C144)</f>
        <v/>
      </c>
      <c r="D1424" s="61">
        <f>IF('Calendario C'!D144="","",'Calendario C'!D144)</f>
        <v/>
      </c>
      <c r="E1424" s="62">
        <f>IF('Calendario C'!E144="","",'Calendario C'!E144)</f>
        <v/>
      </c>
      <c r="F1424" s="63">
        <f>IF('Calendario C'!F144="","",'Calendario C'!F144)</f>
        <v/>
      </c>
      <c r="G1424" s="9" t="n"/>
      <c r="H1424" s="9" t="n"/>
      <c r="I1424" s="10" t="n"/>
      <c r="J1424" s="195">
        <f>IF('Calendario C'!J144="","",'Calendario C'!J144)</f>
        <v/>
      </c>
      <c r="K1424" s="64" t="inlineStr">
        <is>
          <t>-</t>
        </is>
      </c>
      <c r="L1424" s="195">
        <f>IF('Calendario C'!L144="","",'Calendario C'!L144)</f>
        <v/>
      </c>
      <c r="M1424" s="196" t="inlineStr">
        <is>
          <t>HOFFMANN Filippo [AA]</t>
        </is>
      </c>
      <c r="N1424" s="196" t="inlineStr">
        <is>
          <t>MORETTO Ottavia [A]</t>
        </is>
      </c>
      <c r="O1424" s="196" t="inlineStr">
        <is>
          <t>NOVAK Lea [AA]</t>
        </is>
      </c>
      <c r="P1424" s="196" t="inlineStr">
        <is>
          <t>VIDMAR Diego</t>
        </is>
      </c>
      <c r="Q1424" s="196" t="inlineStr">
        <is>
          <t>ZUPAN Alenka</t>
        </is>
      </c>
      <c r="R1424" s="196" t="inlineStr">
        <is>
          <t>KRUGER Paolo</t>
        </is>
      </c>
    </row>
    <row r="1425" ht="15" customHeight="1">
      <c r="A1425" s="141" t="n"/>
      <c r="B1425" s="69">
        <f>IF('Calendario C'!B145="","",'Calendario C'!B145)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C'!I145="","",'Calendario C'!I145)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81" t="inlineStr">
        <is>
          <t>Gara N.</t>
        </is>
      </c>
      <c r="B1426" s="81" t="inlineStr">
        <is>
          <t>Squadra A</t>
        </is>
      </c>
      <c r="C1426" s="10" t="n"/>
      <c r="D1426" s="81" t="inlineStr">
        <is>
          <t>Squadra B</t>
        </is>
      </c>
      <c r="E1426" s="10" t="n"/>
      <c r="F1426" s="81" t="inlineStr">
        <is>
          <t>Giorno</t>
        </is>
      </c>
      <c r="G1426" s="81" t="inlineStr">
        <is>
          <t>Data</t>
        </is>
      </c>
      <c r="H1426" s="81" t="inlineStr">
        <is>
          <t>Ora</t>
        </is>
      </c>
      <c r="I1426" s="10" t="n"/>
      <c r="J1426" s="81" t="inlineStr">
        <is>
          <t>Risultato</t>
        </is>
      </c>
      <c r="K1426" s="9" t="n"/>
      <c r="L1426" s="10" t="n"/>
      <c r="M1426" s="201" t="inlineStr">
        <is>
          <t>1o Arbitro</t>
        </is>
      </c>
      <c r="N1426" s="201" t="inlineStr">
        <is>
          <t>2o Arbitro</t>
        </is>
      </c>
      <c r="O1426" s="201" t="inlineStr">
        <is>
          <t>3o Arbitro/Tirocinante</t>
        </is>
      </c>
      <c r="P1426" s="201" t="inlineStr">
        <is>
          <t>Referto</t>
        </is>
      </c>
      <c r="Q1426" s="201" t="inlineStr">
        <is>
          <t>Cronometro</t>
        </is>
      </c>
      <c r="R1426" s="201" t="inlineStr">
        <is>
          <t>Foglio Tiri</t>
        </is>
      </c>
    </row>
    <row r="1427" ht="22" customHeight="1">
      <c r="A1427" s="83">
        <f>IF('Calendario C'!A147="","",'Calendario C'!A147)</f>
        <v/>
      </c>
      <c r="B1427" s="61">
        <f>IF('Calendario C'!B147="","",'Calendario C'!B147)</f>
        <v/>
      </c>
      <c r="C1427" s="62">
        <f>IF('Calendario C'!C147="","",'Calendario C'!C147)</f>
        <v/>
      </c>
      <c r="D1427" s="61">
        <f>IF('Calendario C'!D147="","",'Calendario C'!D147)</f>
        <v/>
      </c>
      <c r="E1427" s="62">
        <f>IF('Calendario C'!E147="","",'Calendario C'!E147)</f>
        <v/>
      </c>
      <c r="F1427" s="63">
        <f>IF('Calendario C'!F147="","",'Calendario C'!F147)</f>
        <v/>
      </c>
      <c r="G1427" s="9" t="n"/>
      <c r="H1427" s="9" t="n"/>
      <c r="I1427" s="10" t="n"/>
      <c r="J1427" s="195">
        <f>IF('Calendario C'!J147="","",'Calendario C'!J147)</f>
        <v/>
      </c>
      <c r="K1427" s="64" t="inlineStr">
        <is>
          <t>-</t>
        </is>
      </c>
      <c r="L1427" s="195">
        <f>IF('Calendario C'!L147="","",'Calendario C'!L147)</f>
        <v/>
      </c>
      <c r="M1427" s="196" t="inlineStr">
        <is>
          <t>WEBER Andrea [AAt]</t>
        </is>
      </c>
      <c r="N1427" s="196" t="inlineStr">
        <is>
          <t>FUENTES Matteo [Aest]</t>
        </is>
      </c>
      <c r="O1427" s="196" t="inlineStr">
        <is>
          <t>BLANCHET Valerie [A]</t>
        </is>
      </c>
      <c r="P1427" s="196" t="inlineStr">
        <is>
          <t>CONTARDI Miha</t>
        </is>
      </c>
      <c r="Q1427" s="196" t="inlineStr">
        <is>
          <t>ROMERO Giulia</t>
        </is>
      </c>
      <c r="R1427" s="196" t="inlineStr">
        <is>
          <t>BELLANDI Irene</t>
        </is>
      </c>
    </row>
    <row r="1428" ht="15" customHeight="1">
      <c r="A1428" s="141" t="n"/>
      <c r="B1428" s="69">
        <f>IF('Calendario C'!B148="","",'Calendario C'!B148)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C'!I148="","",'Calendario C'!I148)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81" t="inlineStr">
        <is>
          <t>Gara N.</t>
        </is>
      </c>
      <c r="B1429" s="81" t="inlineStr">
        <is>
          <t>Squadra A</t>
        </is>
      </c>
      <c r="C1429" s="10" t="n"/>
      <c r="D1429" s="81" t="inlineStr">
        <is>
          <t>Squadra B</t>
        </is>
      </c>
      <c r="E1429" s="10" t="n"/>
      <c r="F1429" s="81" t="inlineStr">
        <is>
          <t>Giorno</t>
        </is>
      </c>
      <c r="G1429" s="81" t="inlineStr">
        <is>
          <t>Data</t>
        </is>
      </c>
      <c r="H1429" s="81" t="inlineStr">
        <is>
          <t>Ora</t>
        </is>
      </c>
      <c r="I1429" s="10" t="n"/>
      <c r="J1429" s="81" t="inlineStr">
        <is>
          <t>Risultato</t>
        </is>
      </c>
      <c r="K1429" s="9" t="n"/>
      <c r="L1429" s="10" t="n"/>
      <c r="M1429" s="201" t="inlineStr">
        <is>
          <t>1o Arbitro</t>
        </is>
      </c>
      <c r="N1429" s="201" t="inlineStr">
        <is>
          <t>2o Arbitro</t>
        </is>
      </c>
      <c r="O1429" s="201" t="inlineStr">
        <is>
          <t>3o Arbitro/Tirocinante</t>
        </is>
      </c>
      <c r="P1429" s="201" t="inlineStr">
        <is>
          <t>Referto</t>
        </is>
      </c>
      <c r="Q1429" s="201" t="inlineStr">
        <is>
          <t>Cronometro</t>
        </is>
      </c>
      <c r="R1429" s="201" t="inlineStr">
        <is>
          <t>Foglio Tiri</t>
        </is>
      </c>
    </row>
    <row r="1430" ht="22" customHeight="1">
      <c r="A1430" s="83">
        <f>IF('Calendario C'!A150="","",'Calendario C'!A150)</f>
        <v/>
      </c>
      <c r="B1430" s="61">
        <f>IF('Calendario C'!B150="","",'Calendario C'!B150)</f>
        <v/>
      </c>
      <c r="C1430" s="62">
        <f>IF('Calendario C'!C150="","",'Calendario C'!C150)</f>
        <v/>
      </c>
      <c r="D1430" s="61">
        <f>IF('Calendario C'!D150="","",'Calendario C'!D150)</f>
        <v/>
      </c>
      <c r="E1430" s="62">
        <f>IF('Calendario C'!E150="","",'Calendario C'!E150)</f>
        <v/>
      </c>
      <c r="F1430" s="63">
        <f>IF('Calendario C'!F150="","",'Calendario C'!F150)</f>
        <v/>
      </c>
      <c r="G1430" s="9" t="n"/>
      <c r="H1430" s="9" t="n"/>
      <c r="I1430" s="10" t="n"/>
      <c r="J1430" s="195">
        <f>IF('Calendario C'!J150="","",'Calendario C'!J150)</f>
        <v/>
      </c>
      <c r="K1430" s="64" t="inlineStr">
        <is>
          <t>-</t>
        </is>
      </c>
      <c r="L1430" s="195">
        <f>IF('Calendario C'!L150="","",'Calendario C'!L150)</f>
        <v/>
      </c>
      <c r="M1430" s="196" t="inlineStr">
        <is>
          <t>FOURNIER Lucia [AA]</t>
        </is>
      </c>
      <c r="N1430" s="196" t="inlineStr">
        <is>
          <t>CONTARDI Giulia [AAt]</t>
        </is>
      </c>
      <c r="O1430" s="196" t="inlineStr">
        <is>
          <t>VOGEL Giulia [Aest]</t>
        </is>
      </c>
      <c r="P1430" s="196" t="inlineStr">
        <is>
          <t>MARCHIONI Irene</t>
        </is>
      </c>
      <c r="Q1430" s="196" t="inlineStr">
        <is>
          <t>LEFEVRE Ilaria</t>
        </is>
      </c>
      <c r="R1430" s="196" t="inlineStr">
        <is>
          <t>ZUPAN Elena</t>
        </is>
      </c>
    </row>
    <row r="1431" ht="15" customHeight="1">
      <c r="A1431" s="141" t="n"/>
      <c r="B1431" s="69">
        <f>IF('Calendario C'!B151="","",'Calendario C'!B151)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C'!I151="","",'Calendario C'!I151)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81" t="inlineStr">
        <is>
          <t>Gara N.</t>
        </is>
      </c>
      <c r="B1432" s="81" t="inlineStr">
        <is>
          <t>Squadra A</t>
        </is>
      </c>
      <c r="C1432" s="10" t="n"/>
      <c r="D1432" s="81" t="inlineStr">
        <is>
          <t>Squadra B</t>
        </is>
      </c>
      <c r="E1432" s="10" t="n"/>
      <c r="F1432" s="81" t="inlineStr">
        <is>
          <t>Giorno</t>
        </is>
      </c>
      <c r="G1432" s="81" t="inlineStr">
        <is>
          <t>Data</t>
        </is>
      </c>
      <c r="H1432" s="81" t="inlineStr">
        <is>
          <t>Ora</t>
        </is>
      </c>
      <c r="I1432" s="10" t="n"/>
      <c r="J1432" s="81" t="inlineStr">
        <is>
          <t>Risultato</t>
        </is>
      </c>
      <c r="K1432" s="9" t="n"/>
      <c r="L1432" s="10" t="n"/>
      <c r="M1432" s="201" t="inlineStr">
        <is>
          <t>1o Arbitro</t>
        </is>
      </c>
      <c r="N1432" s="201" t="inlineStr">
        <is>
          <t>2o Arbitro</t>
        </is>
      </c>
      <c r="O1432" s="201" t="inlineStr">
        <is>
          <t>3o Arbitro/Tirocinante</t>
        </is>
      </c>
      <c r="P1432" s="201" t="inlineStr">
        <is>
          <t>Referto</t>
        </is>
      </c>
      <c r="Q1432" s="201" t="inlineStr">
        <is>
          <t>Cronometro</t>
        </is>
      </c>
      <c r="R1432" s="201" t="inlineStr">
        <is>
          <t>Foglio Tiri</t>
        </is>
      </c>
    </row>
    <row r="1433" ht="22" customHeight="1">
      <c r="A1433" s="83">
        <f>IF('Calendario C'!A153="","",'Calendario C'!A153)</f>
        <v/>
      </c>
      <c r="B1433" s="61">
        <f>IF('Calendario C'!B153="","",'Calendario C'!B153)</f>
        <v/>
      </c>
      <c r="C1433" s="62">
        <f>IF('Calendario C'!C153="","",'Calendario C'!C153)</f>
        <v/>
      </c>
      <c r="D1433" s="61">
        <f>IF('Calendario C'!D153="","",'Calendario C'!D153)</f>
        <v/>
      </c>
      <c r="E1433" s="62">
        <f>IF('Calendario C'!E153="","",'Calendario C'!E153)</f>
        <v/>
      </c>
      <c r="F1433" s="63">
        <f>IF('Calendario C'!F153="","",'Calendario C'!F153)</f>
        <v/>
      </c>
      <c r="G1433" s="9" t="n"/>
      <c r="H1433" s="9" t="n"/>
      <c r="I1433" s="10" t="n"/>
      <c r="J1433" s="195">
        <f>IF('Calendario C'!J153="","",'Calendario C'!J153)</f>
        <v/>
      </c>
      <c r="K1433" s="64" t="inlineStr">
        <is>
          <t>-</t>
        </is>
      </c>
      <c r="L1433" s="195">
        <f>IF('Calendario C'!L153="","",'Calendario C'!L153)</f>
        <v/>
      </c>
      <c r="M1433" s="196" t="inlineStr">
        <is>
          <t>NOVAK Mathilde [Aest]</t>
        </is>
      </c>
      <c r="N1433" s="196" t="inlineStr">
        <is>
          <t>GAUTHIER Davide [AA]</t>
        </is>
      </c>
      <c r="O1433" s="196" t="inlineStr">
        <is>
          <t>ENGEL Valerie [Aest]</t>
        </is>
      </c>
      <c r="P1433" s="196" t="inlineStr">
        <is>
          <t>LEFEVRE Mathilde</t>
        </is>
      </c>
      <c r="Q1433" s="196" t="inlineStr">
        <is>
          <t>NADAUD Marco</t>
        </is>
      </c>
      <c r="R1433" s="196" t="inlineStr">
        <is>
          <t>WEBER Ilaria</t>
        </is>
      </c>
    </row>
    <row r="1434" ht="15" customHeight="1">
      <c r="A1434" s="141" t="n"/>
      <c r="B1434" s="69">
        <f>IF('Calendario C'!B154="","",'Calendario C'!B154)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C'!I154="","",'Calendario C'!I154)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5" ht="14" customHeight="1">
      <c r="A1435" s="81" t="inlineStr">
        <is>
          <t>Gara N.</t>
        </is>
      </c>
      <c r="B1435" s="81" t="inlineStr">
        <is>
          <t>Squadra A</t>
        </is>
      </c>
      <c r="C1435" s="10" t="n"/>
      <c r="D1435" s="81" t="inlineStr">
        <is>
          <t>Squadra B</t>
        </is>
      </c>
      <c r="E1435" s="10" t="n"/>
      <c r="F1435" s="81" t="inlineStr">
        <is>
          <t>Giorno</t>
        </is>
      </c>
      <c r="G1435" s="81" t="inlineStr">
        <is>
          <t>Data</t>
        </is>
      </c>
      <c r="H1435" s="81" t="inlineStr">
        <is>
          <t>Ora</t>
        </is>
      </c>
      <c r="I1435" s="10" t="n"/>
      <c r="J1435" s="81" t="inlineStr">
        <is>
          <t>Risultato</t>
        </is>
      </c>
      <c r="K1435" s="9" t="n"/>
      <c r="L1435" s="10" t="n"/>
      <c r="M1435" s="201" t="inlineStr">
        <is>
          <t>1o Arbitro</t>
        </is>
      </c>
      <c r="N1435" s="201" t="inlineStr">
        <is>
          <t>2o Arbitro</t>
        </is>
      </c>
      <c r="O1435" s="201" t="inlineStr">
        <is>
          <t>3o Arbitro/Tirocinante</t>
        </is>
      </c>
      <c r="P1435" s="201" t="inlineStr">
        <is>
          <t>Referto</t>
        </is>
      </c>
      <c r="Q1435" s="201" t="inlineStr">
        <is>
          <t>Cronometro</t>
        </is>
      </c>
      <c r="R1435" s="201" t="inlineStr">
        <is>
          <t>Foglio Tiri</t>
        </is>
      </c>
    </row>
    <row r="1436" ht="22" customHeight="1">
      <c r="A1436" s="83">
        <f>IF('Calendario C'!A156="","",'Calendario C'!A156)</f>
        <v/>
      </c>
      <c r="B1436" s="61">
        <f>IF('Calendario C'!B156="","",'Calendario C'!B156)</f>
        <v/>
      </c>
      <c r="C1436" s="62">
        <f>IF('Calendario C'!C156="","",'Calendario C'!C156)</f>
        <v/>
      </c>
      <c r="D1436" s="61">
        <f>IF('Calendario C'!D156="","",'Calendario C'!D156)</f>
        <v/>
      </c>
      <c r="E1436" s="62">
        <f>IF('Calendario C'!E156="","",'Calendario C'!E156)</f>
        <v/>
      </c>
      <c r="F1436" s="63">
        <f>IF('Calendario C'!F156="","",'Calendario C'!F156)</f>
        <v/>
      </c>
      <c r="G1436" s="9" t="n"/>
      <c r="H1436" s="9" t="n"/>
      <c r="I1436" s="10" t="n"/>
      <c r="J1436" s="195">
        <f>IF('Calendario C'!J156="","",'Calendario C'!J156)</f>
        <v/>
      </c>
      <c r="K1436" s="64" t="inlineStr">
        <is>
          <t>-</t>
        </is>
      </c>
      <c r="L1436" s="195">
        <f>IF('Calendario C'!L156="","",'Calendario C'!L156)</f>
        <v/>
      </c>
      <c r="M1436" s="196" t="inlineStr">
        <is>
          <t>MOREAU Katrin [A]</t>
        </is>
      </c>
      <c r="N1436" s="196" t="inlineStr">
        <is>
          <t>VIDMAR Hugo [AAt]</t>
        </is>
      </c>
      <c r="O1436" s="196" t="inlineStr">
        <is>
          <t>MODIC Valerie [A]</t>
        </is>
      </c>
      <c r="P1436" s="196" t="inlineStr">
        <is>
          <t>BRANDT Elena</t>
        </is>
      </c>
      <c r="Q1436" s="196" t="inlineStr">
        <is>
          <t>BELLANDI Lukas</t>
        </is>
      </c>
      <c r="R1436" s="196" t="inlineStr">
        <is>
          <t>KELLER Ottavia</t>
        </is>
      </c>
    </row>
    <row r="1437" ht="15" customHeight="1">
      <c r="A1437" s="141" t="n"/>
      <c r="B1437" s="69">
        <f>IF('Calendario C'!B157="","",'Calendario C'!B157)</f>
        <v/>
      </c>
      <c r="C1437" s="9" t="n"/>
      <c r="D1437" s="9" t="n"/>
      <c r="E1437" s="9" t="n"/>
      <c r="F1437" s="9" t="n"/>
      <c r="G1437" s="9" t="n"/>
      <c r="H1437" s="10" t="n"/>
      <c r="I1437" s="62">
        <f>IF('Calendario C'!I157="","",'Calendario C'!I157)</f>
        <v/>
      </c>
      <c r="J1437" s="141" t="n"/>
      <c r="K1437" s="141" t="n"/>
      <c r="L1437" s="141" t="n"/>
      <c r="M1437" s="141" t="n"/>
      <c r="N1437" s="141" t="n"/>
      <c r="O1437" s="141" t="n"/>
      <c r="P1437" s="141" t="n"/>
      <c r="Q1437" s="141" t="n"/>
      <c r="R1437" s="141" t="n"/>
    </row>
    <row r="1438" ht="14" customHeight="1">
      <c r="A1438" s="81" t="inlineStr">
        <is>
          <t>Gara N.</t>
        </is>
      </c>
      <c r="B1438" s="81" t="inlineStr">
        <is>
          <t>Squadra A</t>
        </is>
      </c>
      <c r="C1438" s="10" t="n"/>
      <c r="D1438" s="81" t="inlineStr">
        <is>
          <t>Squadra B</t>
        </is>
      </c>
      <c r="E1438" s="10" t="n"/>
      <c r="F1438" s="81" t="inlineStr">
        <is>
          <t>Giorno</t>
        </is>
      </c>
      <c r="G1438" s="81" t="inlineStr">
        <is>
          <t>Data</t>
        </is>
      </c>
      <c r="H1438" s="81" t="inlineStr">
        <is>
          <t>Ora</t>
        </is>
      </c>
      <c r="I1438" s="10" t="n"/>
      <c r="J1438" s="81" t="inlineStr">
        <is>
          <t>Risultato</t>
        </is>
      </c>
      <c r="K1438" s="9" t="n"/>
      <c r="L1438" s="10" t="n"/>
      <c r="M1438" s="201" t="inlineStr">
        <is>
          <t>1o Arbitro</t>
        </is>
      </c>
      <c r="N1438" s="201" t="inlineStr">
        <is>
          <t>2o Arbitro</t>
        </is>
      </c>
      <c r="O1438" s="201" t="inlineStr">
        <is>
          <t>3o Arbitro/Tirocinante</t>
        </is>
      </c>
      <c r="P1438" s="201" t="inlineStr">
        <is>
          <t>Referto</t>
        </is>
      </c>
      <c r="Q1438" s="201" t="inlineStr">
        <is>
          <t>Cronometro</t>
        </is>
      </c>
      <c r="R1438" s="201" t="inlineStr">
        <is>
          <t>Foglio Tiri</t>
        </is>
      </c>
    </row>
    <row r="1439" ht="22" customHeight="1">
      <c r="A1439" s="83">
        <f>IF('Calendario C'!A159="","",'Calendario C'!A159)</f>
        <v/>
      </c>
      <c r="B1439" s="61">
        <f>IF('Calendario C'!B159="","",'Calendario C'!B159)</f>
        <v/>
      </c>
      <c r="C1439" s="62">
        <f>IF('Calendario C'!C159="","",'Calendario C'!C159)</f>
        <v/>
      </c>
      <c r="D1439" s="61">
        <f>IF('Calendario C'!D159="","",'Calendario C'!D159)</f>
        <v/>
      </c>
      <c r="E1439" s="62">
        <f>IF('Calendario C'!E159="","",'Calendario C'!E159)</f>
        <v/>
      </c>
      <c r="F1439" s="63">
        <f>IF('Calendario C'!F159="","",'Calendario C'!F159)</f>
        <v/>
      </c>
      <c r="G1439" s="9" t="n"/>
      <c r="H1439" s="9" t="n"/>
      <c r="I1439" s="10" t="n"/>
      <c r="J1439" s="195">
        <f>IF('Calendario C'!J159="","",'Calendario C'!J159)</f>
        <v/>
      </c>
      <c r="K1439" s="64" t="inlineStr">
        <is>
          <t>-</t>
        </is>
      </c>
      <c r="L1439" s="195">
        <f>IF('Calendario C'!L159="","",'Calendario C'!L159)</f>
        <v/>
      </c>
      <c r="M1439" s="196" t="inlineStr">
        <is>
          <t>MARCHIONI Marco [Aest]</t>
        </is>
      </c>
      <c r="N1439" s="196" t="inlineStr">
        <is>
          <t>WEBER Filippo [AA]</t>
        </is>
      </c>
      <c r="O1439" s="196" t="inlineStr">
        <is>
          <t>KRAJNC Beatrice [Aest]</t>
        </is>
      </c>
      <c r="P1439" s="196" t="inlineStr">
        <is>
          <t>SANTORI Paolo</t>
        </is>
      </c>
      <c r="Q1439" s="196" t="inlineStr">
        <is>
          <t>ENGEL Elena</t>
        </is>
      </c>
      <c r="R1439" s="196" t="inlineStr">
        <is>
          <t>VIDMAR Ilaria</t>
        </is>
      </c>
    </row>
    <row r="1440" ht="15" customHeight="1">
      <c r="A1440" s="141" t="n"/>
      <c r="B1440" s="69">
        <f>IF('Calendario C'!B160="","",'Calendario C'!B160)</f>
        <v/>
      </c>
      <c r="C1440" s="9" t="n"/>
      <c r="D1440" s="9" t="n"/>
      <c r="E1440" s="9" t="n"/>
      <c r="F1440" s="9" t="n"/>
      <c r="G1440" s="9" t="n"/>
      <c r="H1440" s="10" t="n"/>
      <c r="I1440" s="62">
        <f>IF('Calendario C'!I160="","",'Calendario C'!I160)</f>
        <v/>
      </c>
      <c r="J1440" s="141" t="n"/>
      <c r="K1440" s="141" t="n"/>
      <c r="L1440" s="141" t="n"/>
      <c r="M1440" s="141" t="n"/>
      <c r="N1440" s="141" t="n"/>
      <c r="O1440" s="141" t="n"/>
      <c r="P1440" s="141" t="n"/>
      <c r="Q1440" s="141" t="n"/>
      <c r="R1440" s="141" t="n"/>
    </row>
    <row r="1441" ht="14" customHeight="1">
      <c r="A1441" s="81" t="inlineStr">
        <is>
          <t>Gara N.</t>
        </is>
      </c>
      <c r="B1441" s="81" t="inlineStr">
        <is>
          <t>Squadra A</t>
        </is>
      </c>
      <c r="C1441" s="10" t="n"/>
      <c r="D1441" s="81" t="inlineStr">
        <is>
          <t>Squadra B</t>
        </is>
      </c>
      <c r="E1441" s="10" t="n"/>
      <c r="F1441" s="81" t="inlineStr">
        <is>
          <t>Giorno</t>
        </is>
      </c>
      <c r="G1441" s="81" t="inlineStr">
        <is>
          <t>Data</t>
        </is>
      </c>
      <c r="H1441" s="81" t="inlineStr">
        <is>
          <t>Ora</t>
        </is>
      </c>
      <c r="I1441" s="10" t="n"/>
      <c r="J1441" s="81" t="inlineStr">
        <is>
          <t>Risultato</t>
        </is>
      </c>
      <c r="K1441" s="9" t="n"/>
      <c r="L1441" s="10" t="n"/>
      <c r="M1441" s="201" t="inlineStr">
        <is>
          <t>1o Arbitro</t>
        </is>
      </c>
      <c r="N1441" s="201" t="inlineStr">
        <is>
          <t>2o Arbitro</t>
        </is>
      </c>
      <c r="O1441" s="201" t="inlineStr">
        <is>
          <t>3o Arbitro/Tirocinante</t>
        </is>
      </c>
      <c r="P1441" s="201" t="inlineStr">
        <is>
          <t>Referto</t>
        </is>
      </c>
      <c r="Q1441" s="201" t="inlineStr">
        <is>
          <t>Cronometro</t>
        </is>
      </c>
      <c r="R1441" s="201" t="inlineStr">
        <is>
          <t>Foglio Tiri</t>
        </is>
      </c>
    </row>
    <row r="1442" ht="22" customHeight="1">
      <c r="A1442" s="83">
        <f>IF('Calendario C'!A162="","",'Calendario C'!A162)</f>
        <v/>
      </c>
      <c r="B1442" s="61">
        <f>IF('Calendario C'!B162="","",'Calendario C'!B162)</f>
        <v/>
      </c>
      <c r="C1442" s="62">
        <f>IF('Calendario C'!C162="","",'Calendario C'!C162)</f>
        <v/>
      </c>
      <c r="D1442" s="61">
        <f>IF('Calendario C'!D162="","",'Calendario C'!D162)</f>
        <v/>
      </c>
      <c r="E1442" s="62">
        <f>IF('Calendario C'!E162="","",'Calendario C'!E162)</f>
        <v/>
      </c>
      <c r="F1442" s="63">
        <f>IF('Calendario C'!F162="","",'Calendario C'!F162)</f>
        <v/>
      </c>
      <c r="G1442" s="9" t="n"/>
      <c r="H1442" s="9" t="n"/>
      <c r="I1442" s="10" t="n"/>
      <c r="J1442" s="195">
        <f>IF('Calendario C'!J162="","",'Calendario C'!J162)</f>
        <v/>
      </c>
      <c r="K1442" s="64" t="inlineStr">
        <is>
          <t>-</t>
        </is>
      </c>
      <c r="L1442" s="195">
        <f>IF('Calendario C'!L162="","",'Calendario C'!L162)</f>
        <v/>
      </c>
      <c r="M1442" s="196" t="inlineStr">
        <is>
          <t>SOLER Davide [A]</t>
        </is>
      </c>
      <c r="N1442" s="196" t="inlineStr">
        <is>
          <t>NADAUD Paula [Aest]</t>
        </is>
      </c>
      <c r="O1442" s="196" t="inlineStr">
        <is>
          <t>ROTH Andrea [AAt]</t>
        </is>
      </c>
      <c r="P1442" s="196" t="inlineStr">
        <is>
          <t>NADAUD Marco</t>
        </is>
      </c>
      <c r="Q1442" s="196" t="inlineStr">
        <is>
          <t>WEBER Lea</t>
        </is>
      </c>
      <c r="R1442" s="196" t="inlineStr">
        <is>
          <t>SANTORI Jonas</t>
        </is>
      </c>
    </row>
    <row r="1443" ht="15" customHeight="1">
      <c r="A1443" s="141" t="n"/>
      <c r="B1443" s="69">
        <f>IF('Calendario C'!B163="","",'Calendario C'!B163)</f>
        <v/>
      </c>
      <c r="C1443" s="9" t="n"/>
      <c r="D1443" s="9" t="n"/>
      <c r="E1443" s="9" t="n"/>
      <c r="F1443" s="9" t="n"/>
      <c r="G1443" s="9" t="n"/>
      <c r="H1443" s="10" t="n"/>
      <c r="I1443" s="62">
        <f>IF('Calendario C'!I163="","",'Calendario C'!I163)</f>
        <v/>
      </c>
      <c r="J1443" s="141" t="n"/>
      <c r="K1443" s="141" t="n"/>
      <c r="L1443" s="141" t="n"/>
      <c r="M1443" s="141" t="n"/>
      <c r="N1443" s="141" t="n"/>
      <c r="O1443" s="141" t="n"/>
      <c r="P1443" s="141" t="n"/>
      <c r="Q1443" s="141" t="n"/>
      <c r="R1443" s="141" t="n"/>
    </row>
    <row r="1444" ht="14" customHeight="1">
      <c r="A1444" s="81" t="inlineStr">
        <is>
          <t>Gara N.</t>
        </is>
      </c>
      <c r="B1444" s="81" t="inlineStr">
        <is>
          <t>Squadra A</t>
        </is>
      </c>
      <c r="C1444" s="10" t="n"/>
      <c r="D1444" s="81" t="inlineStr">
        <is>
          <t>Squadra B</t>
        </is>
      </c>
      <c r="E1444" s="10" t="n"/>
      <c r="F1444" s="81" t="inlineStr">
        <is>
          <t>Giorno</t>
        </is>
      </c>
      <c r="G1444" s="81" t="inlineStr">
        <is>
          <t>Data</t>
        </is>
      </c>
      <c r="H1444" s="81" t="inlineStr">
        <is>
          <t>Ora</t>
        </is>
      </c>
      <c r="I1444" s="10" t="n"/>
      <c r="J1444" s="81" t="inlineStr">
        <is>
          <t>Risultato</t>
        </is>
      </c>
      <c r="K1444" s="9" t="n"/>
      <c r="L1444" s="10" t="n"/>
      <c r="M1444" s="201" t="inlineStr">
        <is>
          <t>1o Arbitro</t>
        </is>
      </c>
      <c r="N1444" s="201" t="inlineStr">
        <is>
          <t>2o Arbitro</t>
        </is>
      </c>
      <c r="O1444" s="201" t="inlineStr">
        <is>
          <t>3o Arbitro/Tirocinante</t>
        </is>
      </c>
      <c r="P1444" s="201" t="inlineStr">
        <is>
          <t>Referto</t>
        </is>
      </c>
      <c r="Q1444" s="201" t="inlineStr">
        <is>
          <t>Cronometro</t>
        </is>
      </c>
      <c r="R1444" s="201" t="inlineStr">
        <is>
          <t>Foglio Tiri</t>
        </is>
      </c>
    </row>
    <row r="1445" ht="22" customHeight="1">
      <c r="A1445" s="83">
        <f>IF('Calendario C'!A165="","",'Calendario C'!A165)</f>
        <v/>
      </c>
      <c r="B1445" s="61">
        <f>IF('Calendario C'!B165="","",'Calendario C'!B165)</f>
        <v/>
      </c>
      <c r="C1445" s="62">
        <f>IF('Calendario C'!C165="","",'Calendario C'!C165)</f>
        <v/>
      </c>
      <c r="D1445" s="61">
        <f>IF('Calendario C'!D165="","",'Calendario C'!D165)</f>
        <v/>
      </c>
      <c r="E1445" s="62">
        <f>IF('Calendario C'!E165="","",'Calendario C'!E165)</f>
        <v/>
      </c>
      <c r="F1445" s="63">
        <f>IF('Calendario C'!F165="","",'Calendario C'!F165)</f>
        <v/>
      </c>
      <c r="G1445" s="9" t="n"/>
      <c r="H1445" s="9" t="n"/>
      <c r="I1445" s="10" t="n"/>
      <c r="J1445" s="195">
        <f>IF('Calendario C'!J165="","",'Calendario C'!J165)</f>
        <v/>
      </c>
      <c r="K1445" s="64" t="inlineStr">
        <is>
          <t>-</t>
        </is>
      </c>
      <c r="L1445" s="195">
        <f>IF('Calendario C'!L165="","",'Calendario C'!L165)</f>
        <v/>
      </c>
      <c r="M1445" s="196" t="inlineStr">
        <is>
          <t>SANTORI Eva [AAt]</t>
        </is>
      </c>
      <c r="N1445" s="196" t="inlineStr">
        <is>
          <t>BLANCO Tommaso [AAt]</t>
        </is>
      </c>
      <c r="O1445" s="196" t="inlineStr">
        <is>
          <t>ZUPAN Beatrice [AAt]</t>
        </is>
      </c>
      <c r="P1445" s="196" t="inlineStr">
        <is>
          <t>NAVARRO Paula</t>
        </is>
      </c>
      <c r="Q1445" s="196" t="inlineStr">
        <is>
          <t>MODIC Jonas</t>
        </is>
      </c>
      <c r="R1445" s="196" t="inlineStr">
        <is>
          <t>BLANCHET Alenka</t>
        </is>
      </c>
    </row>
    <row r="1446" ht="15" customHeight="1">
      <c r="A1446" s="141" t="n"/>
      <c r="B1446" s="69">
        <f>IF('Calendario C'!B166="","",'Calendario C'!B166)</f>
        <v/>
      </c>
      <c r="C1446" s="9" t="n"/>
      <c r="D1446" s="9" t="n"/>
      <c r="E1446" s="9" t="n"/>
      <c r="F1446" s="9" t="n"/>
      <c r="G1446" s="9" t="n"/>
      <c r="H1446" s="10" t="n"/>
      <c r="I1446" s="62">
        <f>IF('Calendario C'!I166="","",'Calendario C'!I166)</f>
        <v/>
      </c>
      <c r="J1446" s="141" t="n"/>
      <c r="K1446" s="141" t="n"/>
      <c r="L1446" s="141" t="n"/>
      <c r="M1446" s="141" t="n"/>
      <c r="N1446" s="141" t="n"/>
      <c r="O1446" s="141" t="n"/>
      <c r="P1446" s="141" t="n"/>
      <c r="Q1446" s="141" t="n"/>
      <c r="R1446" s="141" t="n"/>
    </row>
    <row r="1448" ht="20" customHeight="1">
      <c r="A1448" s="78">
        <f>IF('Calendario C'!A168="","",'Calendario C'!A168)</f>
        <v/>
      </c>
      <c r="B1448" s="79">
        <f>IF('Calendario C'!B168="","",'Calendario C'!B168)</f>
        <v/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10" t="n"/>
      <c r="M1448" s="200" t="inlineStr">
        <is>
          <t>ARBITRI</t>
        </is>
      </c>
      <c r="N1448" s="9" t="n"/>
      <c r="O1448" s="10" t="n"/>
      <c r="P1448" s="200" t="inlineStr">
        <is>
          <t>UFFICIALI DI CAMPO</t>
        </is>
      </c>
      <c r="Q1448" s="9" t="n"/>
      <c r="R1448" s="10" t="n"/>
    </row>
    <row r="1449" ht="14" customHeight="1">
      <c r="A1449" s="81" t="inlineStr">
        <is>
          <t>Gara N.</t>
        </is>
      </c>
      <c r="B1449" s="81" t="inlineStr">
        <is>
          <t>Squadra A</t>
        </is>
      </c>
      <c r="C1449" s="10" t="n"/>
      <c r="D1449" s="81" t="inlineStr">
        <is>
          <t>Squadra B</t>
        </is>
      </c>
      <c r="E1449" s="10" t="n"/>
      <c r="F1449" s="81" t="inlineStr">
        <is>
          <t>Giorno</t>
        </is>
      </c>
      <c r="G1449" s="81" t="inlineStr">
        <is>
          <t>Data</t>
        </is>
      </c>
      <c r="H1449" s="81" t="inlineStr">
        <is>
          <t>Ora</t>
        </is>
      </c>
      <c r="I1449" s="10" t="n"/>
      <c r="J1449" s="81" t="inlineStr">
        <is>
          <t>Risultato</t>
        </is>
      </c>
      <c r="K1449" s="9" t="n"/>
      <c r="L1449" s="10" t="n"/>
      <c r="M1449" s="201" t="inlineStr">
        <is>
          <t>1o Arbitro</t>
        </is>
      </c>
      <c r="N1449" s="201" t="inlineStr">
        <is>
          <t>2o Arbitro</t>
        </is>
      </c>
      <c r="O1449" s="201" t="inlineStr">
        <is>
          <t>3o Arbitro/Tirocinante</t>
        </is>
      </c>
      <c r="P1449" s="201" t="inlineStr">
        <is>
          <t>Referto</t>
        </is>
      </c>
      <c r="Q1449" s="201" t="inlineStr">
        <is>
          <t>Cronometro</t>
        </is>
      </c>
      <c r="R1449" s="201" t="inlineStr">
        <is>
          <t>Foglio Tiri</t>
        </is>
      </c>
    </row>
    <row r="1450" ht="22" customHeight="1">
      <c r="A1450" s="83">
        <f>IF('Calendario C'!A170="","",'Calendario C'!A170)</f>
        <v/>
      </c>
      <c r="B1450" s="61">
        <f>IF('Calendario C'!B170="","",'Calendario C'!B170)</f>
        <v/>
      </c>
      <c r="C1450" s="62">
        <f>IF('Calendario C'!C170="","",'Calendario C'!C170)</f>
        <v/>
      </c>
      <c r="D1450" s="61">
        <f>IF('Calendario C'!D170="","",'Calendario C'!D170)</f>
        <v/>
      </c>
      <c r="E1450" s="62">
        <f>IF('Calendario C'!E170="","",'Calendario C'!E170)</f>
        <v/>
      </c>
      <c r="F1450" s="63">
        <f>IF('Calendario C'!F170="","",'Calendario C'!F170)</f>
        <v/>
      </c>
      <c r="G1450" s="9" t="n"/>
      <c r="H1450" s="9" t="n"/>
      <c r="I1450" s="10" t="n"/>
      <c r="J1450" s="195">
        <f>IF('Calendario C'!J170="","",'Calendario C'!J170)</f>
        <v/>
      </c>
      <c r="K1450" s="64" t="inlineStr">
        <is>
          <t>-</t>
        </is>
      </c>
      <c r="L1450" s="195">
        <f>IF('Calendario C'!L170="","",'Calendario C'!L170)</f>
        <v/>
      </c>
      <c r="M1450" s="196" t="inlineStr">
        <is>
          <t>LANGER Valerie [Aest]</t>
        </is>
      </c>
      <c r="N1450" s="196" t="inlineStr">
        <is>
          <t>ENGEL Marco [AA]</t>
        </is>
      </c>
      <c r="O1450" s="196" t="inlineStr">
        <is>
          <t>LEFEVRE Filippo [AA]</t>
        </is>
      </c>
      <c r="P1450" s="196" t="inlineStr">
        <is>
          <t>SCHAFER Sofia</t>
        </is>
      </c>
      <c r="Q1450" s="196" t="inlineStr">
        <is>
          <t>HORVAT Irene</t>
        </is>
      </c>
      <c r="R1450" s="196" t="inlineStr">
        <is>
          <t>MORETTO Ilaria</t>
        </is>
      </c>
    </row>
    <row r="1451" ht="15" customHeight="1">
      <c r="A1451" s="141" t="n"/>
      <c r="B1451" s="69">
        <f>IF('Calendario C'!B171="","",'Calendario C'!B171)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C'!I171="","",'Calendario C'!I171)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2" ht="14" customHeight="1">
      <c r="A1452" s="81" t="inlineStr">
        <is>
          <t>Gara N.</t>
        </is>
      </c>
      <c r="B1452" s="81" t="inlineStr">
        <is>
          <t>Squadra A</t>
        </is>
      </c>
      <c r="C1452" s="10" t="n"/>
      <c r="D1452" s="81" t="inlineStr">
        <is>
          <t>Squadra B</t>
        </is>
      </c>
      <c r="E1452" s="10" t="n"/>
      <c r="F1452" s="81" t="inlineStr">
        <is>
          <t>Giorno</t>
        </is>
      </c>
      <c r="G1452" s="81" t="inlineStr">
        <is>
          <t>Data</t>
        </is>
      </c>
      <c r="H1452" s="81" t="inlineStr">
        <is>
          <t>Ora</t>
        </is>
      </c>
      <c r="I1452" s="10" t="n"/>
      <c r="J1452" s="81" t="inlineStr">
        <is>
          <t>Risultato</t>
        </is>
      </c>
      <c r="K1452" s="9" t="n"/>
      <c r="L1452" s="10" t="n"/>
      <c r="M1452" s="201" t="inlineStr">
        <is>
          <t>1o Arbitro</t>
        </is>
      </c>
      <c r="N1452" s="201" t="inlineStr">
        <is>
          <t>2o Arbitro</t>
        </is>
      </c>
      <c r="O1452" s="201" t="inlineStr">
        <is>
          <t>3o Arbitro/Tirocinante</t>
        </is>
      </c>
      <c r="P1452" s="201" t="inlineStr">
        <is>
          <t>Referto</t>
        </is>
      </c>
      <c r="Q1452" s="201" t="inlineStr">
        <is>
          <t>Cronometro</t>
        </is>
      </c>
      <c r="R1452" s="201" t="inlineStr">
        <is>
          <t>Foglio Tiri</t>
        </is>
      </c>
    </row>
    <row r="1453" ht="22" customHeight="1">
      <c r="A1453" s="83">
        <f>IF('Calendario C'!A173="","",'Calendario C'!A173)</f>
        <v/>
      </c>
      <c r="B1453" s="61">
        <f>IF('Calendario C'!B173="","",'Calendario C'!B173)</f>
        <v/>
      </c>
      <c r="C1453" s="62">
        <f>IF('Calendario C'!C173="","",'Calendario C'!C173)</f>
        <v/>
      </c>
      <c r="D1453" s="61">
        <f>IF('Calendario C'!D173="","",'Calendario C'!D173)</f>
        <v/>
      </c>
      <c r="E1453" s="62">
        <f>IF('Calendario C'!E173="","",'Calendario C'!E173)</f>
        <v/>
      </c>
      <c r="F1453" s="63">
        <f>IF('Calendario C'!F173="","",'Calendario C'!F173)</f>
        <v/>
      </c>
      <c r="G1453" s="9" t="n"/>
      <c r="H1453" s="9" t="n"/>
      <c r="I1453" s="10" t="n"/>
      <c r="J1453" s="195">
        <f>IF('Calendario C'!J173="","",'Calendario C'!J173)</f>
        <v/>
      </c>
      <c r="K1453" s="64" t="inlineStr">
        <is>
          <t>-</t>
        </is>
      </c>
      <c r="L1453" s="195">
        <f>IF('Calendario C'!L173="","",'Calendario C'!L173)</f>
        <v/>
      </c>
      <c r="M1453" s="196" t="inlineStr">
        <is>
          <t>SANTORI Nicola [AA]</t>
        </is>
      </c>
      <c r="N1453" s="196" t="inlineStr">
        <is>
          <t>KRUGER Ilaria [A]</t>
        </is>
      </c>
      <c r="O1453" s="196" t="inlineStr">
        <is>
          <t>OBLAK Lucia [AAt]</t>
        </is>
      </c>
      <c r="P1453" s="196" t="inlineStr">
        <is>
          <t>FUENTES Beatrice</t>
        </is>
      </c>
      <c r="Q1453" s="196" t="inlineStr">
        <is>
          <t>WEBER Andrea</t>
        </is>
      </c>
      <c r="R1453" s="196" t="inlineStr">
        <is>
          <t>ZUPAN Alenka</t>
        </is>
      </c>
    </row>
    <row r="1454" ht="15" customHeight="1">
      <c r="A1454" s="141" t="n"/>
      <c r="B1454" s="69">
        <f>IF('Calendario C'!B174="","",'Calendario C'!B174)</f>
        <v/>
      </c>
      <c r="C1454" s="9" t="n"/>
      <c r="D1454" s="9" t="n"/>
      <c r="E1454" s="9" t="n"/>
      <c r="F1454" s="9" t="n"/>
      <c r="G1454" s="9" t="n"/>
      <c r="H1454" s="10" t="n"/>
      <c r="I1454" s="62">
        <f>IF('Calendario C'!I174="","",'Calendario C'!I174)</f>
        <v/>
      </c>
      <c r="J1454" s="141" t="n"/>
      <c r="K1454" s="141" t="n"/>
      <c r="L1454" s="141" t="n"/>
      <c r="M1454" s="141" t="n"/>
      <c r="N1454" s="141" t="n"/>
      <c r="O1454" s="141" t="n"/>
      <c r="P1454" s="141" t="n"/>
      <c r="Q1454" s="141" t="n"/>
      <c r="R1454" s="141" t="n"/>
    </row>
    <row r="1455" ht="14" customHeight="1">
      <c r="A1455" s="81" t="inlineStr">
        <is>
          <t>Gara N.</t>
        </is>
      </c>
      <c r="B1455" s="81" t="inlineStr">
        <is>
          <t>Squadra A</t>
        </is>
      </c>
      <c r="C1455" s="10" t="n"/>
      <c r="D1455" s="81" t="inlineStr">
        <is>
          <t>Squadra B</t>
        </is>
      </c>
      <c r="E1455" s="10" t="n"/>
      <c r="F1455" s="81" t="inlineStr">
        <is>
          <t>Giorno</t>
        </is>
      </c>
      <c r="G1455" s="81" t="inlineStr">
        <is>
          <t>Data</t>
        </is>
      </c>
      <c r="H1455" s="81" t="inlineStr">
        <is>
          <t>Ora</t>
        </is>
      </c>
      <c r="I1455" s="10" t="n"/>
      <c r="J1455" s="81" t="inlineStr">
        <is>
          <t>Risultato</t>
        </is>
      </c>
      <c r="K1455" s="9" t="n"/>
      <c r="L1455" s="10" t="n"/>
      <c r="M1455" s="201" t="inlineStr">
        <is>
          <t>1o Arbitro</t>
        </is>
      </c>
      <c r="N1455" s="201" t="inlineStr">
        <is>
          <t>2o Arbitro</t>
        </is>
      </c>
      <c r="O1455" s="201" t="inlineStr">
        <is>
          <t>3o Arbitro/Tirocinante</t>
        </is>
      </c>
      <c r="P1455" s="201" t="inlineStr">
        <is>
          <t>Referto</t>
        </is>
      </c>
      <c r="Q1455" s="201" t="inlineStr">
        <is>
          <t>Cronometro</t>
        </is>
      </c>
      <c r="R1455" s="201" t="inlineStr">
        <is>
          <t>Foglio Tiri</t>
        </is>
      </c>
    </row>
    <row r="1456" ht="22" customHeight="1">
      <c r="A1456" s="83">
        <f>IF('Calendario C'!A176="","",'Calendario C'!A176)</f>
        <v/>
      </c>
      <c r="B1456" s="61">
        <f>IF('Calendario C'!B176="","",'Calendario C'!B176)</f>
        <v/>
      </c>
      <c r="C1456" s="62">
        <f>IF('Calendario C'!C176="","",'Calendario C'!C176)</f>
        <v/>
      </c>
      <c r="D1456" s="61">
        <f>IF('Calendario C'!D176="","",'Calendario C'!D176)</f>
        <v/>
      </c>
      <c r="E1456" s="62">
        <f>IF('Calendario C'!E176="","",'Calendario C'!E176)</f>
        <v/>
      </c>
      <c r="F1456" s="63">
        <f>IF('Calendario C'!F176="","",'Calendario C'!F176)</f>
        <v/>
      </c>
      <c r="G1456" s="9" t="n"/>
      <c r="H1456" s="9" t="n"/>
      <c r="I1456" s="10" t="n"/>
      <c r="J1456" s="195">
        <f>IF('Calendario C'!J176="","",'Calendario C'!J176)</f>
        <v/>
      </c>
      <c r="K1456" s="64" t="inlineStr">
        <is>
          <t>-</t>
        </is>
      </c>
      <c r="L1456" s="195">
        <f>IF('Calendario C'!L176="","",'Calendario C'!L176)</f>
        <v/>
      </c>
      <c r="M1456" s="196" t="inlineStr">
        <is>
          <t>ROTH Eva [A]</t>
        </is>
      </c>
      <c r="N1456" s="196" t="inlineStr">
        <is>
          <t>NADAUD Hugo [AAt]</t>
        </is>
      </c>
      <c r="O1456" s="196" t="inlineStr">
        <is>
          <t>NAVARRO Matteo [AA]</t>
        </is>
      </c>
      <c r="P1456" s="196" t="inlineStr">
        <is>
          <t>KELLER Matteo</t>
        </is>
      </c>
      <c r="Q1456" s="196" t="inlineStr">
        <is>
          <t>FUENTES Greta</t>
        </is>
      </c>
      <c r="R1456" s="196" t="inlineStr">
        <is>
          <t>SEVER Ottavia</t>
        </is>
      </c>
    </row>
    <row r="1457" ht="15" customHeight="1">
      <c r="A1457" s="141" t="n"/>
      <c r="B1457" s="69">
        <f>IF('Calendario C'!B177="","",'Calendario C'!B177)</f>
        <v/>
      </c>
      <c r="C1457" s="9" t="n"/>
      <c r="D1457" s="9" t="n"/>
      <c r="E1457" s="9" t="n"/>
      <c r="F1457" s="9" t="n"/>
      <c r="G1457" s="9" t="n"/>
      <c r="H1457" s="10" t="n"/>
      <c r="I1457" s="62">
        <f>IF('Calendario C'!I177="","",'Calendario C'!I177)</f>
        <v/>
      </c>
      <c r="J1457" s="141" t="n"/>
      <c r="K1457" s="141" t="n"/>
      <c r="L1457" s="141" t="n"/>
      <c r="M1457" s="141" t="n"/>
      <c r="N1457" s="141" t="n"/>
      <c r="O1457" s="141" t="n"/>
      <c r="P1457" s="141" t="n"/>
      <c r="Q1457" s="141" t="n"/>
      <c r="R1457" s="141" t="n"/>
    </row>
    <row r="1458" ht="14" customHeight="1">
      <c r="A1458" s="81" t="inlineStr">
        <is>
          <t>Gara N.</t>
        </is>
      </c>
      <c r="B1458" s="81" t="inlineStr">
        <is>
          <t>Squadra A</t>
        </is>
      </c>
      <c r="C1458" s="10" t="n"/>
      <c r="D1458" s="81" t="inlineStr">
        <is>
          <t>Squadra B</t>
        </is>
      </c>
      <c r="E1458" s="10" t="n"/>
      <c r="F1458" s="81" t="inlineStr">
        <is>
          <t>Giorno</t>
        </is>
      </c>
      <c r="G1458" s="81" t="inlineStr">
        <is>
          <t>Data</t>
        </is>
      </c>
      <c r="H1458" s="81" t="inlineStr">
        <is>
          <t>Ora</t>
        </is>
      </c>
      <c r="I1458" s="10" t="n"/>
      <c r="J1458" s="81" t="inlineStr">
        <is>
          <t>Risultato</t>
        </is>
      </c>
      <c r="K1458" s="9" t="n"/>
      <c r="L1458" s="10" t="n"/>
      <c r="M1458" s="201" t="inlineStr">
        <is>
          <t>1o Arbitro</t>
        </is>
      </c>
      <c r="N1458" s="201" t="inlineStr">
        <is>
          <t>2o Arbitro</t>
        </is>
      </c>
      <c r="O1458" s="201" t="inlineStr">
        <is>
          <t>3o Arbitro/Tirocinante</t>
        </is>
      </c>
      <c r="P1458" s="201" t="inlineStr">
        <is>
          <t>Referto</t>
        </is>
      </c>
      <c r="Q1458" s="201" t="inlineStr">
        <is>
          <t>Cronometro</t>
        </is>
      </c>
      <c r="R1458" s="201" t="inlineStr">
        <is>
          <t>Foglio Tiri</t>
        </is>
      </c>
    </row>
    <row r="1459" ht="22" customHeight="1">
      <c r="A1459" s="83">
        <f>IF('Calendario C'!A179="","",'Calendario C'!A179)</f>
        <v/>
      </c>
      <c r="B1459" s="61">
        <f>IF('Calendario C'!B179="","",'Calendario C'!B179)</f>
        <v/>
      </c>
      <c r="C1459" s="62">
        <f>IF('Calendario C'!C179="","",'Calendario C'!C179)</f>
        <v/>
      </c>
      <c r="D1459" s="61">
        <f>IF('Calendario C'!D179="","",'Calendario C'!D179)</f>
        <v/>
      </c>
      <c r="E1459" s="62">
        <f>IF('Calendario C'!E179="","",'Calendario C'!E179)</f>
        <v/>
      </c>
      <c r="F1459" s="63">
        <f>IF('Calendario C'!F179="","",'Calendario C'!F179)</f>
        <v/>
      </c>
      <c r="G1459" s="9" t="n"/>
      <c r="H1459" s="9" t="n"/>
      <c r="I1459" s="10" t="n"/>
      <c r="J1459" s="195">
        <f>IF('Calendario C'!J179="","",'Calendario C'!J179)</f>
        <v/>
      </c>
      <c r="K1459" s="64" t="inlineStr">
        <is>
          <t>-</t>
        </is>
      </c>
      <c r="L1459" s="195">
        <f>IF('Calendario C'!L179="","",'Calendario C'!L179)</f>
        <v/>
      </c>
      <c r="M1459" s="196" t="inlineStr">
        <is>
          <t>MARCHIONI Paula [Aest]</t>
        </is>
      </c>
      <c r="N1459" s="196" t="inlineStr">
        <is>
          <t>CARON Vid [A]</t>
        </is>
      </c>
      <c r="O1459" s="196" t="inlineStr">
        <is>
          <t>MODIC Valerie [A]</t>
        </is>
      </c>
      <c r="P1459" s="196" t="inlineStr">
        <is>
          <t>VOGEL Pablo</t>
        </is>
      </c>
      <c r="Q1459" s="196" t="inlineStr">
        <is>
          <t>ORTEGA Ilaria</t>
        </is>
      </c>
      <c r="R1459" s="196" t="inlineStr">
        <is>
          <t>LEFEVRE Ilaria</t>
        </is>
      </c>
    </row>
    <row r="1460" ht="15" customHeight="1">
      <c r="A1460" s="141" t="n"/>
      <c r="B1460" s="69">
        <f>IF('Calendario C'!B180="","",'Calendario C'!B180)</f>
        <v/>
      </c>
      <c r="C1460" s="9" t="n"/>
      <c r="D1460" s="9" t="n"/>
      <c r="E1460" s="9" t="n"/>
      <c r="F1460" s="9" t="n"/>
      <c r="G1460" s="9" t="n"/>
      <c r="H1460" s="10" t="n"/>
      <c r="I1460" s="62">
        <f>IF('Calendario C'!I180="","",'Calendario C'!I180)</f>
        <v/>
      </c>
      <c r="J1460" s="141" t="n"/>
      <c r="K1460" s="141" t="n"/>
      <c r="L1460" s="141" t="n"/>
      <c r="M1460" s="141" t="n"/>
      <c r="N1460" s="141" t="n"/>
      <c r="O1460" s="141" t="n"/>
      <c r="P1460" s="141" t="n"/>
      <c r="Q1460" s="141" t="n"/>
      <c r="R1460" s="141" t="n"/>
    </row>
    <row r="1461" ht="14" customHeight="1">
      <c r="A1461" s="81" t="inlineStr">
        <is>
          <t>Gara N.</t>
        </is>
      </c>
      <c r="B1461" s="81" t="inlineStr">
        <is>
          <t>Squadra A</t>
        </is>
      </c>
      <c r="C1461" s="10" t="n"/>
      <c r="D1461" s="81" t="inlineStr">
        <is>
          <t>Squadra B</t>
        </is>
      </c>
      <c r="E1461" s="10" t="n"/>
      <c r="F1461" s="81" t="inlineStr">
        <is>
          <t>Giorno</t>
        </is>
      </c>
      <c r="G1461" s="81" t="inlineStr">
        <is>
          <t>Data</t>
        </is>
      </c>
      <c r="H1461" s="81" t="inlineStr">
        <is>
          <t>Ora</t>
        </is>
      </c>
      <c r="I1461" s="10" t="n"/>
      <c r="J1461" s="81" t="inlineStr">
        <is>
          <t>Risultato</t>
        </is>
      </c>
      <c r="K1461" s="9" t="n"/>
      <c r="L1461" s="10" t="n"/>
      <c r="M1461" s="201" t="inlineStr">
        <is>
          <t>1o Arbitro</t>
        </is>
      </c>
      <c r="N1461" s="201" t="inlineStr">
        <is>
          <t>2o Arbitro</t>
        </is>
      </c>
      <c r="O1461" s="201" t="inlineStr">
        <is>
          <t>3o Arbitro/Tirocinante</t>
        </is>
      </c>
      <c r="P1461" s="201" t="inlineStr">
        <is>
          <t>Referto</t>
        </is>
      </c>
      <c r="Q1461" s="201" t="inlineStr">
        <is>
          <t>Cronometro</t>
        </is>
      </c>
      <c r="R1461" s="201" t="inlineStr">
        <is>
          <t>Foglio Tiri</t>
        </is>
      </c>
    </row>
    <row r="1462" ht="22" customHeight="1">
      <c r="A1462" s="83">
        <f>IF('Calendario C'!A182="","",'Calendario C'!A182)</f>
        <v/>
      </c>
      <c r="B1462" s="61">
        <f>IF('Calendario C'!B182="","",'Calendario C'!B182)</f>
        <v/>
      </c>
      <c r="C1462" s="62">
        <f>IF('Calendario C'!C182="","",'Calendario C'!C182)</f>
        <v/>
      </c>
      <c r="D1462" s="61">
        <f>IF('Calendario C'!D182="","",'Calendario C'!D182)</f>
        <v/>
      </c>
      <c r="E1462" s="62">
        <f>IF('Calendario C'!E182="","",'Calendario C'!E182)</f>
        <v/>
      </c>
      <c r="F1462" s="63">
        <f>IF('Calendario C'!F182="","",'Calendario C'!F182)</f>
        <v/>
      </c>
      <c r="G1462" s="9" t="n"/>
      <c r="H1462" s="9" t="n"/>
      <c r="I1462" s="10" t="n"/>
      <c r="J1462" s="195">
        <f>IF('Calendario C'!J182="","",'Calendario C'!J182)</f>
        <v/>
      </c>
      <c r="K1462" s="64" t="inlineStr">
        <is>
          <t>-</t>
        </is>
      </c>
      <c r="L1462" s="195">
        <f>IF('Calendario C'!L182="","",'Calendario C'!L182)</f>
        <v/>
      </c>
      <c r="M1462" s="196" t="inlineStr">
        <is>
          <t>AUBERT Martina [AA]</t>
        </is>
      </c>
      <c r="N1462" s="196" t="inlineStr">
        <is>
          <t>PELLEGRI Chiara [AAt]</t>
        </is>
      </c>
      <c r="O1462" s="196" t="inlineStr">
        <is>
          <t>ROTH Martina [AA]</t>
        </is>
      </c>
      <c r="P1462" s="196" t="inlineStr">
        <is>
          <t>KELLER Matteo</t>
        </is>
      </c>
      <c r="Q1462" s="196" t="inlineStr">
        <is>
          <t>HOFFMANN Tommaso</t>
        </is>
      </c>
      <c r="R1462" s="196" t="inlineStr">
        <is>
          <t>ROMERO Alenka</t>
        </is>
      </c>
    </row>
    <row r="1463" ht="15" customHeight="1">
      <c r="A1463" s="141" t="n"/>
      <c r="B1463" s="69">
        <f>IF('Calendario C'!B183="","",'Calendario C'!B183)</f>
        <v/>
      </c>
      <c r="C1463" s="9" t="n"/>
      <c r="D1463" s="9" t="n"/>
      <c r="E1463" s="9" t="n"/>
      <c r="F1463" s="9" t="n"/>
      <c r="G1463" s="9" t="n"/>
      <c r="H1463" s="10" t="n"/>
      <c r="I1463" s="62">
        <f>IF('Calendario C'!I183="","",'Calendario C'!I183)</f>
        <v/>
      </c>
      <c r="J1463" s="141" t="n"/>
      <c r="K1463" s="141" t="n"/>
      <c r="L1463" s="141" t="n"/>
      <c r="M1463" s="141" t="n"/>
      <c r="N1463" s="141" t="n"/>
      <c r="O1463" s="141" t="n"/>
      <c r="P1463" s="141" t="n"/>
      <c r="Q1463" s="141" t="n"/>
      <c r="R1463" s="141" t="n"/>
    </row>
    <row r="1464" ht="14" customHeight="1">
      <c r="A1464" s="81" t="inlineStr">
        <is>
          <t>Gara N.</t>
        </is>
      </c>
      <c r="B1464" s="81" t="inlineStr">
        <is>
          <t>Squadra A</t>
        </is>
      </c>
      <c r="C1464" s="10" t="n"/>
      <c r="D1464" s="81" t="inlineStr">
        <is>
          <t>Squadra B</t>
        </is>
      </c>
      <c r="E1464" s="10" t="n"/>
      <c r="F1464" s="81" t="inlineStr">
        <is>
          <t>Giorno</t>
        </is>
      </c>
      <c r="G1464" s="81" t="inlineStr">
        <is>
          <t>Data</t>
        </is>
      </c>
      <c r="H1464" s="81" t="inlineStr">
        <is>
          <t>Ora</t>
        </is>
      </c>
      <c r="I1464" s="10" t="n"/>
      <c r="J1464" s="81" t="inlineStr">
        <is>
          <t>Risultato</t>
        </is>
      </c>
      <c r="K1464" s="9" t="n"/>
      <c r="L1464" s="10" t="n"/>
      <c r="M1464" s="201" t="inlineStr">
        <is>
          <t>1o Arbitro</t>
        </is>
      </c>
      <c r="N1464" s="201" t="inlineStr">
        <is>
          <t>2o Arbitro</t>
        </is>
      </c>
      <c r="O1464" s="201" t="inlineStr">
        <is>
          <t>3o Arbitro/Tirocinante</t>
        </is>
      </c>
      <c r="P1464" s="201" t="inlineStr">
        <is>
          <t>Referto</t>
        </is>
      </c>
      <c r="Q1464" s="201" t="inlineStr">
        <is>
          <t>Cronometro</t>
        </is>
      </c>
      <c r="R1464" s="201" t="inlineStr">
        <is>
          <t>Foglio Tiri</t>
        </is>
      </c>
    </row>
    <row r="1465" ht="22" customHeight="1">
      <c r="A1465" s="83">
        <f>IF('Calendario C'!A185="","",'Calendario C'!A185)</f>
        <v/>
      </c>
      <c r="B1465" s="61">
        <f>IF('Calendario C'!B185="","",'Calendario C'!B185)</f>
        <v/>
      </c>
      <c r="C1465" s="62">
        <f>IF('Calendario C'!C185="","",'Calendario C'!C185)</f>
        <v/>
      </c>
      <c r="D1465" s="61">
        <f>IF('Calendario C'!D185="","",'Calendario C'!D185)</f>
        <v/>
      </c>
      <c r="E1465" s="62">
        <f>IF('Calendario C'!E185="","",'Calendario C'!E185)</f>
        <v/>
      </c>
      <c r="F1465" s="63">
        <f>IF('Calendario C'!F185="","",'Calendario C'!F185)</f>
        <v/>
      </c>
      <c r="G1465" s="9" t="n"/>
      <c r="H1465" s="9" t="n"/>
      <c r="I1465" s="10" t="n"/>
      <c r="J1465" s="195">
        <f>IF('Calendario C'!J185="","",'Calendario C'!J185)</f>
        <v/>
      </c>
      <c r="K1465" s="64" t="inlineStr">
        <is>
          <t>-</t>
        </is>
      </c>
      <c r="L1465" s="195">
        <f>IF('Calendario C'!L185="","",'Calendario C'!L185)</f>
        <v/>
      </c>
      <c r="M1465" s="196" t="inlineStr">
        <is>
          <t>CASTILLO Jonas [AA]</t>
        </is>
      </c>
      <c r="N1465" s="196" t="inlineStr">
        <is>
          <t>WEBER Nicola [AAt]</t>
        </is>
      </c>
      <c r="O1465" s="196" t="inlineStr">
        <is>
          <t>HORVAT Davide [Aest]</t>
        </is>
      </c>
      <c r="P1465" s="196" t="inlineStr">
        <is>
          <t>WEBER Jonas</t>
        </is>
      </c>
      <c r="Q1465" s="196" t="inlineStr">
        <is>
          <t>FUENTES Anja</t>
        </is>
      </c>
      <c r="R1465" s="196" t="inlineStr">
        <is>
          <t>MARCHIONI Gaelle</t>
        </is>
      </c>
    </row>
    <row r="1466" ht="15" customHeight="1">
      <c r="A1466" s="141" t="n"/>
      <c r="B1466" s="69">
        <f>IF('Calendario C'!B186="","",'Calendario C'!B186)</f>
        <v/>
      </c>
      <c r="C1466" s="9" t="n"/>
      <c r="D1466" s="9" t="n"/>
      <c r="E1466" s="9" t="n"/>
      <c r="F1466" s="9" t="n"/>
      <c r="G1466" s="9" t="n"/>
      <c r="H1466" s="10" t="n"/>
      <c r="I1466" s="62">
        <f>IF('Calendario C'!I186="","",'Calendario C'!I186)</f>
        <v/>
      </c>
      <c r="J1466" s="141" t="n"/>
      <c r="K1466" s="141" t="n"/>
      <c r="L1466" s="141" t="n"/>
      <c r="M1466" s="141" t="n"/>
      <c r="N1466" s="141" t="n"/>
      <c r="O1466" s="141" t="n"/>
      <c r="P1466" s="141" t="n"/>
      <c r="Q1466" s="141" t="n"/>
      <c r="R1466" s="141" t="n"/>
    </row>
    <row r="1467" ht="14" customHeight="1">
      <c r="A1467" s="81" t="inlineStr">
        <is>
          <t>Gara N.</t>
        </is>
      </c>
      <c r="B1467" s="81" t="inlineStr">
        <is>
          <t>Squadra A</t>
        </is>
      </c>
      <c r="C1467" s="10" t="n"/>
      <c r="D1467" s="81" t="inlineStr">
        <is>
          <t>Squadra B</t>
        </is>
      </c>
      <c r="E1467" s="10" t="n"/>
      <c r="F1467" s="81" t="inlineStr">
        <is>
          <t>Giorno</t>
        </is>
      </c>
      <c r="G1467" s="81" t="inlineStr">
        <is>
          <t>Data</t>
        </is>
      </c>
      <c r="H1467" s="81" t="inlineStr">
        <is>
          <t>Ora</t>
        </is>
      </c>
      <c r="I1467" s="10" t="n"/>
      <c r="J1467" s="81" t="inlineStr">
        <is>
          <t>Risultato</t>
        </is>
      </c>
      <c r="K1467" s="9" t="n"/>
      <c r="L1467" s="10" t="n"/>
      <c r="M1467" s="201" t="inlineStr">
        <is>
          <t>1o Arbitro</t>
        </is>
      </c>
      <c r="N1467" s="201" t="inlineStr">
        <is>
          <t>2o Arbitro</t>
        </is>
      </c>
      <c r="O1467" s="201" t="inlineStr">
        <is>
          <t>3o Arbitro/Tirocinante</t>
        </is>
      </c>
      <c r="P1467" s="201" t="inlineStr">
        <is>
          <t>Referto</t>
        </is>
      </c>
      <c r="Q1467" s="201" t="inlineStr">
        <is>
          <t>Cronometro</t>
        </is>
      </c>
      <c r="R1467" s="201" t="inlineStr">
        <is>
          <t>Foglio Tiri</t>
        </is>
      </c>
    </row>
    <row r="1468" ht="22" customHeight="1">
      <c r="A1468" s="83">
        <f>IF('Calendario C'!A188="","",'Calendario C'!A188)</f>
        <v/>
      </c>
      <c r="B1468" s="61">
        <f>IF('Calendario C'!B188="","",'Calendario C'!B188)</f>
        <v/>
      </c>
      <c r="C1468" s="62">
        <f>IF('Calendario C'!C188="","",'Calendario C'!C188)</f>
        <v/>
      </c>
      <c r="D1468" s="61">
        <f>IF('Calendario C'!D188="","",'Calendario C'!D188)</f>
        <v/>
      </c>
      <c r="E1468" s="62">
        <f>IF('Calendario C'!E188="","",'Calendario C'!E188)</f>
        <v/>
      </c>
      <c r="F1468" s="63">
        <f>IF('Calendario C'!F188="","",'Calendario C'!F188)</f>
        <v/>
      </c>
      <c r="G1468" s="9" t="n"/>
      <c r="H1468" s="9" t="n"/>
      <c r="I1468" s="10" t="n"/>
      <c r="J1468" s="195">
        <f>IF('Calendario C'!J188="","",'Calendario C'!J188)</f>
        <v/>
      </c>
      <c r="K1468" s="64" t="inlineStr">
        <is>
          <t>-</t>
        </is>
      </c>
      <c r="L1468" s="195">
        <f>IF('Calendario C'!L188="","",'Calendario C'!L188)</f>
        <v/>
      </c>
      <c r="M1468" s="196" t="inlineStr">
        <is>
          <t>SCHAFER Giulia [AA]</t>
        </is>
      </c>
      <c r="N1468" s="196" t="inlineStr">
        <is>
          <t>OBLAK Beatrice [AA]</t>
        </is>
      </c>
      <c r="O1468" s="196" t="inlineStr">
        <is>
          <t>OBLAK Stefano [AA]</t>
        </is>
      </c>
      <c r="P1468" s="196" t="inlineStr">
        <is>
          <t>NOVAK Tommaso</t>
        </is>
      </c>
      <c r="Q1468" s="196" t="inlineStr">
        <is>
          <t>ORTEGA Gaelle</t>
        </is>
      </c>
      <c r="R1468" s="196" t="inlineStr">
        <is>
          <t>CAMPOS Noemi</t>
        </is>
      </c>
    </row>
    <row r="1469" ht="15" customHeight="1">
      <c r="A1469" s="141" t="n"/>
      <c r="B1469" s="69">
        <f>IF('Calendario C'!B189="","",'Calendario C'!B189)</f>
        <v/>
      </c>
      <c r="C1469" s="9" t="n"/>
      <c r="D1469" s="9" t="n"/>
      <c r="E1469" s="9" t="n"/>
      <c r="F1469" s="9" t="n"/>
      <c r="G1469" s="9" t="n"/>
      <c r="H1469" s="10" t="n"/>
      <c r="I1469" s="62">
        <f>IF('Calendario C'!I189="","",'Calendario C'!I189)</f>
        <v/>
      </c>
      <c r="J1469" s="141" t="n"/>
      <c r="K1469" s="141" t="n"/>
      <c r="L1469" s="141" t="n"/>
      <c r="M1469" s="141" t="n"/>
      <c r="N1469" s="141" t="n"/>
      <c r="O1469" s="141" t="n"/>
      <c r="P1469" s="141" t="n"/>
      <c r="Q1469" s="141" t="n"/>
      <c r="R1469" s="141" t="n"/>
    </row>
    <row r="1470" ht="14" customHeight="1">
      <c r="A1470" s="81" t="inlineStr">
        <is>
          <t>Gara N.</t>
        </is>
      </c>
      <c r="B1470" s="81" t="inlineStr">
        <is>
          <t>Squadra A</t>
        </is>
      </c>
      <c r="C1470" s="10" t="n"/>
      <c r="D1470" s="81" t="inlineStr">
        <is>
          <t>Squadra B</t>
        </is>
      </c>
      <c r="E1470" s="10" t="n"/>
      <c r="F1470" s="81" t="inlineStr">
        <is>
          <t>Giorno</t>
        </is>
      </c>
      <c r="G1470" s="81" t="inlineStr">
        <is>
          <t>Data</t>
        </is>
      </c>
      <c r="H1470" s="81" t="inlineStr">
        <is>
          <t>Ora</t>
        </is>
      </c>
      <c r="I1470" s="10" t="n"/>
      <c r="J1470" s="81" t="inlineStr">
        <is>
          <t>Risultato</t>
        </is>
      </c>
      <c r="K1470" s="9" t="n"/>
      <c r="L1470" s="10" t="n"/>
      <c r="M1470" s="201" t="inlineStr">
        <is>
          <t>1o Arbitro</t>
        </is>
      </c>
      <c r="N1470" s="201" t="inlineStr">
        <is>
          <t>2o Arbitro</t>
        </is>
      </c>
      <c r="O1470" s="201" t="inlineStr">
        <is>
          <t>3o Arbitro/Tirocinante</t>
        </is>
      </c>
      <c r="P1470" s="201" t="inlineStr">
        <is>
          <t>Referto</t>
        </is>
      </c>
      <c r="Q1470" s="201" t="inlineStr">
        <is>
          <t>Cronometro</t>
        </is>
      </c>
      <c r="R1470" s="201" t="inlineStr">
        <is>
          <t>Foglio Tiri</t>
        </is>
      </c>
    </row>
    <row r="1471" ht="22" customHeight="1">
      <c r="A1471" s="83">
        <f>IF('Calendario C'!A191="","",'Calendario C'!A191)</f>
        <v/>
      </c>
      <c r="B1471" s="61">
        <f>IF('Calendario C'!B191="","",'Calendario C'!B191)</f>
        <v/>
      </c>
      <c r="C1471" s="62">
        <f>IF('Calendario C'!C191="","",'Calendario C'!C191)</f>
        <v/>
      </c>
      <c r="D1471" s="61">
        <f>IF('Calendario C'!D191="","",'Calendario C'!D191)</f>
        <v/>
      </c>
      <c r="E1471" s="62">
        <f>IF('Calendario C'!E191="","",'Calendario C'!E191)</f>
        <v/>
      </c>
      <c r="F1471" s="63">
        <f>IF('Calendario C'!F191="","",'Calendario C'!F191)</f>
        <v/>
      </c>
      <c r="G1471" s="9" t="n"/>
      <c r="H1471" s="9" t="n"/>
      <c r="I1471" s="10" t="n"/>
      <c r="J1471" s="195">
        <f>IF('Calendario C'!J191="","",'Calendario C'!J191)</f>
        <v/>
      </c>
      <c r="K1471" s="64" t="inlineStr">
        <is>
          <t>-</t>
        </is>
      </c>
      <c r="L1471" s="195">
        <f>IF('Calendario C'!L191="","",'Calendario C'!L191)</f>
        <v/>
      </c>
      <c r="M1471" s="196" t="inlineStr">
        <is>
          <t>OBLAK Mathilde [A]</t>
        </is>
      </c>
      <c r="N1471" s="196" t="inlineStr">
        <is>
          <t>KRAJNC Nicola [A]</t>
        </is>
      </c>
      <c r="O1471" s="196" t="inlineStr">
        <is>
          <t>GALLINI Valerie [AA]</t>
        </is>
      </c>
      <c r="P1471" s="196" t="inlineStr">
        <is>
          <t>ZUPAN Elena</t>
        </is>
      </c>
      <c r="Q1471" s="196" t="inlineStr">
        <is>
          <t>MODIC Lea</t>
        </is>
      </c>
      <c r="R1471" s="196" t="inlineStr">
        <is>
          <t>LEROUX Gaelle</t>
        </is>
      </c>
    </row>
    <row r="1472" ht="15" customHeight="1">
      <c r="A1472" s="141" t="n"/>
      <c r="B1472" s="69">
        <f>IF('Calendario C'!B192="","",'Calendario C'!B192)</f>
        <v/>
      </c>
      <c r="C1472" s="9" t="n"/>
      <c r="D1472" s="9" t="n"/>
      <c r="E1472" s="9" t="n"/>
      <c r="F1472" s="9" t="n"/>
      <c r="G1472" s="9" t="n"/>
      <c r="H1472" s="10" t="n"/>
      <c r="I1472" s="62">
        <f>IF('Calendario C'!I192="","",'Calendario C'!I192)</f>
        <v/>
      </c>
      <c r="J1472" s="141" t="n"/>
      <c r="K1472" s="141" t="n"/>
      <c r="L1472" s="141" t="n"/>
      <c r="M1472" s="141" t="n"/>
      <c r="N1472" s="141" t="n"/>
      <c r="O1472" s="141" t="n"/>
      <c r="P1472" s="141" t="n"/>
      <c r="Q1472" s="141" t="n"/>
      <c r="R1472" s="141" t="n"/>
    </row>
    <row r="1473" ht="14" customHeight="1">
      <c r="A1473" s="81" t="inlineStr">
        <is>
          <t>Gara N.</t>
        </is>
      </c>
      <c r="B1473" s="81" t="inlineStr">
        <is>
          <t>Squadra A</t>
        </is>
      </c>
      <c r="C1473" s="10" t="n"/>
      <c r="D1473" s="81" t="inlineStr">
        <is>
          <t>Squadra B</t>
        </is>
      </c>
      <c r="E1473" s="10" t="n"/>
      <c r="F1473" s="81" t="inlineStr">
        <is>
          <t>Giorno</t>
        </is>
      </c>
      <c r="G1473" s="81" t="inlineStr">
        <is>
          <t>Data</t>
        </is>
      </c>
      <c r="H1473" s="81" t="inlineStr">
        <is>
          <t>Ora</t>
        </is>
      </c>
      <c r="I1473" s="10" t="n"/>
      <c r="J1473" s="81" t="inlineStr">
        <is>
          <t>Risultato</t>
        </is>
      </c>
      <c r="K1473" s="9" t="n"/>
      <c r="L1473" s="10" t="n"/>
      <c r="M1473" s="201" t="inlineStr">
        <is>
          <t>1o Arbitro</t>
        </is>
      </c>
      <c r="N1473" s="201" t="inlineStr">
        <is>
          <t>2o Arbitro</t>
        </is>
      </c>
      <c r="O1473" s="201" t="inlineStr">
        <is>
          <t>3o Arbitro/Tirocinante</t>
        </is>
      </c>
      <c r="P1473" s="201" t="inlineStr">
        <is>
          <t>Referto</t>
        </is>
      </c>
      <c r="Q1473" s="201" t="inlineStr">
        <is>
          <t>Cronometro</t>
        </is>
      </c>
      <c r="R1473" s="201" t="inlineStr">
        <is>
          <t>Foglio Tiri</t>
        </is>
      </c>
    </row>
    <row r="1474" ht="22" customHeight="1">
      <c r="A1474" s="83">
        <f>IF('Calendario C'!A194="","",'Calendario C'!A194)</f>
        <v/>
      </c>
      <c r="B1474" s="61">
        <f>IF('Calendario C'!B194="","",'Calendario C'!B194)</f>
        <v/>
      </c>
      <c r="C1474" s="62">
        <f>IF('Calendario C'!C194="","",'Calendario C'!C194)</f>
        <v/>
      </c>
      <c r="D1474" s="61">
        <f>IF('Calendario C'!D194="","",'Calendario C'!D194)</f>
        <v/>
      </c>
      <c r="E1474" s="62">
        <f>IF('Calendario C'!E194="","",'Calendario C'!E194)</f>
        <v/>
      </c>
      <c r="F1474" s="63">
        <f>IF('Calendario C'!F194="","",'Calendario C'!F194)</f>
        <v/>
      </c>
      <c r="G1474" s="9" t="n"/>
      <c r="H1474" s="9" t="n"/>
      <c r="I1474" s="10" t="n"/>
      <c r="J1474" s="195">
        <f>IF('Calendario C'!J194="","",'Calendario C'!J194)</f>
        <v/>
      </c>
      <c r="K1474" s="64" t="inlineStr">
        <is>
          <t>-</t>
        </is>
      </c>
      <c r="L1474" s="195">
        <f>IF('Calendario C'!L194="","",'Calendario C'!L194)</f>
        <v/>
      </c>
      <c r="M1474" s="196" t="inlineStr">
        <is>
          <t>MORETTO Anja [Aest]</t>
        </is>
      </c>
      <c r="N1474" s="196" t="inlineStr">
        <is>
          <t>HOFFMANN Mathilde [AAt]</t>
        </is>
      </c>
      <c r="O1474" s="196" t="inlineStr">
        <is>
          <t>GALLINI Elena [AAt]</t>
        </is>
      </c>
      <c r="P1474" s="196" t="inlineStr">
        <is>
          <t>MODIC Lucia</t>
        </is>
      </c>
      <c r="Q1474" s="196" t="inlineStr">
        <is>
          <t>ROSSINI Andrea</t>
        </is>
      </c>
      <c r="R1474" s="196" t="inlineStr">
        <is>
          <t>NOVAK Tommaso</t>
        </is>
      </c>
    </row>
    <row r="1475" ht="15" customHeight="1">
      <c r="A1475" s="141" t="n"/>
      <c r="B1475" s="69">
        <f>IF('Calendario C'!B195="","",'Calendario C'!B195)</f>
        <v/>
      </c>
      <c r="C1475" s="9" t="n"/>
      <c r="D1475" s="9" t="n"/>
      <c r="E1475" s="9" t="n"/>
      <c r="F1475" s="9" t="n"/>
      <c r="G1475" s="9" t="n"/>
      <c r="H1475" s="10" t="n"/>
      <c r="I1475" s="62">
        <f>IF('Calendario C'!I195="","",'Calendario C'!I195)</f>
        <v/>
      </c>
      <c r="J1475" s="141" t="n"/>
      <c r="K1475" s="141" t="n"/>
      <c r="L1475" s="141" t="n"/>
      <c r="M1475" s="141" t="n"/>
      <c r="N1475" s="141" t="n"/>
      <c r="O1475" s="141" t="n"/>
      <c r="P1475" s="141" t="n"/>
      <c r="Q1475" s="141" t="n"/>
      <c r="R1475" s="141" t="n"/>
    </row>
    <row r="1476" ht="14" customHeight="1">
      <c r="A1476" s="81" t="inlineStr">
        <is>
          <t>Gara N.</t>
        </is>
      </c>
      <c r="B1476" s="81" t="inlineStr">
        <is>
          <t>Squadra A</t>
        </is>
      </c>
      <c r="C1476" s="10" t="n"/>
      <c r="D1476" s="81" t="inlineStr">
        <is>
          <t>Squadra B</t>
        </is>
      </c>
      <c r="E1476" s="10" t="n"/>
      <c r="F1476" s="81" t="inlineStr">
        <is>
          <t>Giorno</t>
        </is>
      </c>
      <c r="G1476" s="81" t="inlineStr">
        <is>
          <t>Data</t>
        </is>
      </c>
      <c r="H1476" s="81" t="inlineStr">
        <is>
          <t>Ora</t>
        </is>
      </c>
      <c r="I1476" s="10" t="n"/>
      <c r="J1476" s="81" t="inlineStr">
        <is>
          <t>Risultato</t>
        </is>
      </c>
      <c r="K1476" s="9" t="n"/>
      <c r="L1476" s="10" t="n"/>
      <c r="M1476" s="201" t="inlineStr">
        <is>
          <t>1o Arbitro</t>
        </is>
      </c>
      <c r="N1476" s="201" t="inlineStr">
        <is>
          <t>2o Arbitro</t>
        </is>
      </c>
      <c r="O1476" s="201" t="inlineStr">
        <is>
          <t>3o Arbitro/Tirocinante</t>
        </is>
      </c>
      <c r="P1476" s="201" t="inlineStr">
        <is>
          <t>Referto</t>
        </is>
      </c>
      <c r="Q1476" s="201" t="inlineStr">
        <is>
          <t>Cronometro</t>
        </is>
      </c>
      <c r="R1476" s="201" t="inlineStr">
        <is>
          <t>Foglio Tiri</t>
        </is>
      </c>
    </row>
    <row r="1477" ht="22" customHeight="1">
      <c r="A1477" s="83">
        <f>IF('Calendario C'!A197="","",'Calendario C'!A197)</f>
        <v/>
      </c>
      <c r="B1477" s="61">
        <f>IF('Calendario C'!B197="","",'Calendario C'!B197)</f>
        <v/>
      </c>
      <c r="C1477" s="62">
        <f>IF('Calendario C'!C197="","",'Calendario C'!C197)</f>
        <v/>
      </c>
      <c r="D1477" s="61">
        <f>IF('Calendario C'!D197="","",'Calendario C'!D197)</f>
        <v/>
      </c>
      <c r="E1477" s="62">
        <f>IF('Calendario C'!E197="","",'Calendario C'!E197)</f>
        <v/>
      </c>
      <c r="F1477" s="63">
        <f>IF('Calendario C'!F197="","",'Calendario C'!F197)</f>
        <v/>
      </c>
      <c r="G1477" s="9" t="n"/>
      <c r="H1477" s="9" t="n"/>
      <c r="I1477" s="10" t="n"/>
      <c r="J1477" s="195">
        <f>IF('Calendario C'!J197="","",'Calendario C'!J197)</f>
        <v/>
      </c>
      <c r="K1477" s="64" t="inlineStr">
        <is>
          <t>-</t>
        </is>
      </c>
      <c r="L1477" s="195">
        <f>IF('Calendario C'!L197="","",'Calendario C'!L197)</f>
        <v/>
      </c>
      <c r="M1477" s="196" t="inlineStr">
        <is>
          <t>AUBERT Gaelle [AAt]</t>
        </is>
      </c>
      <c r="N1477" s="196" t="inlineStr">
        <is>
          <t>MARCHIONI Lea [AAt]</t>
        </is>
      </c>
      <c r="O1477" s="196" t="inlineStr">
        <is>
          <t>HOFFMANN Ottavia [AA]</t>
        </is>
      </c>
      <c r="P1477" s="196" t="inlineStr">
        <is>
          <t>CASTILLO Elena</t>
        </is>
      </c>
      <c r="Q1477" s="196" t="inlineStr">
        <is>
          <t>BELLANDI Greta</t>
        </is>
      </c>
      <c r="R1477" s="196" t="inlineStr">
        <is>
          <t>KOVAC Lea</t>
        </is>
      </c>
    </row>
    <row r="1478" ht="15" customHeight="1">
      <c r="A1478" s="141" t="n"/>
      <c r="B1478" s="69">
        <f>IF('Calendario C'!B198="","",'Calendario C'!B198)</f>
        <v/>
      </c>
      <c r="C1478" s="9" t="n"/>
      <c r="D1478" s="9" t="n"/>
      <c r="E1478" s="9" t="n"/>
      <c r="F1478" s="9" t="n"/>
      <c r="G1478" s="9" t="n"/>
      <c r="H1478" s="10" t="n"/>
      <c r="I1478" s="62">
        <f>IF('Calendario C'!I198="","",'Calendario C'!I198)</f>
        <v/>
      </c>
      <c r="J1478" s="141" t="n"/>
      <c r="K1478" s="141" t="n"/>
      <c r="L1478" s="141" t="n"/>
      <c r="M1478" s="141" t="n"/>
      <c r="N1478" s="141" t="n"/>
      <c r="O1478" s="141" t="n"/>
      <c r="P1478" s="141" t="n"/>
      <c r="Q1478" s="141" t="n"/>
      <c r="R1478" s="141" t="n"/>
    </row>
    <row r="1480" ht="20" customHeight="1">
      <c r="A1480" s="78">
        <f>IF('Calendario C'!A200="","",'Calendario C'!A200)</f>
        <v/>
      </c>
      <c r="B1480" s="79">
        <f>IF('Calendario C'!B200="","",'Calendario C'!B200)</f>
        <v/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10" t="n"/>
      <c r="M1480" s="200" t="inlineStr">
        <is>
          <t>ARBITRI</t>
        </is>
      </c>
      <c r="N1480" s="9" t="n"/>
      <c r="O1480" s="10" t="n"/>
      <c r="P1480" s="200" t="inlineStr">
        <is>
          <t>UFFICIALI DI CAMPO</t>
        </is>
      </c>
      <c r="Q1480" s="9" t="n"/>
      <c r="R1480" s="10" t="n"/>
    </row>
    <row r="1481" ht="14" customHeight="1">
      <c r="A1481" s="81" t="inlineStr">
        <is>
          <t>Gara N.</t>
        </is>
      </c>
      <c r="B1481" s="81" t="inlineStr">
        <is>
          <t>Squadra A</t>
        </is>
      </c>
      <c r="C1481" s="10" t="n"/>
      <c r="D1481" s="81" t="inlineStr">
        <is>
          <t>Squadra B</t>
        </is>
      </c>
      <c r="E1481" s="10" t="n"/>
      <c r="F1481" s="81" t="inlineStr">
        <is>
          <t>Giorno</t>
        </is>
      </c>
      <c r="G1481" s="81" t="inlineStr">
        <is>
          <t>Data</t>
        </is>
      </c>
      <c r="H1481" s="81" t="inlineStr">
        <is>
          <t>Ora</t>
        </is>
      </c>
      <c r="I1481" s="10" t="n"/>
      <c r="J1481" s="81" t="inlineStr">
        <is>
          <t>Risultato</t>
        </is>
      </c>
      <c r="K1481" s="9" t="n"/>
      <c r="L1481" s="10" t="n"/>
      <c r="M1481" s="201" t="inlineStr">
        <is>
          <t>1o Arbitro</t>
        </is>
      </c>
      <c r="N1481" s="201" t="inlineStr">
        <is>
          <t>2o Arbitro</t>
        </is>
      </c>
      <c r="O1481" s="201" t="inlineStr">
        <is>
          <t>3o Arbitro/Tirocinante</t>
        </is>
      </c>
      <c r="P1481" s="201" t="inlineStr">
        <is>
          <t>Referto</t>
        </is>
      </c>
      <c r="Q1481" s="201" t="inlineStr">
        <is>
          <t>Cronometro</t>
        </is>
      </c>
      <c r="R1481" s="201" t="inlineStr">
        <is>
          <t>Foglio Tiri</t>
        </is>
      </c>
    </row>
    <row r="1482" ht="22" customHeight="1">
      <c r="A1482" s="83">
        <f>IF('Calendario C'!A202="","",'Calendario C'!A202)</f>
        <v/>
      </c>
      <c r="B1482" s="61">
        <f>IF('Calendario C'!B202="","",'Calendario C'!B202)</f>
        <v/>
      </c>
      <c r="C1482" s="62">
        <f>IF('Calendario C'!C202="","",'Calendario C'!C202)</f>
        <v/>
      </c>
      <c r="D1482" s="61">
        <f>IF('Calendario C'!D202="","",'Calendario C'!D202)</f>
        <v/>
      </c>
      <c r="E1482" s="62">
        <f>IF('Calendario C'!E202="","",'Calendario C'!E202)</f>
        <v/>
      </c>
      <c r="F1482" s="63">
        <f>IF('Calendario C'!F202="","",'Calendario C'!F202)</f>
        <v/>
      </c>
      <c r="G1482" s="9" t="n"/>
      <c r="H1482" s="9" t="n"/>
      <c r="I1482" s="10" t="n"/>
      <c r="J1482" s="195">
        <f>IF('Calendario C'!J202="","",'Calendario C'!J202)</f>
        <v/>
      </c>
      <c r="K1482" s="64" t="inlineStr">
        <is>
          <t>-</t>
        </is>
      </c>
      <c r="L1482" s="195">
        <f>IF('Calendario C'!L202="","",'Calendario C'!L202)</f>
        <v/>
      </c>
      <c r="M1482" s="196" t="inlineStr">
        <is>
          <t>IGLESIAS Beatrice [A]</t>
        </is>
      </c>
      <c r="N1482" s="196" t="inlineStr">
        <is>
          <t>SCHAFER Stefano [A]</t>
        </is>
      </c>
      <c r="O1482" s="196" t="inlineStr">
        <is>
          <t>SANTORI Jonas [Aest]</t>
        </is>
      </c>
      <c r="P1482" s="196" t="inlineStr">
        <is>
          <t>IGLESIAS Eva</t>
        </is>
      </c>
      <c r="Q1482" s="196" t="inlineStr">
        <is>
          <t>LEFEVRE Alenka</t>
        </is>
      </c>
      <c r="R1482" s="196" t="inlineStr">
        <is>
          <t>FOURNIER Miha</t>
        </is>
      </c>
    </row>
    <row r="1483" ht="15" customHeight="1">
      <c r="A1483" s="141" t="n"/>
      <c r="B1483" s="69">
        <f>IF('Calendario C'!B203="","",'Calendario C'!B203)</f>
        <v/>
      </c>
      <c r="C1483" s="9" t="n"/>
      <c r="D1483" s="9" t="n"/>
      <c r="E1483" s="9" t="n"/>
      <c r="F1483" s="9" t="n"/>
      <c r="G1483" s="9" t="n"/>
      <c r="H1483" s="10" t="n"/>
      <c r="I1483" s="62">
        <f>IF('Calendario C'!I203="","",'Calendario C'!I203)</f>
        <v/>
      </c>
      <c r="J1483" s="141" t="n"/>
      <c r="K1483" s="141" t="n"/>
      <c r="L1483" s="141" t="n"/>
      <c r="M1483" s="141" t="n"/>
      <c r="N1483" s="141" t="n"/>
      <c r="O1483" s="141" t="n"/>
      <c r="P1483" s="141" t="n"/>
      <c r="Q1483" s="141" t="n"/>
      <c r="R1483" s="141" t="n"/>
    </row>
    <row r="1484" ht="14" customHeight="1">
      <c r="A1484" s="81" t="inlineStr">
        <is>
          <t>Gara N.</t>
        </is>
      </c>
      <c r="B1484" s="81" t="inlineStr">
        <is>
          <t>Squadra A</t>
        </is>
      </c>
      <c r="C1484" s="10" t="n"/>
      <c r="D1484" s="81" t="inlineStr">
        <is>
          <t>Squadra B</t>
        </is>
      </c>
      <c r="E1484" s="10" t="n"/>
      <c r="F1484" s="81" t="inlineStr">
        <is>
          <t>Giorno</t>
        </is>
      </c>
      <c r="G1484" s="81" t="inlineStr">
        <is>
          <t>Data</t>
        </is>
      </c>
      <c r="H1484" s="81" t="inlineStr">
        <is>
          <t>Ora</t>
        </is>
      </c>
      <c r="I1484" s="10" t="n"/>
      <c r="J1484" s="81" t="inlineStr">
        <is>
          <t>Risultato</t>
        </is>
      </c>
      <c r="K1484" s="9" t="n"/>
      <c r="L1484" s="10" t="n"/>
      <c r="M1484" s="201" t="inlineStr">
        <is>
          <t>1o Arbitro</t>
        </is>
      </c>
      <c r="N1484" s="201" t="inlineStr">
        <is>
          <t>2o Arbitro</t>
        </is>
      </c>
      <c r="O1484" s="201" t="inlineStr">
        <is>
          <t>3o Arbitro/Tirocinante</t>
        </is>
      </c>
      <c r="P1484" s="201" t="inlineStr">
        <is>
          <t>Referto</t>
        </is>
      </c>
      <c r="Q1484" s="201" t="inlineStr">
        <is>
          <t>Cronometro</t>
        </is>
      </c>
      <c r="R1484" s="201" t="inlineStr">
        <is>
          <t>Foglio Tiri</t>
        </is>
      </c>
    </row>
    <row r="1485" ht="22" customHeight="1">
      <c r="A1485" s="83">
        <f>IF('Calendario C'!A205="","",'Calendario C'!A205)</f>
        <v/>
      </c>
      <c r="B1485" s="61">
        <f>IF('Calendario C'!B205="","",'Calendario C'!B205)</f>
        <v/>
      </c>
      <c r="C1485" s="62">
        <f>IF('Calendario C'!C205="","",'Calendario C'!C205)</f>
        <v/>
      </c>
      <c r="D1485" s="61">
        <f>IF('Calendario C'!D205="","",'Calendario C'!D205)</f>
        <v/>
      </c>
      <c r="E1485" s="62">
        <f>IF('Calendario C'!E205="","",'Calendario C'!E205)</f>
        <v/>
      </c>
      <c r="F1485" s="63">
        <f>IF('Calendario C'!F205="","",'Calendario C'!F205)</f>
        <v/>
      </c>
      <c r="G1485" s="9" t="n"/>
      <c r="H1485" s="9" t="n"/>
      <c r="I1485" s="10" t="n"/>
      <c r="J1485" s="195">
        <f>IF('Calendario C'!J205="","",'Calendario C'!J205)</f>
        <v/>
      </c>
      <c r="K1485" s="64" t="inlineStr">
        <is>
          <t>-</t>
        </is>
      </c>
      <c r="L1485" s="195">
        <f>IF('Calendario C'!L205="","",'Calendario C'!L205)</f>
        <v/>
      </c>
      <c r="M1485" s="196" t="inlineStr">
        <is>
          <t>MARCHIONI Paula [Aest]</t>
        </is>
      </c>
      <c r="N1485" s="196" t="inlineStr">
        <is>
          <t>VALLET Gaelle [Aest]</t>
        </is>
      </c>
      <c r="O1485" s="196" t="inlineStr">
        <is>
          <t>HOFFMANN Mathilde [AAt]</t>
        </is>
      </c>
      <c r="P1485" s="196" t="inlineStr">
        <is>
          <t>FERRANTE Chiara</t>
        </is>
      </c>
      <c r="Q1485" s="196" t="inlineStr">
        <is>
          <t>SANTORI Pablo</t>
        </is>
      </c>
      <c r="R1485" s="196" t="inlineStr">
        <is>
          <t>GAUTHIER Sofia</t>
        </is>
      </c>
    </row>
    <row r="1486" ht="15" customHeight="1">
      <c r="A1486" s="141" t="n"/>
      <c r="B1486" s="69">
        <f>IF('Calendario C'!B206="","",'Calendario C'!B206)</f>
        <v/>
      </c>
      <c r="C1486" s="9" t="n"/>
      <c r="D1486" s="9" t="n"/>
      <c r="E1486" s="9" t="n"/>
      <c r="F1486" s="9" t="n"/>
      <c r="G1486" s="9" t="n"/>
      <c r="H1486" s="10" t="n"/>
      <c r="I1486" s="62">
        <f>IF('Calendario C'!I206="","",'Calendario C'!I206)</f>
        <v/>
      </c>
      <c r="J1486" s="141" t="n"/>
      <c r="K1486" s="141" t="n"/>
      <c r="L1486" s="141" t="n"/>
      <c r="M1486" s="141" t="n"/>
      <c r="N1486" s="141" t="n"/>
      <c r="O1486" s="141" t="n"/>
      <c r="P1486" s="141" t="n"/>
      <c r="Q1486" s="141" t="n"/>
      <c r="R1486" s="141" t="n"/>
    </row>
    <row r="1487" ht="14" customHeight="1">
      <c r="A1487" s="81" t="inlineStr">
        <is>
          <t>Gara N.</t>
        </is>
      </c>
      <c r="B1487" s="81" t="inlineStr">
        <is>
          <t>Squadra A</t>
        </is>
      </c>
      <c r="C1487" s="10" t="n"/>
      <c r="D1487" s="81" t="inlineStr">
        <is>
          <t>Squadra B</t>
        </is>
      </c>
      <c r="E1487" s="10" t="n"/>
      <c r="F1487" s="81" t="inlineStr">
        <is>
          <t>Giorno</t>
        </is>
      </c>
      <c r="G1487" s="81" t="inlineStr">
        <is>
          <t>Data</t>
        </is>
      </c>
      <c r="H1487" s="81" t="inlineStr">
        <is>
          <t>Ora</t>
        </is>
      </c>
      <c r="I1487" s="10" t="n"/>
      <c r="J1487" s="81" t="inlineStr">
        <is>
          <t>Risultato</t>
        </is>
      </c>
      <c r="K1487" s="9" t="n"/>
      <c r="L1487" s="10" t="n"/>
      <c r="M1487" s="201" t="inlineStr">
        <is>
          <t>1o Arbitro</t>
        </is>
      </c>
      <c r="N1487" s="201" t="inlineStr">
        <is>
          <t>2o Arbitro</t>
        </is>
      </c>
      <c r="O1487" s="201" t="inlineStr">
        <is>
          <t>3o Arbitro/Tirocinante</t>
        </is>
      </c>
      <c r="P1487" s="201" t="inlineStr">
        <is>
          <t>Referto</t>
        </is>
      </c>
      <c r="Q1487" s="201" t="inlineStr">
        <is>
          <t>Cronometro</t>
        </is>
      </c>
      <c r="R1487" s="201" t="inlineStr">
        <is>
          <t>Foglio Tiri</t>
        </is>
      </c>
    </row>
    <row r="1488" ht="22" customHeight="1">
      <c r="A1488" s="83">
        <f>IF('Calendario C'!A208="","",'Calendario C'!A208)</f>
        <v/>
      </c>
      <c r="B1488" s="61">
        <f>IF('Calendario C'!B208="","",'Calendario C'!B208)</f>
        <v/>
      </c>
      <c r="C1488" s="62">
        <f>IF('Calendario C'!C208="","",'Calendario C'!C208)</f>
        <v/>
      </c>
      <c r="D1488" s="61">
        <f>IF('Calendario C'!D208="","",'Calendario C'!D208)</f>
        <v/>
      </c>
      <c r="E1488" s="62">
        <f>IF('Calendario C'!E208="","",'Calendario C'!E208)</f>
        <v/>
      </c>
      <c r="F1488" s="63">
        <f>IF('Calendario C'!F208="","",'Calendario C'!F208)</f>
        <v/>
      </c>
      <c r="G1488" s="9" t="n"/>
      <c r="H1488" s="9" t="n"/>
      <c r="I1488" s="10" t="n"/>
      <c r="J1488" s="195">
        <f>IF('Calendario C'!J208="","",'Calendario C'!J208)</f>
        <v/>
      </c>
      <c r="K1488" s="64" t="inlineStr">
        <is>
          <t>-</t>
        </is>
      </c>
      <c r="L1488" s="195">
        <f>IF('Calendario C'!L208="","",'Calendario C'!L208)</f>
        <v/>
      </c>
      <c r="M1488" s="196" t="inlineStr">
        <is>
          <t>NAVARRO Matteo [AA]</t>
        </is>
      </c>
      <c r="N1488" s="196" t="inlineStr">
        <is>
          <t>IGLESIAS Jonas [AAt]</t>
        </is>
      </c>
      <c r="O1488" s="196" t="inlineStr">
        <is>
          <t>VIDMAR Greta [Aest]</t>
        </is>
      </c>
      <c r="P1488" s="196" t="inlineStr">
        <is>
          <t>BLANCO Giulia</t>
        </is>
      </c>
      <c r="Q1488" s="196" t="inlineStr">
        <is>
          <t>ORTEGA Andrea</t>
        </is>
      </c>
      <c r="R1488" s="196" t="inlineStr">
        <is>
          <t>KOVAC Chiara</t>
        </is>
      </c>
    </row>
    <row r="1489" ht="15" customHeight="1">
      <c r="A1489" s="141" t="n"/>
      <c r="B1489" s="69">
        <f>IF('Calendario C'!B209="","",'Calendario C'!B209)</f>
        <v/>
      </c>
      <c r="C1489" s="9" t="n"/>
      <c r="D1489" s="9" t="n"/>
      <c r="E1489" s="9" t="n"/>
      <c r="F1489" s="9" t="n"/>
      <c r="G1489" s="9" t="n"/>
      <c r="H1489" s="10" t="n"/>
      <c r="I1489" s="62">
        <f>IF('Calendario C'!I209="","",'Calendario C'!I209)</f>
        <v/>
      </c>
      <c r="J1489" s="141" t="n"/>
      <c r="K1489" s="141" t="n"/>
      <c r="L1489" s="141" t="n"/>
      <c r="M1489" s="141" t="n"/>
      <c r="N1489" s="141" t="n"/>
      <c r="O1489" s="141" t="n"/>
      <c r="P1489" s="141" t="n"/>
      <c r="Q1489" s="141" t="n"/>
      <c r="R1489" s="141" t="n"/>
    </row>
    <row r="1490" ht="14" customHeight="1">
      <c r="A1490" s="81" t="inlineStr">
        <is>
          <t>Gara N.</t>
        </is>
      </c>
      <c r="B1490" s="81" t="inlineStr">
        <is>
          <t>Squadra A</t>
        </is>
      </c>
      <c r="C1490" s="10" t="n"/>
      <c r="D1490" s="81" t="inlineStr">
        <is>
          <t>Squadra B</t>
        </is>
      </c>
      <c r="E1490" s="10" t="n"/>
      <c r="F1490" s="81" t="inlineStr">
        <is>
          <t>Giorno</t>
        </is>
      </c>
      <c r="G1490" s="81" t="inlineStr">
        <is>
          <t>Data</t>
        </is>
      </c>
      <c r="H1490" s="81" t="inlineStr">
        <is>
          <t>Ora</t>
        </is>
      </c>
      <c r="I1490" s="10" t="n"/>
      <c r="J1490" s="81" t="inlineStr">
        <is>
          <t>Risultato</t>
        </is>
      </c>
      <c r="K1490" s="9" t="n"/>
      <c r="L1490" s="10" t="n"/>
      <c r="M1490" s="201" t="inlineStr">
        <is>
          <t>1o Arbitro</t>
        </is>
      </c>
      <c r="N1490" s="201" t="inlineStr">
        <is>
          <t>2o Arbitro</t>
        </is>
      </c>
      <c r="O1490" s="201" t="inlineStr">
        <is>
          <t>3o Arbitro/Tirocinante</t>
        </is>
      </c>
      <c r="P1490" s="201" t="inlineStr">
        <is>
          <t>Referto</t>
        </is>
      </c>
      <c r="Q1490" s="201" t="inlineStr">
        <is>
          <t>Cronometro</t>
        </is>
      </c>
      <c r="R1490" s="201" t="inlineStr">
        <is>
          <t>Foglio Tiri</t>
        </is>
      </c>
    </row>
    <row r="1491" ht="22" customHeight="1">
      <c r="A1491" s="83">
        <f>IF('Calendario C'!A211="","",'Calendario C'!A211)</f>
        <v/>
      </c>
      <c r="B1491" s="61">
        <f>IF('Calendario C'!B211="","",'Calendario C'!B211)</f>
        <v/>
      </c>
      <c r="C1491" s="62">
        <f>IF('Calendario C'!C211="","",'Calendario C'!C211)</f>
        <v/>
      </c>
      <c r="D1491" s="61">
        <f>IF('Calendario C'!D211="","",'Calendario C'!D211)</f>
        <v/>
      </c>
      <c r="E1491" s="62">
        <f>IF('Calendario C'!E211="","",'Calendario C'!E211)</f>
        <v/>
      </c>
      <c r="F1491" s="63">
        <f>IF('Calendario C'!F211="","",'Calendario C'!F211)</f>
        <v/>
      </c>
      <c r="G1491" s="9" t="n"/>
      <c r="H1491" s="9" t="n"/>
      <c r="I1491" s="10" t="n"/>
      <c r="J1491" s="195">
        <f>IF('Calendario C'!J211="","",'Calendario C'!J211)</f>
        <v/>
      </c>
      <c r="K1491" s="64" t="inlineStr">
        <is>
          <t>-</t>
        </is>
      </c>
      <c r="L1491" s="195">
        <f>IF('Calendario C'!L211="","",'Calendario C'!L211)</f>
        <v/>
      </c>
      <c r="M1491" s="196" t="inlineStr">
        <is>
          <t>HOFFMANN Mathilde [AAt]</t>
        </is>
      </c>
      <c r="N1491" s="196" t="inlineStr">
        <is>
          <t>PETERLIN Mathilde [Aest]</t>
        </is>
      </c>
      <c r="O1491" s="196" t="inlineStr">
        <is>
          <t>GALLINI Valerie [AA]</t>
        </is>
      </c>
      <c r="P1491" s="196" t="inlineStr">
        <is>
          <t>KRAJNC Tommaso</t>
        </is>
      </c>
      <c r="Q1491" s="196" t="inlineStr">
        <is>
          <t>OBLAK Chiara</t>
        </is>
      </c>
      <c r="R1491" s="196" t="inlineStr">
        <is>
          <t>SEVER Davide</t>
        </is>
      </c>
    </row>
    <row r="1492" ht="15" customHeight="1">
      <c r="A1492" s="141" t="n"/>
      <c r="B1492" s="69">
        <f>IF('Calendario C'!B212="","",'Calendario C'!B212)</f>
        <v/>
      </c>
      <c r="C1492" s="9" t="n"/>
      <c r="D1492" s="9" t="n"/>
      <c r="E1492" s="9" t="n"/>
      <c r="F1492" s="9" t="n"/>
      <c r="G1492" s="9" t="n"/>
      <c r="H1492" s="10" t="n"/>
      <c r="I1492" s="62">
        <f>IF('Calendario C'!I212="","",'Calendario C'!I212)</f>
        <v/>
      </c>
      <c r="J1492" s="141" t="n"/>
      <c r="K1492" s="141" t="n"/>
      <c r="L1492" s="141" t="n"/>
      <c r="M1492" s="141" t="n"/>
      <c r="N1492" s="141" t="n"/>
      <c r="O1492" s="141" t="n"/>
      <c r="P1492" s="141" t="n"/>
      <c r="Q1492" s="141" t="n"/>
      <c r="R1492" s="141" t="n"/>
    </row>
    <row r="1493" ht="14" customHeight="1">
      <c r="A1493" s="81" t="inlineStr">
        <is>
          <t>Gara N.</t>
        </is>
      </c>
      <c r="B1493" s="81" t="inlineStr">
        <is>
          <t>Squadra A</t>
        </is>
      </c>
      <c r="C1493" s="10" t="n"/>
      <c r="D1493" s="81" t="inlineStr">
        <is>
          <t>Squadra B</t>
        </is>
      </c>
      <c r="E1493" s="10" t="n"/>
      <c r="F1493" s="81" t="inlineStr">
        <is>
          <t>Giorno</t>
        </is>
      </c>
      <c r="G1493" s="81" t="inlineStr">
        <is>
          <t>Data</t>
        </is>
      </c>
      <c r="H1493" s="81" t="inlineStr">
        <is>
          <t>Ora</t>
        </is>
      </c>
      <c r="I1493" s="10" t="n"/>
      <c r="J1493" s="81" t="inlineStr">
        <is>
          <t>Risultato</t>
        </is>
      </c>
      <c r="K1493" s="9" t="n"/>
      <c r="L1493" s="10" t="n"/>
      <c r="M1493" s="201" t="inlineStr">
        <is>
          <t>1o Arbitro</t>
        </is>
      </c>
      <c r="N1493" s="201" t="inlineStr">
        <is>
          <t>2o Arbitro</t>
        </is>
      </c>
      <c r="O1493" s="201" t="inlineStr">
        <is>
          <t>3o Arbitro/Tirocinante</t>
        </is>
      </c>
      <c r="P1493" s="201" t="inlineStr">
        <is>
          <t>Referto</t>
        </is>
      </c>
      <c r="Q1493" s="201" t="inlineStr">
        <is>
          <t>Cronometro</t>
        </is>
      </c>
      <c r="R1493" s="201" t="inlineStr">
        <is>
          <t>Foglio Tiri</t>
        </is>
      </c>
    </row>
    <row r="1494" ht="22" customHeight="1">
      <c r="A1494" s="83">
        <f>IF('Calendario C'!A214="","",'Calendario C'!A214)</f>
        <v/>
      </c>
      <c r="B1494" s="61">
        <f>IF('Calendario C'!B214="","",'Calendario C'!B214)</f>
        <v/>
      </c>
      <c r="C1494" s="62">
        <f>IF('Calendario C'!C214="","",'Calendario C'!C214)</f>
        <v/>
      </c>
      <c r="D1494" s="61">
        <f>IF('Calendario C'!D214="","",'Calendario C'!D214)</f>
        <v/>
      </c>
      <c r="E1494" s="62">
        <f>IF('Calendario C'!E214="","",'Calendario C'!E214)</f>
        <v/>
      </c>
      <c r="F1494" s="63">
        <f>IF('Calendario C'!F214="","",'Calendario C'!F214)</f>
        <v/>
      </c>
      <c r="G1494" s="9" t="n"/>
      <c r="H1494" s="9" t="n"/>
      <c r="I1494" s="10" t="n"/>
      <c r="J1494" s="195">
        <f>IF('Calendario C'!J214="","",'Calendario C'!J214)</f>
        <v/>
      </c>
      <c r="K1494" s="64" t="inlineStr">
        <is>
          <t>-</t>
        </is>
      </c>
      <c r="L1494" s="195">
        <f>IF('Calendario C'!L214="","",'Calendario C'!L214)</f>
        <v/>
      </c>
      <c r="M1494" s="196" t="inlineStr">
        <is>
          <t>LEFEVRE Lukas [Aest]</t>
        </is>
      </c>
      <c r="N1494" s="196" t="inlineStr">
        <is>
          <t>VALLET Tommaso [AAt]</t>
        </is>
      </c>
      <c r="O1494" s="196" t="inlineStr">
        <is>
          <t>BIANCHELLI Paolo [AA]</t>
        </is>
      </c>
      <c r="P1494" s="196" t="inlineStr">
        <is>
          <t>BELLANDI Giulia</t>
        </is>
      </c>
      <c r="Q1494" s="196" t="inlineStr">
        <is>
          <t>GAUTHIER Filippo</t>
        </is>
      </c>
      <c r="R1494" s="196" t="inlineStr">
        <is>
          <t>LANGER Andrea</t>
        </is>
      </c>
    </row>
    <row r="1495" ht="15" customHeight="1">
      <c r="A1495" s="141" t="n"/>
      <c r="B1495" s="69">
        <f>IF('Calendario C'!B215="","",'Calendario C'!B215)</f>
        <v/>
      </c>
      <c r="C1495" s="9" t="n"/>
      <c r="D1495" s="9" t="n"/>
      <c r="E1495" s="9" t="n"/>
      <c r="F1495" s="9" t="n"/>
      <c r="G1495" s="9" t="n"/>
      <c r="H1495" s="10" t="n"/>
      <c r="I1495" s="62">
        <f>IF('Calendario C'!I215="","",'Calendario C'!I215)</f>
        <v/>
      </c>
      <c r="J1495" s="141" t="n"/>
      <c r="K1495" s="141" t="n"/>
      <c r="L1495" s="141" t="n"/>
      <c r="M1495" s="141" t="n"/>
      <c r="N1495" s="141" t="n"/>
      <c r="O1495" s="141" t="n"/>
      <c r="P1495" s="141" t="n"/>
      <c r="Q1495" s="141" t="n"/>
      <c r="R1495" s="141" t="n"/>
    </row>
    <row r="1496" ht="14" customHeight="1">
      <c r="A1496" s="81" t="inlineStr">
        <is>
          <t>Gara N.</t>
        </is>
      </c>
      <c r="B1496" s="81" t="inlineStr">
        <is>
          <t>Squadra A</t>
        </is>
      </c>
      <c r="C1496" s="10" t="n"/>
      <c r="D1496" s="81" t="inlineStr">
        <is>
          <t>Squadra B</t>
        </is>
      </c>
      <c r="E1496" s="10" t="n"/>
      <c r="F1496" s="81" t="inlineStr">
        <is>
          <t>Giorno</t>
        </is>
      </c>
      <c r="G1496" s="81" t="inlineStr">
        <is>
          <t>Data</t>
        </is>
      </c>
      <c r="H1496" s="81" t="inlineStr">
        <is>
          <t>Ora</t>
        </is>
      </c>
      <c r="I1496" s="10" t="n"/>
      <c r="J1496" s="81" t="inlineStr">
        <is>
          <t>Risultato</t>
        </is>
      </c>
      <c r="K1496" s="9" t="n"/>
      <c r="L1496" s="10" t="n"/>
      <c r="M1496" s="201" t="inlineStr">
        <is>
          <t>1o Arbitro</t>
        </is>
      </c>
      <c r="N1496" s="201" t="inlineStr">
        <is>
          <t>2o Arbitro</t>
        </is>
      </c>
      <c r="O1496" s="201" t="inlineStr">
        <is>
          <t>3o Arbitro/Tirocinante</t>
        </is>
      </c>
      <c r="P1496" s="201" t="inlineStr">
        <is>
          <t>Referto</t>
        </is>
      </c>
      <c r="Q1496" s="201" t="inlineStr">
        <is>
          <t>Cronometro</t>
        </is>
      </c>
      <c r="R1496" s="201" t="inlineStr">
        <is>
          <t>Foglio Tiri</t>
        </is>
      </c>
    </row>
    <row r="1497" ht="22" customHeight="1">
      <c r="A1497" s="83">
        <f>IF('Calendario C'!A217="","",'Calendario C'!A217)</f>
        <v/>
      </c>
      <c r="B1497" s="61">
        <f>IF('Calendario C'!B217="","",'Calendario C'!B217)</f>
        <v/>
      </c>
      <c r="C1497" s="62">
        <f>IF('Calendario C'!C217="","",'Calendario C'!C217)</f>
        <v/>
      </c>
      <c r="D1497" s="61">
        <f>IF('Calendario C'!D217="","",'Calendario C'!D217)</f>
        <v/>
      </c>
      <c r="E1497" s="62">
        <f>IF('Calendario C'!E217="","",'Calendario C'!E217)</f>
        <v/>
      </c>
      <c r="F1497" s="63">
        <f>IF('Calendario C'!F217="","",'Calendario C'!F217)</f>
        <v/>
      </c>
      <c r="G1497" s="9" t="n"/>
      <c r="H1497" s="9" t="n"/>
      <c r="I1497" s="10" t="n"/>
      <c r="J1497" s="195">
        <f>IF('Calendario C'!J217="","",'Calendario C'!J217)</f>
        <v/>
      </c>
      <c r="K1497" s="64" t="inlineStr">
        <is>
          <t>-</t>
        </is>
      </c>
      <c r="L1497" s="195">
        <f>IF('Calendario C'!L217="","",'Calendario C'!L217)</f>
        <v/>
      </c>
      <c r="M1497" s="196" t="inlineStr">
        <is>
          <t>AUBERT Greta [Aest]</t>
        </is>
      </c>
      <c r="N1497" s="196" t="inlineStr">
        <is>
          <t>ZUPAN Diego [AA]</t>
        </is>
      </c>
      <c r="O1497" s="196" t="inlineStr">
        <is>
          <t>CAMPOS Ilaria [A]</t>
        </is>
      </c>
      <c r="P1497" s="196" t="inlineStr">
        <is>
          <t>CAMPOS Noemi</t>
        </is>
      </c>
      <c r="Q1497" s="196" t="inlineStr">
        <is>
          <t>NOVAK Filippo</t>
        </is>
      </c>
      <c r="R1497" s="196" t="inlineStr">
        <is>
          <t>ORTEGA Felix</t>
        </is>
      </c>
    </row>
    <row r="1498" ht="15" customHeight="1">
      <c r="A1498" s="141" t="n"/>
      <c r="B1498" s="69">
        <f>IF('Calendario C'!B218="","",'Calendario C'!B218)</f>
        <v/>
      </c>
      <c r="C1498" s="9" t="n"/>
      <c r="D1498" s="9" t="n"/>
      <c r="E1498" s="9" t="n"/>
      <c r="F1498" s="9" t="n"/>
      <c r="G1498" s="9" t="n"/>
      <c r="H1498" s="10" t="n"/>
      <c r="I1498" s="62">
        <f>IF('Calendario C'!I218="","",'Calendario C'!I218)</f>
        <v/>
      </c>
      <c r="J1498" s="141" t="n"/>
      <c r="K1498" s="141" t="n"/>
      <c r="L1498" s="141" t="n"/>
      <c r="M1498" s="141" t="n"/>
      <c r="N1498" s="141" t="n"/>
      <c r="O1498" s="141" t="n"/>
      <c r="P1498" s="141" t="n"/>
      <c r="Q1498" s="141" t="n"/>
      <c r="R1498" s="141" t="n"/>
    </row>
    <row r="1499" ht="14" customHeight="1">
      <c r="A1499" s="81" t="inlineStr">
        <is>
          <t>Gara N.</t>
        </is>
      </c>
      <c r="B1499" s="81" t="inlineStr">
        <is>
          <t>Squadra A</t>
        </is>
      </c>
      <c r="C1499" s="10" t="n"/>
      <c r="D1499" s="81" t="inlineStr">
        <is>
          <t>Squadra B</t>
        </is>
      </c>
      <c r="E1499" s="10" t="n"/>
      <c r="F1499" s="81" t="inlineStr">
        <is>
          <t>Giorno</t>
        </is>
      </c>
      <c r="G1499" s="81" t="inlineStr">
        <is>
          <t>Data</t>
        </is>
      </c>
      <c r="H1499" s="81" t="inlineStr">
        <is>
          <t>Ora</t>
        </is>
      </c>
      <c r="I1499" s="10" t="n"/>
      <c r="J1499" s="81" t="inlineStr">
        <is>
          <t>Risultato</t>
        </is>
      </c>
      <c r="K1499" s="9" t="n"/>
      <c r="L1499" s="10" t="n"/>
      <c r="M1499" s="201" t="inlineStr">
        <is>
          <t>1o Arbitro</t>
        </is>
      </c>
      <c r="N1499" s="201" t="inlineStr">
        <is>
          <t>2o Arbitro</t>
        </is>
      </c>
      <c r="O1499" s="201" t="inlineStr">
        <is>
          <t>3o Arbitro/Tirocinante</t>
        </is>
      </c>
      <c r="P1499" s="201" t="inlineStr">
        <is>
          <t>Referto</t>
        </is>
      </c>
      <c r="Q1499" s="201" t="inlineStr">
        <is>
          <t>Cronometro</t>
        </is>
      </c>
      <c r="R1499" s="201" t="inlineStr">
        <is>
          <t>Foglio Tiri</t>
        </is>
      </c>
    </row>
    <row r="1500" ht="22" customHeight="1">
      <c r="A1500" s="83">
        <f>IF('Calendario C'!A220="","",'Calendario C'!A220)</f>
        <v/>
      </c>
      <c r="B1500" s="61">
        <f>IF('Calendario C'!B220="","",'Calendario C'!B220)</f>
        <v/>
      </c>
      <c r="C1500" s="62">
        <f>IF('Calendario C'!C220="","",'Calendario C'!C220)</f>
        <v/>
      </c>
      <c r="D1500" s="61">
        <f>IF('Calendario C'!D220="","",'Calendario C'!D220)</f>
        <v/>
      </c>
      <c r="E1500" s="62">
        <f>IF('Calendario C'!E220="","",'Calendario C'!E220)</f>
        <v/>
      </c>
      <c r="F1500" s="63">
        <f>IF('Calendario C'!F220="","",'Calendario C'!F220)</f>
        <v/>
      </c>
      <c r="G1500" s="9" t="n"/>
      <c r="H1500" s="9" t="n"/>
      <c r="I1500" s="10" t="n"/>
      <c r="J1500" s="195">
        <f>IF('Calendario C'!J220="","",'Calendario C'!J220)</f>
        <v/>
      </c>
      <c r="K1500" s="64" t="inlineStr">
        <is>
          <t>-</t>
        </is>
      </c>
      <c r="L1500" s="195">
        <f>IF('Calendario C'!L220="","",'Calendario C'!L220)</f>
        <v/>
      </c>
      <c r="M1500" s="196" t="inlineStr">
        <is>
          <t>ROSSINI Martina [AAt]</t>
        </is>
      </c>
      <c r="N1500" s="196" t="inlineStr">
        <is>
          <t>BLANCO Lucia [Aest]</t>
        </is>
      </c>
      <c r="O1500" s="196" t="inlineStr">
        <is>
          <t>CAMPOS Anja [Aest]</t>
        </is>
      </c>
      <c r="P1500" s="196" t="inlineStr">
        <is>
          <t>KRUGER Paolo</t>
        </is>
      </c>
      <c r="Q1500" s="196" t="inlineStr">
        <is>
          <t>BELLANDI Hugo</t>
        </is>
      </c>
      <c r="R1500" s="196" t="inlineStr">
        <is>
          <t>ROTH Paula</t>
        </is>
      </c>
    </row>
    <row r="1501" ht="15" customHeight="1">
      <c r="A1501" s="141" t="n"/>
      <c r="B1501" s="69">
        <f>IF('Calendario C'!B221="","",'Calendario C'!B221)</f>
        <v/>
      </c>
      <c r="C1501" s="9" t="n"/>
      <c r="D1501" s="9" t="n"/>
      <c r="E1501" s="9" t="n"/>
      <c r="F1501" s="9" t="n"/>
      <c r="G1501" s="9" t="n"/>
      <c r="H1501" s="10" t="n"/>
      <c r="I1501" s="62">
        <f>IF('Calendario C'!I221="","",'Calendario C'!I221)</f>
        <v/>
      </c>
      <c r="J1501" s="141" t="n"/>
      <c r="K1501" s="141" t="n"/>
      <c r="L1501" s="141" t="n"/>
      <c r="M1501" s="141" t="n"/>
      <c r="N1501" s="141" t="n"/>
      <c r="O1501" s="141" t="n"/>
      <c r="P1501" s="141" t="n"/>
      <c r="Q1501" s="141" t="n"/>
      <c r="R1501" s="141" t="n"/>
    </row>
    <row r="1502" ht="14" customHeight="1">
      <c r="A1502" s="81" t="inlineStr">
        <is>
          <t>Gara N.</t>
        </is>
      </c>
      <c r="B1502" s="81" t="inlineStr">
        <is>
          <t>Squadra A</t>
        </is>
      </c>
      <c r="C1502" s="10" t="n"/>
      <c r="D1502" s="81" t="inlineStr">
        <is>
          <t>Squadra B</t>
        </is>
      </c>
      <c r="E1502" s="10" t="n"/>
      <c r="F1502" s="81" t="inlineStr">
        <is>
          <t>Giorno</t>
        </is>
      </c>
      <c r="G1502" s="81" t="inlineStr">
        <is>
          <t>Data</t>
        </is>
      </c>
      <c r="H1502" s="81" t="inlineStr">
        <is>
          <t>Ora</t>
        </is>
      </c>
      <c r="I1502" s="10" t="n"/>
      <c r="J1502" s="81" t="inlineStr">
        <is>
          <t>Risultato</t>
        </is>
      </c>
      <c r="K1502" s="9" t="n"/>
      <c r="L1502" s="10" t="n"/>
      <c r="M1502" s="201" t="inlineStr">
        <is>
          <t>1o Arbitro</t>
        </is>
      </c>
      <c r="N1502" s="201" t="inlineStr">
        <is>
          <t>2o Arbitro</t>
        </is>
      </c>
      <c r="O1502" s="201" t="inlineStr">
        <is>
          <t>3o Arbitro/Tirocinante</t>
        </is>
      </c>
      <c r="P1502" s="201" t="inlineStr">
        <is>
          <t>Referto</t>
        </is>
      </c>
      <c r="Q1502" s="201" t="inlineStr">
        <is>
          <t>Cronometro</t>
        </is>
      </c>
      <c r="R1502" s="201" t="inlineStr">
        <is>
          <t>Foglio Tiri</t>
        </is>
      </c>
    </row>
    <row r="1503" ht="22" customHeight="1">
      <c r="A1503" s="83">
        <f>IF('Calendario C'!A223="","",'Calendario C'!A223)</f>
        <v/>
      </c>
      <c r="B1503" s="61">
        <f>IF('Calendario C'!B223="","",'Calendario C'!B223)</f>
        <v/>
      </c>
      <c r="C1503" s="62">
        <f>IF('Calendario C'!C223="","",'Calendario C'!C223)</f>
        <v/>
      </c>
      <c r="D1503" s="61">
        <f>IF('Calendario C'!D223="","",'Calendario C'!D223)</f>
        <v/>
      </c>
      <c r="E1503" s="62">
        <f>IF('Calendario C'!E223="","",'Calendario C'!E223)</f>
        <v/>
      </c>
      <c r="F1503" s="63">
        <f>IF('Calendario C'!F223="","",'Calendario C'!F223)</f>
        <v/>
      </c>
      <c r="G1503" s="9" t="n"/>
      <c r="H1503" s="9" t="n"/>
      <c r="I1503" s="10" t="n"/>
      <c r="J1503" s="195">
        <f>IF('Calendario C'!J223="","",'Calendario C'!J223)</f>
        <v/>
      </c>
      <c r="K1503" s="64" t="inlineStr">
        <is>
          <t>-</t>
        </is>
      </c>
      <c r="L1503" s="195">
        <f>IF('Calendario C'!L223="","",'Calendario C'!L223)</f>
        <v/>
      </c>
      <c r="M1503" s="196" t="inlineStr">
        <is>
          <t>VIDMAR Hugo [AAt]</t>
        </is>
      </c>
      <c r="N1503" s="196" t="inlineStr">
        <is>
          <t>KOVAC Diego [AAt]</t>
        </is>
      </c>
      <c r="O1503" s="196" t="inlineStr">
        <is>
          <t>PETERLIN Luca [Aest]</t>
        </is>
      </c>
      <c r="P1503" s="196" t="inlineStr">
        <is>
          <t>FUENTES Beatrice</t>
        </is>
      </c>
      <c r="Q1503" s="196" t="inlineStr">
        <is>
          <t>HOFFMANN Matteo</t>
        </is>
      </c>
      <c r="R1503" s="196" t="inlineStr">
        <is>
          <t>LEFEVRE Noemi</t>
        </is>
      </c>
    </row>
    <row r="1504" ht="15" customHeight="1">
      <c r="A1504" s="141" t="n"/>
      <c r="B1504" s="69">
        <f>IF('Calendario C'!B224="","",'Calendario C'!B224)</f>
        <v/>
      </c>
      <c r="C1504" s="9" t="n"/>
      <c r="D1504" s="9" t="n"/>
      <c r="E1504" s="9" t="n"/>
      <c r="F1504" s="9" t="n"/>
      <c r="G1504" s="9" t="n"/>
      <c r="H1504" s="10" t="n"/>
      <c r="I1504" s="62">
        <f>IF('Calendario C'!I224="","",'Calendario C'!I224)</f>
        <v/>
      </c>
      <c r="J1504" s="141" t="n"/>
      <c r="K1504" s="141" t="n"/>
      <c r="L1504" s="141" t="n"/>
      <c r="M1504" s="141" t="n"/>
      <c r="N1504" s="141" t="n"/>
      <c r="O1504" s="141" t="n"/>
      <c r="P1504" s="141" t="n"/>
      <c r="Q1504" s="141" t="n"/>
      <c r="R1504" s="141" t="n"/>
    </row>
    <row r="1505" ht="14" customHeight="1">
      <c r="A1505" s="81" t="inlineStr">
        <is>
          <t>Gara N.</t>
        </is>
      </c>
      <c r="B1505" s="81" t="inlineStr">
        <is>
          <t>Squadra A</t>
        </is>
      </c>
      <c r="C1505" s="10" t="n"/>
      <c r="D1505" s="81" t="inlineStr">
        <is>
          <t>Squadra B</t>
        </is>
      </c>
      <c r="E1505" s="10" t="n"/>
      <c r="F1505" s="81" t="inlineStr">
        <is>
          <t>Giorno</t>
        </is>
      </c>
      <c r="G1505" s="81" t="inlineStr">
        <is>
          <t>Data</t>
        </is>
      </c>
      <c r="H1505" s="81" t="inlineStr">
        <is>
          <t>Ora</t>
        </is>
      </c>
      <c r="I1505" s="10" t="n"/>
      <c r="J1505" s="81" t="inlineStr">
        <is>
          <t>Risultato</t>
        </is>
      </c>
      <c r="K1505" s="9" t="n"/>
      <c r="L1505" s="10" t="n"/>
      <c r="M1505" s="201" t="inlineStr">
        <is>
          <t>1o Arbitro</t>
        </is>
      </c>
      <c r="N1505" s="201" t="inlineStr">
        <is>
          <t>2o Arbitro</t>
        </is>
      </c>
      <c r="O1505" s="201" t="inlineStr">
        <is>
          <t>3o Arbitro/Tirocinante</t>
        </is>
      </c>
      <c r="P1505" s="201" t="inlineStr">
        <is>
          <t>Referto</t>
        </is>
      </c>
      <c r="Q1505" s="201" t="inlineStr">
        <is>
          <t>Cronometro</t>
        </is>
      </c>
      <c r="R1505" s="201" t="inlineStr">
        <is>
          <t>Foglio Tiri</t>
        </is>
      </c>
    </row>
    <row r="1506" ht="22" customHeight="1">
      <c r="A1506" s="83">
        <f>IF('Calendario C'!A226="","",'Calendario C'!A226)</f>
        <v/>
      </c>
      <c r="B1506" s="61">
        <f>IF('Calendario C'!B226="","",'Calendario C'!B226)</f>
        <v/>
      </c>
      <c r="C1506" s="62">
        <f>IF('Calendario C'!C226="","",'Calendario C'!C226)</f>
        <v/>
      </c>
      <c r="D1506" s="61">
        <f>IF('Calendario C'!D226="","",'Calendario C'!D226)</f>
        <v/>
      </c>
      <c r="E1506" s="62">
        <f>IF('Calendario C'!E226="","",'Calendario C'!E226)</f>
        <v/>
      </c>
      <c r="F1506" s="63">
        <f>IF('Calendario C'!F226="","",'Calendario C'!F226)</f>
        <v/>
      </c>
      <c r="G1506" s="9" t="n"/>
      <c r="H1506" s="9" t="n"/>
      <c r="I1506" s="10" t="n"/>
      <c r="J1506" s="195">
        <f>IF('Calendario C'!J226="","",'Calendario C'!J226)</f>
        <v/>
      </c>
      <c r="K1506" s="64" t="inlineStr">
        <is>
          <t>-</t>
        </is>
      </c>
      <c r="L1506" s="195">
        <f>IF('Calendario C'!L226="","",'Calendario C'!L226)</f>
        <v/>
      </c>
      <c r="M1506" s="196" t="inlineStr">
        <is>
          <t>LEFEVRE Paula [A]</t>
        </is>
      </c>
      <c r="N1506" s="196" t="inlineStr">
        <is>
          <t>GALLINI Gaelle [A]</t>
        </is>
      </c>
      <c r="O1506" s="196" t="inlineStr">
        <is>
          <t>PETERLIN Beatrice [Aest]</t>
        </is>
      </c>
      <c r="P1506" s="196" t="inlineStr">
        <is>
          <t>LANGER Andrea</t>
        </is>
      </c>
      <c r="Q1506" s="196" t="inlineStr">
        <is>
          <t>SEVER Giulia</t>
        </is>
      </c>
      <c r="R1506" s="196" t="inlineStr">
        <is>
          <t>CARON Anja</t>
        </is>
      </c>
    </row>
    <row r="1507" ht="15" customHeight="1">
      <c r="A1507" s="141" t="n"/>
      <c r="B1507" s="69">
        <f>IF('Calendario C'!B227="","",'Calendario C'!B227)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C'!I227="","",'Calendario C'!I227)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81" t="inlineStr">
        <is>
          <t>Gara N.</t>
        </is>
      </c>
      <c r="B1508" s="81" t="inlineStr">
        <is>
          <t>Squadra A</t>
        </is>
      </c>
      <c r="C1508" s="10" t="n"/>
      <c r="D1508" s="81" t="inlineStr">
        <is>
          <t>Squadra B</t>
        </is>
      </c>
      <c r="E1508" s="10" t="n"/>
      <c r="F1508" s="81" t="inlineStr">
        <is>
          <t>Giorno</t>
        </is>
      </c>
      <c r="G1508" s="81" t="inlineStr">
        <is>
          <t>Data</t>
        </is>
      </c>
      <c r="H1508" s="81" t="inlineStr">
        <is>
          <t>Ora</t>
        </is>
      </c>
      <c r="I1508" s="10" t="n"/>
      <c r="J1508" s="81" t="inlineStr">
        <is>
          <t>Risultato</t>
        </is>
      </c>
      <c r="K1508" s="9" t="n"/>
      <c r="L1508" s="10" t="n"/>
      <c r="M1508" s="201" t="inlineStr">
        <is>
          <t>1o Arbitro</t>
        </is>
      </c>
      <c r="N1508" s="201" t="inlineStr">
        <is>
          <t>2o Arbitro</t>
        </is>
      </c>
      <c r="O1508" s="201" t="inlineStr">
        <is>
          <t>3o Arbitro/Tirocinante</t>
        </is>
      </c>
      <c r="P1508" s="201" t="inlineStr">
        <is>
          <t>Referto</t>
        </is>
      </c>
      <c r="Q1508" s="201" t="inlineStr">
        <is>
          <t>Cronometro</t>
        </is>
      </c>
      <c r="R1508" s="201" t="inlineStr">
        <is>
          <t>Foglio Tiri</t>
        </is>
      </c>
    </row>
    <row r="1509" ht="22" customHeight="1">
      <c r="A1509" s="83">
        <f>IF('Calendario C'!A229="","",'Calendario C'!A229)</f>
        <v/>
      </c>
      <c r="B1509" s="61">
        <f>IF('Calendario C'!B229="","",'Calendario C'!B229)</f>
        <v/>
      </c>
      <c r="C1509" s="62">
        <f>IF('Calendario C'!C229="","",'Calendario C'!C229)</f>
        <v/>
      </c>
      <c r="D1509" s="61">
        <f>IF('Calendario C'!D229="","",'Calendario C'!D229)</f>
        <v/>
      </c>
      <c r="E1509" s="62">
        <f>IF('Calendario C'!E229="","",'Calendario C'!E229)</f>
        <v/>
      </c>
      <c r="F1509" s="63">
        <f>IF('Calendario C'!F229="","",'Calendario C'!F229)</f>
        <v/>
      </c>
      <c r="G1509" s="9" t="n"/>
      <c r="H1509" s="9" t="n"/>
      <c r="I1509" s="10" t="n"/>
      <c r="J1509" s="195">
        <f>IF('Calendario C'!J229="","",'Calendario C'!J229)</f>
        <v/>
      </c>
      <c r="K1509" s="64" t="inlineStr">
        <is>
          <t>-</t>
        </is>
      </c>
      <c r="L1509" s="195">
        <f>IF('Calendario C'!L229="","",'Calendario C'!L229)</f>
        <v/>
      </c>
      <c r="M1509" s="196" t="inlineStr">
        <is>
          <t>KRUGER Sofia [A]</t>
        </is>
      </c>
      <c r="N1509" s="196" t="inlineStr">
        <is>
          <t>VIDMAR Elena [AAt]</t>
        </is>
      </c>
      <c r="O1509" s="196" t="inlineStr">
        <is>
          <t>SOLER Marta [AAt]</t>
        </is>
      </c>
      <c r="P1509" s="196" t="inlineStr">
        <is>
          <t>WEBER Filippo</t>
        </is>
      </c>
      <c r="Q1509" s="196" t="inlineStr">
        <is>
          <t>ENGEL Lucia</t>
        </is>
      </c>
      <c r="R1509" s="196" t="inlineStr">
        <is>
          <t>VOGEL Pablo</t>
        </is>
      </c>
    </row>
    <row r="1510" ht="15" customHeight="1">
      <c r="A1510" s="141" t="n"/>
      <c r="B1510" s="69">
        <f>IF('Calendario C'!B230="","",'Calendario C'!B230)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C'!I230="","",'Calendario C'!I230)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2" ht="20" customHeight="1">
      <c r="A1512" s="78">
        <f>IF('Calendario C'!A232="","",'Calendario C'!A232)</f>
        <v/>
      </c>
      <c r="B1512" s="79">
        <f>IF('Calendario C'!B232="","",'Calendario C'!B232)</f>
        <v/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10" t="n"/>
      <c r="M1512" s="200" t="inlineStr">
        <is>
          <t>ARBITRI</t>
        </is>
      </c>
      <c r="N1512" s="9" t="n"/>
      <c r="O1512" s="10" t="n"/>
      <c r="P1512" s="200" t="inlineStr">
        <is>
          <t>UFFICIALI DI CAMPO</t>
        </is>
      </c>
      <c r="Q1512" s="9" t="n"/>
      <c r="R1512" s="10" t="n"/>
    </row>
    <row r="1513" ht="14" customHeight="1">
      <c r="A1513" s="81" t="inlineStr">
        <is>
          <t>Gara N.</t>
        </is>
      </c>
      <c r="B1513" s="81" t="inlineStr">
        <is>
          <t>Squadra A</t>
        </is>
      </c>
      <c r="C1513" s="10" t="n"/>
      <c r="D1513" s="81" t="inlineStr">
        <is>
          <t>Squadra B</t>
        </is>
      </c>
      <c r="E1513" s="10" t="n"/>
      <c r="F1513" s="81" t="inlineStr">
        <is>
          <t>Giorno</t>
        </is>
      </c>
      <c r="G1513" s="81" t="inlineStr">
        <is>
          <t>Data</t>
        </is>
      </c>
      <c r="H1513" s="81" t="inlineStr">
        <is>
          <t>Ora</t>
        </is>
      </c>
      <c r="I1513" s="10" t="n"/>
      <c r="J1513" s="81" t="inlineStr">
        <is>
          <t>Risultato</t>
        </is>
      </c>
      <c r="K1513" s="9" t="n"/>
      <c r="L1513" s="10" t="n"/>
      <c r="M1513" s="201" t="inlineStr">
        <is>
          <t>1o Arbitro</t>
        </is>
      </c>
      <c r="N1513" s="201" t="inlineStr">
        <is>
          <t>2o Arbitro</t>
        </is>
      </c>
      <c r="O1513" s="201" t="inlineStr">
        <is>
          <t>3o Arbitro/Tirocinante</t>
        </is>
      </c>
      <c r="P1513" s="201" t="inlineStr">
        <is>
          <t>Referto</t>
        </is>
      </c>
      <c r="Q1513" s="201" t="inlineStr">
        <is>
          <t>Cronometro</t>
        </is>
      </c>
      <c r="R1513" s="201" t="inlineStr">
        <is>
          <t>Foglio Tiri</t>
        </is>
      </c>
    </row>
    <row r="1514" ht="22" customHeight="1">
      <c r="A1514" s="83">
        <f>IF('Calendario C'!A234="","",'Calendario C'!A234)</f>
        <v/>
      </c>
      <c r="B1514" s="61">
        <f>IF('Calendario C'!B234="","",'Calendario C'!B234)</f>
        <v/>
      </c>
      <c r="C1514" s="62">
        <f>IF('Calendario C'!C234="","",'Calendario C'!C234)</f>
        <v/>
      </c>
      <c r="D1514" s="61">
        <f>IF('Calendario C'!D234="","",'Calendario C'!D234)</f>
        <v/>
      </c>
      <c r="E1514" s="62">
        <f>IF('Calendario C'!E234="","",'Calendario C'!E234)</f>
        <v/>
      </c>
      <c r="F1514" s="63">
        <f>IF('Calendario C'!F234="","",'Calendario C'!F234)</f>
        <v/>
      </c>
      <c r="G1514" s="9" t="n"/>
      <c r="H1514" s="9" t="n"/>
      <c r="I1514" s="10" t="n"/>
      <c r="J1514" s="195">
        <f>IF('Calendario C'!J234="","",'Calendario C'!J234)</f>
        <v/>
      </c>
      <c r="K1514" s="64" t="inlineStr">
        <is>
          <t>-</t>
        </is>
      </c>
      <c r="L1514" s="195">
        <f>IF('Calendario C'!L234="","",'Calendario C'!L234)</f>
        <v/>
      </c>
      <c r="M1514" s="196" t="inlineStr">
        <is>
          <t>KRAJNC Paolo [Aest]</t>
        </is>
      </c>
      <c r="N1514" s="196" t="inlineStr">
        <is>
          <t>PRADO Giulia [AAt]</t>
        </is>
      </c>
      <c r="O1514" s="196" t="inlineStr">
        <is>
          <t>LEFEVRE Filippo [AA]</t>
        </is>
      </c>
      <c r="P1514" s="196" t="inlineStr">
        <is>
          <t>CASTILLO Stefano</t>
        </is>
      </c>
      <c r="Q1514" s="196" t="inlineStr">
        <is>
          <t>WEBER Nicola</t>
        </is>
      </c>
      <c r="R1514" s="196" t="inlineStr">
        <is>
          <t>KOVAC Martina</t>
        </is>
      </c>
    </row>
    <row r="1515" ht="15" customHeight="1">
      <c r="A1515" s="141" t="n"/>
      <c r="B1515" s="69">
        <f>IF('Calendario C'!B235="","",'Calendario C'!B235)</f>
        <v/>
      </c>
      <c r="C1515" s="9" t="n"/>
      <c r="D1515" s="9" t="n"/>
      <c r="E1515" s="9" t="n"/>
      <c r="F1515" s="9" t="n"/>
      <c r="G1515" s="9" t="n"/>
      <c r="H1515" s="10" t="n"/>
      <c r="I1515" s="62">
        <f>IF('Calendario C'!I235="","",'Calendario C'!I235)</f>
        <v/>
      </c>
      <c r="J1515" s="141" t="n"/>
      <c r="K1515" s="141" t="n"/>
      <c r="L1515" s="141" t="n"/>
      <c r="M1515" s="141" t="n"/>
      <c r="N1515" s="141" t="n"/>
      <c r="O1515" s="141" t="n"/>
      <c r="P1515" s="141" t="n"/>
      <c r="Q1515" s="141" t="n"/>
      <c r="R1515" s="141" t="n"/>
    </row>
    <row r="1516" ht="14" customHeight="1">
      <c r="A1516" s="81" t="inlineStr">
        <is>
          <t>Gara N.</t>
        </is>
      </c>
      <c r="B1516" s="81" t="inlineStr">
        <is>
          <t>Squadra A</t>
        </is>
      </c>
      <c r="C1516" s="10" t="n"/>
      <c r="D1516" s="81" t="inlineStr">
        <is>
          <t>Squadra B</t>
        </is>
      </c>
      <c r="E1516" s="10" t="n"/>
      <c r="F1516" s="81" t="inlineStr">
        <is>
          <t>Giorno</t>
        </is>
      </c>
      <c r="G1516" s="81" t="inlineStr">
        <is>
          <t>Data</t>
        </is>
      </c>
      <c r="H1516" s="81" t="inlineStr">
        <is>
          <t>Ora</t>
        </is>
      </c>
      <c r="I1516" s="10" t="n"/>
      <c r="J1516" s="81" t="inlineStr">
        <is>
          <t>Risultato</t>
        </is>
      </c>
      <c r="K1516" s="9" t="n"/>
      <c r="L1516" s="10" t="n"/>
      <c r="M1516" s="201" t="inlineStr">
        <is>
          <t>1o Arbitro</t>
        </is>
      </c>
      <c r="N1516" s="201" t="inlineStr">
        <is>
          <t>2o Arbitro</t>
        </is>
      </c>
      <c r="O1516" s="201" t="inlineStr">
        <is>
          <t>3o Arbitro/Tirocinante</t>
        </is>
      </c>
      <c r="P1516" s="201" t="inlineStr">
        <is>
          <t>Referto</t>
        </is>
      </c>
      <c r="Q1516" s="201" t="inlineStr">
        <is>
          <t>Cronometro</t>
        </is>
      </c>
      <c r="R1516" s="201" t="inlineStr">
        <is>
          <t>Foglio Tiri</t>
        </is>
      </c>
    </row>
    <row r="1517" ht="22" customHeight="1">
      <c r="A1517" s="83">
        <f>IF('Calendario C'!A237="","",'Calendario C'!A237)</f>
        <v/>
      </c>
      <c r="B1517" s="61">
        <f>IF('Calendario C'!B237="","",'Calendario C'!B237)</f>
        <v/>
      </c>
      <c r="C1517" s="62">
        <f>IF('Calendario C'!C237="","",'Calendario C'!C237)</f>
        <v/>
      </c>
      <c r="D1517" s="61">
        <f>IF('Calendario C'!D237="","",'Calendario C'!D237)</f>
        <v/>
      </c>
      <c r="E1517" s="62">
        <f>IF('Calendario C'!E237="","",'Calendario C'!E237)</f>
        <v/>
      </c>
      <c r="F1517" s="63">
        <f>IF('Calendario C'!F237="","",'Calendario C'!F237)</f>
        <v/>
      </c>
      <c r="G1517" s="9" t="n"/>
      <c r="H1517" s="9" t="n"/>
      <c r="I1517" s="10" t="n"/>
      <c r="J1517" s="195">
        <f>IF('Calendario C'!J237="","",'Calendario C'!J237)</f>
        <v/>
      </c>
      <c r="K1517" s="64" t="inlineStr">
        <is>
          <t>-</t>
        </is>
      </c>
      <c r="L1517" s="195">
        <f>IF('Calendario C'!L237="","",'Calendario C'!L237)</f>
        <v/>
      </c>
      <c r="M1517" s="196" t="inlineStr">
        <is>
          <t>ORTEGA Elena [Aest]</t>
        </is>
      </c>
      <c r="N1517" s="196" t="inlineStr">
        <is>
          <t>PELLEGRI Eva [AA]</t>
        </is>
      </c>
      <c r="O1517" s="196" t="inlineStr">
        <is>
          <t>ROMERO Elena [A]</t>
        </is>
      </c>
      <c r="P1517" s="196" t="inlineStr">
        <is>
          <t>WEBER Irene</t>
        </is>
      </c>
      <c r="Q1517" s="196" t="inlineStr">
        <is>
          <t>SOLER Gaelle</t>
        </is>
      </c>
      <c r="R1517" s="196" t="inlineStr">
        <is>
          <t>HOFFMANN Tommaso</t>
        </is>
      </c>
    </row>
    <row r="1518" ht="15" customHeight="1">
      <c r="A1518" s="141" t="n"/>
      <c r="B1518" s="69">
        <f>IF('Calendario C'!B238="","",'Calendario C'!B238)</f>
        <v/>
      </c>
      <c r="C1518" s="9" t="n"/>
      <c r="D1518" s="9" t="n"/>
      <c r="E1518" s="9" t="n"/>
      <c r="F1518" s="9" t="n"/>
      <c r="G1518" s="9" t="n"/>
      <c r="H1518" s="10" t="n"/>
      <c r="I1518" s="62">
        <f>IF('Calendario C'!I238="","",'Calendario C'!I238)</f>
        <v/>
      </c>
      <c r="J1518" s="141" t="n"/>
      <c r="K1518" s="141" t="n"/>
      <c r="L1518" s="141" t="n"/>
      <c r="M1518" s="141" t="n"/>
      <c r="N1518" s="141" t="n"/>
      <c r="O1518" s="141" t="n"/>
      <c r="P1518" s="141" t="n"/>
      <c r="Q1518" s="141" t="n"/>
      <c r="R1518" s="141" t="n"/>
    </row>
    <row r="1519" ht="14" customHeight="1">
      <c r="A1519" s="81" t="inlineStr">
        <is>
          <t>Gara N.</t>
        </is>
      </c>
      <c r="B1519" s="81" t="inlineStr">
        <is>
          <t>Squadra A</t>
        </is>
      </c>
      <c r="C1519" s="10" t="n"/>
      <c r="D1519" s="81" t="inlineStr">
        <is>
          <t>Squadra B</t>
        </is>
      </c>
      <c r="E1519" s="10" t="n"/>
      <c r="F1519" s="81" t="inlineStr">
        <is>
          <t>Giorno</t>
        </is>
      </c>
      <c r="G1519" s="81" t="inlineStr">
        <is>
          <t>Data</t>
        </is>
      </c>
      <c r="H1519" s="81" t="inlineStr">
        <is>
          <t>Ora</t>
        </is>
      </c>
      <c r="I1519" s="10" t="n"/>
      <c r="J1519" s="81" t="inlineStr">
        <is>
          <t>Risultato</t>
        </is>
      </c>
      <c r="K1519" s="9" t="n"/>
      <c r="L1519" s="10" t="n"/>
      <c r="M1519" s="201" t="inlineStr">
        <is>
          <t>1o Arbitro</t>
        </is>
      </c>
      <c r="N1519" s="201" t="inlineStr">
        <is>
          <t>2o Arbitro</t>
        </is>
      </c>
      <c r="O1519" s="201" t="inlineStr">
        <is>
          <t>3o Arbitro/Tirocinante</t>
        </is>
      </c>
      <c r="P1519" s="201" t="inlineStr">
        <is>
          <t>Referto</t>
        </is>
      </c>
      <c r="Q1519" s="201" t="inlineStr">
        <is>
          <t>Cronometro</t>
        </is>
      </c>
      <c r="R1519" s="201" t="inlineStr">
        <is>
          <t>Foglio Tiri</t>
        </is>
      </c>
    </row>
    <row r="1520" ht="22" customHeight="1">
      <c r="A1520" s="83">
        <f>IF('Calendario C'!A240="","",'Calendario C'!A240)</f>
        <v/>
      </c>
      <c r="B1520" s="61">
        <f>IF('Calendario C'!B240="","",'Calendario C'!B240)</f>
        <v/>
      </c>
      <c r="C1520" s="62">
        <f>IF('Calendario C'!C240="","",'Calendario C'!C240)</f>
        <v/>
      </c>
      <c r="D1520" s="61">
        <f>IF('Calendario C'!D240="","",'Calendario C'!D240)</f>
        <v/>
      </c>
      <c r="E1520" s="62">
        <f>IF('Calendario C'!E240="","",'Calendario C'!E240)</f>
        <v/>
      </c>
      <c r="F1520" s="63">
        <f>IF('Calendario C'!F240="","",'Calendario C'!F240)</f>
        <v/>
      </c>
      <c r="G1520" s="9" t="n"/>
      <c r="H1520" s="9" t="n"/>
      <c r="I1520" s="10" t="n"/>
      <c r="J1520" s="195">
        <f>IF('Calendario C'!J240="","",'Calendario C'!J240)</f>
        <v/>
      </c>
      <c r="K1520" s="64" t="inlineStr">
        <is>
          <t>-</t>
        </is>
      </c>
      <c r="L1520" s="195">
        <f>IF('Calendario C'!L240="","",'Calendario C'!L240)</f>
        <v/>
      </c>
      <c r="M1520" s="196" t="inlineStr">
        <is>
          <t>WEBER Matteo [A]</t>
        </is>
      </c>
      <c r="N1520" s="196" t="inlineStr">
        <is>
          <t>KRUGER Nicola [Aest]</t>
        </is>
      </c>
      <c r="O1520" s="196" t="inlineStr">
        <is>
          <t>BELLANDI Vid [Aest]</t>
        </is>
      </c>
      <c r="P1520" s="196" t="inlineStr">
        <is>
          <t>BIANCHELLI Mathilde</t>
        </is>
      </c>
      <c r="Q1520" s="196" t="inlineStr">
        <is>
          <t>SANTORI Pablo</t>
        </is>
      </c>
      <c r="R1520" s="196" t="inlineStr">
        <is>
          <t>CONTARDI Valerie</t>
        </is>
      </c>
    </row>
    <row r="1521" ht="15" customHeight="1">
      <c r="A1521" s="141" t="n"/>
      <c r="B1521" s="69">
        <f>IF('Calendario C'!B241="","",'Calendario C'!B241)</f>
        <v/>
      </c>
      <c r="C1521" s="9" t="n"/>
      <c r="D1521" s="9" t="n"/>
      <c r="E1521" s="9" t="n"/>
      <c r="F1521" s="9" t="n"/>
      <c r="G1521" s="9" t="n"/>
      <c r="H1521" s="10" t="n"/>
      <c r="I1521" s="62">
        <f>IF('Calendario C'!I241="","",'Calendario C'!I241)</f>
        <v/>
      </c>
      <c r="J1521" s="141" t="n"/>
      <c r="K1521" s="141" t="n"/>
      <c r="L1521" s="141" t="n"/>
      <c r="M1521" s="141" t="n"/>
      <c r="N1521" s="141" t="n"/>
      <c r="O1521" s="141" t="n"/>
      <c r="P1521" s="141" t="n"/>
      <c r="Q1521" s="141" t="n"/>
      <c r="R1521" s="141" t="n"/>
    </row>
    <row r="1522" ht="14" customHeight="1">
      <c r="A1522" s="81" t="inlineStr">
        <is>
          <t>Gara N.</t>
        </is>
      </c>
      <c r="B1522" s="81" t="inlineStr">
        <is>
          <t>Squadra A</t>
        </is>
      </c>
      <c r="C1522" s="10" t="n"/>
      <c r="D1522" s="81" t="inlineStr">
        <is>
          <t>Squadra B</t>
        </is>
      </c>
      <c r="E1522" s="10" t="n"/>
      <c r="F1522" s="81" t="inlineStr">
        <is>
          <t>Giorno</t>
        </is>
      </c>
      <c r="G1522" s="81" t="inlineStr">
        <is>
          <t>Data</t>
        </is>
      </c>
      <c r="H1522" s="81" t="inlineStr">
        <is>
          <t>Ora</t>
        </is>
      </c>
      <c r="I1522" s="10" t="n"/>
      <c r="J1522" s="81" t="inlineStr">
        <is>
          <t>Risultato</t>
        </is>
      </c>
      <c r="K1522" s="9" t="n"/>
      <c r="L1522" s="10" t="n"/>
      <c r="M1522" s="201" t="inlineStr">
        <is>
          <t>1o Arbitro</t>
        </is>
      </c>
      <c r="N1522" s="201" t="inlineStr">
        <is>
          <t>2o Arbitro</t>
        </is>
      </c>
      <c r="O1522" s="201" t="inlineStr">
        <is>
          <t>3o Arbitro/Tirocinante</t>
        </is>
      </c>
      <c r="P1522" s="201" t="inlineStr">
        <is>
          <t>Referto</t>
        </is>
      </c>
      <c r="Q1522" s="201" t="inlineStr">
        <is>
          <t>Cronometro</t>
        </is>
      </c>
      <c r="R1522" s="201" t="inlineStr">
        <is>
          <t>Foglio Tiri</t>
        </is>
      </c>
    </row>
    <row r="1523" ht="22" customHeight="1">
      <c r="A1523" s="83">
        <f>IF('Calendario C'!A243="","",'Calendario C'!A243)</f>
        <v/>
      </c>
      <c r="B1523" s="61">
        <f>IF('Calendario C'!B243="","",'Calendario C'!B243)</f>
        <v/>
      </c>
      <c r="C1523" s="62">
        <f>IF('Calendario C'!C243="","",'Calendario C'!C243)</f>
        <v/>
      </c>
      <c r="D1523" s="61">
        <f>IF('Calendario C'!D243="","",'Calendario C'!D243)</f>
        <v/>
      </c>
      <c r="E1523" s="62">
        <f>IF('Calendario C'!E243="","",'Calendario C'!E243)</f>
        <v/>
      </c>
      <c r="F1523" s="63">
        <f>IF('Calendario C'!F243="","",'Calendario C'!F243)</f>
        <v/>
      </c>
      <c r="G1523" s="9" t="n"/>
      <c r="H1523" s="9" t="n"/>
      <c r="I1523" s="10" t="n"/>
      <c r="J1523" s="195">
        <f>IF('Calendario C'!J243="","",'Calendario C'!J243)</f>
        <v/>
      </c>
      <c r="K1523" s="64" t="inlineStr">
        <is>
          <t>-</t>
        </is>
      </c>
      <c r="L1523" s="195">
        <f>IF('Calendario C'!L243="","",'Calendario C'!L243)</f>
        <v/>
      </c>
      <c r="M1523" s="196" t="inlineStr">
        <is>
          <t>WEBER Filippo [AA]</t>
        </is>
      </c>
      <c r="N1523" s="196" t="inlineStr">
        <is>
          <t>VOGEL Martina [AA]</t>
        </is>
      </c>
      <c r="O1523" s="196" t="inlineStr">
        <is>
          <t>BELLANDI Vid [Aest]</t>
        </is>
      </c>
      <c r="P1523" s="196" t="inlineStr">
        <is>
          <t>CAMPOS Noemi</t>
        </is>
      </c>
      <c r="Q1523" s="196" t="inlineStr">
        <is>
          <t>SCHAFER Greta</t>
        </is>
      </c>
      <c r="R1523" s="196" t="inlineStr">
        <is>
          <t>BIANCHELLI Davide</t>
        </is>
      </c>
    </row>
    <row r="1524" ht="15" customHeight="1">
      <c r="A1524" s="141" t="n"/>
      <c r="B1524" s="69">
        <f>IF('Calendario C'!B244="","",'Calendario C'!B244)</f>
        <v/>
      </c>
      <c r="C1524" s="9" t="n"/>
      <c r="D1524" s="9" t="n"/>
      <c r="E1524" s="9" t="n"/>
      <c r="F1524" s="9" t="n"/>
      <c r="G1524" s="9" t="n"/>
      <c r="H1524" s="10" t="n"/>
      <c r="I1524" s="62">
        <f>IF('Calendario C'!I244="","",'Calendario C'!I244)</f>
        <v/>
      </c>
      <c r="J1524" s="141" t="n"/>
      <c r="K1524" s="141" t="n"/>
      <c r="L1524" s="141" t="n"/>
      <c r="M1524" s="141" t="n"/>
      <c r="N1524" s="141" t="n"/>
      <c r="O1524" s="141" t="n"/>
      <c r="P1524" s="141" t="n"/>
      <c r="Q1524" s="141" t="n"/>
      <c r="R1524" s="141" t="n"/>
    </row>
    <row r="1525" ht="14" customHeight="1">
      <c r="A1525" s="81" t="inlineStr">
        <is>
          <t>Gara N.</t>
        </is>
      </c>
      <c r="B1525" s="81" t="inlineStr">
        <is>
          <t>Squadra A</t>
        </is>
      </c>
      <c r="C1525" s="10" t="n"/>
      <c r="D1525" s="81" t="inlineStr">
        <is>
          <t>Squadra B</t>
        </is>
      </c>
      <c r="E1525" s="10" t="n"/>
      <c r="F1525" s="81" t="inlineStr">
        <is>
          <t>Giorno</t>
        </is>
      </c>
      <c r="G1525" s="81" t="inlineStr">
        <is>
          <t>Data</t>
        </is>
      </c>
      <c r="H1525" s="81" t="inlineStr">
        <is>
          <t>Ora</t>
        </is>
      </c>
      <c r="I1525" s="10" t="n"/>
      <c r="J1525" s="81" t="inlineStr">
        <is>
          <t>Risultato</t>
        </is>
      </c>
      <c r="K1525" s="9" t="n"/>
      <c r="L1525" s="10" t="n"/>
      <c r="M1525" s="201" t="inlineStr">
        <is>
          <t>1o Arbitro</t>
        </is>
      </c>
      <c r="N1525" s="201" t="inlineStr">
        <is>
          <t>2o Arbitro</t>
        </is>
      </c>
      <c r="O1525" s="201" t="inlineStr">
        <is>
          <t>3o Arbitro/Tirocinante</t>
        </is>
      </c>
      <c r="P1525" s="201" t="inlineStr">
        <is>
          <t>Referto</t>
        </is>
      </c>
      <c r="Q1525" s="201" t="inlineStr">
        <is>
          <t>Cronometro</t>
        </is>
      </c>
      <c r="R1525" s="201" t="inlineStr">
        <is>
          <t>Foglio Tiri</t>
        </is>
      </c>
    </row>
    <row r="1526" ht="22" customHeight="1">
      <c r="A1526" s="83">
        <f>IF('Calendario C'!A246="","",'Calendario C'!A246)</f>
        <v/>
      </c>
      <c r="B1526" s="61">
        <f>IF('Calendario C'!B246="","",'Calendario C'!B246)</f>
        <v/>
      </c>
      <c r="C1526" s="62">
        <f>IF('Calendario C'!C246="","",'Calendario C'!C246)</f>
        <v/>
      </c>
      <c r="D1526" s="61">
        <f>IF('Calendario C'!D246="","",'Calendario C'!D246)</f>
        <v/>
      </c>
      <c r="E1526" s="62">
        <f>IF('Calendario C'!E246="","",'Calendario C'!E246)</f>
        <v/>
      </c>
      <c r="F1526" s="63">
        <f>IF('Calendario C'!F246="","",'Calendario C'!F246)</f>
        <v/>
      </c>
      <c r="G1526" s="9" t="n"/>
      <c r="H1526" s="9" t="n"/>
      <c r="I1526" s="10" t="n"/>
      <c r="J1526" s="195">
        <f>IF('Calendario C'!J246="","",'Calendario C'!J246)</f>
        <v/>
      </c>
      <c r="K1526" s="64" t="inlineStr">
        <is>
          <t>-</t>
        </is>
      </c>
      <c r="L1526" s="195">
        <f>IF('Calendario C'!L246="","",'Calendario C'!L246)</f>
        <v/>
      </c>
      <c r="M1526" s="196" t="inlineStr">
        <is>
          <t>VIDMAR Elena [AAt]</t>
        </is>
      </c>
      <c r="N1526" s="196" t="inlineStr">
        <is>
          <t>PRADO Giulia [AAt]</t>
        </is>
      </c>
      <c r="O1526" s="196" t="inlineStr">
        <is>
          <t>BLANCHET Anja [AA]</t>
        </is>
      </c>
      <c r="P1526" s="196" t="inlineStr">
        <is>
          <t>MORETTO Ilaria</t>
        </is>
      </c>
      <c r="Q1526" s="196" t="inlineStr">
        <is>
          <t>VOGEL Davide</t>
        </is>
      </c>
      <c r="R1526" s="196" t="inlineStr">
        <is>
          <t>BLANCHET Alenka</t>
        </is>
      </c>
    </row>
    <row r="1527" ht="15" customHeight="1">
      <c r="A1527" s="141" t="n"/>
      <c r="B1527" s="69">
        <f>IF('Calendario C'!B247="","",'Calendario C'!B247)</f>
        <v/>
      </c>
      <c r="C1527" s="9" t="n"/>
      <c r="D1527" s="9" t="n"/>
      <c r="E1527" s="9" t="n"/>
      <c r="F1527" s="9" t="n"/>
      <c r="G1527" s="9" t="n"/>
      <c r="H1527" s="10" t="n"/>
      <c r="I1527" s="62">
        <f>IF('Calendario C'!I247="","",'Calendario C'!I247)</f>
        <v/>
      </c>
      <c r="J1527" s="141" t="n"/>
      <c r="K1527" s="141" t="n"/>
      <c r="L1527" s="141" t="n"/>
      <c r="M1527" s="141" t="n"/>
      <c r="N1527" s="141" t="n"/>
      <c r="O1527" s="141" t="n"/>
      <c r="P1527" s="141" t="n"/>
      <c r="Q1527" s="141" t="n"/>
      <c r="R1527" s="141" t="n"/>
    </row>
    <row r="1528" ht="14" customHeight="1">
      <c r="A1528" s="81" t="inlineStr">
        <is>
          <t>Gara N.</t>
        </is>
      </c>
      <c r="B1528" s="81" t="inlineStr">
        <is>
          <t>Squadra A</t>
        </is>
      </c>
      <c r="C1528" s="10" t="n"/>
      <c r="D1528" s="81" t="inlineStr">
        <is>
          <t>Squadra B</t>
        </is>
      </c>
      <c r="E1528" s="10" t="n"/>
      <c r="F1528" s="81" t="inlineStr">
        <is>
          <t>Giorno</t>
        </is>
      </c>
      <c r="G1528" s="81" t="inlineStr">
        <is>
          <t>Data</t>
        </is>
      </c>
      <c r="H1528" s="81" t="inlineStr">
        <is>
          <t>Ora</t>
        </is>
      </c>
      <c r="I1528" s="10" t="n"/>
      <c r="J1528" s="81" t="inlineStr">
        <is>
          <t>Risultato</t>
        </is>
      </c>
      <c r="K1528" s="9" t="n"/>
      <c r="L1528" s="10" t="n"/>
      <c r="M1528" s="201" t="inlineStr">
        <is>
          <t>1o Arbitro</t>
        </is>
      </c>
      <c r="N1528" s="201" t="inlineStr">
        <is>
          <t>2o Arbitro</t>
        </is>
      </c>
      <c r="O1528" s="201" t="inlineStr">
        <is>
          <t>3o Arbitro/Tirocinante</t>
        </is>
      </c>
      <c r="P1528" s="201" t="inlineStr">
        <is>
          <t>Referto</t>
        </is>
      </c>
      <c r="Q1528" s="201" t="inlineStr">
        <is>
          <t>Cronometro</t>
        </is>
      </c>
      <c r="R1528" s="201" t="inlineStr">
        <is>
          <t>Foglio Tiri</t>
        </is>
      </c>
    </row>
    <row r="1529" ht="22" customHeight="1">
      <c r="A1529" s="83">
        <f>IF('Calendario C'!A249="","",'Calendario C'!A249)</f>
        <v/>
      </c>
      <c r="B1529" s="61">
        <f>IF('Calendario C'!B249="","",'Calendario C'!B249)</f>
        <v/>
      </c>
      <c r="C1529" s="62">
        <f>IF('Calendario C'!C249="","",'Calendario C'!C249)</f>
        <v/>
      </c>
      <c r="D1529" s="61">
        <f>IF('Calendario C'!D249="","",'Calendario C'!D249)</f>
        <v/>
      </c>
      <c r="E1529" s="62">
        <f>IF('Calendario C'!E249="","",'Calendario C'!E249)</f>
        <v/>
      </c>
      <c r="F1529" s="63">
        <f>IF('Calendario C'!F249="","",'Calendario C'!F249)</f>
        <v/>
      </c>
      <c r="G1529" s="9" t="n"/>
      <c r="H1529" s="9" t="n"/>
      <c r="I1529" s="10" t="n"/>
      <c r="J1529" s="195">
        <f>IF('Calendario C'!J249="","",'Calendario C'!J249)</f>
        <v/>
      </c>
      <c r="K1529" s="64" t="inlineStr">
        <is>
          <t>-</t>
        </is>
      </c>
      <c r="L1529" s="195">
        <f>IF('Calendario C'!L249="","",'Calendario C'!L249)</f>
        <v/>
      </c>
      <c r="M1529" s="196" t="inlineStr">
        <is>
          <t>ROSSINI Alenka [AAt]</t>
        </is>
      </c>
      <c r="N1529" s="196" t="inlineStr">
        <is>
          <t>BELLANDI Ottavia [Aest]</t>
        </is>
      </c>
      <c r="O1529" s="196" t="inlineStr">
        <is>
          <t>HOFFMANN Filippo [AA]</t>
        </is>
      </c>
      <c r="P1529" s="196" t="inlineStr">
        <is>
          <t>BLANCO Diego</t>
        </is>
      </c>
      <c r="Q1529" s="196" t="inlineStr">
        <is>
          <t>BLANCO Valerie</t>
        </is>
      </c>
      <c r="R1529" s="196" t="inlineStr">
        <is>
          <t>MARCHIONI Greta</t>
        </is>
      </c>
    </row>
    <row r="1530" ht="15" customHeight="1">
      <c r="A1530" s="141" t="n"/>
      <c r="B1530" s="69">
        <f>IF('Calendario C'!B250="","",'Calendario C'!B250)</f>
        <v/>
      </c>
      <c r="C1530" s="9" t="n"/>
      <c r="D1530" s="9" t="n"/>
      <c r="E1530" s="9" t="n"/>
      <c r="F1530" s="9" t="n"/>
      <c r="G1530" s="9" t="n"/>
      <c r="H1530" s="10" t="n"/>
      <c r="I1530" s="62">
        <f>IF('Calendario C'!I250="","",'Calendario C'!I250)</f>
        <v/>
      </c>
      <c r="J1530" s="141" t="n"/>
      <c r="K1530" s="141" t="n"/>
      <c r="L1530" s="141" t="n"/>
      <c r="M1530" s="141" t="n"/>
      <c r="N1530" s="141" t="n"/>
      <c r="O1530" s="141" t="n"/>
      <c r="P1530" s="141" t="n"/>
      <c r="Q1530" s="141" t="n"/>
      <c r="R1530" s="141" t="n"/>
    </row>
    <row r="1531" ht="14" customHeight="1">
      <c r="A1531" s="81" t="inlineStr">
        <is>
          <t>Gara N.</t>
        </is>
      </c>
      <c r="B1531" s="81" t="inlineStr">
        <is>
          <t>Squadra A</t>
        </is>
      </c>
      <c r="C1531" s="10" t="n"/>
      <c r="D1531" s="81" t="inlineStr">
        <is>
          <t>Squadra B</t>
        </is>
      </c>
      <c r="E1531" s="10" t="n"/>
      <c r="F1531" s="81" t="inlineStr">
        <is>
          <t>Giorno</t>
        </is>
      </c>
      <c r="G1531" s="81" t="inlineStr">
        <is>
          <t>Data</t>
        </is>
      </c>
      <c r="H1531" s="81" t="inlineStr">
        <is>
          <t>Ora</t>
        </is>
      </c>
      <c r="I1531" s="10" t="n"/>
      <c r="J1531" s="81" t="inlineStr">
        <is>
          <t>Risultato</t>
        </is>
      </c>
      <c r="K1531" s="9" t="n"/>
      <c r="L1531" s="10" t="n"/>
      <c r="M1531" s="201" t="inlineStr">
        <is>
          <t>1o Arbitro</t>
        </is>
      </c>
      <c r="N1531" s="201" t="inlineStr">
        <is>
          <t>2o Arbitro</t>
        </is>
      </c>
      <c r="O1531" s="201" t="inlineStr">
        <is>
          <t>3o Arbitro/Tirocinante</t>
        </is>
      </c>
      <c r="P1531" s="201" t="inlineStr">
        <is>
          <t>Referto</t>
        </is>
      </c>
      <c r="Q1531" s="201" t="inlineStr">
        <is>
          <t>Cronometro</t>
        </is>
      </c>
      <c r="R1531" s="201" t="inlineStr">
        <is>
          <t>Foglio Tiri</t>
        </is>
      </c>
    </row>
    <row r="1532" ht="22" customHeight="1">
      <c r="A1532" s="83">
        <f>IF('Calendario C'!A252="","",'Calendario C'!A252)</f>
        <v/>
      </c>
      <c r="B1532" s="61">
        <f>IF('Calendario C'!B252="","",'Calendario C'!B252)</f>
        <v/>
      </c>
      <c r="C1532" s="62">
        <f>IF('Calendario C'!C252="","",'Calendario C'!C252)</f>
        <v/>
      </c>
      <c r="D1532" s="61">
        <f>IF('Calendario C'!D252="","",'Calendario C'!D252)</f>
        <v/>
      </c>
      <c r="E1532" s="62">
        <f>IF('Calendario C'!E252="","",'Calendario C'!E252)</f>
        <v/>
      </c>
      <c r="F1532" s="63">
        <f>IF('Calendario C'!F252="","",'Calendario C'!F252)</f>
        <v/>
      </c>
      <c r="G1532" s="9" t="n"/>
      <c r="H1532" s="9" t="n"/>
      <c r="I1532" s="10" t="n"/>
      <c r="J1532" s="195">
        <f>IF('Calendario C'!J252="","",'Calendario C'!J252)</f>
        <v/>
      </c>
      <c r="K1532" s="64" t="inlineStr">
        <is>
          <t>-</t>
        </is>
      </c>
      <c r="L1532" s="195">
        <f>IF('Calendario C'!L252="","",'Calendario C'!L252)</f>
        <v/>
      </c>
      <c r="M1532" s="196" t="inlineStr">
        <is>
          <t>LANGER Katrin [AAt]</t>
        </is>
      </c>
      <c r="N1532" s="196" t="inlineStr">
        <is>
          <t>KRUGER Ilaria [A]</t>
        </is>
      </c>
      <c r="O1532" s="196" t="inlineStr">
        <is>
          <t>FUENTES Valerie [AAt]</t>
        </is>
      </c>
      <c r="P1532" s="196" t="inlineStr">
        <is>
          <t>SEVER Giulia</t>
        </is>
      </c>
      <c r="Q1532" s="196" t="inlineStr">
        <is>
          <t>FERRANTE Hugo</t>
        </is>
      </c>
      <c r="R1532" s="196" t="inlineStr">
        <is>
          <t>ROMERO Irene</t>
        </is>
      </c>
    </row>
    <row r="1533" ht="15" customHeight="1">
      <c r="A1533" s="141" t="n"/>
      <c r="B1533" s="69">
        <f>IF('Calendario C'!B253="","",'Calendario C'!B253)</f>
        <v/>
      </c>
      <c r="C1533" s="9" t="n"/>
      <c r="D1533" s="9" t="n"/>
      <c r="E1533" s="9" t="n"/>
      <c r="F1533" s="9" t="n"/>
      <c r="G1533" s="9" t="n"/>
      <c r="H1533" s="10" t="n"/>
      <c r="I1533" s="62">
        <f>IF('Calendario C'!I253="","",'Calendario C'!I253)</f>
        <v/>
      </c>
      <c r="J1533" s="141" t="n"/>
      <c r="K1533" s="141" t="n"/>
      <c r="L1533" s="141" t="n"/>
      <c r="M1533" s="141" t="n"/>
      <c r="N1533" s="141" t="n"/>
      <c r="O1533" s="141" t="n"/>
      <c r="P1533" s="141" t="n"/>
      <c r="Q1533" s="141" t="n"/>
      <c r="R1533" s="141" t="n"/>
    </row>
    <row r="1534" ht="14" customHeight="1">
      <c r="A1534" s="81" t="inlineStr">
        <is>
          <t>Gara N.</t>
        </is>
      </c>
      <c r="B1534" s="81" t="inlineStr">
        <is>
          <t>Squadra A</t>
        </is>
      </c>
      <c r="C1534" s="10" t="n"/>
      <c r="D1534" s="81" t="inlineStr">
        <is>
          <t>Squadra B</t>
        </is>
      </c>
      <c r="E1534" s="10" t="n"/>
      <c r="F1534" s="81" t="inlineStr">
        <is>
          <t>Giorno</t>
        </is>
      </c>
      <c r="G1534" s="81" t="inlineStr">
        <is>
          <t>Data</t>
        </is>
      </c>
      <c r="H1534" s="81" t="inlineStr">
        <is>
          <t>Ora</t>
        </is>
      </c>
      <c r="I1534" s="10" t="n"/>
      <c r="J1534" s="81" t="inlineStr">
        <is>
          <t>Risultato</t>
        </is>
      </c>
      <c r="K1534" s="9" t="n"/>
      <c r="L1534" s="10" t="n"/>
      <c r="M1534" s="201" t="inlineStr">
        <is>
          <t>1o Arbitro</t>
        </is>
      </c>
      <c r="N1534" s="201" t="inlineStr">
        <is>
          <t>2o Arbitro</t>
        </is>
      </c>
      <c r="O1534" s="201" t="inlineStr">
        <is>
          <t>3o Arbitro/Tirocinante</t>
        </is>
      </c>
      <c r="P1534" s="201" t="inlineStr">
        <is>
          <t>Referto</t>
        </is>
      </c>
      <c r="Q1534" s="201" t="inlineStr">
        <is>
          <t>Cronometro</t>
        </is>
      </c>
      <c r="R1534" s="201" t="inlineStr">
        <is>
          <t>Foglio Tiri</t>
        </is>
      </c>
    </row>
    <row r="1535" ht="22" customHeight="1">
      <c r="A1535" s="83">
        <f>IF('Calendario C'!A255="","",'Calendario C'!A255)</f>
        <v/>
      </c>
      <c r="B1535" s="61">
        <f>IF('Calendario C'!B255="","",'Calendario C'!B255)</f>
        <v/>
      </c>
      <c r="C1535" s="62">
        <f>IF('Calendario C'!C255="","",'Calendario C'!C255)</f>
        <v/>
      </c>
      <c r="D1535" s="61">
        <f>IF('Calendario C'!D255="","",'Calendario C'!D255)</f>
        <v/>
      </c>
      <c r="E1535" s="62">
        <f>IF('Calendario C'!E255="","",'Calendario C'!E255)</f>
        <v/>
      </c>
      <c r="F1535" s="63">
        <f>IF('Calendario C'!F255="","",'Calendario C'!F255)</f>
        <v/>
      </c>
      <c r="G1535" s="9" t="n"/>
      <c r="H1535" s="9" t="n"/>
      <c r="I1535" s="10" t="n"/>
      <c r="J1535" s="195">
        <f>IF('Calendario C'!J255="","",'Calendario C'!J255)</f>
        <v/>
      </c>
      <c r="K1535" s="64" t="inlineStr">
        <is>
          <t>-</t>
        </is>
      </c>
      <c r="L1535" s="195">
        <f>IF('Calendario C'!L255="","",'Calendario C'!L255)</f>
        <v/>
      </c>
      <c r="M1535" s="196" t="inlineStr">
        <is>
          <t>MARCHIONI Filippo [AAt]</t>
        </is>
      </c>
      <c r="N1535" s="196" t="inlineStr">
        <is>
          <t>ORTEGA Diego [A]</t>
        </is>
      </c>
      <c r="O1535" s="196" t="inlineStr">
        <is>
          <t>PELLEGRI Eva [AA]</t>
        </is>
      </c>
      <c r="P1535" s="196" t="inlineStr">
        <is>
          <t>KELLER Ottavia</t>
        </is>
      </c>
      <c r="Q1535" s="196" t="inlineStr">
        <is>
          <t>HORVAT Lukas</t>
        </is>
      </c>
      <c r="R1535" s="196" t="inlineStr">
        <is>
          <t>BLANCHET Marta</t>
        </is>
      </c>
    </row>
    <row r="1536" ht="15" customHeight="1">
      <c r="A1536" s="141" t="n"/>
      <c r="B1536" s="69">
        <f>IF('Calendario C'!B256="","",'Calendario C'!B256)</f>
        <v/>
      </c>
      <c r="C1536" s="9" t="n"/>
      <c r="D1536" s="9" t="n"/>
      <c r="E1536" s="9" t="n"/>
      <c r="F1536" s="9" t="n"/>
      <c r="G1536" s="9" t="n"/>
      <c r="H1536" s="10" t="n"/>
      <c r="I1536" s="62">
        <f>IF('Calendario C'!I256="","",'Calendario C'!I256)</f>
        <v/>
      </c>
      <c r="J1536" s="141" t="n"/>
      <c r="K1536" s="141" t="n"/>
      <c r="L1536" s="141" t="n"/>
      <c r="M1536" s="141" t="n"/>
      <c r="N1536" s="141" t="n"/>
      <c r="O1536" s="141" t="n"/>
      <c r="P1536" s="141" t="n"/>
      <c r="Q1536" s="141" t="n"/>
      <c r="R1536" s="141" t="n"/>
    </row>
    <row r="1537" ht="14" customHeight="1">
      <c r="A1537" s="81" t="inlineStr">
        <is>
          <t>Gara N.</t>
        </is>
      </c>
      <c r="B1537" s="81" t="inlineStr">
        <is>
          <t>Squadra A</t>
        </is>
      </c>
      <c r="C1537" s="10" t="n"/>
      <c r="D1537" s="81" t="inlineStr">
        <is>
          <t>Squadra B</t>
        </is>
      </c>
      <c r="E1537" s="10" t="n"/>
      <c r="F1537" s="81" t="inlineStr">
        <is>
          <t>Giorno</t>
        </is>
      </c>
      <c r="G1537" s="81" t="inlineStr">
        <is>
          <t>Data</t>
        </is>
      </c>
      <c r="H1537" s="81" t="inlineStr">
        <is>
          <t>Ora</t>
        </is>
      </c>
      <c r="I1537" s="10" t="n"/>
      <c r="J1537" s="81" t="inlineStr">
        <is>
          <t>Risultato</t>
        </is>
      </c>
      <c r="K1537" s="9" t="n"/>
      <c r="L1537" s="10" t="n"/>
      <c r="M1537" s="201" t="inlineStr">
        <is>
          <t>1o Arbitro</t>
        </is>
      </c>
      <c r="N1537" s="201" t="inlineStr">
        <is>
          <t>2o Arbitro</t>
        </is>
      </c>
      <c r="O1537" s="201" t="inlineStr">
        <is>
          <t>3o Arbitro/Tirocinante</t>
        </is>
      </c>
      <c r="P1537" s="201" t="inlineStr">
        <is>
          <t>Referto</t>
        </is>
      </c>
      <c r="Q1537" s="201" t="inlineStr">
        <is>
          <t>Cronometro</t>
        </is>
      </c>
      <c r="R1537" s="201" t="inlineStr">
        <is>
          <t>Foglio Tiri</t>
        </is>
      </c>
    </row>
    <row r="1538" ht="22" customHeight="1">
      <c r="A1538" s="83">
        <f>IF('Calendario C'!A258="","",'Calendario C'!A258)</f>
        <v/>
      </c>
      <c r="B1538" s="61">
        <f>IF('Calendario C'!B258="","",'Calendario C'!B258)</f>
        <v/>
      </c>
      <c r="C1538" s="62">
        <f>IF('Calendario C'!C258="","",'Calendario C'!C258)</f>
        <v/>
      </c>
      <c r="D1538" s="61">
        <f>IF('Calendario C'!D258="","",'Calendario C'!D258)</f>
        <v/>
      </c>
      <c r="E1538" s="62">
        <f>IF('Calendario C'!E258="","",'Calendario C'!E258)</f>
        <v/>
      </c>
      <c r="F1538" s="63">
        <f>IF('Calendario C'!F258="","",'Calendario C'!F258)</f>
        <v/>
      </c>
      <c r="G1538" s="9" t="n"/>
      <c r="H1538" s="9" t="n"/>
      <c r="I1538" s="10" t="n"/>
      <c r="J1538" s="195">
        <f>IF('Calendario C'!J258="","",'Calendario C'!J258)</f>
        <v/>
      </c>
      <c r="K1538" s="64" t="inlineStr">
        <is>
          <t>-</t>
        </is>
      </c>
      <c r="L1538" s="195">
        <f>IF('Calendario C'!L258="","",'Calendario C'!L258)</f>
        <v/>
      </c>
      <c r="M1538" s="196" t="inlineStr">
        <is>
          <t>KELLER Marta [AAt]</t>
        </is>
      </c>
      <c r="N1538" s="196" t="inlineStr">
        <is>
          <t>NAVARRO Matteo [AA]</t>
        </is>
      </c>
      <c r="O1538" s="196" t="inlineStr">
        <is>
          <t>KOVAC Noemi [Aest]</t>
        </is>
      </c>
      <c r="P1538" s="196" t="inlineStr">
        <is>
          <t>ENGEL Ottavia</t>
        </is>
      </c>
      <c r="Q1538" s="196" t="inlineStr">
        <is>
          <t>VALLET Miha</t>
        </is>
      </c>
      <c r="R1538" s="196" t="inlineStr">
        <is>
          <t>SANTORI Miha</t>
        </is>
      </c>
    </row>
    <row r="1539" ht="15" customHeight="1">
      <c r="A1539" s="141" t="n"/>
      <c r="B1539" s="69">
        <f>IF('Calendario C'!B259="","",'Calendario C'!B259)</f>
        <v/>
      </c>
      <c r="C1539" s="9" t="n"/>
      <c r="D1539" s="9" t="n"/>
      <c r="E1539" s="9" t="n"/>
      <c r="F1539" s="9" t="n"/>
      <c r="G1539" s="9" t="n"/>
      <c r="H1539" s="10" t="n"/>
      <c r="I1539" s="62">
        <f>IF('Calendario C'!I259="","",'Calendario C'!I259)</f>
        <v/>
      </c>
      <c r="J1539" s="141" t="n"/>
      <c r="K1539" s="141" t="n"/>
      <c r="L1539" s="141" t="n"/>
      <c r="M1539" s="141" t="n"/>
      <c r="N1539" s="141" t="n"/>
      <c r="O1539" s="141" t="n"/>
      <c r="P1539" s="141" t="n"/>
      <c r="Q1539" s="141" t="n"/>
      <c r="R1539" s="141" t="n"/>
    </row>
    <row r="1540" ht="14" customHeight="1">
      <c r="A1540" s="81" t="inlineStr">
        <is>
          <t>Gara N.</t>
        </is>
      </c>
      <c r="B1540" s="81" t="inlineStr">
        <is>
          <t>Squadra A</t>
        </is>
      </c>
      <c r="C1540" s="10" t="n"/>
      <c r="D1540" s="81" t="inlineStr">
        <is>
          <t>Squadra B</t>
        </is>
      </c>
      <c r="E1540" s="10" t="n"/>
      <c r="F1540" s="81" t="inlineStr">
        <is>
          <t>Giorno</t>
        </is>
      </c>
      <c r="G1540" s="81" t="inlineStr">
        <is>
          <t>Data</t>
        </is>
      </c>
      <c r="H1540" s="81" t="inlineStr">
        <is>
          <t>Ora</t>
        </is>
      </c>
      <c r="I1540" s="10" t="n"/>
      <c r="J1540" s="81" t="inlineStr">
        <is>
          <t>Risultato</t>
        </is>
      </c>
      <c r="K1540" s="9" t="n"/>
      <c r="L1540" s="10" t="n"/>
      <c r="M1540" s="201" t="inlineStr">
        <is>
          <t>1o Arbitro</t>
        </is>
      </c>
      <c r="N1540" s="201" t="inlineStr">
        <is>
          <t>2o Arbitro</t>
        </is>
      </c>
      <c r="O1540" s="201" t="inlineStr">
        <is>
          <t>3o Arbitro/Tirocinante</t>
        </is>
      </c>
      <c r="P1540" s="201" t="inlineStr">
        <is>
          <t>Referto</t>
        </is>
      </c>
      <c r="Q1540" s="201" t="inlineStr">
        <is>
          <t>Cronometro</t>
        </is>
      </c>
      <c r="R1540" s="201" t="inlineStr">
        <is>
          <t>Foglio Tiri</t>
        </is>
      </c>
    </row>
    <row r="1541" ht="22" customHeight="1">
      <c r="A1541" s="83">
        <f>IF('Calendario C'!A261="","",'Calendario C'!A261)</f>
        <v/>
      </c>
      <c r="B1541" s="61">
        <f>IF('Calendario C'!B261="","",'Calendario C'!B261)</f>
        <v/>
      </c>
      <c r="C1541" s="62">
        <f>IF('Calendario C'!C261="","",'Calendario C'!C261)</f>
        <v/>
      </c>
      <c r="D1541" s="61">
        <f>IF('Calendario C'!D261="","",'Calendario C'!D261)</f>
        <v/>
      </c>
      <c r="E1541" s="62">
        <f>IF('Calendario C'!E261="","",'Calendario C'!E261)</f>
        <v/>
      </c>
      <c r="F1541" s="63">
        <f>IF('Calendario C'!F261="","",'Calendario C'!F261)</f>
        <v/>
      </c>
      <c r="G1541" s="9" t="n"/>
      <c r="H1541" s="9" t="n"/>
      <c r="I1541" s="10" t="n"/>
      <c r="J1541" s="195">
        <f>IF('Calendario C'!J261="","",'Calendario C'!J261)</f>
        <v/>
      </c>
      <c r="K1541" s="64" t="inlineStr">
        <is>
          <t>-</t>
        </is>
      </c>
      <c r="L1541" s="195">
        <f>IF('Calendario C'!L261="","",'Calendario C'!L261)</f>
        <v/>
      </c>
      <c r="M1541" s="196" t="inlineStr">
        <is>
          <t>KELLER Felix [AAt]</t>
        </is>
      </c>
      <c r="N1541" s="196" t="inlineStr">
        <is>
          <t>HOFFMANN Ottavia [AA]</t>
        </is>
      </c>
      <c r="O1541" s="196" t="inlineStr">
        <is>
          <t>LEROUX Hugo [Aest]</t>
        </is>
      </c>
      <c r="P1541" s="196" t="inlineStr">
        <is>
          <t>WEBER Jonas</t>
        </is>
      </c>
      <c r="Q1541" s="196" t="inlineStr">
        <is>
          <t>BLANCHET Tommaso</t>
        </is>
      </c>
      <c r="R1541" s="196" t="inlineStr">
        <is>
          <t>WEBER Irene</t>
        </is>
      </c>
    </row>
    <row r="1542" ht="15" customHeight="1">
      <c r="A1542" s="141" t="n"/>
      <c r="B1542" s="69">
        <f>IF('Calendario C'!B262="","",'Calendario C'!B262)</f>
        <v/>
      </c>
      <c r="C1542" s="9" t="n"/>
      <c r="D1542" s="9" t="n"/>
      <c r="E1542" s="9" t="n"/>
      <c r="F1542" s="9" t="n"/>
      <c r="G1542" s="9" t="n"/>
      <c r="H1542" s="10" t="n"/>
      <c r="I1542" s="62">
        <f>IF('Calendario C'!I262="","",'Calendario C'!I262)</f>
        <v/>
      </c>
      <c r="J1542" s="141" t="n"/>
      <c r="K1542" s="141" t="n"/>
      <c r="L1542" s="141" t="n"/>
      <c r="M1542" s="141" t="n"/>
      <c r="N1542" s="141" t="n"/>
      <c r="O1542" s="141" t="n"/>
      <c r="P1542" s="141" t="n"/>
      <c r="Q1542" s="141" t="n"/>
      <c r="R1542" s="141" t="n"/>
    </row>
    <row r="1544" ht="20" customHeight="1">
      <c r="A1544" s="78">
        <f>IF('Calendario C'!A264="","",'Calendario C'!A264)</f>
        <v/>
      </c>
      <c r="B1544" s="79">
        <f>IF('Calendario C'!B264="","",'Calendario C'!B264)</f>
        <v/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10" t="n"/>
      <c r="M1544" s="200" t="inlineStr">
        <is>
          <t>ARBITRI</t>
        </is>
      </c>
      <c r="N1544" s="9" t="n"/>
      <c r="O1544" s="10" t="n"/>
      <c r="P1544" s="200" t="inlineStr">
        <is>
          <t>UFFICIALI DI CAMPO</t>
        </is>
      </c>
      <c r="Q1544" s="9" t="n"/>
      <c r="R1544" s="10" t="n"/>
    </row>
    <row r="1545" ht="14" customHeight="1">
      <c r="A1545" s="81" t="inlineStr">
        <is>
          <t>Gara N.</t>
        </is>
      </c>
      <c r="B1545" s="81" t="inlineStr">
        <is>
          <t>Squadra A</t>
        </is>
      </c>
      <c r="C1545" s="10" t="n"/>
      <c r="D1545" s="81" t="inlineStr">
        <is>
          <t>Squadra B</t>
        </is>
      </c>
      <c r="E1545" s="10" t="n"/>
      <c r="F1545" s="81" t="inlineStr">
        <is>
          <t>Giorno</t>
        </is>
      </c>
      <c r="G1545" s="81" t="inlineStr">
        <is>
          <t>Data</t>
        </is>
      </c>
      <c r="H1545" s="81" t="inlineStr">
        <is>
          <t>Ora</t>
        </is>
      </c>
      <c r="I1545" s="10" t="n"/>
      <c r="J1545" s="81" t="inlineStr">
        <is>
          <t>Risultato</t>
        </is>
      </c>
      <c r="K1545" s="9" t="n"/>
      <c r="L1545" s="10" t="n"/>
      <c r="M1545" s="201" t="inlineStr">
        <is>
          <t>1o Arbitro</t>
        </is>
      </c>
      <c r="N1545" s="201" t="inlineStr">
        <is>
          <t>2o Arbitro</t>
        </is>
      </c>
      <c r="O1545" s="201" t="inlineStr">
        <is>
          <t>3o Arbitro/Tirocinante</t>
        </is>
      </c>
      <c r="P1545" s="201" t="inlineStr">
        <is>
          <t>Referto</t>
        </is>
      </c>
      <c r="Q1545" s="201" t="inlineStr">
        <is>
          <t>Cronometro</t>
        </is>
      </c>
      <c r="R1545" s="201" t="inlineStr">
        <is>
          <t>Foglio Tiri</t>
        </is>
      </c>
    </row>
    <row r="1546" ht="22" customHeight="1">
      <c r="A1546" s="83">
        <f>IF('Calendario C'!A266="","",'Calendario C'!A266)</f>
        <v/>
      </c>
      <c r="B1546" s="61">
        <f>IF('Calendario C'!B266="","",'Calendario C'!B266)</f>
        <v/>
      </c>
      <c r="C1546" s="62">
        <f>IF('Calendario C'!C266="","",'Calendario C'!C266)</f>
        <v/>
      </c>
      <c r="D1546" s="61">
        <f>IF('Calendario C'!D266="","",'Calendario C'!D266)</f>
        <v/>
      </c>
      <c r="E1546" s="62">
        <f>IF('Calendario C'!E266="","",'Calendario C'!E266)</f>
        <v/>
      </c>
      <c r="F1546" s="63">
        <f>IF('Calendario C'!F266="","",'Calendario C'!F266)</f>
        <v/>
      </c>
      <c r="G1546" s="9" t="n"/>
      <c r="H1546" s="9" t="n"/>
      <c r="I1546" s="10" t="n"/>
      <c r="J1546" s="195">
        <f>IF('Calendario C'!J266="","",'Calendario C'!J266)</f>
        <v/>
      </c>
      <c r="K1546" s="64" t="inlineStr">
        <is>
          <t>-</t>
        </is>
      </c>
      <c r="L1546" s="195">
        <f>IF('Calendario C'!L266="","",'Calendario C'!L266)</f>
        <v/>
      </c>
      <c r="M1546" s="196" t="inlineStr">
        <is>
          <t>CARON Giulia [AAt]</t>
        </is>
      </c>
      <c r="N1546" s="196" t="inlineStr">
        <is>
          <t>KELLER Beatrice [AAt]</t>
        </is>
      </c>
      <c r="O1546" s="196" t="inlineStr">
        <is>
          <t>ROMERO Diego [AA]</t>
        </is>
      </c>
      <c r="P1546" s="196" t="inlineStr">
        <is>
          <t>LEFEVRE Tommaso</t>
        </is>
      </c>
      <c r="Q1546" s="196" t="inlineStr">
        <is>
          <t>WEBER Matteo</t>
        </is>
      </c>
      <c r="R1546" s="196" t="inlineStr">
        <is>
          <t>FERRANTE Greta</t>
        </is>
      </c>
    </row>
    <row r="1547" ht="15" customHeight="1">
      <c r="A1547" s="141" t="n"/>
      <c r="B1547" s="69">
        <f>IF('Calendario C'!B267="","",'Calendario C'!B267)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C'!I267="","",'Calendario C'!I267)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81" t="inlineStr">
        <is>
          <t>Gara N.</t>
        </is>
      </c>
      <c r="B1548" s="81" t="inlineStr">
        <is>
          <t>Squadra A</t>
        </is>
      </c>
      <c r="C1548" s="10" t="n"/>
      <c r="D1548" s="81" t="inlineStr">
        <is>
          <t>Squadra B</t>
        </is>
      </c>
      <c r="E1548" s="10" t="n"/>
      <c r="F1548" s="81" t="inlineStr">
        <is>
          <t>Giorno</t>
        </is>
      </c>
      <c r="G1548" s="81" t="inlineStr">
        <is>
          <t>Data</t>
        </is>
      </c>
      <c r="H1548" s="81" t="inlineStr">
        <is>
          <t>Ora</t>
        </is>
      </c>
      <c r="I1548" s="10" t="n"/>
      <c r="J1548" s="81" t="inlineStr">
        <is>
          <t>Risultato</t>
        </is>
      </c>
      <c r="K1548" s="9" t="n"/>
      <c r="L1548" s="10" t="n"/>
      <c r="M1548" s="201" t="inlineStr">
        <is>
          <t>1o Arbitro</t>
        </is>
      </c>
      <c r="N1548" s="201" t="inlineStr">
        <is>
          <t>2o Arbitro</t>
        </is>
      </c>
      <c r="O1548" s="201" t="inlineStr">
        <is>
          <t>3o Arbitro/Tirocinante</t>
        </is>
      </c>
      <c r="P1548" s="201" t="inlineStr">
        <is>
          <t>Referto</t>
        </is>
      </c>
      <c r="Q1548" s="201" t="inlineStr">
        <is>
          <t>Cronometro</t>
        </is>
      </c>
      <c r="R1548" s="201" t="inlineStr">
        <is>
          <t>Foglio Tiri</t>
        </is>
      </c>
    </row>
    <row r="1549" ht="22" customHeight="1">
      <c r="A1549" s="83">
        <f>IF('Calendario C'!A269="","",'Calendario C'!A269)</f>
        <v/>
      </c>
      <c r="B1549" s="61">
        <f>IF('Calendario C'!B269="","",'Calendario C'!B269)</f>
        <v/>
      </c>
      <c r="C1549" s="62">
        <f>IF('Calendario C'!C269="","",'Calendario C'!C269)</f>
        <v/>
      </c>
      <c r="D1549" s="61">
        <f>IF('Calendario C'!D269="","",'Calendario C'!D269)</f>
        <v/>
      </c>
      <c r="E1549" s="62">
        <f>IF('Calendario C'!E269="","",'Calendario C'!E269)</f>
        <v/>
      </c>
      <c r="F1549" s="63">
        <f>IF('Calendario C'!F269="","",'Calendario C'!F269)</f>
        <v/>
      </c>
      <c r="G1549" s="9" t="n"/>
      <c r="H1549" s="9" t="n"/>
      <c r="I1549" s="10" t="n"/>
      <c r="J1549" s="195">
        <f>IF('Calendario C'!J269="","",'Calendario C'!J269)</f>
        <v/>
      </c>
      <c r="K1549" s="64" t="inlineStr">
        <is>
          <t>-</t>
        </is>
      </c>
      <c r="L1549" s="195">
        <f>IF('Calendario C'!L269="","",'Calendario C'!L269)</f>
        <v/>
      </c>
      <c r="M1549" s="196" t="inlineStr">
        <is>
          <t>VIDMAR Hugo [AAt]</t>
        </is>
      </c>
      <c r="N1549" s="196" t="inlineStr">
        <is>
          <t>LEROUX Filippo [Aest]</t>
        </is>
      </c>
      <c r="O1549" s="196" t="inlineStr">
        <is>
          <t>KRUGER Nicola [Aest]</t>
        </is>
      </c>
      <c r="P1549" s="196" t="inlineStr">
        <is>
          <t>LEFEVRE Filippo</t>
        </is>
      </c>
      <c r="Q1549" s="196" t="inlineStr">
        <is>
          <t>SCHAFER Greta</t>
        </is>
      </c>
      <c r="R1549" s="196" t="inlineStr">
        <is>
          <t>PRADO Stefano</t>
        </is>
      </c>
    </row>
    <row r="1550" ht="15" customHeight="1">
      <c r="A1550" s="141" t="n"/>
      <c r="B1550" s="69">
        <f>IF('Calendario C'!B270="","",'Calendario C'!B270)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C'!I270="","",'Calendario C'!I270)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81" t="inlineStr">
        <is>
          <t>Gara N.</t>
        </is>
      </c>
      <c r="B1551" s="81" t="inlineStr">
        <is>
          <t>Squadra A</t>
        </is>
      </c>
      <c r="C1551" s="10" t="n"/>
      <c r="D1551" s="81" t="inlineStr">
        <is>
          <t>Squadra B</t>
        </is>
      </c>
      <c r="E1551" s="10" t="n"/>
      <c r="F1551" s="81" t="inlineStr">
        <is>
          <t>Giorno</t>
        </is>
      </c>
      <c r="G1551" s="81" t="inlineStr">
        <is>
          <t>Data</t>
        </is>
      </c>
      <c r="H1551" s="81" t="inlineStr">
        <is>
          <t>Ora</t>
        </is>
      </c>
      <c r="I1551" s="10" t="n"/>
      <c r="J1551" s="81" t="inlineStr">
        <is>
          <t>Risultato</t>
        </is>
      </c>
      <c r="K1551" s="9" t="n"/>
      <c r="L1551" s="10" t="n"/>
      <c r="M1551" s="201" t="inlineStr">
        <is>
          <t>1o Arbitro</t>
        </is>
      </c>
      <c r="N1551" s="201" t="inlineStr">
        <is>
          <t>2o Arbitro</t>
        </is>
      </c>
      <c r="O1551" s="201" t="inlineStr">
        <is>
          <t>3o Arbitro/Tirocinante</t>
        </is>
      </c>
      <c r="P1551" s="201" t="inlineStr">
        <is>
          <t>Referto</t>
        </is>
      </c>
      <c r="Q1551" s="201" t="inlineStr">
        <is>
          <t>Cronometro</t>
        </is>
      </c>
      <c r="R1551" s="201" t="inlineStr">
        <is>
          <t>Foglio Tiri</t>
        </is>
      </c>
    </row>
    <row r="1552" ht="22" customHeight="1">
      <c r="A1552" s="83">
        <f>IF('Calendario C'!A272="","",'Calendario C'!A272)</f>
        <v/>
      </c>
      <c r="B1552" s="61">
        <f>IF('Calendario C'!B272="","",'Calendario C'!B272)</f>
        <v/>
      </c>
      <c r="C1552" s="62">
        <f>IF('Calendario C'!C272="","",'Calendario C'!C272)</f>
        <v/>
      </c>
      <c r="D1552" s="61">
        <f>IF('Calendario C'!D272="","",'Calendario C'!D272)</f>
        <v/>
      </c>
      <c r="E1552" s="62">
        <f>IF('Calendario C'!E272="","",'Calendario C'!E272)</f>
        <v/>
      </c>
      <c r="F1552" s="63">
        <f>IF('Calendario C'!F272="","",'Calendario C'!F272)</f>
        <v/>
      </c>
      <c r="G1552" s="9" t="n"/>
      <c r="H1552" s="9" t="n"/>
      <c r="I1552" s="10" t="n"/>
      <c r="J1552" s="195">
        <f>IF('Calendario C'!J272="","",'Calendario C'!J272)</f>
        <v/>
      </c>
      <c r="K1552" s="64" t="inlineStr">
        <is>
          <t>-</t>
        </is>
      </c>
      <c r="L1552" s="195">
        <f>IF('Calendario C'!L272="","",'Calendario C'!L272)</f>
        <v/>
      </c>
      <c r="M1552" s="196" t="inlineStr">
        <is>
          <t>FOURNIER Lucia [AA]</t>
        </is>
      </c>
      <c r="N1552" s="196" t="inlineStr">
        <is>
          <t>HOFFMANN Marco [Aest]</t>
        </is>
      </c>
      <c r="O1552" s="196" t="inlineStr">
        <is>
          <t>KELLER Marco [Aest]</t>
        </is>
      </c>
      <c r="P1552" s="196" t="inlineStr">
        <is>
          <t>VOGEL Martina</t>
        </is>
      </c>
      <c r="Q1552" s="196" t="inlineStr">
        <is>
          <t>VOGEL Sofia</t>
        </is>
      </c>
      <c r="R1552" s="196" t="inlineStr">
        <is>
          <t>VIDMAR Diego</t>
        </is>
      </c>
    </row>
    <row r="1553" ht="15" customHeight="1">
      <c r="A1553" s="141" t="n"/>
      <c r="B1553" s="69">
        <f>IF('Calendario C'!B273="","",'Calendario C'!B273)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C'!I273="","",'Calendario C'!I273)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4" ht="14" customHeight="1">
      <c r="A1554" s="81" t="inlineStr">
        <is>
          <t>Gara N.</t>
        </is>
      </c>
      <c r="B1554" s="81" t="inlineStr">
        <is>
          <t>Squadra A</t>
        </is>
      </c>
      <c r="C1554" s="10" t="n"/>
      <c r="D1554" s="81" t="inlineStr">
        <is>
          <t>Squadra B</t>
        </is>
      </c>
      <c r="E1554" s="10" t="n"/>
      <c r="F1554" s="81" t="inlineStr">
        <is>
          <t>Giorno</t>
        </is>
      </c>
      <c r="G1554" s="81" t="inlineStr">
        <is>
          <t>Data</t>
        </is>
      </c>
      <c r="H1554" s="81" t="inlineStr">
        <is>
          <t>Ora</t>
        </is>
      </c>
      <c r="I1554" s="10" t="n"/>
      <c r="J1554" s="81" t="inlineStr">
        <is>
          <t>Risultato</t>
        </is>
      </c>
      <c r="K1554" s="9" t="n"/>
      <c r="L1554" s="10" t="n"/>
      <c r="M1554" s="201" t="inlineStr">
        <is>
          <t>1o Arbitro</t>
        </is>
      </c>
      <c r="N1554" s="201" t="inlineStr">
        <is>
          <t>2o Arbitro</t>
        </is>
      </c>
      <c r="O1554" s="201" t="inlineStr">
        <is>
          <t>3o Arbitro/Tirocinante</t>
        </is>
      </c>
      <c r="P1554" s="201" t="inlineStr">
        <is>
          <t>Referto</t>
        </is>
      </c>
      <c r="Q1554" s="201" t="inlineStr">
        <is>
          <t>Cronometro</t>
        </is>
      </c>
      <c r="R1554" s="201" t="inlineStr">
        <is>
          <t>Foglio Tiri</t>
        </is>
      </c>
    </row>
    <row r="1555" ht="22" customHeight="1">
      <c r="A1555" s="83">
        <f>IF('Calendario C'!A275="","",'Calendario C'!A275)</f>
        <v/>
      </c>
      <c r="B1555" s="61">
        <f>IF('Calendario C'!B275="","",'Calendario C'!B275)</f>
        <v/>
      </c>
      <c r="C1555" s="62">
        <f>IF('Calendario C'!C275="","",'Calendario C'!C275)</f>
        <v/>
      </c>
      <c r="D1555" s="61">
        <f>IF('Calendario C'!D275="","",'Calendario C'!D275)</f>
        <v/>
      </c>
      <c r="E1555" s="62">
        <f>IF('Calendario C'!E275="","",'Calendario C'!E275)</f>
        <v/>
      </c>
      <c r="F1555" s="63">
        <f>IF('Calendario C'!F275="","",'Calendario C'!F275)</f>
        <v/>
      </c>
      <c r="G1555" s="9" t="n"/>
      <c r="H1555" s="9" t="n"/>
      <c r="I1555" s="10" t="n"/>
      <c r="J1555" s="195">
        <f>IF('Calendario C'!J275="","",'Calendario C'!J275)</f>
        <v/>
      </c>
      <c r="K1555" s="64" t="inlineStr">
        <is>
          <t>-</t>
        </is>
      </c>
      <c r="L1555" s="195">
        <f>IF('Calendario C'!L275="","",'Calendario C'!L275)</f>
        <v/>
      </c>
      <c r="M1555" s="196" t="inlineStr">
        <is>
          <t>ENGEL Noemi [Aest]</t>
        </is>
      </c>
      <c r="N1555" s="196" t="inlineStr">
        <is>
          <t>CARON Vid [A]</t>
        </is>
      </c>
      <c r="O1555" s="196" t="inlineStr">
        <is>
          <t>ROSSINI Paula [AAt]</t>
        </is>
      </c>
      <c r="P1555" s="196" t="inlineStr">
        <is>
          <t>FOURNIER Paula</t>
        </is>
      </c>
      <c r="Q1555" s="196" t="inlineStr">
        <is>
          <t>ORTEGA Andrea</t>
        </is>
      </c>
      <c r="R1555" s="196" t="inlineStr">
        <is>
          <t>WEBER Ilaria</t>
        </is>
      </c>
    </row>
    <row r="1556" ht="15" customHeight="1">
      <c r="A1556" s="141" t="n"/>
      <c r="B1556" s="69">
        <f>IF('Calendario C'!B276="","",'Calendario C'!B276)</f>
        <v/>
      </c>
      <c r="C1556" s="9" t="n"/>
      <c r="D1556" s="9" t="n"/>
      <c r="E1556" s="9" t="n"/>
      <c r="F1556" s="9" t="n"/>
      <c r="G1556" s="9" t="n"/>
      <c r="H1556" s="10" t="n"/>
      <c r="I1556" s="62">
        <f>IF('Calendario C'!I276="","",'Calendario C'!I276)</f>
        <v/>
      </c>
      <c r="J1556" s="141" t="n"/>
      <c r="K1556" s="141" t="n"/>
      <c r="L1556" s="141" t="n"/>
      <c r="M1556" s="141" t="n"/>
      <c r="N1556" s="141" t="n"/>
      <c r="O1556" s="141" t="n"/>
      <c r="P1556" s="141" t="n"/>
      <c r="Q1556" s="141" t="n"/>
      <c r="R1556" s="141" t="n"/>
    </row>
    <row r="1557" ht="14" customHeight="1">
      <c r="A1557" s="81" t="inlineStr">
        <is>
          <t>Gara N.</t>
        </is>
      </c>
      <c r="B1557" s="81" t="inlineStr">
        <is>
          <t>Squadra A</t>
        </is>
      </c>
      <c r="C1557" s="10" t="n"/>
      <c r="D1557" s="81" t="inlineStr">
        <is>
          <t>Squadra B</t>
        </is>
      </c>
      <c r="E1557" s="10" t="n"/>
      <c r="F1557" s="81" t="inlineStr">
        <is>
          <t>Giorno</t>
        </is>
      </c>
      <c r="G1557" s="81" t="inlineStr">
        <is>
          <t>Data</t>
        </is>
      </c>
      <c r="H1557" s="81" t="inlineStr">
        <is>
          <t>Ora</t>
        </is>
      </c>
      <c r="I1557" s="10" t="n"/>
      <c r="J1557" s="81" t="inlineStr">
        <is>
          <t>Risultato</t>
        </is>
      </c>
      <c r="K1557" s="9" t="n"/>
      <c r="L1557" s="10" t="n"/>
      <c r="M1557" s="201" t="inlineStr">
        <is>
          <t>1o Arbitro</t>
        </is>
      </c>
      <c r="N1557" s="201" t="inlineStr">
        <is>
          <t>2o Arbitro</t>
        </is>
      </c>
      <c r="O1557" s="201" t="inlineStr">
        <is>
          <t>3o Arbitro/Tirocinante</t>
        </is>
      </c>
      <c r="P1557" s="201" t="inlineStr">
        <is>
          <t>Referto</t>
        </is>
      </c>
      <c r="Q1557" s="201" t="inlineStr">
        <is>
          <t>Cronometro</t>
        </is>
      </c>
      <c r="R1557" s="201" t="inlineStr">
        <is>
          <t>Foglio Tiri</t>
        </is>
      </c>
    </row>
    <row r="1558" ht="22" customHeight="1">
      <c r="A1558" s="83">
        <f>IF('Calendario C'!A278="","",'Calendario C'!A278)</f>
        <v/>
      </c>
      <c r="B1558" s="61">
        <f>IF('Calendario C'!B278="","",'Calendario C'!B278)</f>
        <v/>
      </c>
      <c r="C1558" s="62">
        <f>IF('Calendario C'!C278="","",'Calendario C'!C278)</f>
        <v/>
      </c>
      <c r="D1558" s="61">
        <f>IF('Calendario C'!D278="","",'Calendario C'!D278)</f>
        <v/>
      </c>
      <c r="E1558" s="62">
        <f>IF('Calendario C'!E278="","",'Calendario C'!E278)</f>
        <v/>
      </c>
      <c r="F1558" s="63">
        <f>IF('Calendario C'!F278="","",'Calendario C'!F278)</f>
        <v/>
      </c>
      <c r="G1558" s="9" t="n"/>
      <c r="H1558" s="9" t="n"/>
      <c r="I1558" s="10" t="n"/>
      <c r="J1558" s="195">
        <f>IF('Calendario C'!J278="","",'Calendario C'!J278)</f>
        <v/>
      </c>
      <c r="K1558" s="64" t="inlineStr">
        <is>
          <t>-</t>
        </is>
      </c>
      <c r="L1558" s="195">
        <f>IF('Calendario C'!L278="","",'Calendario C'!L278)</f>
        <v/>
      </c>
      <c r="M1558" s="196" t="inlineStr">
        <is>
          <t>FUENTES Matteo [Aest]</t>
        </is>
      </c>
      <c r="N1558" s="196" t="inlineStr">
        <is>
          <t>PRADO Diego [Aest]</t>
        </is>
      </c>
      <c r="O1558" s="196" t="inlineStr">
        <is>
          <t>MARCHIONI Miha [Aest]</t>
        </is>
      </c>
      <c r="P1558" s="196" t="inlineStr">
        <is>
          <t>IGLESIAS Irene</t>
        </is>
      </c>
      <c r="Q1558" s="196" t="inlineStr">
        <is>
          <t>FERRANTE Chiara</t>
        </is>
      </c>
      <c r="R1558" s="196" t="inlineStr">
        <is>
          <t>LEFEVRE Alenka</t>
        </is>
      </c>
    </row>
    <row r="1559" ht="15" customHeight="1">
      <c r="A1559" s="141" t="n"/>
      <c r="B1559" s="69">
        <f>IF('Calendario C'!B279="","",'Calendario C'!B279)</f>
        <v/>
      </c>
      <c r="C1559" s="9" t="n"/>
      <c r="D1559" s="9" t="n"/>
      <c r="E1559" s="9" t="n"/>
      <c r="F1559" s="9" t="n"/>
      <c r="G1559" s="9" t="n"/>
      <c r="H1559" s="10" t="n"/>
      <c r="I1559" s="62">
        <f>IF('Calendario C'!I279="","",'Calendario C'!I279)</f>
        <v/>
      </c>
      <c r="J1559" s="141" t="n"/>
      <c r="K1559" s="141" t="n"/>
      <c r="L1559" s="141" t="n"/>
      <c r="M1559" s="141" t="n"/>
      <c r="N1559" s="141" t="n"/>
      <c r="O1559" s="141" t="n"/>
      <c r="P1559" s="141" t="n"/>
      <c r="Q1559" s="141" t="n"/>
      <c r="R1559" s="141" t="n"/>
    </row>
    <row r="1560" ht="14" customHeight="1">
      <c r="A1560" s="81" t="inlineStr">
        <is>
          <t>Gara N.</t>
        </is>
      </c>
      <c r="B1560" s="81" t="inlineStr">
        <is>
          <t>Squadra A</t>
        </is>
      </c>
      <c r="C1560" s="10" t="n"/>
      <c r="D1560" s="81" t="inlineStr">
        <is>
          <t>Squadra B</t>
        </is>
      </c>
      <c r="E1560" s="10" t="n"/>
      <c r="F1560" s="81" t="inlineStr">
        <is>
          <t>Giorno</t>
        </is>
      </c>
      <c r="G1560" s="81" t="inlineStr">
        <is>
          <t>Data</t>
        </is>
      </c>
      <c r="H1560" s="81" t="inlineStr">
        <is>
          <t>Ora</t>
        </is>
      </c>
      <c r="I1560" s="10" t="n"/>
      <c r="J1560" s="81" t="inlineStr">
        <is>
          <t>Risultato</t>
        </is>
      </c>
      <c r="K1560" s="9" t="n"/>
      <c r="L1560" s="10" t="n"/>
      <c r="M1560" s="201" t="inlineStr">
        <is>
          <t>1o Arbitro</t>
        </is>
      </c>
      <c r="N1560" s="201" t="inlineStr">
        <is>
          <t>2o Arbitro</t>
        </is>
      </c>
      <c r="O1560" s="201" t="inlineStr">
        <is>
          <t>3o Arbitro/Tirocinante</t>
        </is>
      </c>
      <c r="P1560" s="201" t="inlineStr">
        <is>
          <t>Referto</t>
        </is>
      </c>
      <c r="Q1560" s="201" t="inlineStr">
        <is>
          <t>Cronometro</t>
        </is>
      </c>
      <c r="R1560" s="201" t="inlineStr">
        <is>
          <t>Foglio Tiri</t>
        </is>
      </c>
    </row>
    <row r="1561" ht="22" customHeight="1">
      <c r="A1561" s="83">
        <f>IF('Calendario C'!A281="","",'Calendario C'!A281)</f>
        <v/>
      </c>
      <c r="B1561" s="61">
        <f>IF('Calendario C'!B281="","",'Calendario C'!B281)</f>
        <v/>
      </c>
      <c r="C1561" s="62">
        <f>IF('Calendario C'!C281="","",'Calendario C'!C281)</f>
        <v/>
      </c>
      <c r="D1561" s="61">
        <f>IF('Calendario C'!D281="","",'Calendario C'!D281)</f>
        <v/>
      </c>
      <c r="E1561" s="62">
        <f>IF('Calendario C'!E281="","",'Calendario C'!E281)</f>
        <v/>
      </c>
      <c r="F1561" s="63">
        <f>IF('Calendario C'!F281="","",'Calendario C'!F281)</f>
        <v/>
      </c>
      <c r="G1561" s="9" t="n"/>
      <c r="H1561" s="9" t="n"/>
      <c r="I1561" s="10" t="n"/>
      <c r="J1561" s="195">
        <f>IF('Calendario C'!J281="","",'Calendario C'!J281)</f>
        <v/>
      </c>
      <c r="K1561" s="64" t="inlineStr">
        <is>
          <t>-</t>
        </is>
      </c>
      <c r="L1561" s="195">
        <f>IF('Calendario C'!L281="","",'Calendario C'!L281)</f>
        <v/>
      </c>
      <c r="M1561" s="196" t="inlineStr">
        <is>
          <t>ZUPAN Felix [AAt]</t>
        </is>
      </c>
      <c r="N1561" s="196" t="inlineStr">
        <is>
          <t>BELLANDI Marta [A]</t>
        </is>
      </c>
      <c r="O1561" s="196" t="inlineStr">
        <is>
          <t>PELLEGRI Valerie [AA]</t>
        </is>
      </c>
      <c r="P1561" s="196" t="inlineStr">
        <is>
          <t>VOGEL Lea</t>
        </is>
      </c>
      <c r="Q1561" s="196" t="inlineStr">
        <is>
          <t>WEBER Jonas</t>
        </is>
      </c>
      <c r="R1561" s="196" t="inlineStr">
        <is>
          <t>ZUPAN Elena</t>
        </is>
      </c>
    </row>
    <row r="1562" ht="15" customHeight="1">
      <c r="A1562" s="141" t="n"/>
      <c r="B1562" s="69">
        <f>IF('Calendario C'!B282="","",'Calendario C'!B282)</f>
        <v/>
      </c>
      <c r="C1562" s="9" t="n"/>
      <c r="D1562" s="9" t="n"/>
      <c r="E1562" s="9" t="n"/>
      <c r="F1562" s="9" t="n"/>
      <c r="G1562" s="9" t="n"/>
      <c r="H1562" s="10" t="n"/>
      <c r="I1562" s="62">
        <f>IF('Calendario C'!I282="","",'Calendario C'!I282)</f>
        <v/>
      </c>
      <c r="J1562" s="141" t="n"/>
      <c r="K1562" s="141" t="n"/>
      <c r="L1562" s="141" t="n"/>
      <c r="M1562" s="141" t="n"/>
      <c r="N1562" s="141" t="n"/>
      <c r="O1562" s="141" t="n"/>
      <c r="P1562" s="141" t="n"/>
      <c r="Q1562" s="141" t="n"/>
      <c r="R1562" s="141" t="n"/>
    </row>
    <row r="1563" ht="14" customHeight="1">
      <c r="A1563" s="81" t="inlineStr">
        <is>
          <t>Gara N.</t>
        </is>
      </c>
      <c r="B1563" s="81" t="inlineStr">
        <is>
          <t>Squadra A</t>
        </is>
      </c>
      <c r="C1563" s="10" t="n"/>
      <c r="D1563" s="81" t="inlineStr">
        <is>
          <t>Squadra B</t>
        </is>
      </c>
      <c r="E1563" s="10" t="n"/>
      <c r="F1563" s="81" t="inlineStr">
        <is>
          <t>Giorno</t>
        </is>
      </c>
      <c r="G1563" s="81" t="inlineStr">
        <is>
          <t>Data</t>
        </is>
      </c>
      <c r="H1563" s="81" t="inlineStr">
        <is>
          <t>Ora</t>
        </is>
      </c>
      <c r="I1563" s="10" t="n"/>
      <c r="J1563" s="81" t="inlineStr">
        <is>
          <t>Risultato</t>
        </is>
      </c>
      <c r="K1563" s="9" t="n"/>
      <c r="L1563" s="10" t="n"/>
      <c r="M1563" s="201" t="inlineStr">
        <is>
          <t>1o Arbitro</t>
        </is>
      </c>
      <c r="N1563" s="201" t="inlineStr">
        <is>
          <t>2o Arbitro</t>
        </is>
      </c>
      <c r="O1563" s="201" t="inlineStr">
        <is>
          <t>3o Arbitro/Tirocinante</t>
        </is>
      </c>
      <c r="P1563" s="201" t="inlineStr">
        <is>
          <t>Referto</t>
        </is>
      </c>
      <c r="Q1563" s="201" t="inlineStr">
        <is>
          <t>Cronometro</t>
        </is>
      </c>
      <c r="R1563" s="201" t="inlineStr">
        <is>
          <t>Foglio Tiri</t>
        </is>
      </c>
    </row>
    <row r="1564" ht="22" customHeight="1">
      <c r="A1564" s="83">
        <f>IF('Calendario C'!A284="","",'Calendario C'!A284)</f>
        <v/>
      </c>
      <c r="B1564" s="61">
        <f>IF('Calendario C'!B284="","",'Calendario C'!B284)</f>
        <v/>
      </c>
      <c r="C1564" s="62">
        <f>IF('Calendario C'!C284="","",'Calendario C'!C284)</f>
        <v/>
      </c>
      <c r="D1564" s="61">
        <f>IF('Calendario C'!D284="","",'Calendario C'!D284)</f>
        <v/>
      </c>
      <c r="E1564" s="62">
        <f>IF('Calendario C'!E284="","",'Calendario C'!E284)</f>
        <v/>
      </c>
      <c r="F1564" s="63">
        <f>IF('Calendario C'!F284="","",'Calendario C'!F284)</f>
        <v/>
      </c>
      <c r="G1564" s="9" t="n"/>
      <c r="H1564" s="9" t="n"/>
      <c r="I1564" s="10" t="n"/>
      <c r="J1564" s="195">
        <f>IF('Calendario C'!J284="","",'Calendario C'!J284)</f>
        <v/>
      </c>
      <c r="K1564" s="64" t="inlineStr">
        <is>
          <t>-</t>
        </is>
      </c>
      <c r="L1564" s="195">
        <f>IF('Calendario C'!L284="","",'Calendario C'!L284)</f>
        <v/>
      </c>
      <c r="M1564" s="196" t="inlineStr">
        <is>
          <t>ORTEGA Felix [AA]</t>
        </is>
      </c>
      <c r="N1564" s="196" t="inlineStr">
        <is>
          <t>IGLESIAS Felix [AAt]</t>
        </is>
      </c>
      <c r="O1564" s="196" t="inlineStr">
        <is>
          <t>LANGER Ilaria [Aest]</t>
        </is>
      </c>
      <c r="P1564" s="196" t="inlineStr">
        <is>
          <t>BLANCHET Tommaso</t>
        </is>
      </c>
      <c r="Q1564" s="196" t="inlineStr">
        <is>
          <t>BIANCHELLI Eva</t>
        </is>
      </c>
      <c r="R1564" s="196" t="inlineStr">
        <is>
          <t>FERRANTE Hugo</t>
        </is>
      </c>
    </row>
    <row r="1565" ht="15" customHeight="1">
      <c r="A1565" s="141" t="n"/>
      <c r="B1565" s="69">
        <f>IF('Calendario C'!B285="","",'Calendario C'!B285)</f>
        <v/>
      </c>
      <c r="C1565" s="9" t="n"/>
      <c r="D1565" s="9" t="n"/>
      <c r="E1565" s="9" t="n"/>
      <c r="F1565" s="9" t="n"/>
      <c r="G1565" s="9" t="n"/>
      <c r="H1565" s="10" t="n"/>
      <c r="I1565" s="62">
        <f>IF('Calendario C'!I285="","",'Calendario C'!I285)</f>
        <v/>
      </c>
      <c r="J1565" s="141" t="n"/>
      <c r="K1565" s="141" t="n"/>
      <c r="L1565" s="141" t="n"/>
      <c r="M1565" s="141" t="n"/>
      <c r="N1565" s="141" t="n"/>
      <c r="O1565" s="141" t="n"/>
      <c r="P1565" s="141" t="n"/>
      <c r="Q1565" s="141" t="n"/>
      <c r="R1565" s="141" t="n"/>
    </row>
    <row r="1566" ht="14" customHeight="1">
      <c r="A1566" s="81" t="inlineStr">
        <is>
          <t>Gara N.</t>
        </is>
      </c>
      <c r="B1566" s="81" t="inlineStr">
        <is>
          <t>Squadra A</t>
        </is>
      </c>
      <c r="C1566" s="10" t="n"/>
      <c r="D1566" s="81" t="inlineStr">
        <is>
          <t>Squadra B</t>
        </is>
      </c>
      <c r="E1566" s="10" t="n"/>
      <c r="F1566" s="81" t="inlineStr">
        <is>
          <t>Giorno</t>
        </is>
      </c>
      <c r="G1566" s="81" t="inlineStr">
        <is>
          <t>Data</t>
        </is>
      </c>
      <c r="H1566" s="81" t="inlineStr">
        <is>
          <t>Ora</t>
        </is>
      </c>
      <c r="I1566" s="10" t="n"/>
      <c r="J1566" s="81" t="inlineStr">
        <is>
          <t>Risultato</t>
        </is>
      </c>
      <c r="K1566" s="9" t="n"/>
      <c r="L1566" s="10" t="n"/>
      <c r="M1566" s="201" t="inlineStr">
        <is>
          <t>1o Arbitro</t>
        </is>
      </c>
      <c r="N1566" s="201" t="inlineStr">
        <is>
          <t>2o Arbitro</t>
        </is>
      </c>
      <c r="O1566" s="201" t="inlineStr">
        <is>
          <t>3o Arbitro/Tirocinante</t>
        </is>
      </c>
      <c r="P1566" s="201" t="inlineStr">
        <is>
          <t>Referto</t>
        </is>
      </c>
      <c r="Q1566" s="201" t="inlineStr">
        <is>
          <t>Cronometro</t>
        </is>
      </c>
      <c r="R1566" s="201" t="inlineStr">
        <is>
          <t>Foglio Tiri</t>
        </is>
      </c>
    </row>
    <row r="1567" ht="22" customHeight="1">
      <c r="A1567" s="83">
        <f>IF('Calendario C'!A287="","",'Calendario C'!A287)</f>
        <v/>
      </c>
      <c r="B1567" s="61">
        <f>IF('Calendario C'!B287="","",'Calendario C'!B287)</f>
        <v/>
      </c>
      <c r="C1567" s="62">
        <f>IF('Calendario C'!C287="","",'Calendario C'!C287)</f>
        <v/>
      </c>
      <c r="D1567" s="61">
        <f>IF('Calendario C'!D287="","",'Calendario C'!D287)</f>
        <v/>
      </c>
      <c r="E1567" s="62">
        <f>IF('Calendario C'!E287="","",'Calendario C'!E287)</f>
        <v/>
      </c>
      <c r="F1567" s="63">
        <f>IF('Calendario C'!F287="","",'Calendario C'!F287)</f>
        <v/>
      </c>
      <c r="G1567" s="9" t="n"/>
      <c r="H1567" s="9" t="n"/>
      <c r="I1567" s="10" t="n"/>
      <c r="J1567" s="195">
        <f>IF('Calendario C'!J287="","",'Calendario C'!J287)</f>
        <v/>
      </c>
      <c r="K1567" s="64" t="inlineStr">
        <is>
          <t>-</t>
        </is>
      </c>
      <c r="L1567" s="195">
        <f>IF('Calendario C'!L287="","",'Calendario C'!L287)</f>
        <v/>
      </c>
      <c r="M1567" s="196" t="inlineStr">
        <is>
          <t>NAVARRO Irene [Aest]</t>
        </is>
      </c>
      <c r="N1567" s="196" t="inlineStr">
        <is>
          <t>SANTORI Gaelle [AA]</t>
        </is>
      </c>
      <c r="O1567" s="196" t="inlineStr">
        <is>
          <t>ROSSINI Martina [AAt]</t>
        </is>
      </c>
      <c r="P1567" s="196" t="inlineStr">
        <is>
          <t>ZUPAN Lucia</t>
        </is>
      </c>
      <c r="Q1567" s="196" t="inlineStr">
        <is>
          <t>BLANCHET Tommaso</t>
        </is>
      </c>
      <c r="R1567" s="196" t="inlineStr">
        <is>
          <t>FERRANTE Mathilde</t>
        </is>
      </c>
    </row>
    <row r="1568" ht="15" customHeight="1">
      <c r="A1568" s="141" t="n"/>
      <c r="B1568" s="69">
        <f>IF('Calendario C'!B288="","",'Calendario C'!B288)</f>
        <v/>
      </c>
      <c r="C1568" s="9" t="n"/>
      <c r="D1568" s="9" t="n"/>
      <c r="E1568" s="9" t="n"/>
      <c r="F1568" s="9" t="n"/>
      <c r="G1568" s="9" t="n"/>
      <c r="H1568" s="10" t="n"/>
      <c r="I1568" s="62">
        <f>IF('Calendario C'!I288="","",'Calendario C'!I288)</f>
        <v/>
      </c>
      <c r="J1568" s="141" t="n"/>
      <c r="K1568" s="141" t="n"/>
      <c r="L1568" s="141" t="n"/>
      <c r="M1568" s="141" t="n"/>
      <c r="N1568" s="141" t="n"/>
      <c r="O1568" s="141" t="n"/>
      <c r="P1568" s="141" t="n"/>
      <c r="Q1568" s="141" t="n"/>
      <c r="R1568" s="141" t="n"/>
    </row>
    <row r="1569" ht="14" customHeight="1">
      <c r="A1569" s="81" t="inlineStr">
        <is>
          <t>Gara N.</t>
        </is>
      </c>
      <c r="B1569" s="81" t="inlineStr">
        <is>
          <t>Squadra A</t>
        </is>
      </c>
      <c r="C1569" s="10" t="n"/>
      <c r="D1569" s="81" t="inlineStr">
        <is>
          <t>Squadra B</t>
        </is>
      </c>
      <c r="E1569" s="10" t="n"/>
      <c r="F1569" s="81" t="inlineStr">
        <is>
          <t>Giorno</t>
        </is>
      </c>
      <c r="G1569" s="81" t="inlineStr">
        <is>
          <t>Data</t>
        </is>
      </c>
      <c r="H1569" s="81" t="inlineStr">
        <is>
          <t>Ora</t>
        </is>
      </c>
      <c r="I1569" s="10" t="n"/>
      <c r="J1569" s="81" t="inlineStr">
        <is>
          <t>Risultato</t>
        </is>
      </c>
      <c r="K1569" s="9" t="n"/>
      <c r="L1569" s="10" t="n"/>
      <c r="M1569" s="201" t="inlineStr">
        <is>
          <t>1o Arbitro</t>
        </is>
      </c>
      <c r="N1569" s="201" t="inlineStr">
        <is>
          <t>2o Arbitro</t>
        </is>
      </c>
      <c r="O1569" s="201" t="inlineStr">
        <is>
          <t>3o Arbitro/Tirocinante</t>
        </is>
      </c>
      <c r="P1569" s="201" t="inlineStr">
        <is>
          <t>Referto</t>
        </is>
      </c>
      <c r="Q1569" s="201" t="inlineStr">
        <is>
          <t>Cronometro</t>
        </is>
      </c>
      <c r="R1569" s="201" t="inlineStr">
        <is>
          <t>Foglio Tiri</t>
        </is>
      </c>
    </row>
    <row r="1570" ht="22" customHeight="1">
      <c r="A1570" s="83">
        <f>IF('Calendario C'!A290="","",'Calendario C'!A290)</f>
        <v/>
      </c>
      <c r="B1570" s="61">
        <f>IF('Calendario C'!B290="","",'Calendario C'!B290)</f>
        <v/>
      </c>
      <c r="C1570" s="62">
        <f>IF('Calendario C'!C290="","",'Calendario C'!C290)</f>
        <v/>
      </c>
      <c r="D1570" s="61">
        <f>IF('Calendario C'!D290="","",'Calendario C'!D290)</f>
        <v/>
      </c>
      <c r="E1570" s="62">
        <f>IF('Calendario C'!E290="","",'Calendario C'!E290)</f>
        <v/>
      </c>
      <c r="F1570" s="63">
        <f>IF('Calendario C'!F290="","",'Calendario C'!F290)</f>
        <v/>
      </c>
      <c r="G1570" s="9" t="n"/>
      <c r="H1570" s="9" t="n"/>
      <c r="I1570" s="10" t="n"/>
      <c r="J1570" s="195">
        <f>IF('Calendario C'!J290="","",'Calendario C'!J290)</f>
        <v/>
      </c>
      <c r="K1570" s="64" t="inlineStr">
        <is>
          <t>-</t>
        </is>
      </c>
      <c r="L1570" s="195">
        <f>IF('Calendario C'!L290="","",'Calendario C'!L290)</f>
        <v/>
      </c>
      <c r="M1570" s="196" t="inlineStr">
        <is>
          <t>KRAJNC Nicola [A]</t>
        </is>
      </c>
      <c r="N1570" s="196" t="inlineStr">
        <is>
          <t>ROSSINI Beatrice [Aest]</t>
        </is>
      </c>
      <c r="O1570" s="196" t="inlineStr">
        <is>
          <t>WEBER Nicola [AAt]</t>
        </is>
      </c>
      <c r="P1570" s="196" t="inlineStr">
        <is>
          <t>FERRANTE Mathilde</t>
        </is>
      </c>
      <c r="Q1570" s="196" t="inlineStr">
        <is>
          <t>KRAJNC Marco</t>
        </is>
      </c>
      <c r="R1570" s="196" t="inlineStr">
        <is>
          <t>SCHAFER Greta</t>
        </is>
      </c>
    </row>
    <row r="1571" ht="15" customHeight="1">
      <c r="A1571" s="141" t="n"/>
      <c r="B1571" s="69">
        <f>IF('Calendario C'!B291="","",'Calendario C'!B291)</f>
        <v/>
      </c>
      <c r="C1571" s="9" t="n"/>
      <c r="D1571" s="9" t="n"/>
      <c r="E1571" s="9" t="n"/>
      <c r="F1571" s="9" t="n"/>
      <c r="G1571" s="9" t="n"/>
      <c r="H1571" s="10" t="n"/>
      <c r="I1571" s="62">
        <f>IF('Calendario C'!I291="","",'Calendario C'!I291)</f>
        <v/>
      </c>
      <c r="J1571" s="141" t="n"/>
      <c r="K1571" s="141" t="n"/>
      <c r="L1571" s="141" t="n"/>
      <c r="M1571" s="141" t="n"/>
      <c r="N1571" s="141" t="n"/>
      <c r="O1571" s="141" t="n"/>
      <c r="P1571" s="141" t="n"/>
      <c r="Q1571" s="141" t="n"/>
      <c r="R1571" s="141" t="n"/>
    </row>
    <row r="1572" ht="14" customHeight="1">
      <c r="A1572" s="81" t="inlineStr">
        <is>
          <t>Gara N.</t>
        </is>
      </c>
      <c r="B1572" s="81" t="inlineStr">
        <is>
          <t>Squadra A</t>
        </is>
      </c>
      <c r="C1572" s="10" t="n"/>
      <c r="D1572" s="81" t="inlineStr">
        <is>
          <t>Squadra B</t>
        </is>
      </c>
      <c r="E1572" s="10" t="n"/>
      <c r="F1572" s="81" t="inlineStr">
        <is>
          <t>Giorno</t>
        </is>
      </c>
      <c r="G1572" s="81" t="inlineStr">
        <is>
          <t>Data</t>
        </is>
      </c>
      <c r="H1572" s="81" t="inlineStr">
        <is>
          <t>Ora</t>
        </is>
      </c>
      <c r="I1572" s="10" t="n"/>
      <c r="J1572" s="81" t="inlineStr">
        <is>
          <t>Risultato</t>
        </is>
      </c>
      <c r="K1572" s="9" t="n"/>
      <c r="L1572" s="10" t="n"/>
      <c r="M1572" s="201" t="inlineStr">
        <is>
          <t>1o Arbitro</t>
        </is>
      </c>
      <c r="N1572" s="201" t="inlineStr">
        <is>
          <t>2o Arbitro</t>
        </is>
      </c>
      <c r="O1572" s="201" t="inlineStr">
        <is>
          <t>3o Arbitro/Tirocinante</t>
        </is>
      </c>
      <c r="P1572" s="201" t="inlineStr">
        <is>
          <t>Referto</t>
        </is>
      </c>
      <c r="Q1572" s="201" t="inlineStr">
        <is>
          <t>Cronometro</t>
        </is>
      </c>
      <c r="R1572" s="201" t="inlineStr">
        <is>
          <t>Foglio Tiri</t>
        </is>
      </c>
    </row>
    <row r="1573" ht="22" customHeight="1">
      <c r="A1573" s="83">
        <f>IF('Calendario C'!A293="","",'Calendario C'!A293)</f>
        <v/>
      </c>
      <c r="B1573" s="61">
        <f>IF('Calendario C'!B293="","",'Calendario C'!B293)</f>
        <v/>
      </c>
      <c r="C1573" s="62">
        <f>IF('Calendario C'!C293="","",'Calendario C'!C293)</f>
        <v/>
      </c>
      <c r="D1573" s="61">
        <f>IF('Calendario C'!D293="","",'Calendario C'!D293)</f>
        <v/>
      </c>
      <c r="E1573" s="62">
        <f>IF('Calendario C'!E293="","",'Calendario C'!E293)</f>
        <v/>
      </c>
      <c r="F1573" s="63">
        <f>IF('Calendario C'!F293="","",'Calendario C'!F293)</f>
        <v/>
      </c>
      <c r="G1573" s="9" t="n"/>
      <c r="H1573" s="9" t="n"/>
      <c r="I1573" s="10" t="n"/>
      <c r="J1573" s="195">
        <f>IF('Calendario C'!J293="","",'Calendario C'!J293)</f>
        <v/>
      </c>
      <c r="K1573" s="64" t="inlineStr">
        <is>
          <t>-</t>
        </is>
      </c>
      <c r="L1573" s="195">
        <f>IF('Calendario C'!L293="","",'Calendario C'!L293)</f>
        <v/>
      </c>
      <c r="M1573" s="196" t="inlineStr">
        <is>
          <t>MORETTO Anja [Aest]</t>
        </is>
      </c>
      <c r="N1573" s="196" t="inlineStr">
        <is>
          <t>MOREAU Martina [Aest]</t>
        </is>
      </c>
      <c r="O1573" s="196" t="inlineStr">
        <is>
          <t>GALLINI Valerie [AA]</t>
        </is>
      </c>
      <c r="P1573" s="196" t="inlineStr">
        <is>
          <t>SEVER Nicola</t>
        </is>
      </c>
      <c r="Q1573" s="196" t="inlineStr">
        <is>
          <t>VIDMAR Felix</t>
        </is>
      </c>
      <c r="R1573" s="196" t="inlineStr">
        <is>
          <t>WEBER Jonas</t>
        </is>
      </c>
    </row>
    <row r="1574" ht="15" customHeight="1">
      <c r="A1574" s="141" t="n"/>
      <c r="B1574" s="69">
        <f>IF('Calendario C'!B294="","",'Calendario C'!B294)</f>
        <v/>
      </c>
      <c r="C1574" s="9" t="n"/>
      <c r="D1574" s="9" t="n"/>
      <c r="E1574" s="9" t="n"/>
      <c r="F1574" s="9" t="n"/>
      <c r="G1574" s="9" t="n"/>
      <c r="H1574" s="10" t="n"/>
      <c r="I1574" s="62">
        <f>IF('Calendario C'!I294="","",'Calendario C'!I294)</f>
        <v/>
      </c>
      <c r="J1574" s="141" t="n"/>
      <c r="K1574" s="141" t="n"/>
      <c r="L1574" s="141" t="n"/>
      <c r="M1574" s="141" t="n"/>
      <c r="N1574" s="141" t="n"/>
      <c r="O1574" s="141" t="n"/>
      <c r="P1574" s="141" t="n"/>
      <c r="Q1574" s="141" t="n"/>
      <c r="R1574" s="141" t="n"/>
    </row>
    <row r="1576" ht="20" customHeight="1">
      <c r="A1576" s="78">
        <f>IF('Calendario C'!A296="","",'Calendario C'!A296)</f>
        <v/>
      </c>
      <c r="B1576" s="79">
        <f>IF('Calendario C'!B296="","",'Calendario C'!B296)</f>
        <v/>
      </c>
      <c r="C1576" s="9" t="n"/>
      <c r="D1576" s="9" t="n"/>
      <c r="E1576" s="9" t="n"/>
      <c r="F1576" s="9" t="n"/>
      <c r="G1576" s="9" t="n"/>
      <c r="H1576" s="9" t="n"/>
      <c r="I1576" s="9" t="n"/>
      <c r="J1576" s="9" t="n"/>
      <c r="K1576" s="9" t="n"/>
      <c r="L1576" s="10" t="n"/>
      <c r="M1576" s="200" t="inlineStr">
        <is>
          <t>ARBITRI</t>
        </is>
      </c>
      <c r="N1576" s="9" t="n"/>
      <c r="O1576" s="10" t="n"/>
      <c r="P1576" s="200" t="inlineStr">
        <is>
          <t>UFFICIALI DI CAMPO</t>
        </is>
      </c>
      <c r="Q1576" s="9" t="n"/>
      <c r="R1576" s="10" t="n"/>
    </row>
    <row r="1577" ht="14" customHeight="1">
      <c r="A1577" s="81" t="inlineStr">
        <is>
          <t>Gara N.</t>
        </is>
      </c>
      <c r="B1577" s="81" t="inlineStr">
        <is>
          <t>Squadra A</t>
        </is>
      </c>
      <c r="C1577" s="10" t="n"/>
      <c r="D1577" s="81" t="inlineStr">
        <is>
          <t>Squadra B</t>
        </is>
      </c>
      <c r="E1577" s="10" t="n"/>
      <c r="F1577" s="81" t="inlineStr">
        <is>
          <t>Giorno</t>
        </is>
      </c>
      <c r="G1577" s="81" t="inlineStr">
        <is>
          <t>Data</t>
        </is>
      </c>
      <c r="H1577" s="81" t="inlineStr">
        <is>
          <t>Ora</t>
        </is>
      </c>
      <c r="I1577" s="10" t="n"/>
      <c r="J1577" s="81" t="inlineStr">
        <is>
          <t>Risultato</t>
        </is>
      </c>
      <c r="K1577" s="9" t="n"/>
      <c r="L1577" s="10" t="n"/>
      <c r="M1577" s="201" t="inlineStr">
        <is>
          <t>1o Arbitro</t>
        </is>
      </c>
      <c r="N1577" s="201" t="inlineStr">
        <is>
          <t>2o Arbitro</t>
        </is>
      </c>
      <c r="O1577" s="201" t="inlineStr">
        <is>
          <t>3o Arbitro/Tirocinante</t>
        </is>
      </c>
      <c r="P1577" s="201" t="inlineStr">
        <is>
          <t>Referto</t>
        </is>
      </c>
      <c r="Q1577" s="201" t="inlineStr">
        <is>
          <t>Cronometro</t>
        </is>
      </c>
      <c r="R1577" s="201" t="inlineStr">
        <is>
          <t>Foglio Tiri</t>
        </is>
      </c>
    </row>
    <row r="1578" ht="22" customHeight="1">
      <c r="A1578" s="83">
        <f>IF('Calendario C'!A298="","",'Calendario C'!A298)</f>
        <v/>
      </c>
      <c r="B1578" s="61">
        <f>IF('Calendario C'!B298="","",'Calendario C'!B298)</f>
        <v/>
      </c>
      <c r="C1578" s="62">
        <f>IF('Calendario C'!C298="","",'Calendario C'!C298)</f>
        <v/>
      </c>
      <c r="D1578" s="61">
        <f>IF('Calendario C'!D298="","",'Calendario C'!D298)</f>
        <v/>
      </c>
      <c r="E1578" s="62">
        <f>IF('Calendario C'!E298="","",'Calendario C'!E298)</f>
        <v/>
      </c>
      <c r="F1578" s="63">
        <f>IF('Calendario C'!F298="","",'Calendario C'!F298)</f>
        <v/>
      </c>
      <c r="G1578" s="9" t="n"/>
      <c r="H1578" s="9" t="n"/>
      <c r="I1578" s="10" t="n"/>
      <c r="J1578" s="195">
        <f>IF('Calendario C'!J298="","",'Calendario C'!J298)</f>
        <v/>
      </c>
      <c r="K1578" s="64" t="inlineStr">
        <is>
          <t>-</t>
        </is>
      </c>
      <c r="L1578" s="195">
        <f>IF('Calendario C'!L298="","",'Calendario C'!L298)</f>
        <v/>
      </c>
      <c r="M1578" s="196" t="inlineStr">
        <is>
          <t>NAVARRO Martina [A]</t>
        </is>
      </c>
      <c r="N1578" s="196" t="inlineStr">
        <is>
          <t>SEVER Tommaso [AAt]</t>
        </is>
      </c>
      <c r="O1578" s="196" t="inlineStr">
        <is>
          <t>GAUTHIER Lukas [AA]</t>
        </is>
      </c>
      <c r="P1578" s="196" t="inlineStr">
        <is>
          <t>ROMERO Giulia</t>
        </is>
      </c>
      <c r="Q1578" s="196" t="inlineStr">
        <is>
          <t>LEFEVRE Tommaso</t>
        </is>
      </c>
      <c r="R1578" s="196" t="inlineStr">
        <is>
          <t>KRAJNC Tommaso</t>
        </is>
      </c>
    </row>
    <row r="1579" ht="15" customHeight="1">
      <c r="A1579" s="141" t="n"/>
      <c r="B1579" s="69">
        <f>IF('Calendario C'!B299="","",'Calendario C'!B299)</f>
        <v/>
      </c>
      <c r="C1579" s="9" t="n"/>
      <c r="D1579" s="9" t="n"/>
      <c r="E1579" s="9" t="n"/>
      <c r="F1579" s="9" t="n"/>
      <c r="G1579" s="9" t="n"/>
      <c r="H1579" s="10" t="n"/>
      <c r="I1579" s="62">
        <f>IF('Calendario C'!I299="","",'Calendario C'!I299)</f>
        <v/>
      </c>
      <c r="J1579" s="141" t="n"/>
      <c r="K1579" s="141" t="n"/>
      <c r="L1579" s="141" t="n"/>
      <c r="M1579" s="141" t="n"/>
      <c r="N1579" s="141" t="n"/>
      <c r="O1579" s="141" t="n"/>
      <c r="P1579" s="141" t="n"/>
      <c r="Q1579" s="141" t="n"/>
      <c r="R1579" s="141" t="n"/>
    </row>
    <row r="1580" ht="14" customHeight="1">
      <c r="A1580" s="81" t="inlineStr">
        <is>
          <t>Gara N.</t>
        </is>
      </c>
      <c r="B1580" s="81" t="inlineStr">
        <is>
          <t>Squadra A</t>
        </is>
      </c>
      <c r="C1580" s="10" t="n"/>
      <c r="D1580" s="81" t="inlineStr">
        <is>
          <t>Squadra B</t>
        </is>
      </c>
      <c r="E1580" s="10" t="n"/>
      <c r="F1580" s="81" t="inlineStr">
        <is>
          <t>Giorno</t>
        </is>
      </c>
      <c r="G1580" s="81" t="inlineStr">
        <is>
          <t>Data</t>
        </is>
      </c>
      <c r="H1580" s="81" t="inlineStr">
        <is>
          <t>Ora</t>
        </is>
      </c>
      <c r="I1580" s="10" t="n"/>
      <c r="J1580" s="81" t="inlineStr">
        <is>
          <t>Risultato</t>
        </is>
      </c>
      <c r="K1580" s="9" t="n"/>
      <c r="L1580" s="10" t="n"/>
      <c r="M1580" s="201" t="inlineStr">
        <is>
          <t>1o Arbitro</t>
        </is>
      </c>
      <c r="N1580" s="201" t="inlineStr">
        <is>
          <t>2o Arbitro</t>
        </is>
      </c>
      <c r="O1580" s="201" t="inlineStr">
        <is>
          <t>3o Arbitro/Tirocinante</t>
        </is>
      </c>
      <c r="P1580" s="201" t="inlineStr">
        <is>
          <t>Referto</t>
        </is>
      </c>
      <c r="Q1580" s="201" t="inlineStr">
        <is>
          <t>Cronometro</t>
        </is>
      </c>
      <c r="R1580" s="201" t="inlineStr">
        <is>
          <t>Foglio Tiri</t>
        </is>
      </c>
    </row>
    <row r="1581" ht="22" customHeight="1">
      <c r="A1581" s="83">
        <f>IF('Calendario C'!A301="","",'Calendario C'!A301)</f>
        <v/>
      </c>
      <c r="B1581" s="61">
        <f>IF('Calendario C'!B301="","",'Calendario C'!B301)</f>
        <v/>
      </c>
      <c r="C1581" s="62">
        <f>IF('Calendario C'!C301="","",'Calendario C'!C301)</f>
        <v/>
      </c>
      <c r="D1581" s="61">
        <f>IF('Calendario C'!D301="","",'Calendario C'!D301)</f>
        <v/>
      </c>
      <c r="E1581" s="62">
        <f>IF('Calendario C'!E301="","",'Calendario C'!E301)</f>
        <v/>
      </c>
      <c r="F1581" s="63">
        <f>IF('Calendario C'!F301="","",'Calendario C'!F301)</f>
        <v/>
      </c>
      <c r="G1581" s="9" t="n"/>
      <c r="H1581" s="9" t="n"/>
      <c r="I1581" s="10" t="n"/>
      <c r="J1581" s="195">
        <f>IF('Calendario C'!J301="","",'Calendario C'!J301)</f>
        <v/>
      </c>
      <c r="K1581" s="64" t="inlineStr">
        <is>
          <t>-</t>
        </is>
      </c>
      <c r="L1581" s="195">
        <f>IF('Calendario C'!L301="","",'Calendario C'!L301)</f>
        <v/>
      </c>
      <c r="M1581" s="196" t="inlineStr">
        <is>
          <t>FUENTES Irene [AA]</t>
        </is>
      </c>
      <c r="N1581" s="196" t="inlineStr">
        <is>
          <t>NADAUD Lucia [AA]</t>
        </is>
      </c>
      <c r="O1581" s="196" t="inlineStr">
        <is>
          <t>ROTH Katrin [A]</t>
        </is>
      </c>
      <c r="P1581" s="196" t="inlineStr">
        <is>
          <t>BLANCO Lukas</t>
        </is>
      </c>
      <c r="Q1581" s="196" t="inlineStr">
        <is>
          <t>HOFFMANN Diego</t>
        </is>
      </c>
      <c r="R1581" s="196" t="inlineStr">
        <is>
          <t>GAUTHIER Sofia</t>
        </is>
      </c>
    </row>
    <row r="1582" ht="15" customHeight="1">
      <c r="A1582" s="141" t="n"/>
      <c r="B1582" s="69">
        <f>IF('Calendario C'!B302="","",'Calendario C'!B302)</f>
        <v/>
      </c>
      <c r="C1582" s="9" t="n"/>
      <c r="D1582" s="9" t="n"/>
      <c r="E1582" s="9" t="n"/>
      <c r="F1582" s="9" t="n"/>
      <c r="G1582" s="9" t="n"/>
      <c r="H1582" s="10" t="n"/>
      <c r="I1582" s="62">
        <f>IF('Calendario C'!I302="","",'Calendario C'!I302)</f>
        <v/>
      </c>
      <c r="J1582" s="141" t="n"/>
      <c r="K1582" s="141" t="n"/>
      <c r="L1582" s="141" t="n"/>
      <c r="M1582" s="141" t="n"/>
      <c r="N1582" s="141" t="n"/>
      <c r="O1582" s="141" t="n"/>
      <c r="P1582" s="141" t="n"/>
      <c r="Q1582" s="141" t="n"/>
      <c r="R1582" s="141" t="n"/>
    </row>
    <row r="1583" ht="14" customHeight="1">
      <c r="A1583" s="81" t="inlineStr">
        <is>
          <t>Gara N.</t>
        </is>
      </c>
      <c r="B1583" s="81" t="inlineStr">
        <is>
          <t>Squadra A</t>
        </is>
      </c>
      <c r="C1583" s="10" t="n"/>
      <c r="D1583" s="81" t="inlineStr">
        <is>
          <t>Squadra B</t>
        </is>
      </c>
      <c r="E1583" s="10" t="n"/>
      <c r="F1583" s="81" t="inlineStr">
        <is>
          <t>Giorno</t>
        </is>
      </c>
      <c r="G1583" s="81" t="inlineStr">
        <is>
          <t>Data</t>
        </is>
      </c>
      <c r="H1583" s="81" t="inlineStr">
        <is>
          <t>Ora</t>
        </is>
      </c>
      <c r="I1583" s="10" t="n"/>
      <c r="J1583" s="81" t="inlineStr">
        <is>
          <t>Risultato</t>
        </is>
      </c>
      <c r="K1583" s="9" t="n"/>
      <c r="L1583" s="10" t="n"/>
      <c r="M1583" s="201" t="inlineStr">
        <is>
          <t>1o Arbitro</t>
        </is>
      </c>
      <c r="N1583" s="201" t="inlineStr">
        <is>
          <t>2o Arbitro</t>
        </is>
      </c>
      <c r="O1583" s="201" t="inlineStr">
        <is>
          <t>3o Arbitro/Tirocinante</t>
        </is>
      </c>
      <c r="P1583" s="201" t="inlineStr">
        <is>
          <t>Referto</t>
        </is>
      </c>
      <c r="Q1583" s="201" t="inlineStr">
        <is>
          <t>Cronometro</t>
        </is>
      </c>
      <c r="R1583" s="201" t="inlineStr">
        <is>
          <t>Foglio Tiri</t>
        </is>
      </c>
    </row>
    <row r="1584" ht="22" customHeight="1">
      <c r="A1584" s="83">
        <f>IF('Calendario C'!A304="","",'Calendario C'!A304)</f>
        <v/>
      </c>
      <c r="B1584" s="61">
        <f>IF('Calendario C'!B304="","",'Calendario C'!B304)</f>
        <v/>
      </c>
      <c r="C1584" s="62">
        <f>IF('Calendario C'!C304="","",'Calendario C'!C304)</f>
        <v/>
      </c>
      <c r="D1584" s="61">
        <f>IF('Calendario C'!D304="","",'Calendario C'!D304)</f>
        <v/>
      </c>
      <c r="E1584" s="62">
        <f>IF('Calendario C'!E304="","",'Calendario C'!E304)</f>
        <v/>
      </c>
      <c r="F1584" s="63">
        <f>IF('Calendario C'!F304="","",'Calendario C'!F304)</f>
        <v/>
      </c>
      <c r="G1584" s="9" t="n"/>
      <c r="H1584" s="9" t="n"/>
      <c r="I1584" s="10" t="n"/>
      <c r="J1584" s="195">
        <f>IF('Calendario C'!J304="","",'Calendario C'!J304)</f>
        <v/>
      </c>
      <c r="K1584" s="64" t="inlineStr">
        <is>
          <t>-</t>
        </is>
      </c>
      <c r="L1584" s="195">
        <f>IF('Calendario C'!L304="","",'Calendario C'!L304)</f>
        <v/>
      </c>
      <c r="M1584" s="196" t="inlineStr">
        <is>
          <t>GALLINI Filippo [A]</t>
        </is>
      </c>
      <c r="N1584" s="196" t="inlineStr">
        <is>
          <t>FUENTES Marta [Aest]</t>
        </is>
      </c>
      <c r="O1584" s="196" t="inlineStr">
        <is>
          <t>BELLANDI Matteo [AA]</t>
        </is>
      </c>
      <c r="P1584" s="196" t="inlineStr">
        <is>
          <t>LANGER Katrin</t>
        </is>
      </c>
      <c r="Q1584" s="196" t="inlineStr">
        <is>
          <t>ROSSINI Gaelle</t>
        </is>
      </c>
      <c r="R1584" s="196" t="inlineStr">
        <is>
          <t>ZUPAN Lucia</t>
        </is>
      </c>
    </row>
    <row r="1585" ht="15" customHeight="1">
      <c r="A1585" s="141" t="n"/>
      <c r="B1585" s="69">
        <f>IF('Calendario C'!B305="","",'Calendario C'!B305)</f>
        <v/>
      </c>
      <c r="C1585" s="9" t="n"/>
      <c r="D1585" s="9" t="n"/>
      <c r="E1585" s="9" t="n"/>
      <c r="F1585" s="9" t="n"/>
      <c r="G1585" s="9" t="n"/>
      <c r="H1585" s="10" t="n"/>
      <c r="I1585" s="62">
        <f>IF('Calendario C'!I305="","",'Calendario C'!I305)</f>
        <v/>
      </c>
      <c r="J1585" s="141" t="n"/>
      <c r="K1585" s="141" t="n"/>
      <c r="L1585" s="141" t="n"/>
      <c r="M1585" s="141" t="n"/>
      <c r="N1585" s="141" t="n"/>
      <c r="O1585" s="141" t="n"/>
      <c r="P1585" s="141" t="n"/>
      <c r="Q1585" s="141" t="n"/>
      <c r="R1585" s="141" t="n"/>
    </row>
    <row r="1586" ht="14" customHeight="1">
      <c r="A1586" s="81" t="inlineStr">
        <is>
          <t>Gara N.</t>
        </is>
      </c>
      <c r="B1586" s="81" t="inlineStr">
        <is>
          <t>Squadra A</t>
        </is>
      </c>
      <c r="C1586" s="10" t="n"/>
      <c r="D1586" s="81" t="inlineStr">
        <is>
          <t>Squadra B</t>
        </is>
      </c>
      <c r="E1586" s="10" t="n"/>
      <c r="F1586" s="81" t="inlineStr">
        <is>
          <t>Giorno</t>
        </is>
      </c>
      <c r="G1586" s="81" t="inlineStr">
        <is>
          <t>Data</t>
        </is>
      </c>
      <c r="H1586" s="81" t="inlineStr">
        <is>
          <t>Ora</t>
        </is>
      </c>
      <c r="I1586" s="10" t="n"/>
      <c r="J1586" s="81" t="inlineStr">
        <is>
          <t>Risultato</t>
        </is>
      </c>
      <c r="K1586" s="9" t="n"/>
      <c r="L1586" s="10" t="n"/>
      <c r="M1586" s="201" t="inlineStr">
        <is>
          <t>1o Arbitro</t>
        </is>
      </c>
      <c r="N1586" s="201" t="inlineStr">
        <is>
          <t>2o Arbitro</t>
        </is>
      </c>
      <c r="O1586" s="201" t="inlineStr">
        <is>
          <t>3o Arbitro/Tirocinante</t>
        </is>
      </c>
      <c r="P1586" s="201" t="inlineStr">
        <is>
          <t>Referto</t>
        </is>
      </c>
      <c r="Q1586" s="201" t="inlineStr">
        <is>
          <t>Cronometro</t>
        </is>
      </c>
      <c r="R1586" s="201" t="inlineStr">
        <is>
          <t>Foglio Tiri</t>
        </is>
      </c>
    </row>
    <row r="1587" ht="22" customHeight="1">
      <c r="A1587" s="83">
        <f>IF('Calendario C'!A307="","",'Calendario C'!A307)</f>
        <v/>
      </c>
      <c r="B1587" s="61">
        <f>IF('Calendario C'!B307="","",'Calendario C'!B307)</f>
        <v/>
      </c>
      <c r="C1587" s="62">
        <f>IF('Calendario C'!C307="","",'Calendario C'!C307)</f>
        <v/>
      </c>
      <c r="D1587" s="61">
        <f>IF('Calendario C'!D307="","",'Calendario C'!D307)</f>
        <v/>
      </c>
      <c r="E1587" s="62">
        <f>IF('Calendario C'!E307="","",'Calendario C'!E307)</f>
        <v/>
      </c>
      <c r="F1587" s="63">
        <f>IF('Calendario C'!F307="","",'Calendario C'!F307)</f>
        <v/>
      </c>
      <c r="G1587" s="9" t="n"/>
      <c r="H1587" s="9" t="n"/>
      <c r="I1587" s="10" t="n"/>
      <c r="J1587" s="195">
        <f>IF('Calendario C'!J307="","",'Calendario C'!J307)</f>
        <v/>
      </c>
      <c r="K1587" s="64" t="inlineStr">
        <is>
          <t>-</t>
        </is>
      </c>
      <c r="L1587" s="195">
        <f>IF('Calendario C'!L307="","",'Calendario C'!L307)</f>
        <v/>
      </c>
      <c r="M1587" s="196" t="inlineStr">
        <is>
          <t>PETERLIN Beatrice [Aest]</t>
        </is>
      </c>
      <c r="N1587" s="196" t="inlineStr">
        <is>
          <t>MORETTO Jonas [AAt]</t>
        </is>
      </c>
      <c r="O1587" s="196" t="inlineStr">
        <is>
          <t>NADAUD Elena [AA]</t>
        </is>
      </c>
      <c r="P1587" s="196" t="inlineStr">
        <is>
          <t>KOVAC Nicola</t>
        </is>
      </c>
      <c r="Q1587" s="196" t="inlineStr">
        <is>
          <t>VIDMAR Chiara</t>
        </is>
      </c>
      <c r="R1587" s="196" t="inlineStr">
        <is>
          <t>HOFFMANN Andrea</t>
        </is>
      </c>
    </row>
    <row r="1588" ht="15" customHeight="1">
      <c r="A1588" s="141" t="n"/>
      <c r="B1588" s="69">
        <f>IF('Calendario C'!B308="","",'Calendario C'!B308)</f>
        <v/>
      </c>
      <c r="C1588" s="9" t="n"/>
      <c r="D1588" s="9" t="n"/>
      <c r="E1588" s="9" t="n"/>
      <c r="F1588" s="9" t="n"/>
      <c r="G1588" s="9" t="n"/>
      <c r="H1588" s="10" t="n"/>
      <c r="I1588" s="62">
        <f>IF('Calendario C'!I308="","",'Calendario C'!I308)</f>
        <v/>
      </c>
      <c r="J1588" s="141" t="n"/>
      <c r="K1588" s="141" t="n"/>
      <c r="L1588" s="141" t="n"/>
      <c r="M1588" s="141" t="n"/>
      <c r="N1588" s="141" t="n"/>
      <c r="O1588" s="141" t="n"/>
      <c r="P1588" s="141" t="n"/>
      <c r="Q1588" s="141" t="n"/>
      <c r="R1588" s="141" t="n"/>
    </row>
    <row r="1589" ht="14" customHeight="1">
      <c r="A1589" s="81" t="inlineStr">
        <is>
          <t>Gara N.</t>
        </is>
      </c>
      <c r="B1589" s="81" t="inlineStr">
        <is>
          <t>Squadra A</t>
        </is>
      </c>
      <c r="C1589" s="10" t="n"/>
      <c r="D1589" s="81" t="inlineStr">
        <is>
          <t>Squadra B</t>
        </is>
      </c>
      <c r="E1589" s="10" t="n"/>
      <c r="F1589" s="81" t="inlineStr">
        <is>
          <t>Giorno</t>
        </is>
      </c>
      <c r="G1589" s="81" t="inlineStr">
        <is>
          <t>Data</t>
        </is>
      </c>
      <c r="H1589" s="81" t="inlineStr">
        <is>
          <t>Ora</t>
        </is>
      </c>
      <c r="I1589" s="10" t="n"/>
      <c r="J1589" s="81" t="inlineStr">
        <is>
          <t>Risultato</t>
        </is>
      </c>
      <c r="K1589" s="9" t="n"/>
      <c r="L1589" s="10" t="n"/>
      <c r="M1589" s="201" t="inlineStr">
        <is>
          <t>1o Arbitro</t>
        </is>
      </c>
      <c r="N1589" s="201" t="inlineStr">
        <is>
          <t>2o Arbitro</t>
        </is>
      </c>
      <c r="O1589" s="201" t="inlineStr">
        <is>
          <t>3o Arbitro/Tirocinante</t>
        </is>
      </c>
      <c r="P1589" s="201" t="inlineStr">
        <is>
          <t>Referto</t>
        </is>
      </c>
      <c r="Q1589" s="201" t="inlineStr">
        <is>
          <t>Cronometro</t>
        </is>
      </c>
      <c r="R1589" s="201" t="inlineStr">
        <is>
          <t>Foglio Tiri</t>
        </is>
      </c>
    </row>
    <row r="1590" ht="22" customHeight="1">
      <c r="A1590" s="83">
        <f>IF('Calendario C'!A310="","",'Calendario C'!A310)</f>
        <v/>
      </c>
      <c r="B1590" s="61">
        <f>IF('Calendario C'!B310="","",'Calendario C'!B310)</f>
        <v/>
      </c>
      <c r="C1590" s="62">
        <f>IF('Calendario C'!C310="","",'Calendario C'!C310)</f>
        <v/>
      </c>
      <c r="D1590" s="61">
        <f>IF('Calendario C'!D310="","",'Calendario C'!D310)</f>
        <v/>
      </c>
      <c r="E1590" s="62">
        <f>IF('Calendario C'!E310="","",'Calendario C'!E310)</f>
        <v/>
      </c>
      <c r="F1590" s="63">
        <f>IF('Calendario C'!F310="","",'Calendario C'!F310)</f>
        <v/>
      </c>
      <c r="G1590" s="9" t="n"/>
      <c r="H1590" s="9" t="n"/>
      <c r="I1590" s="10" t="n"/>
      <c r="J1590" s="195">
        <f>IF('Calendario C'!J310="","",'Calendario C'!J310)</f>
        <v/>
      </c>
      <c r="K1590" s="64" t="inlineStr">
        <is>
          <t>-</t>
        </is>
      </c>
      <c r="L1590" s="195">
        <f>IF('Calendario C'!L310="","",'Calendario C'!L310)</f>
        <v/>
      </c>
      <c r="M1590" s="196" t="inlineStr">
        <is>
          <t>LEFEVRE Filippo [AA]</t>
        </is>
      </c>
      <c r="N1590" s="196" t="inlineStr">
        <is>
          <t>ROSSINI Beatrice [Aest]</t>
        </is>
      </c>
      <c r="O1590" s="196" t="inlineStr">
        <is>
          <t>ENGEL Valerie [Aest]</t>
        </is>
      </c>
      <c r="P1590" s="196" t="inlineStr">
        <is>
          <t>MOREAU Vid</t>
        </is>
      </c>
      <c r="Q1590" s="196" t="inlineStr">
        <is>
          <t>VOGEL Sofia</t>
        </is>
      </c>
      <c r="R1590" s="196" t="inlineStr">
        <is>
          <t>LEROUX Paolo</t>
        </is>
      </c>
    </row>
    <row r="1591" ht="15" customHeight="1">
      <c r="A1591" s="141" t="n"/>
      <c r="B1591" s="69">
        <f>IF('Calendario C'!B311="","",'Calendario C'!B311)</f>
        <v/>
      </c>
      <c r="C1591" s="9" t="n"/>
      <c r="D1591" s="9" t="n"/>
      <c r="E1591" s="9" t="n"/>
      <c r="F1591" s="9" t="n"/>
      <c r="G1591" s="9" t="n"/>
      <c r="H1591" s="10" t="n"/>
      <c r="I1591" s="62">
        <f>IF('Calendario C'!I311="","",'Calendario C'!I311)</f>
        <v/>
      </c>
      <c r="J1591" s="141" t="n"/>
      <c r="K1591" s="141" t="n"/>
      <c r="L1591" s="141" t="n"/>
      <c r="M1591" s="141" t="n"/>
      <c r="N1591" s="141" t="n"/>
      <c r="O1591" s="141" t="n"/>
      <c r="P1591" s="141" t="n"/>
      <c r="Q1591" s="141" t="n"/>
      <c r="R1591" s="141" t="n"/>
    </row>
    <row r="1592" ht="14" customHeight="1">
      <c r="A1592" s="81" t="inlineStr">
        <is>
          <t>Gara N.</t>
        </is>
      </c>
      <c r="B1592" s="81" t="inlineStr">
        <is>
          <t>Squadra A</t>
        </is>
      </c>
      <c r="C1592" s="10" t="n"/>
      <c r="D1592" s="81" t="inlineStr">
        <is>
          <t>Squadra B</t>
        </is>
      </c>
      <c r="E1592" s="10" t="n"/>
      <c r="F1592" s="81" t="inlineStr">
        <is>
          <t>Giorno</t>
        </is>
      </c>
      <c r="G1592" s="81" t="inlineStr">
        <is>
          <t>Data</t>
        </is>
      </c>
      <c r="H1592" s="81" t="inlineStr">
        <is>
          <t>Ora</t>
        </is>
      </c>
      <c r="I1592" s="10" t="n"/>
      <c r="J1592" s="81" t="inlineStr">
        <is>
          <t>Risultato</t>
        </is>
      </c>
      <c r="K1592" s="9" t="n"/>
      <c r="L1592" s="10" t="n"/>
      <c r="M1592" s="201" t="inlineStr">
        <is>
          <t>1o Arbitro</t>
        </is>
      </c>
      <c r="N1592" s="201" t="inlineStr">
        <is>
          <t>2o Arbitro</t>
        </is>
      </c>
      <c r="O1592" s="201" t="inlineStr">
        <is>
          <t>3o Arbitro/Tirocinante</t>
        </is>
      </c>
      <c r="P1592" s="201" t="inlineStr">
        <is>
          <t>Referto</t>
        </is>
      </c>
      <c r="Q1592" s="201" t="inlineStr">
        <is>
          <t>Cronometro</t>
        </is>
      </c>
      <c r="R1592" s="201" t="inlineStr">
        <is>
          <t>Foglio Tiri</t>
        </is>
      </c>
    </row>
    <row r="1593" ht="22" customHeight="1">
      <c r="A1593" s="83">
        <f>IF('Calendario C'!A313="","",'Calendario C'!A313)</f>
        <v/>
      </c>
      <c r="B1593" s="61">
        <f>IF('Calendario C'!B313="","",'Calendario C'!B313)</f>
        <v/>
      </c>
      <c r="C1593" s="62">
        <f>IF('Calendario C'!C313="","",'Calendario C'!C313)</f>
        <v/>
      </c>
      <c r="D1593" s="61">
        <f>IF('Calendario C'!D313="","",'Calendario C'!D313)</f>
        <v/>
      </c>
      <c r="E1593" s="62">
        <f>IF('Calendario C'!E313="","",'Calendario C'!E313)</f>
        <v/>
      </c>
      <c r="F1593" s="63">
        <f>IF('Calendario C'!F313="","",'Calendario C'!F313)</f>
        <v/>
      </c>
      <c r="G1593" s="9" t="n"/>
      <c r="H1593" s="9" t="n"/>
      <c r="I1593" s="10" t="n"/>
      <c r="J1593" s="195">
        <f>IF('Calendario C'!J313="","",'Calendario C'!J313)</f>
        <v/>
      </c>
      <c r="K1593" s="64" t="inlineStr">
        <is>
          <t>-</t>
        </is>
      </c>
      <c r="L1593" s="195">
        <f>IF('Calendario C'!L313="","",'Calendario C'!L313)</f>
        <v/>
      </c>
      <c r="M1593" s="196" t="inlineStr">
        <is>
          <t>CAMPOS Mathilde [Aest]</t>
        </is>
      </c>
      <c r="N1593" s="196" t="inlineStr">
        <is>
          <t>CARON Elena [A]</t>
        </is>
      </c>
      <c r="O1593" s="196" t="inlineStr">
        <is>
          <t>VIDMAR Greta [Aest]</t>
        </is>
      </c>
      <c r="P1593" s="196" t="inlineStr">
        <is>
          <t>ROTH Lucia</t>
        </is>
      </c>
      <c r="Q1593" s="196" t="inlineStr">
        <is>
          <t>BLANCO Chiara</t>
        </is>
      </c>
      <c r="R1593" s="196" t="inlineStr">
        <is>
          <t>PRADO Marco</t>
        </is>
      </c>
    </row>
    <row r="1594" ht="15" customHeight="1">
      <c r="A1594" s="141" t="n"/>
      <c r="B1594" s="69">
        <f>IF('Calendario C'!B314="","",'Calendario C'!B314)</f>
        <v/>
      </c>
      <c r="C1594" s="9" t="n"/>
      <c r="D1594" s="9" t="n"/>
      <c r="E1594" s="9" t="n"/>
      <c r="F1594" s="9" t="n"/>
      <c r="G1594" s="9" t="n"/>
      <c r="H1594" s="10" t="n"/>
      <c r="I1594" s="62">
        <f>IF('Calendario C'!I314="","",'Calendario C'!I314)</f>
        <v/>
      </c>
      <c r="J1594" s="141" t="n"/>
      <c r="K1594" s="141" t="n"/>
      <c r="L1594" s="141" t="n"/>
      <c r="M1594" s="141" t="n"/>
      <c r="N1594" s="141" t="n"/>
      <c r="O1594" s="141" t="n"/>
      <c r="P1594" s="141" t="n"/>
      <c r="Q1594" s="141" t="n"/>
      <c r="R1594" s="141" t="n"/>
    </row>
    <row r="1595" ht="14" customHeight="1">
      <c r="A1595" s="81" t="inlineStr">
        <is>
          <t>Gara N.</t>
        </is>
      </c>
      <c r="B1595" s="81" t="inlineStr">
        <is>
          <t>Squadra A</t>
        </is>
      </c>
      <c r="C1595" s="10" t="n"/>
      <c r="D1595" s="81" t="inlineStr">
        <is>
          <t>Squadra B</t>
        </is>
      </c>
      <c r="E1595" s="10" t="n"/>
      <c r="F1595" s="81" t="inlineStr">
        <is>
          <t>Giorno</t>
        </is>
      </c>
      <c r="G1595" s="81" t="inlineStr">
        <is>
          <t>Data</t>
        </is>
      </c>
      <c r="H1595" s="81" t="inlineStr">
        <is>
          <t>Ora</t>
        </is>
      </c>
      <c r="I1595" s="10" t="n"/>
      <c r="J1595" s="81" t="inlineStr">
        <is>
          <t>Risultato</t>
        </is>
      </c>
      <c r="K1595" s="9" t="n"/>
      <c r="L1595" s="10" t="n"/>
      <c r="M1595" s="201" t="inlineStr">
        <is>
          <t>1o Arbitro</t>
        </is>
      </c>
      <c r="N1595" s="201" t="inlineStr">
        <is>
          <t>2o Arbitro</t>
        </is>
      </c>
      <c r="O1595" s="201" t="inlineStr">
        <is>
          <t>3o Arbitro/Tirocinante</t>
        </is>
      </c>
      <c r="P1595" s="201" t="inlineStr">
        <is>
          <t>Referto</t>
        </is>
      </c>
      <c r="Q1595" s="201" t="inlineStr">
        <is>
          <t>Cronometro</t>
        </is>
      </c>
      <c r="R1595" s="201" t="inlineStr">
        <is>
          <t>Foglio Tiri</t>
        </is>
      </c>
    </row>
    <row r="1596" ht="22" customHeight="1">
      <c r="A1596" s="83">
        <f>IF('Calendario C'!A316="","",'Calendario C'!A316)</f>
        <v/>
      </c>
      <c r="B1596" s="61">
        <f>IF('Calendario C'!B316="","",'Calendario C'!B316)</f>
        <v/>
      </c>
      <c r="C1596" s="62">
        <f>IF('Calendario C'!C316="","",'Calendario C'!C316)</f>
        <v/>
      </c>
      <c r="D1596" s="61">
        <f>IF('Calendario C'!D316="","",'Calendario C'!D316)</f>
        <v/>
      </c>
      <c r="E1596" s="62">
        <f>IF('Calendario C'!E316="","",'Calendario C'!E316)</f>
        <v/>
      </c>
      <c r="F1596" s="63">
        <f>IF('Calendario C'!F316="","",'Calendario C'!F316)</f>
        <v/>
      </c>
      <c r="G1596" s="9" t="n"/>
      <c r="H1596" s="9" t="n"/>
      <c r="I1596" s="10" t="n"/>
      <c r="J1596" s="195">
        <f>IF('Calendario C'!J316="","",'Calendario C'!J316)</f>
        <v/>
      </c>
      <c r="K1596" s="64" t="inlineStr">
        <is>
          <t>-</t>
        </is>
      </c>
      <c r="L1596" s="195">
        <f>IF('Calendario C'!L316="","",'Calendario C'!L316)</f>
        <v/>
      </c>
      <c r="M1596" s="196" t="inlineStr">
        <is>
          <t>FUENTES Valerie [AAt]</t>
        </is>
      </c>
      <c r="N1596" s="196" t="inlineStr">
        <is>
          <t>ROSSINI Martina [AAt]</t>
        </is>
      </c>
      <c r="O1596" s="196" t="inlineStr">
        <is>
          <t>ENGEL Stefano [AAt]</t>
        </is>
      </c>
      <c r="P1596" s="196" t="inlineStr">
        <is>
          <t>LEFEVRE Mathilde</t>
        </is>
      </c>
      <c r="Q1596" s="196" t="inlineStr">
        <is>
          <t>PELLEGRI Lea</t>
        </is>
      </c>
      <c r="R1596" s="196" t="inlineStr">
        <is>
          <t>LEFEVRE Tommaso</t>
        </is>
      </c>
    </row>
    <row r="1597" ht="15" customHeight="1">
      <c r="A1597" s="141" t="n"/>
      <c r="B1597" s="69">
        <f>IF('Calendario C'!B317="","",'Calendario C'!B317)</f>
        <v/>
      </c>
      <c r="C1597" s="9" t="n"/>
      <c r="D1597" s="9" t="n"/>
      <c r="E1597" s="9" t="n"/>
      <c r="F1597" s="9" t="n"/>
      <c r="G1597" s="9" t="n"/>
      <c r="H1597" s="10" t="n"/>
      <c r="I1597" s="62">
        <f>IF('Calendario C'!I317="","",'Calendario C'!I317)</f>
        <v/>
      </c>
      <c r="J1597" s="141" t="n"/>
      <c r="K1597" s="141" t="n"/>
      <c r="L1597" s="141" t="n"/>
      <c r="M1597" s="141" t="n"/>
      <c r="N1597" s="141" t="n"/>
      <c r="O1597" s="141" t="n"/>
      <c r="P1597" s="141" t="n"/>
      <c r="Q1597" s="141" t="n"/>
      <c r="R1597" s="141" t="n"/>
    </row>
    <row r="1598" ht="14" customHeight="1">
      <c r="A1598" s="81" t="inlineStr">
        <is>
          <t>Gara N.</t>
        </is>
      </c>
      <c r="B1598" s="81" t="inlineStr">
        <is>
          <t>Squadra A</t>
        </is>
      </c>
      <c r="C1598" s="10" t="n"/>
      <c r="D1598" s="81" t="inlineStr">
        <is>
          <t>Squadra B</t>
        </is>
      </c>
      <c r="E1598" s="10" t="n"/>
      <c r="F1598" s="81" t="inlineStr">
        <is>
          <t>Giorno</t>
        </is>
      </c>
      <c r="G1598" s="81" t="inlineStr">
        <is>
          <t>Data</t>
        </is>
      </c>
      <c r="H1598" s="81" t="inlineStr">
        <is>
          <t>Ora</t>
        </is>
      </c>
      <c r="I1598" s="10" t="n"/>
      <c r="J1598" s="81" t="inlineStr">
        <is>
          <t>Risultato</t>
        </is>
      </c>
      <c r="K1598" s="9" t="n"/>
      <c r="L1598" s="10" t="n"/>
      <c r="M1598" s="201" t="inlineStr">
        <is>
          <t>1o Arbitro</t>
        </is>
      </c>
      <c r="N1598" s="201" t="inlineStr">
        <is>
          <t>2o Arbitro</t>
        </is>
      </c>
      <c r="O1598" s="201" t="inlineStr">
        <is>
          <t>3o Arbitro/Tirocinante</t>
        </is>
      </c>
      <c r="P1598" s="201" t="inlineStr">
        <is>
          <t>Referto</t>
        </is>
      </c>
      <c r="Q1598" s="201" t="inlineStr">
        <is>
          <t>Cronometro</t>
        </is>
      </c>
      <c r="R1598" s="201" t="inlineStr">
        <is>
          <t>Foglio Tiri</t>
        </is>
      </c>
    </row>
    <row r="1599" ht="22" customHeight="1">
      <c r="A1599" s="83">
        <f>IF('Calendario C'!A319="","",'Calendario C'!A319)</f>
        <v/>
      </c>
      <c r="B1599" s="61">
        <f>IF('Calendario C'!B319="","",'Calendario C'!B319)</f>
        <v/>
      </c>
      <c r="C1599" s="62">
        <f>IF('Calendario C'!C319="","",'Calendario C'!C319)</f>
        <v/>
      </c>
      <c r="D1599" s="61">
        <f>IF('Calendario C'!D319="","",'Calendario C'!D319)</f>
        <v/>
      </c>
      <c r="E1599" s="62">
        <f>IF('Calendario C'!E319="","",'Calendario C'!E319)</f>
        <v/>
      </c>
      <c r="F1599" s="63">
        <f>IF('Calendario C'!F319="","",'Calendario C'!F319)</f>
        <v/>
      </c>
      <c r="G1599" s="9" t="n"/>
      <c r="H1599" s="9" t="n"/>
      <c r="I1599" s="10" t="n"/>
      <c r="J1599" s="195">
        <f>IF('Calendario C'!J319="","",'Calendario C'!J319)</f>
        <v/>
      </c>
      <c r="K1599" s="64" t="inlineStr">
        <is>
          <t>-</t>
        </is>
      </c>
      <c r="L1599" s="195">
        <f>IF('Calendario C'!L319="","",'Calendario C'!L319)</f>
        <v/>
      </c>
      <c r="M1599" s="196" t="inlineStr">
        <is>
          <t>BLANCHET Lucia [Aest]</t>
        </is>
      </c>
      <c r="N1599" s="196" t="inlineStr">
        <is>
          <t>KELLER Felix [AAt]</t>
        </is>
      </c>
      <c r="O1599" s="196" t="inlineStr">
        <is>
          <t>MODIC Gaelle [AA]</t>
        </is>
      </c>
      <c r="P1599" s="196" t="inlineStr">
        <is>
          <t>KOVAC Chiara</t>
        </is>
      </c>
      <c r="Q1599" s="196" t="inlineStr">
        <is>
          <t>SEVER Nicola</t>
        </is>
      </c>
      <c r="R1599" s="196" t="inlineStr">
        <is>
          <t>NADAUD Andrea</t>
        </is>
      </c>
    </row>
    <row r="1600" ht="15" customHeight="1">
      <c r="A1600" s="141" t="n"/>
      <c r="B1600" s="69">
        <f>IF('Calendario C'!B320="","",'Calendario C'!B320)</f>
        <v/>
      </c>
      <c r="C1600" s="9" t="n"/>
      <c r="D1600" s="9" t="n"/>
      <c r="E1600" s="9" t="n"/>
      <c r="F1600" s="9" t="n"/>
      <c r="G1600" s="9" t="n"/>
      <c r="H1600" s="10" t="n"/>
      <c r="I1600" s="62">
        <f>IF('Calendario C'!I320="","",'Calendario C'!I320)</f>
        <v/>
      </c>
      <c r="J1600" s="141" t="n"/>
      <c r="K1600" s="141" t="n"/>
      <c r="L1600" s="141" t="n"/>
      <c r="M1600" s="141" t="n"/>
      <c r="N1600" s="141" t="n"/>
      <c r="O1600" s="141" t="n"/>
      <c r="P1600" s="141" t="n"/>
      <c r="Q1600" s="141" t="n"/>
      <c r="R1600" s="141" t="n"/>
    </row>
    <row r="1601" ht="14" customHeight="1">
      <c r="A1601" s="81" t="inlineStr">
        <is>
          <t>Gara N.</t>
        </is>
      </c>
      <c r="B1601" s="81" t="inlineStr">
        <is>
          <t>Squadra A</t>
        </is>
      </c>
      <c r="C1601" s="10" t="n"/>
      <c r="D1601" s="81" t="inlineStr">
        <is>
          <t>Squadra B</t>
        </is>
      </c>
      <c r="E1601" s="10" t="n"/>
      <c r="F1601" s="81" t="inlineStr">
        <is>
          <t>Giorno</t>
        </is>
      </c>
      <c r="G1601" s="81" t="inlineStr">
        <is>
          <t>Data</t>
        </is>
      </c>
      <c r="H1601" s="81" t="inlineStr">
        <is>
          <t>Ora</t>
        </is>
      </c>
      <c r="I1601" s="10" t="n"/>
      <c r="J1601" s="81" t="inlineStr">
        <is>
          <t>Risultato</t>
        </is>
      </c>
      <c r="K1601" s="9" t="n"/>
      <c r="L1601" s="10" t="n"/>
      <c r="M1601" s="201" t="inlineStr">
        <is>
          <t>1o Arbitro</t>
        </is>
      </c>
      <c r="N1601" s="201" t="inlineStr">
        <is>
          <t>2o Arbitro</t>
        </is>
      </c>
      <c r="O1601" s="201" t="inlineStr">
        <is>
          <t>3o Arbitro/Tirocinante</t>
        </is>
      </c>
      <c r="P1601" s="201" t="inlineStr">
        <is>
          <t>Referto</t>
        </is>
      </c>
      <c r="Q1601" s="201" t="inlineStr">
        <is>
          <t>Cronometro</t>
        </is>
      </c>
      <c r="R1601" s="201" t="inlineStr">
        <is>
          <t>Foglio Tiri</t>
        </is>
      </c>
    </row>
    <row r="1602" ht="22" customHeight="1">
      <c r="A1602" s="83">
        <f>IF('Calendario C'!A322="","",'Calendario C'!A322)</f>
        <v/>
      </c>
      <c r="B1602" s="61">
        <f>IF('Calendario C'!B322="","",'Calendario C'!B322)</f>
        <v/>
      </c>
      <c r="C1602" s="62">
        <f>IF('Calendario C'!C322="","",'Calendario C'!C322)</f>
        <v/>
      </c>
      <c r="D1602" s="61">
        <f>IF('Calendario C'!D322="","",'Calendario C'!D322)</f>
        <v/>
      </c>
      <c r="E1602" s="62">
        <f>IF('Calendario C'!E322="","",'Calendario C'!E322)</f>
        <v/>
      </c>
      <c r="F1602" s="63">
        <f>IF('Calendario C'!F322="","",'Calendario C'!F322)</f>
        <v/>
      </c>
      <c r="G1602" s="9" t="n"/>
      <c r="H1602" s="9" t="n"/>
      <c r="I1602" s="10" t="n"/>
      <c r="J1602" s="195">
        <f>IF('Calendario C'!J322="","",'Calendario C'!J322)</f>
        <v/>
      </c>
      <c r="K1602" s="64" t="inlineStr">
        <is>
          <t>-</t>
        </is>
      </c>
      <c r="L1602" s="195">
        <f>IF('Calendario C'!L322="","",'Calendario C'!L322)</f>
        <v/>
      </c>
      <c r="M1602" s="196" t="inlineStr">
        <is>
          <t>AUBERT Lucia [AAt]</t>
        </is>
      </c>
      <c r="N1602" s="196" t="inlineStr">
        <is>
          <t>BIANCHELLI Paolo [AA]</t>
        </is>
      </c>
      <c r="O1602" s="196" t="inlineStr">
        <is>
          <t>ROSSINI Irene [AA]</t>
        </is>
      </c>
      <c r="P1602" s="196" t="inlineStr">
        <is>
          <t>NOVAK Nicola</t>
        </is>
      </c>
      <c r="Q1602" s="196" t="inlineStr">
        <is>
          <t>ROSSINI Filippo</t>
        </is>
      </c>
      <c r="R1602" s="196" t="inlineStr">
        <is>
          <t>WEBER Lea</t>
        </is>
      </c>
    </row>
    <row r="1603" ht="15" customHeight="1">
      <c r="A1603" s="141" t="n"/>
      <c r="B1603" s="69">
        <f>IF('Calendario C'!B323="","",'Calendario C'!B323)</f>
        <v/>
      </c>
      <c r="C1603" s="9" t="n"/>
      <c r="D1603" s="9" t="n"/>
      <c r="E1603" s="9" t="n"/>
      <c r="F1603" s="9" t="n"/>
      <c r="G1603" s="9" t="n"/>
      <c r="H1603" s="10" t="n"/>
      <c r="I1603" s="62">
        <f>IF('Calendario C'!I323="","",'Calendario C'!I323)</f>
        <v/>
      </c>
      <c r="J1603" s="141" t="n"/>
      <c r="K1603" s="141" t="n"/>
      <c r="L1603" s="141" t="n"/>
      <c r="M1603" s="141" t="n"/>
      <c r="N1603" s="141" t="n"/>
      <c r="O1603" s="141" t="n"/>
      <c r="P1603" s="141" t="n"/>
      <c r="Q1603" s="141" t="n"/>
      <c r="R1603" s="141" t="n"/>
    </row>
    <row r="1604" ht="14" customHeight="1">
      <c r="A1604" s="81" t="inlineStr">
        <is>
          <t>Gara N.</t>
        </is>
      </c>
      <c r="B1604" s="81" t="inlineStr">
        <is>
          <t>Squadra A</t>
        </is>
      </c>
      <c r="C1604" s="10" t="n"/>
      <c r="D1604" s="81" t="inlineStr">
        <is>
          <t>Squadra B</t>
        </is>
      </c>
      <c r="E1604" s="10" t="n"/>
      <c r="F1604" s="81" t="inlineStr">
        <is>
          <t>Giorno</t>
        </is>
      </c>
      <c r="G1604" s="81" t="inlineStr">
        <is>
          <t>Data</t>
        </is>
      </c>
      <c r="H1604" s="81" t="inlineStr">
        <is>
          <t>Ora</t>
        </is>
      </c>
      <c r="I1604" s="10" t="n"/>
      <c r="J1604" s="81" t="inlineStr">
        <is>
          <t>Risultato</t>
        </is>
      </c>
      <c r="K1604" s="9" t="n"/>
      <c r="L1604" s="10" t="n"/>
      <c r="M1604" s="201" t="inlineStr">
        <is>
          <t>1o Arbitro</t>
        </is>
      </c>
      <c r="N1604" s="201" t="inlineStr">
        <is>
          <t>2o Arbitro</t>
        </is>
      </c>
      <c r="O1604" s="201" t="inlineStr">
        <is>
          <t>3o Arbitro/Tirocinante</t>
        </is>
      </c>
      <c r="P1604" s="201" t="inlineStr">
        <is>
          <t>Referto</t>
        </is>
      </c>
      <c r="Q1604" s="201" t="inlineStr">
        <is>
          <t>Cronometro</t>
        </is>
      </c>
      <c r="R1604" s="201" t="inlineStr">
        <is>
          <t>Foglio Tiri</t>
        </is>
      </c>
    </row>
    <row r="1605" ht="22" customHeight="1">
      <c r="A1605" s="83">
        <f>IF('Calendario C'!A325="","",'Calendario C'!A325)</f>
        <v/>
      </c>
      <c r="B1605" s="61">
        <f>IF('Calendario C'!B325="","",'Calendario C'!B325)</f>
        <v/>
      </c>
      <c r="C1605" s="62">
        <f>IF('Calendario C'!C325="","",'Calendario C'!C325)</f>
        <v/>
      </c>
      <c r="D1605" s="61">
        <f>IF('Calendario C'!D325="","",'Calendario C'!D325)</f>
        <v/>
      </c>
      <c r="E1605" s="62">
        <f>IF('Calendario C'!E325="","",'Calendario C'!E325)</f>
        <v/>
      </c>
      <c r="F1605" s="63">
        <f>IF('Calendario C'!F325="","",'Calendario C'!F325)</f>
        <v/>
      </c>
      <c r="G1605" s="9" t="n"/>
      <c r="H1605" s="9" t="n"/>
      <c r="I1605" s="10" t="n"/>
      <c r="J1605" s="195">
        <f>IF('Calendario C'!J325="","",'Calendario C'!J325)</f>
        <v/>
      </c>
      <c r="K1605" s="64" t="inlineStr">
        <is>
          <t>-</t>
        </is>
      </c>
      <c r="L1605" s="195">
        <f>IF('Calendario C'!L325="","",'Calendario C'!L325)</f>
        <v/>
      </c>
      <c r="M1605" s="196" t="inlineStr">
        <is>
          <t>CAMPOS Jonas [AAt]</t>
        </is>
      </c>
      <c r="N1605" s="196" t="inlineStr">
        <is>
          <t>SEVER Tommaso [AAt]</t>
        </is>
      </c>
      <c r="O1605" s="196" t="inlineStr">
        <is>
          <t>OBLAK Jonas [AAt]</t>
        </is>
      </c>
      <c r="P1605" s="196" t="inlineStr">
        <is>
          <t>GAUTHIER Sofia</t>
        </is>
      </c>
      <c r="Q1605" s="196" t="inlineStr">
        <is>
          <t>BIANCHELLI Valerie</t>
        </is>
      </c>
      <c r="R1605" s="196" t="inlineStr">
        <is>
          <t>BLANCO Diego</t>
        </is>
      </c>
    </row>
    <row r="1606" ht="15" customHeight="1">
      <c r="A1606" s="141" t="n"/>
      <c r="B1606" s="69">
        <f>IF('Calendario C'!B326="","",'Calendario C'!B326)</f>
        <v/>
      </c>
      <c r="C1606" s="9" t="n"/>
      <c r="D1606" s="9" t="n"/>
      <c r="E1606" s="9" t="n"/>
      <c r="F1606" s="9" t="n"/>
      <c r="G1606" s="9" t="n"/>
      <c r="H1606" s="10" t="n"/>
      <c r="I1606" s="62">
        <f>IF('Calendario C'!I326="","",'Calendario C'!I326)</f>
        <v/>
      </c>
      <c r="J1606" s="141" t="n"/>
      <c r="K1606" s="141" t="n"/>
      <c r="L1606" s="141" t="n"/>
      <c r="M1606" s="141" t="n"/>
      <c r="N1606" s="141" t="n"/>
      <c r="O1606" s="141" t="n"/>
      <c r="P1606" s="141" t="n"/>
      <c r="Q1606" s="141" t="n"/>
      <c r="R1606" s="141" t="n"/>
    </row>
    <row r="1608" ht="20" customHeight="1">
      <c r="A1608" s="78">
        <f>IF('Calendario C'!A328="","",'Calendario C'!A328)</f>
        <v/>
      </c>
      <c r="B1608" s="79">
        <f>IF('Calendario C'!B328="","",'Calendario C'!B328)</f>
        <v/>
      </c>
      <c r="C1608" s="9" t="n"/>
      <c r="D1608" s="9" t="n"/>
      <c r="E1608" s="9" t="n"/>
      <c r="F1608" s="9" t="n"/>
      <c r="G1608" s="9" t="n"/>
      <c r="H1608" s="9" t="n"/>
      <c r="I1608" s="9" t="n"/>
      <c r="J1608" s="9" t="n"/>
      <c r="K1608" s="9" t="n"/>
      <c r="L1608" s="10" t="n"/>
      <c r="M1608" s="200" t="inlineStr">
        <is>
          <t>ARBITRI</t>
        </is>
      </c>
      <c r="N1608" s="9" t="n"/>
      <c r="O1608" s="10" t="n"/>
      <c r="P1608" s="200" t="inlineStr">
        <is>
          <t>UFFICIALI DI CAMPO</t>
        </is>
      </c>
      <c r="Q1608" s="9" t="n"/>
      <c r="R1608" s="10" t="n"/>
    </row>
    <row r="1609" ht="14" customHeight="1">
      <c r="A1609" s="81" t="inlineStr">
        <is>
          <t>Gara N.</t>
        </is>
      </c>
      <c r="B1609" s="81" t="inlineStr">
        <is>
          <t>Squadra A</t>
        </is>
      </c>
      <c r="C1609" s="10" t="n"/>
      <c r="D1609" s="81" t="inlineStr">
        <is>
          <t>Squadra B</t>
        </is>
      </c>
      <c r="E1609" s="10" t="n"/>
      <c r="F1609" s="81" t="inlineStr">
        <is>
          <t>Giorno</t>
        </is>
      </c>
      <c r="G1609" s="81" t="inlineStr">
        <is>
          <t>Data</t>
        </is>
      </c>
      <c r="H1609" s="81" t="inlineStr">
        <is>
          <t>Ora</t>
        </is>
      </c>
      <c r="I1609" s="10" t="n"/>
      <c r="J1609" s="81" t="inlineStr">
        <is>
          <t>Risultato</t>
        </is>
      </c>
      <c r="K1609" s="9" t="n"/>
      <c r="L1609" s="10" t="n"/>
      <c r="M1609" s="201" t="inlineStr">
        <is>
          <t>1o Arbitro</t>
        </is>
      </c>
      <c r="N1609" s="201" t="inlineStr">
        <is>
          <t>2o Arbitro</t>
        </is>
      </c>
      <c r="O1609" s="201" t="inlineStr">
        <is>
          <t>3o Arbitro/Tirocinante</t>
        </is>
      </c>
      <c r="P1609" s="201" t="inlineStr">
        <is>
          <t>Referto</t>
        </is>
      </c>
      <c r="Q1609" s="201" t="inlineStr">
        <is>
          <t>Cronometro</t>
        </is>
      </c>
      <c r="R1609" s="201" t="inlineStr">
        <is>
          <t>Foglio Tiri</t>
        </is>
      </c>
    </row>
    <row r="1610" ht="22" customHeight="1">
      <c r="A1610" s="83">
        <f>IF('Calendario C'!A330="","",'Calendario C'!A330)</f>
        <v/>
      </c>
      <c r="B1610" s="61">
        <f>IF('Calendario C'!B330="","",'Calendario C'!B330)</f>
        <v/>
      </c>
      <c r="C1610" s="62">
        <f>IF('Calendario C'!C330="","",'Calendario C'!C330)</f>
        <v/>
      </c>
      <c r="D1610" s="61">
        <f>IF('Calendario C'!D330="","",'Calendario C'!D330)</f>
        <v/>
      </c>
      <c r="E1610" s="62">
        <f>IF('Calendario C'!E330="","",'Calendario C'!E330)</f>
        <v/>
      </c>
      <c r="F1610" s="63">
        <f>IF('Calendario C'!F330="","",'Calendario C'!F330)</f>
        <v/>
      </c>
      <c r="G1610" s="9" t="n"/>
      <c r="H1610" s="9" t="n"/>
      <c r="I1610" s="10" t="n"/>
      <c r="J1610" s="195">
        <f>IF('Calendario C'!J330="","",'Calendario C'!J330)</f>
        <v/>
      </c>
      <c r="K1610" s="64" t="inlineStr">
        <is>
          <t>-</t>
        </is>
      </c>
      <c r="L1610" s="195">
        <f>IF('Calendario C'!L330="","",'Calendario C'!L330)</f>
        <v/>
      </c>
      <c r="M1610" s="196" t="inlineStr">
        <is>
          <t>MODIC Gaelle [AA]</t>
        </is>
      </c>
      <c r="N1610" s="196" t="inlineStr">
        <is>
          <t>BLANCHET Anja [AA]</t>
        </is>
      </c>
      <c r="O1610" s="196" t="inlineStr">
        <is>
          <t>FUENTES Stefano [Aest]</t>
        </is>
      </c>
      <c r="P1610" s="196" t="inlineStr">
        <is>
          <t>KRAJNC Stefano</t>
        </is>
      </c>
      <c r="Q1610" s="196" t="inlineStr">
        <is>
          <t>FOURNIER Miha</t>
        </is>
      </c>
      <c r="R1610" s="196" t="inlineStr">
        <is>
          <t>WEBER Matteo</t>
        </is>
      </c>
    </row>
    <row r="1611" ht="15" customHeight="1">
      <c r="A1611" s="141" t="n"/>
      <c r="B1611" s="69">
        <f>IF('Calendario C'!B331="","",'Calendario C'!B331)</f>
        <v/>
      </c>
      <c r="C1611" s="9" t="n"/>
      <c r="D1611" s="9" t="n"/>
      <c r="E1611" s="9" t="n"/>
      <c r="F1611" s="9" t="n"/>
      <c r="G1611" s="9" t="n"/>
      <c r="H1611" s="10" t="n"/>
      <c r="I1611" s="62">
        <f>IF('Calendario C'!I331="","",'Calendario C'!I331)</f>
        <v/>
      </c>
      <c r="J1611" s="141" t="n"/>
      <c r="K1611" s="141" t="n"/>
      <c r="L1611" s="141" t="n"/>
      <c r="M1611" s="141" t="n"/>
      <c r="N1611" s="141" t="n"/>
      <c r="O1611" s="141" t="n"/>
      <c r="P1611" s="141" t="n"/>
      <c r="Q1611" s="141" t="n"/>
      <c r="R1611" s="141" t="n"/>
    </row>
    <row r="1612" ht="14" customHeight="1">
      <c r="A1612" s="81" t="inlineStr">
        <is>
          <t>Gara N.</t>
        </is>
      </c>
      <c r="B1612" s="81" t="inlineStr">
        <is>
          <t>Squadra A</t>
        </is>
      </c>
      <c r="C1612" s="10" t="n"/>
      <c r="D1612" s="81" t="inlineStr">
        <is>
          <t>Squadra B</t>
        </is>
      </c>
      <c r="E1612" s="10" t="n"/>
      <c r="F1612" s="81" t="inlineStr">
        <is>
          <t>Giorno</t>
        </is>
      </c>
      <c r="G1612" s="81" t="inlineStr">
        <is>
          <t>Data</t>
        </is>
      </c>
      <c r="H1612" s="81" t="inlineStr">
        <is>
          <t>Ora</t>
        </is>
      </c>
      <c r="I1612" s="10" t="n"/>
      <c r="J1612" s="81" t="inlineStr">
        <is>
          <t>Risultato</t>
        </is>
      </c>
      <c r="K1612" s="9" t="n"/>
      <c r="L1612" s="10" t="n"/>
      <c r="M1612" s="201" t="inlineStr">
        <is>
          <t>1o Arbitro</t>
        </is>
      </c>
      <c r="N1612" s="201" t="inlineStr">
        <is>
          <t>2o Arbitro</t>
        </is>
      </c>
      <c r="O1612" s="201" t="inlineStr">
        <is>
          <t>3o Arbitro/Tirocinante</t>
        </is>
      </c>
      <c r="P1612" s="201" t="inlineStr">
        <is>
          <t>Referto</t>
        </is>
      </c>
      <c r="Q1612" s="201" t="inlineStr">
        <is>
          <t>Cronometro</t>
        </is>
      </c>
      <c r="R1612" s="201" t="inlineStr">
        <is>
          <t>Foglio Tiri</t>
        </is>
      </c>
    </row>
    <row r="1613" ht="22" customHeight="1">
      <c r="A1613" s="83">
        <f>IF('Calendario C'!A333="","",'Calendario C'!A333)</f>
        <v/>
      </c>
      <c r="B1613" s="61">
        <f>IF('Calendario C'!B333="","",'Calendario C'!B333)</f>
        <v/>
      </c>
      <c r="C1613" s="62">
        <f>IF('Calendario C'!C333="","",'Calendario C'!C333)</f>
        <v/>
      </c>
      <c r="D1613" s="61">
        <f>IF('Calendario C'!D333="","",'Calendario C'!D333)</f>
        <v/>
      </c>
      <c r="E1613" s="62">
        <f>IF('Calendario C'!E333="","",'Calendario C'!E333)</f>
        <v/>
      </c>
      <c r="F1613" s="63">
        <f>IF('Calendario C'!F333="","",'Calendario C'!F333)</f>
        <v/>
      </c>
      <c r="G1613" s="9" t="n"/>
      <c r="H1613" s="9" t="n"/>
      <c r="I1613" s="10" t="n"/>
      <c r="J1613" s="195">
        <f>IF('Calendario C'!J333="","",'Calendario C'!J333)</f>
        <v/>
      </c>
      <c r="K1613" s="64" t="inlineStr">
        <is>
          <t>-</t>
        </is>
      </c>
      <c r="L1613" s="195">
        <f>IF('Calendario C'!L333="","",'Calendario C'!L333)</f>
        <v/>
      </c>
      <c r="M1613" s="196" t="inlineStr">
        <is>
          <t>MORETTO Jonas [AAt]</t>
        </is>
      </c>
      <c r="N1613" s="196" t="inlineStr">
        <is>
          <t>LEFEVRE Sofia [AAt]</t>
        </is>
      </c>
      <c r="O1613" s="196" t="inlineStr">
        <is>
          <t>ROMERO Matteo [Aest]</t>
        </is>
      </c>
      <c r="P1613" s="196" t="inlineStr">
        <is>
          <t>ROSSINI Andrea</t>
        </is>
      </c>
      <c r="Q1613" s="196" t="inlineStr">
        <is>
          <t>WEBER Andrea</t>
        </is>
      </c>
      <c r="R1613" s="196" t="inlineStr">
        <is>
          <t>KRAJNC Nicola</t>
        </is>
      </c>
    </row>
    <row r="1614" ht="15" customHeight="1">
      <c r="A1614" s="141" t="n"/>
      <c r="B1614" s="69">
        <f>IF('Calendario C'!B334="","",'Calendario C'!B334)</f>
        <v/>
      </c>
      <c r="C1614" s="9" t="n"/>
      <c r="D1614" s="9" t="n"/>
      <c r="E1614" s="9" t="n"/>
      <c r="F1614" s="9" t="n"/>
      <c r="G1614" s="9" t="n"/>
      <c r="H1614" s="10" t="n"/>
      <c r="I1614" s="62">
        <f>IF('Calendario C'!I334="","",'Calendario C'!I334)</f>
        <v/>
      </c>
      <c r="J1614" s="141" t="n"/>
      <c r="K1614" s="141" t="n"/>
      <c r="L1614" s="141" t="n"/>
      <c r="M1614" s="141" t="n"/>
      <c r="N1614" s="141" t="n"/>
      <c r="O1614" s="141" t="n"/>
      <c r="P1614" s="141" t="n"/>
      <c r="Q1614" s="141" t="n"/>
      <c r="R1614" s="141" t="n"/>
    </row>
    <row r="1615" ht="14" customHeight="1">
      <c r="A1615" s="81" t="inlineStr">
        <is>
          <t>Gara N.</t>
        </is>
      </c>
      <c r="B1615" s="81" t="inlineStr">
        <is>
          <t>Squadra A</t>
        </is>
      </c>
      <c r="C1615" s="10" t="n"/>
      <c r="D1615" s="81" t="inlineStr">
        <is>
          <t>Squadra B</t>
        </is>
      </c>
      <c r="E1615" s="10" t="n"/>
      <c r="F1615" s="81" t="inlineStr">
        <is>
          <t>Giorno</t>
        </is>
      </c>
      <c r="G1615" s="81" t="inlineStr">
        <is>
          <t>Data</t>
        </is>
      </c>
      <c r="H1615" s="81" t="inlineStr">
        <is>
          <t>Ora</t>
        </is>
      </c>
      <c r="I1615" s="10" t="n"/>
      <c r="J1615" s="81" t="inlineStr">
        <is>
          <t>Risultato</t>
        </is>
      </c>
      <c r="K1615" s="9" t="n"/>
      <c r="L1615" s="10" t="n"/>
      <c r="M1615" s="201" t="inlineStr">
        <is>
          <t>1o Arbitro</t>
        </is>
      </c>
      <c r="N1615" s="201" t="inlineStr">
        <is>
          <t>2o Arbitro</t>
        </is>
      </c>
      <c r="O1615" s="201" t="inlineStr">
        <is>
          <t>3o Arbitro/Tirocinante</t>
        </is>
      </c>
      <c r="P1615" s="201" t="inlineStr">
        <is>
          <t>Referto</t>
        </is>
      </c>
      <c r="Q1615" s="201" t="inlineStr">
        <is>
          <t>Cronometro</t>
        </is>
      </c>
      <c r="R1615" s="201" t="inlineStr">
        <is>
          <t>Foglio Tiri</t>
        </is>
      </c>
    </row>
    <row r="1616" ht="22" customHeight="1">
      <c r="A1616" s="83">
        <f>IF('Calendario C'!A336="","",'Calendario C'!A336)</f>
        <v/>
      </c>
      <c r="B1616" s="61">
        <f>IF('Calendario C'!B336="","",'Calendario C'!B336)</f>
        <v/>
      </c>
      <c r="C1616" s="62">
        <f>IF('Calendario C'!C336="","",'Calendario C'!C336)</f>
        <v/>
      </c>
      <c r="D1616" s="61">
        <f>IF('Calendario C'!D336="","",'Calendario C'!D336)</f>
        <v/>
      </c>
      <c r="E1616" s="62">
        <f>IF('Calendario C'!E336="","",'Calendario C'!E336)</f>
        <v/>
      </c>
      <c r="F1616" s="63">
        <f>IF('Calendario C'!F336="","",'Calendario C'!F336)</f>
        <v/>
      </c>
      <c r="G1616" s="9" t="n"/>
      <c r="H1616" s="9" t="n"/>
      <c r="I1616" s="10" t="n"/>
      <c r="J1616" s="195">
        <f>IF('Calendario C'!J336="","",'Calendario C'!J336)</f>
        <v/>
      </c>
      <c r="K1616" s="64" t="inlineStr">
        <is>
          <t>-</t>
        </is>
      </c>
      <c r="L1616" s="195">
        <f>IF('Calendario C'!L336="","",'Calendario C'!L336)</f>
        <v/>
      </c>
      <c r="M1616" s="196" t="inlineStr">
        <is>
          <t>VALLET Felix [A]</t>
        </is>
      </c>
      <c r="N1616" s="196" t="inlineStr">
        <is>
          <t>VOGEL Andrea [A]</t>
        </is>
      </c>
      <c r="O1616" s="196" t="inlineStr">
        <is>
          <t>SANTORI Jonas [Aest]</t>
        </is>
      </c>
      <c r="P1616" s="196" t="inlineStr">
        <is>
          <t>ROTH Stefano</t>
        </is>
      </c>
      <c r="Q1616" s="196" t="inlineStr">
        <is>
          <t>ENGEL Nicola</t>
        </is>
      </c>
      <c r="R1616" s="196" t="inlineStr">
        <is>
          <t>HOFFMANN Diego</t>
        </is>
      </c>
    </row>
    <row r="1617" ht="15" customHeight="1">
      <c r="A1617" s="141" t="n"/>
      <c r="B1617" s="69">
        <f>IF('Calendario C'!B337="","",'Calendario C'!B337)</f>
        <v/>
      </c>
      <c r="C1617" s="9" t="n"/>
      <c r="D1617" s="9" t="n"/>
      <c r="E1617" s="9" t="n"/>
      <c r="F1617" s="9" t="n"/>
      <c r="G1617" s="9" t="n"/>
      <c r="H1617" s="10" t="n"/>
      <c r="I1617" s="62">
        <f>IF('Calendario C'!I337="","",'Calendario C'!I337)</f>
        <v/>
      </c>
      <c r="J1617" s="141" t="n"/>
      <c r="K1617" s="141" t="n"/>
      <c r="L1617" s="141" t="n"/>
      <c r="M1617" s="141" t="n"/>
      <c r="N1617" s="141" t="n"/>
      <c r="O1617" s="141" t="n"/>
      <c r="P1617" s="141" t="n"/>
      <c r="Q1617" s="141" t="n"/>
      <c r="R1617" s="141" t="n"/>
    </row>
    <row r="1618" ht="14" customHeight="1">
      <c r="A1618" s="81" t="inlineStr">
        <is>
          <t>Gara N.</t>
        </is>
      </c>
      <c r="B1618" s="81" t="inlineStr">
        <is>
          <t>Squadra A</t>
        </is>
      </c>
      <c r="C1618" s="10" t="n"/>
      <c r="D1618" s="81" t="inlineStr">
        <is>
          <t>Squadra B</t>
        </is>
      </c>
      <c r="E1618" s="10" t="n"/>
      <c r="F1618" s="81" t="inlineStr">
        <is>
          <t>Giorno</t>
        </is>
      </c>
      <c r="G1618" s="81" t="inlineStr">
        <is>
          <t>Data</t>
        </is>
      </c>
      <c r="H1618" s="81" t="inlineStr">
        <is>
          <t>Ora</t>
        </is>
      </c>
      <c r="I1618" s="10" t="n"/>
      <c r="J1618" s="81" t="inlineStr">
        <is>
          <t>Risultato</t>
        </is>
      </c>
      <c r="K1618" s="9" t="n"/>
      <c r="L1618" s="10" t="n"/>
      <c r="M1618" s="201" t="inlineStr">
        <is>
          <t>1o Arbitro</t>
        </is>
      </c>
      <c r="N1618" s="201" t="inlineStr">
        <is>
          <t>2o Arbitro</t>
        </is>
      </c>
      <c r="O1618" s="201" t="inlineStr">
        <is>
          <t>3o Arbitro/Tirocinante</t>
        </is>
      </c>
      <c r="P1618" s="201" t="inlineStr">
        <is>
          <t>Referto</t>
        </is>
      </c>
      <c r="Q1618" s="201" t="inlineStr">
        <is>
          <t>Cronometro</t>
        </is>
      </c>
      <c r="R1618" s="201" t="inlineStr">
        <is>
          <t>Foglio Tiri</t>
        </is>
      </c>
    </row>
    <row r="1619" ht="22" customHeight="1">
      <c r="A1619" s="83">
        <f>IF('Calendario C'!A339="","",'Calendario C'!A339)</f>
        <v/>
      </c>
      <c r="B1619" s="61">
        <f>IF('Calendario C'!B339="","",'Calendario C'!B339)</f>
        <v/>
      </c>
      <c r="C1619" s="62">
        <f>IF('Calendario C'!C339="","",'Calendario C'!C339)</f>
        <v/>
      </c>
      <c r="D1619" s="61">
        <f>IF('Calendario C'!D339="","",'Calendario C'!D339)</f>
        <v/>
      </c>
      <c r="E1619" s="62">
        <f>IF('Calendario C'!E339="","",'Calendario C'!E339)</f>
        <v/>
      </c>
      <c r="F1619" s="63">
        <f>IF('Calendario C'!F339="","",'Calendario C'!F339)</f>
        <v/>
      </c>
      <c r="G1619" s="9" t="n"/>
      <c r="H1619" s="9" t="n"/>
      <c r="I1619" s="10" t="n"/>
      <c r="J1619" s="195">
        <f>IF('Calendario C'!J339="","",'Calendario C'!J339)</f>
        <v/>
      </c>
      <c r="K1619" s="64" t="inlineStr">
        <is>
          <t>-</t>
        </is>
      </c>
      <c r="L1619" s="195">
        <f>IF('Calendario C'!L339="","",'Calendario C'!L339)</f>
        <v/>
      </c>
      <c r="M1619" s="196" t="inlineStr">
        <is>
          <t>ZUPAN Felix [AAt]</t>
        </is>
      </c>
      <c r="N1619" s="196" t="inlineStr">
        <is>
          <t>WEBER Martina [A]</t>
        </is>
      </c>
      <c r="O1619" s="196" t="inlineStr">
        <is>
          <t>SANTORI Gaelle [AA]</t>
        </is>
      </c>
      <c r="P1619" s="196" t="inlineStr">
        <is>
          <t>MARCHIONI Irene</t>
        </is>
      </c>
      <c r="Q1619" s="196" t="inlineStr">
        <is>
          <t>SEVER Giulia</t>
        </is>
      </c>
      <c r="R1619" s="196" t="inlineStr">
        <is>
          <t>ZUPAN Katrin</t>
        </is>
      </c>
    </row>
    <row r="1620" ht="15" customHeight="1">
      <c r="A1620" s="141" t="n"/>
      <c r="B1620" s="69">
        <f>IF('Calendario C'!B340="","",'Calendario C'!B340)</f>
        <v/>
      </c>
      <c r="C1620" s="9" t="n"/>
      <c r="D1620" s="9" t="n"/>
      <c r="E1620" s="9" t="n"/>
      <c r="F1620" s="9" t="n"/>
      <c r="G1620" s="9" t="n"/>
      <c r="H1620" s="10" t="n"/>
      <c r="I1620" s="62">
        <f>IF('Calendario C'!I340="","",'Calendario C'!I340)</f>
        <v/>
      </c>
      <c r="J1620" s="141" t="n"/>
      <c r="K1620" s="141" t="n"/>
      <c r="L1620" s="141" t="n"/>
      <c r="M1620" s="141" t="n"/>
      <c r="N1620" s="141" t="n"/>
      <c r="O1620" s="141" t="n"/>
      <c r="P1620" s="141" t="n"/>
      <c r="Q1620" s="141" t="n"/>
      <c r="R1620" s="141" t="n"/>
    </row>
    <row r="1621" ht="14" customHeight="1">
      <c r="A1621" s="81" t="inlineStr">
        <is>
          <t>Gara N.</t>
        </is>
      </c>
      <c r="B1621" s="81" t="inlineStr">
        <is>
          <t>Squadra A</t>
        </is>
      </c>
      <c r="C1621" s="10" t="n"/>
      <c r="D1621" s="81" t="inlineStr">
        <is>
          <t>Squadra B</t>
        </is>
      </c>
      <c r="E1621" s="10" t="n"/>
      <c r="F1621" s="81" t="inlineStr">
        <is>
          <t>Giorno</t>
        </is>
      </c>
      <c r="G1621" s="81" t="inlineStr">
        <is>
          <t>Data</t>
        </is>
      </c>
      <c r="H1621" s="81" t="inlineStr">
        <is>
          <t>Ora</t>
        </is>
      </c>
      <c r="I1621" s="10" t="n"/>
      <c r="J1621" s="81" t="inlineStr">
        <is>
          <t>Risultato</t>
        </is>
      </c>
      <c r="K1621" s="9" t="n"/>
      <c r="L1621" s="10" t="n"/>
      <c r="M1621" s="201" t="inlineStr">
        <is>
          <t>1o Arbitro</t>
        </is>
      </c>
      <c r="N1621" s="201" t="inlineStr">
        <is>
          <t>2o Arbitro</t>
        </is>
      </c>
      <c r="O1621" s="201" t="inlineStr">
        <is>
          <t>3o Arbitro/Tirocinante</t>
        </is>
      </c>
      <c r="P1621" s="201" t="inlineStr">
        <is>
          <t>Referto</t>
        </is>
      </c>
      <c r="Q1621" s="201" t="inlineStr">
        <is>
          <t>Cronometro</t>
        </is>
      </c>
      <c r="R1621" s="201" t="inlineStr">
        <is>
          <t>Foglio Tiri</t>
        </is>
      </c>
    </row>
    <row r="1622" ht="22" customHeight="1">
      <c r="A1622" s="83">
        <f>IF('Calendario C'!A342="","",'Calendario C'!A342)</f>
        <v/>
      </c>
      <c r="B1622" s="61">
        <f>IF('Calendario C'!B342="","",'Calendario C'!B342)</f>
        <v/>
      </c>
      <c r="C1622" s="62">
        <f>IF('Calendario C'!C342="","",'Calendario C'!C342)</f>
        <v/>
      </c>
      <c r="D1622" s="61">
        <f>IF('Calendario C'!D342="","",'Calendario C'!D342)</f>
        <v/>
      </c>
      <c r="E1622" s="62">
        <f>IF('Calendario C'!E342="","",'Calendario C'!E342)</f>
        <v/>
      </c>
      <c r="F1622" s="63">
        <f>IF('Calendario C'!F342="","",'Calendario C'!F342)</f>
        <v/>
      </c>
      <c r="G1622" s="9" t="n"/>
      <c r="H1622" s="9" t="n"/>
      <c r="I1622" s="10" t="n"/>
      <c r="J1622" s="195">
        <f>IF('Calendario C'!J342="","",'Calendario C'!J342)</f>
        <v/>
      </c>
      <c r="K1622" s="64" t="inlineStr">
        <is>
          <t>-</t>
        </is>
      </c>
      <c r="L1622" s="195">
        <f>IF('Calendario C'!L342="","",'Calendario C'!L342)</f>
        <v/>
      </c>
      <c r="M1622" s="196" t="inlineStr">
        <is>
          <t>ORTEGA Katrin [Aest]</t>
        </is>
      </c>
      <c r="N1622" s="196" t="inlineStr">
        <is>
          <t>KOVAC Diego [AAt]</t>
        </is>
      </c>
      <c r="O1622" s="196" t="inlineStr">
        <is>
          <t>WEBER Lucia [AA]</t>
        </is>
      </c>
      <c r="P1622" s="196" t="inlineStr">
        <is>
          <t>HOFFMANN Andrea</t>
        </is>
      </c>
      <c r="Q1622" s="196" t="inlineStr">
        <is>
          <t>ROMERO Elena</t>
        </is>
      </c>
      <c r="R1622" s="196" t="inlineStr">
        <is>
          <t>GAUTHIER Davide</t>
        </is>
      </c>
    </row>
    <row r="1623" ht="15" customHeight="1">
      <c r="A1623" s="141" t="n"/>
      <c r="B1623" s="69">
        <f>IF('Calendario C'!B343="","",'Calendario C'!B343)</f>
        <v/>
      </c>
      <c r="C1623" s="9" t="n"/>
      <c r="D1623" s="9" t="n"/>
      <c r="E1623" s="9" t="n"/>
      <c r="F1623" s="9" t="n"/>
      <c r="G1623" s="9" t="n"/>
      <c r="H1623" s="10" t="n"/>
      <c r="I1623" s="62">
        <f>IF('Calendario C'!I343="","",'Calendario C'!I343)</f>
        <v/>
      </c>
      <c r="J1623" s="141" t="n"/>
      <c r="K1623" s="141" t="n"/>
      <c r="L1623" s="141" t="n"/>
      <c r="M1623" s="141" t="n"/>
      <c r="N1623" s="141" t="n"/>
      <c r="O1623" s="141" t="n"/>
      <c r="P1623" s="141" t="n"/>
      <c r="Q1623" s="141" t="n"/>
      <c r="R1623" s="141" t="n"/>
    </row>
    <row r="1624" ht="14" customHeight="1">
      <c r="A1624" s="81" t="inlineStr">
        <is>
          <t>Gara N.</t>
        </is>
      </c>
      <c r="B1624" s="81" t="inlineStr">
        <is>
          <t>Squadra A</t>
        </is>
      </c>
      <c r="C1624" s="10" t="n"/>
      <c r="D1624" s="81" t="inlineStr">
        <is>
          <t>Squadra B</t>
        </is>
      </c>
      <c r="E1624" s="10" t="n"/>
      <c r="F1624" s="81" t="inlineStr">
        <is>
          <t>Giorno</t>
        </is>
      </c>
      <c r="G1624" s="81" t="inlineStr">
        <is>
          <t>Data</t>
        </is>
      </c>
      <c r="H1624" s="81" t="inlineStr">
        <is>
          <t>Ora</t>
        </is>
      </c>
      <c r="I1624" s="10" t="n"/>
      <c r="J1624" s="81" t="inlineStr">
        <is>
          <t>Risultato</t>
        </is>
      </c>
      <c r="K1624" s="9" t="n"/>
      <c r="L1624" s="10" t="n"/>
      <c r="M1624" s="201" t="inlineStr">
        <is>
          <t>1o Arbitro</t>
        </is>
      </c>
      <c r="N1624" s="201" t="inlineStr">
        <is>
          <t>2o Arbitro</t>
        </is>
      </c>
      <c r="O1624" s="201" t="inlineStr">
        <is>
          <t>3o Arbitro/Tirocinante</t>
        </is>
      </c>
      <c r="P1624" s="201" t="inlineStr">
        <is>
          <t>Referto</t>
        </is>
      </c>
      <c r="Q1624" s="201" t="inlineStr">
        <is>
          <t>Cronometro</t>
        </is>
      </c>
      <c r="R1624" s="201" t="inlineStr">
        <is>
          <t>Foglio Tiri</t>
        </is>
      </c>
    </row>
    <row r="1625" ht="22" customHeight="1">
      <c r="A1625" s="83">
        <f>IF('Calendario C'!A345="","",'Calendario C'!A345)</f>
        <v/>
      </c>
      <c r="B1625" s="61">
        <f>IF('Calendario C'!B345="","",'Calendario C'!B345)</f>
        <v/>
      </c>
      <c r="C1625" s="62">
        <f>IF('Calendario C'!C345="","",'Calendario C'!C345)</f>
        <v/>
      </c>
      <c r="D1625" s="61">
        <f>IF('Calendario C'!D345="","",'Calendario C'!D345)</f>
        <v/>
      </c>
      <c r="E1625" s="62">
        <f>IF('Calendario C'!E345="","",'Calendario C'!E345)</f>
        <v/>
      </c>
      <c r="F1625" s="63">
        <f>IF('Calendario C'!F345="","",'Calendario C'!F345)</f>
        <v/>
      </c>
      <c r="G1625" s="9" t="n"/>
      <c r="H1625" s="9" t="n"/>
      <c r="I1625" s="10" t="n"/>
      <c r="J1625" s="195">
        <f>IF('Calendario C'!J345="","",'Calendario C'!J345)</f>
        <v/>
      </c>
      <c r="K1625" s="64" t="inlineStr">
        <is>
          <t>-</t>
        </is>
      </c>
      <c r="L1625" s="195">
        <f>IF('Calendario C'!L345="","",'Calendario C'!L345)</f>
        <v/>
      </c>
      <c r="M1625" s="196" t="inlineStr">
        <is>
          <t>BELLANDI Ottavia [Aest]</t>
        </is>
      </c>
      <c r="N1625" s="196" t="inlineStr">
        <is>
          <t>ENGEL Diego [A]</t>
        </is>
      </c>
      <c r="O1625" s="196" t="inlineStr">
        <is>
          <t>BELLANDI Vid [Aest]</t>
        </is>
      </c>
      <c r="P1625" s="196" t="inlineStr">
        <is>
          <t>GAUTHIER Davide</t>
        </is>
      </c>
      <c r="Q1625" s="196" t="inlineStr">
        <is>
          <t>KRAJNC Marco</t>
        </is>
      </c>
      <c r="R1625" s="196" t="inlineStr">
        <is>
          <t>HOFFMANN Paolo</t>
        </is>
      </c>
    </row>
    <row r="1626" ht="15" customHeight="1">
      <c r="A1626" s="141" t="n"/>
      <c r="B1626" s="69">
        <f>IF('Calendario C'!B346="","",'Calendario C'!B346)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C'!I346="","",'Calendario C'!I346)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81" t="inlineStr">
        <is>
          <t>Gara N.</t>
        </is>
      </c>
      <c r="B1627" s="81" t="inlineStr">
        <is>
          <t>Squadra A</t>
        </is>
      </c>
      <c r="C1627" s="10" t="n"/>
      <c r="D1627" s="81" t="inlineStr">
        <is>
          <t>Squadra B</t>
        </is>
      </c>
      <c r="E1627" s="10" t="n"/>
      <c r="F1627" s="81" t="inlineStr">
        <is>
          <t>Giorno</t>
        </is>
      </c>
      <c r="G1627" s="81" t="inlineStr">
        <is>
          <t>Data</t>
        </is>
      </c>
      <c r="H1627" s="81" t="inlineStr">
        <is>
          <t>Ora</t>
        </is>
      </c>
      <c r="I1627" s="10" t="n"/>
      <c r="J1627" s="81" t="inlineStr">
        <is>
          <t>Risultato</t>
        </is>
      </c>
      <c r="K1627" s="9" t="n"/>
      <c r="L1627" s="10" t="n"/>
      <c r="M1627" s="201" t="inlineStr">
        <is>
          <t>1o Arbitro</t>
        </is>
      </c>
      <c r="N1627" s="201" t="inlineStr">
        <is>
          <t>2o Arbitro</t>
        </is>
      </c>
      <c r="O1627" s="201" t="inlineStr">
        <is>
          <t>3o Arbitro/Tirocinante</t>
        </is>
      </c>
      <c r="P1627" s="201" t="inlineStr">
        <is>
          <t>Referto</t>
        </is>
      </c>
      <c r="Q1627" s="201" t="inlineStr">
        <is>
          <t>Cronometro</t>
        </is>
      </c>
      <c r="R1627" s="201" t="inlineStr">
        <is>
          <t>Foglio Tiri</t>
        </is>
      </c>
    </row>
    <row r="1628" ht="22" customHeight="1">
      <c r="A1628" s="83">
        <f>IF('Calendario C'!A348="","",'Calendario C'!A348)</f>
        <v/>
      </c>
      <c r="B1628" s="61">
        <f>IF('Calendario C'!B348="","",'Calendario C'!B348)</f>
        <v/>
      </c>
      <c r="C1628" s="62">
        <f>IF('Calendario C'!C348="","",'Calendario C'!C348)</f>
        <v/>
      </c>
      <c r="D1628" s="61">
        <f>IF('Calendario C'!D348="","",'Calendario C'!D348)</f>
        <v/>
      </c>
      <c r="E1628" s="62">
        <f>IF('Calendario C'!E348="","",'Calendario C'!E348)</f>
        <v/>
      </c>
      <c r="F1628" s="63">
        <f>IF('Calendario C'!F348="","",'Calendario C'!F348)</f>
        <v/>
      </c>
      <c r="G1628" s="9" t="n"/>
      <c r="H1628" s="9" t="n"/>
      <c r="I1628" s="10" t="n"/>
      <c r="J1628" s="195">
        <f>IF('Calendario C'!J348="","",'Calendario C'!J348)</f>
        <v/>
      </c>
      <c r="K1628" s="64" t="inlineStr">
        <is>
          <t>-</t>
        </is>
      </c>
      <c r="L1628" s="195">
        <f>IF('Calendario C'!L348="","",'Calendario C'!L348)</f>
        <v/>
      </c>
      <c r="M1628" s="196" t="inlineStr">
        <is>
          <t>CONTARDI Lea [AAt]</t>
        </is>
      </c>
      <c r="N1628" s="196" t="inlineStr">
        <is>
          <t>KELLER Valerie [AAt]</t>
        </is>
      </c>
      <c r="O1628" s="196" t="inlineStr">
        <is>
          <t>FUENTES Stefano [Aest]</t>
        </is>
      </c>
      <c r="P1628" s="196" t="inlineStr">
        <is>
          <t>VOGEL Davide</t>
        </is>
      </c>
      <c r="Q1628" s="196" t="inlineStr">
        <is>
          <t>ROSSINI Sofia</t>
        </is>
      </c>
      <c r="R1628" s="196" t="inlineStr">
        <is>
          <t>SOLER Irene</t>
        </is>
      </c>
    </row>
    <row r="1629" ht="15" customHeight="1">
      <c r="A1629" s="141" t="n"/>
      <c r="B1629" s="69">
        <f>IF('Calendario C'!B349="","",'Calendario C'!B349)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C'!I349="","",'Calendario C'!I349)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81" t="inlineStr">
        <is>
          <t>Gara N.</t>
        </is>
      </c>
      <c r="B1630" s="81" t="inlineStr">
        <is>
          <t>Squadra A</t>
        </is>
      </c>
      <c r="C1630" s="10" t="n"/>
      <c r="D1630" s="81" t="inlineStr">
        <is>
          <t>Squadra B</t>
        </is>
      </c>
      <c r="E1630" s="10" t="n"/>
      <c r="F1630" s="81" t="inlineStr">
        <is>
          <t>Giorno</t>
        </is>
      </c>
      <c r="G1630" s="81" t="inlineStr">
        <is>
          <t>Data</t>
        </is>
      </c>
      <c r="H1630" s="81" t="inlineStr">
        <is>
          <t>Ora</t>
        </is>
      </c>
      <c r="I1630" s="10" t="n"/>
      <c r="J1630" s="81" t="inlineStr">
        <is>
          <t>Risultato</t>
        </is>
      </c>
      <c r="K1630" s="9" t="n"/>
      <c r="L1630" s="10" t="n"/>
      <c r="M1630" s="201" t="inlineStr">
        <is>
          <t>1o Arbitro</t>
        </is>
      </c>
      <c r="N1630" s="201" t="inlineStr">
        <is>
          <t>2o Arbitro</t>
        </is>
      </c>
      <c r="O1630" s="201" t="inlineStr">
        <is>
          <t>3o Arbitro/Tirocinante</t>
        </is>
      </c>
      <c r="P1630" s="201" t="inlineStr">
        <is>
          <t>Referto</t>
        </is>
      </c>
      <c r="Q1630" s="201" t="inlineStr">
        <is>
          <t>Cronometro</t>
        </is>
      </c>
      <c r="R1630" s="201" t="inlineStr">
        <is>
          <t>Foglio Tiri</t>
        </is>
      </c>
    </row>
    <row r="1631" ht="22" customHeight="1">
      <c r="A1631" s="83">
        <f>IF('Calendario C'!A351="","",'Calendario C'!A351)</f>
        <v/>
      </c>
      <c r="B1631" s="61">
        <f>IF('Calendario C'!B351="","",'Calendario C'!B351)</f>
        <v/>
      </c>
      <c r="C1631" s="62">
        <f>IF('Calendario C'!C351="","",'Calendario C'!C351)</f>
        <v/>
      </c>
      <c r="D1631" s="61">
        <f>IF('Calendario C'!D351="","",'Calendario C'!D351)</f>
        <v/>
      </c>
      <c r="E1631" s="62">
        <f>IF('Calendario C'!E351="","",'Calendario C'!E351)</f>
        <v/>
      </c>
      <c r="F1631" s="63">
        <f>IF('Calendario C'!F351="","",'Calendario C'!F351)</f>
        <v/>
      </c>
      <c r="G1631" s="9" t="n"/>
      <c r="H1631" s="9" t="n"/>
      <c r="I1631" s="10" t="n"/>
      <c r="J1631" s="195">
        <f>IF('Calendario C'!J351="","",'Calendario C'!J351)</f>
        <v/>
      </c>
      <c r="K1631" s="64" t="inlineStr">
        <is>
          <t>-</t>
        </is>
      </c>
      <c r="L1631" s="195">
        <f>IF('Calendario C'!L351="","",'Calendario C'!L351)</f>
        <v/>
      </c>
      <c r="M1631" s="196" t="inlineStr">
        <is>
          <t>MARCHIONI Matteo [AAt]</t>
        </is>
      </c>
      <c r="N1631" s="196" t="inlineStr">
        <is>
          <t>LEROUX Diego [AAt]</t>
        </is>
      </c>
      <c r="O1631" s="196" t="inlineStr">
        <is>
          <t>MODIC Lukas [AAt]</t>
        </is>
      </c>
      <c r="P1631" s="196" t="inlineStr">
        <is>
          <t>FERRANTE Nicola</t>
        </is>
      </c>
      <c r="Q1631" s="196" t="inlineStr">
        <is>
          <t>ROMERO Greta</t>
        </is>
      </c>
      <c r="R1631" s="196" t="inlineStr">
        <is>
          <t>BLANCO Diego</t>
        </is>
      </c>
    </row>
    <row r="1632" ht="15" customHeight="1">
      <c r="A1632" s="141" t="n"/>
      <c r="B1632" s="69">
        <f>IF('Calendario C'!B352="","",'Calendario C'!B352)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C'!I352="","",'Calendario C'!I352)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81" t="inlineStr">
        <is>
          <t>Gara N.</t>
        </is>
      </c>
      <c r="B1633" s="81" t="inlineStr">
        <is>
          <t>Squadra A</t>
        </is>
      </c>
      <c r="C1633" s="10" t="n"/>
      <c r="D1633" s="81" t="inlineStr">
        <is>
          <t>Squadra B</t>
        </is>
      </c>
      <c r="E1633" s="10" t="n"/>
      <c r="F1633" s="81" t="inlineStr">
        <is>
          <t>Giorno</t>
        </is>
      </c>
      <c r="G1633" s="81" t="inlineStr">
        <is>
          <t>Data</t>
        </is>
      </c>
      <c r="H1633" s="81" t="inlineStr">
        <is>
          <t>Ora</t>
        </is>
      </c>
      <c r="I1633" s="10" t="n"/>
      <c r="J1633" s="81" t="inlineStr">
        <is>
          <t>Risultato</t>
        </is>
      </c>
      <c r="K1633" s="9" t="n"/>
      <c r="L1633" s="10" t="n"/>
      <c r="M1633" s="201" t="inlineStr">
        <is>
          <t>1o Arbitro</t>
        </is>
      </c>
      <c r="N1633" s="201" t="inlineStr">
        <is>
          <t>2o Arbitro</t>
        </is>
      </c>
      <c r="O1633" s="201" t="inlineStr">
        <is>
          <t>3o Arbitro/Tirocinante</t>
        </is>
      </c>
      <c r="P1633" s="201" t="inlineStr">
        <is>
          <t>Referto</t>
        </is>
      </c>
      <c r="Q1633" s="201" t="inlineStr">
        <is>
          <t>Cronometro</t>
        </is>
      </c>
      <c r="R1633" s="201" t="inlineStr">
        <is>
          <t>Foglio Tiri</t>
        </is>
      </c>
    </row>
    <row r="1634" ht="22" customHeight="1">
      <c r="A1634" s="83">
        <f>IF('Calendario C'!A354="","",'Calendario C'!A354)</f>
        <v/>
      </c>
      <c r="B1634" s="61">
        <f>IF('Calendario C'!B354="","",'Calendario C'!B354)</f>
        <v/>
      </c>
      <c r="C1634" s="62">
        <f>IF('Calendario C'!C354="","",'Calendario C'!C354)</f>
        <v/>
      </c>
      <c r="D1634" s="61">
        <f>IF('Calendario C'!D354="","",'Calendario C'!D354)</f>
        <v/>
      </c>
      <c r="E1634" s="62">
        <f>IF('Calendario C'!E354="","",'Calendario C'!E354)</f>
        <v/>
      </c>
      <c r="F1634" s="63">
        <f>IF('Calendario C'!F354="","",'Calendario C'!F354)</f>
        <v/>
      </c>
      <c r="G1634" s="9" t="n"/>
      <c r="H1634" s="9" t="n"/>
      <c r="I1634" s="10" t="n"/>
      <c r="J1634" s="195">
        <f>IF('Calendario C'!J354="","",'Calendario C'!J354)</f>
        <v/>
      </c>
      <c r="K1634" s="64" t="inlineStr">
        <is>
          <t>-</t>
        </is>
      </c>
      <c r="L1634" s="195">
        <f>IF('Calendario C'!L354="","",'Calendario C'!L354)</f>
        <v/>
      </c>
      <c r="M1634" s="196" t="inlineStr">
        <is>
          <t>ROMERO Matteo [Aest]</t>
        </is>
      </c>
      <c r="N1634" s="196" t="inlineStr">
        <is>
          <t>IGLESIAS Jonas [AAt]</t>
        </is>
      </c>
      <c r="O1634" s="196" t="inlineStr">
        <is>
          <t>VOGEL Miha [AAt]</t>
        </is>
      </c>
      <c r="P1634" s="196" t="inlineStr">
        <is>
          <t>LEFEVRE Mathilde</t>
        </is>
      </c>
      <c r="Q1634" s="196" t="inlineStr">
        <is>
          <t>KOVAC Chiara</t>
        </is>
      </c>
      <c r="R1634" s="196" t="inlineStr">
        <is>
          <t>HORVAT Pablo</t>
        </is>
      </c>
    </row>
    <row r="1635" ht="15" customHeight="1">
      <c r="A1635" s="141" t="n"/>
      <c r="B1635" s="69">
        <f>IF('Calendario C'!B355="","",'Calendario C'!B355)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C'!I355="","",'Calendario C'!I355)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81" t="inlineStr">
        <is>
          <t>Gara N.</t>
        </is>
      </c>
      <c r="B1636" s="81" t="inlineStr">
        <is>
          <t>Squadra A</t>
        </is>
      </c>
      <c r="C1636" s="10" t="n"/>
      <c r="D1636" s="81" t="inlineStr">
        <is>
          <t>Squadra B</t>
        </is>
      </c>
      <c r="E1636" s="10" t="n"/>
      <c r="F1636" s="81" t="inlineStr">
        <is>
          <t>Giorno</t>
        </is>
      </c>
      <c r="G1636" s="81" t="inlineStr">
        <is>
          <t>Data</t>
        </is>
      </c>
      <c r="H1636" s="81" t="inlineStr">
        <is>
          <t>Ora</t>
        </is>
      </c>
      <c r="I1636" s="10" t="n"/>
      <c r="J1636" s="81" t="inlineStr">
        <is>
          <t>Risultato</t>
        </is>
      </c>
      <c r="K1636" s="9" t="n"/>
      <c r="L1636" s="10" t="n"/>
      <c r="M1636" s="201" t="inlineStr">
        <is>
          <t>1o Arbitro</t>
        </is>
      </c>
      <c r="N1636" s="201" t="inlineStr">
        <is>
          <t>2o Arbitro</t>
        </is>
      </c>
      <c r="O1636" s="201" t="inlineStr">
        <is>
          <t>3o Arbitro/Tirocinante</t>
        </is>
      </c>
      <c r="P1636" s="201" t="inlineStr">
        <is>
          <t>Referto</t>
        </is>
      </c>
      <c r="Q1636" s="201" t="inlineStr">
        <is>
          <t>Cronometro</t>
        </is>
      </c>
      <c r="R1636" s="201" t="inlineStr">
        <is>
          <t>Foglio Tiri</t>
        </is>
      </c>
    </row>
    <row r="1637" ht="22" customHeight="1">
      <c r="A1637" s="83">
        <f>IF('Calendario C'!A357="","",'Calendario C'!A357)</f>
        <v/>
      </c>
      <c r="B1637" s="61">
        <f>IF('Calendario C'!B357="","",'Calendario C'!B357)</f>
        <v/>
      </c>
      <c r="C1637" s="62">
        <f>IF('Calendario C'!C357="","",'Calendario C'!C357)</f>
        <v/>
      </c>
      <c r="D1637" s="61">
        <f>IF('Calendario C'!D357="","",'Calendario C'!D357)</f>
        <v/>
      </c>
      <c r="E1637" s="62">
        <f>IF('Calendario C'!E357="","",'Calendario C'!E357)</f>
        <v/>
      </c>
      <c r="F1637" s="63">
        <f>IF('Calendario C'!F357="","",'Calendario C'!F357)</f>
        <v/>
      </c>
      <c r="G1637" s="9" t="n"/>
      <c r="H1637" s="9" t="n"/>
      <c r="I1637" s="10" t="n"/>
      <c r="J1637" s="195">
        <f>IF('Calendario C'!J357="","",'Calendario C'!J357)</f>
        <v/>
      </c>
      <c r="K1637" s="64" t="inlineStr">
        <is>
          <t>-</t>
        </is>
      </c>
      <c r="L1637" s="195">
        <f>IF('Calendario C'!L357="","",'Calendario C'!L357)</f>
        <v/>
      </c>
      <c r="M1637" s="196" t="inlineStr">
        <is>
          <t>LANGER Marta [A]</t>
        </is>
      </c>
      <c r="N1637" s="196" t="inlineStr">
        <is>
          <t>VOGEL Giulia [Aest]</t>
        </is>
      </c>
      <c r="O1637" s="196" t="inlineStr">
        <is>
          <t>ROTH Mathilde [A]</t>
        </is>
      </c>
      <c r="P1637" s="196" t="inlineStr">
        <is>
          <t>LEFEVRE Filippo</t>
        </is>
      </c>
      <c r="Q1637" s="196" t="inlineStr">
        <is>
          <t>ROSSINI Filippo</t>
        </is>
      </c>
      <c r="R1637" s="196" t="inlineStr">
        <is>
          <t>CASTILLO Martina</t>
        </is>
      </c>
    </row>
    <row r="1638" ht="15" customHeight="1">
      <c r="A1638" s="141" t="n"/>
      <c r="B1638" s="69">
        <f>IF('Calendario C'!B358="","",'Calendario C'!B358)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C'!I358="","",'Calendario C'!I358)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78">
        <f>IF('Calendario C'!A360="","",'Calendario C'!A360)</f>
        <v/>
      </c>
      <c r="B1640" s="79">
        <f>IF('Calendario C'!B360="","",'Calendario C'!B360)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00" t="inlineStr">
        <is>
          <t>ARBITRI</t>
        </is>
      </c>
      <c r="N1640" s="9" t="n"/>
      <c r="O1640" s="10" t="n"/>
      <c r="P1640" s="200" t="inlineStr">
        <is>
          <t>UFFICIALI DI CAMPO</t>
        </is>
      </c>
      <c r="Q1640" s="9" t="n"/>
      <c r="R1640" s="10" t="n"/>
    </row>
    <row r="1641" ht="14" customHeight="1">
      <c r="A1641" s="81" t="inlineStr">
        <is>
          <t>Gara N.</t>
        </is>
      </c>
      <c r="B1641" s="81" t="inlineStr">
        <is>
          <t>Squadra A</t>
        </is>
      </c>
      <c r="C1641" s="10" t="n"/>
      <c r="D1641" s="81" t="inlineStr">
        <is>
          <t>Squadra B</t>
        </is>
      </c>
      <c r="E1641" s="10" t="n"/>
      <c r="F1641" s="81" t="inlineStr">
        <is>
          <t>Giorno</t>
        </is>
      </c>
      <c r="G1641" s="81" t="inlineStr">
        <is>
          <t>Data</t>
        </is>
      </c>
      <c r="H1641" s="81" t="inlineStr">
        <is>
          <t>Ora</t>
        </is>
      </c>
      <c r="I1641" s="10" t="n"/>
      <c r="J1641" s="81" t="inlineStr">
        <is>
          <t>Risultato</t>
        </is>
      </c>
      <c r="K1641" s="9" t="n"/>
      <c r="L1641" s="10" t="n"/>
      <c r="M1641" s="201" t="inlineStr">
        <is>
          <t>1o Arbitro</t>
        </is>
      </c>
      <c r="N1641" s="201" t="inlineStr">
        <is>
          <t>2o Arbitro</t>
        </is>
      </c>
      <c r="O1641" s="201" t="inlineStr">
        <is>
          <t>3o Arbitro/Tirocinante</t>
        </is>
      </c>
      <c r="P1641" s="201" t="inlineStr">
        <is>
          <t>Referto</t>
        </is>
      </c>
      <c r="Q1641" s="201" t="inlineStr">
        <is>
          <t>Cronometro</t>
        </is>
      </c>
      <c r="R1641" s="201" t="inlineStr">
        <is>
          <t>Foglio Tiri</t>
        </is>
      </c>
    </row>
    <row r="1642" ht="22" customHeight="1">
      <c r="A1642" s="83">
        <f>IF('Calendario C'!A362="","",'Calendario C'!A362)</f>
        <v/>
      </c>
      <c r="B1642" s="61">
        <f>IF('Calendario C'!B362="","",'Calendario C'!B362)</f>
        <v/>
      </c>
      <c r="C1642" s="62">
        <f>IF('Calendario C'!C362="","",'Calendario C'!C362)</f>
        <v/>
      </c>
      <c r="D1642" s="61">
        <f>IF('Calendario C'!D362="","",'Calendario C'!D362)</f>
        <v/>
      </c>
      <c r="E1642" s="62">
        <f>IF('Calendario C'!E362="","",'Calendario C'!E362)</f>
        <v/>
      </c>
      <c r="F1642" s="63">
        <f>IF('Calendario C'!F362="","",'Calendario C'!F362)</f>
        <v/>
      </c>
      <c r="G1642" s="9" t="n"/>
      <c r="H1642" s="9" t="n"/>
      <c r="I1642" s="10" t="n"/>
      <c r="J1642" s="195">
        <f>IF('Calendario C'!J362="","",'Calendario C'!J362)</f>
        <v/>
      </c>
      <c r="K1642" s="64" t="inlineStr">
        <is>
          <t>-</t>
        </is>
      </c>
      <c r="L1642" s="195">
        <f>IF('Calendario C'!L362="","",'Calendario C'!L362)</f>
        <v/>
      </c>
      <c r="M1642" s="196" t="inlineStr">
        <is>
          <t>HORVAT Lea [A]</t>
        </is>
      </c>
      <c r="N1642" s="196" t="inlineStr">
        <is>
          <t>VIDMAR Pablo [Aest]</t>
        </is>
      </c>
      <c r="O1642" s="196" t="inlineStr">
        <is>
          <t>PRADO Eva [AAt]</t>
        </is>
      </c>
      <c r="P1642" s="196" t="inlineStr">
        <is>
          <t>KELLER Jonas</t>
        </is>
      </c>
      <c r="Q1642" s="196" t="inlineStr">
        <is>
          <t>BLANCHET Jonas</t>
        </is>
      </c>
      <c r="R1642" s="196" t="inlineStr">
        <is>
          <t>BLANCO Diego</t>
        </is>
      </c>
    </row>
    <row r="1643" ht="15" customHeight="1">
      <c r="A1643" s="141" t="n"/>
      <c r="B1643" s="69">
        <f>IF('Calendario C'!B363="","",'Calendario C'!B363)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C'!I363="","",'Calendario C'!I363)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81" t="inlineStr">
        <is>
          <t>Gara N.</t>
        </is>
      </c>
      <c r="B1644" s="81" t="inlineStr">
        <is>
          <t>Squadra A</t>
        </is>
      </c>
      <c r="C1644" s="10" t="n"/>
      <c r="D1644" s="81" t="inlineStr">
        <is>
          <t>Squadra B</t>
        </is>
      </c>
      <c r="E1644" s="10" t="n"/>
      <c r="F1644" s="81" t="inlineStr">
        <is>
          <t>Giorno</t>
        </is>
      </c>
      <c r="G1644" s="81" t="inlineStr">
        <is>
          <t>Data</t>
        </is>
      </c>
      <c r="H1644" s="81" t="inlineStr">
        <is>
          <t>Ora</t>
        </is>
      </c>
      <c r="I1644" s="10" t="n"/>
      <c r="J1644" s="81" t="inlineStr">
        <is>
          <t>Risultato</t>
        </is>
      </c>
      <c r="K1644" s="9" t="n"/>
      <c r="L1644" s="10" t="n"/>
      <c r="M1644" s="201" t="inlineStr">
        <is>
          <t>1o Arbitro</t>
        </is>
      </c>
      <c r="N1644" s="201" t="inlineStr">
        <is>
          <t>2o Arbitro</t>
        </is>
      </c>
      <c r="O1644" s="201" t="inlineStr">
        <is>
          <t>3o Arbitro/Tirocinante</t>
        </is>
      </c>
      <c r="P1644" s="201" t="inlineStr">
        <is>
          <t>Referto</t>
        </is>
      </c>
      <c r="Q1644" s="201" t="inlineStr">
        <is>
          <t>Cronometro</t>
        </is>
      </c>
      <c r="R1644" s="201" t="inlineStr">
        <is>
          <t>Foglio Tiri</t>
        </is>
      </c>
    </row>
    <row r="1645" ht="22" customHeight="1">
      <c r="A1645" s="83">
        <f>IF('Calendario C'!A365="","",'Calendario C'!A365)</f>
        <v/>
      </c>
      <c r="B1645" s="61">
        <f>IF('Calendario C'!B365="","",'Calendario C'!B365)</f>
        <v/>
      </c>
      <c r="C1645" s="62">
        <f>IF('Calendario C'!C365="","",'Calendario C'!C365)</f>
        <v/>
      </c>
      <c r="D1645" s="61">
        <f>IF('Calendario C'!D365="","",'Calendario C'!D365)</f>
        <v/>
      </c>
      <c r="E1645" s="62">
        <f>IF('Calendario C'!E365="","",'Calendario C'!E365)</f>
        <v/>
      </c>
      <c r="F1645" s="63">
        <f>IF('Calendario C'!F365="","",'Calendario C'!F365)</f>
        <v/>
      </c>
      <c r="G1645" s="9" t="n"/>
      <c r="H1645" s="9" t="n"/>
      <c r="I1645" s="10" t="n"/>
      <c r="J1645" s="195">
        <f>IF('Calendario C'!J365="","",'Calendario C'!J365)</f>
        <v/>
      </c>
      <c r="K1645" s="64" t="inlineStr">
        <is>
          <t>-</t>
        </is>
      </c>
      <c r="L1645" s="195">
        <f>IF('Calendario C'!L365="","",'Calendario C'!L365)</f>
        <v/>
      </c>
      <c r="M1645" s="196" t="inlineStr">
        <is>
          <t>IGLESIAS Giulia [AAt]</t>
        </is>
      </c>
      <c r="N1645" s="196" t="inlineStr">
        <is>
          <t>LANGER Hugo [AA]</t>
        </is>
      </c>
      <c r="O1645" s="196" t="inlineStr">
        <is>
          <t>FUENTES Noemi [Aest]</t>
        </is>
      </c>
      <c r="P1645" s="196" t="inlineStr">
        <is>
          <t>NOVAK Giulia</t>
        </is>
      </c>
      <c r="Q1645" s="196" t="inlineStr">
        <is>
          <t>WEBER Sofia</t>
        </is>
      </c>
      <c r="R1645" s="196" t="inlineStr">
        <is>
          <t>ROMERO Stefano</t>
        </is>
      </c>
    </row>
    <row r="1646" ht="15" customHeight="1">
      <c r="A1646" s="141" t="n"/>
      <c r="B1646" s="69">
        <f>IF('Calendario C'!B366="","",'Calendario C'!B366)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C'!I366="","",'Calendario C'!I366)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81" t="inlineStr">
        <is>
          <t>Gara N.</t>
        </is>
      </c>
      <c r="B1647" s="81" t="inlineStr">
        <is>
          <t>Squadra A</t>
        </is>
      </c>
      <c r="C1647" s="10" t="n"/>
      <c r="D1647" s="81" t="inlineStr">
        <is>
          <t>Squadra B</t>
        </is>
      </c>
      <c r="E1647" s="10" t="n"/>
      <c r="F1647" s="81" t="inlineStr">
        <is>
          <t>Giorno</t>
        </is>
      </c>
      <c r="G1647" s="81" t="inlineStr">
        <is>
          <t>Data</t>
        </is>
      </c>
      <c r="H1647" s="81" t="inlineStr">
        <is>
          <t>Ora</t>
        </is>
      </c>
      <c r="I1647" s="10" t="n"/>
      <c r="J1647" s="81" t="inlineStr">
        <is>
          <t>Risultato</t>
        </is>
      </c>
      <c r="K1647" s="9" t="n"/>
      <c r="L1647" s="10" t="n"/>
      <c r="M1647" s="201" t="inlineStr">
        <is>
          <t>1o Arbitro</t>
        </is>
      </c>
      <c r="N1647" s="201" t="inlineStr">
        <is>
          <t>2o Arbitro</t>
        </is>
      </c>
      <c r="O1647" s="201" t="inlineStr">
        <is>
          <t>3o Arbitro/Tirocinante</t>
        </is>
      </c>
      <c r="P1647" s="201" t="inlineStr">
        <is>
          <t>Referto</t>
        </is>
      </c>
      <c r="Q1647" s="201" t="inlineStr">
        <is>
          <t>Cronometro</t>
        </is>
      </c>
      <c r="R1647" s="201" t="inlineStr">
        <is>
          <t>Foglio Tiri</t>
        </is>
      </c>
    </row>
    <row r="1648" ht="22" customHeight="1">
      <c r="A1648" s="83">
        <f>IF('Calendario C'!A368="","",'Calendario C'!A368)</f>
        <v/>
      </c>
      <c r="B1648" s="61">
        <f>IF('Calendario C'!B368="","",'Calendario C'!B368)</f>
        <v/>
      </c>
      <c r="C1648" s="62">
        <f>IF('Calendario C'!C368="","",'Calendario C'!C368)</f>
        <v/>
      </c>
      <c r="D1648" s="61">
        <f>IF('Calendario C'!D368="","",'Calendario C'!D368)</f>
        <v/>
      </c>
      <c r="E1648" s="62">
        <f>IF('Calendario C'!E368="","",'Calendario C'!E368)</f>
        <v/>
      </c>
      <c r="F1648" s="63">
        <f>IF('Calendario C'!F368="","",'Calendario C'!F368)</f>
        <v/>
      </c>
      <c r="G1648" s="9" t="n"/>
      <c r="H1648" s="9" t="n"/>
      <c r="I1648" s="10" t="n"/>
      <c r="J1648" s="195">
        <f>IF('Calendario C'!J368="","",'Calendario C'!J368)</f>
        <v/>
      </c>
      <c r="K1648" s="64" t="inlineStr">
        <is>
          <t>-</t>
        </is>
      </c>
      <c r="L1648" s="195">
        <f>IF('Calendario C'!L368="","",'Calendario C'!L368)</f>
        <v/>
      </c>
      <c r="M1648" s="196" t="inlineStr">
        <is>
          <t>CASTILLO Lucia [AA]</t>
        </is>
      </c>
      <c r="N1648" s="196" t="inlineStr">
        <is>
          <t>BELLANDI Ottavia [Aest]</t>
        </is>
      </c>
      <c r="O1648" s="196" t="inlineStr">
        <is>
          <t>ROTH Sofia [A]</t>
        </is>
      </c>
      <c r="P1648" s="196" t="inlineStr">
        <is>
          <t>KRUGER Mathilde</t>
        </is>
      </c>
      <c r="Q1648" s="196" t="inlineStr">
        <is>
          <t>CAMPOS Noemi</t>
        </is>
      </c>
      <c r="R1648" s="196" t="inlineStr">
        <is>
          <t>SEVER Hugo</t>
        </is>
      </c>
    </row>
    <row r="1649" ht="15" customHeight="1">
      <c r="A1649" s="141" t="n"/>
      <c r="B1649" s="69">
        <f>IF('Calendario C'!B369="","",'Calendario C'!B369)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C'!I369="","",'Calendario C'!I369)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81" t="inlineStr">
        <is>
          <t>Gara N.</t>
        </is>
      </c>
      <c r="B1650" s="81" t="inlineStr">
        <is>
          <t>Squadra A</t>
        </is>
      </c>
      <c r="C1650" s="10" t="n"/>
      <c r="D1650" s="81" t="inlineStr">
        <is>
          <t>Squadra B</t>
        </is>
      </c>
      <c r="E1650" s="10" t="n"/>
      <c r="F1650" s="81" t="inlineStr">
        <is>
          <t>Giorno</t>
        </is>
      </c>
      <c r="G1650" s="81" t="inlineStr">
        <is>
          <t>Data</t>
        </is>
      </c>
      <c r="H1650" s="81" t="inlineStr">
        <is>
          <t>Ora</t>
        </is>
      </c>
      <c r="I1650" s="10" t="n"/>
      <c r="J1650" s="81" t="inlineStr">
        <is>
          <t>Risultato</t>
        </is>
      </c>
      <c r="K1650" s="9" t="n"/>
      <c r="L1650" s="10" t="n"/>
      <c r="M1650" s="201" t="inlineStr">
        <is>
          <t>1o Arbitro</t>
        </is>
      </c>
      <c r="N1650" s="201" t="inlineStr">
        <is>
          <t>2o Arbitro</t>
        </is>
      </c>
      <c r="O1650" s="201" t="inlineStr">
        <is>
          <t>3o Arbitro/Tirocinante</t>
        </is>
      </c>
      <c r="P1650" s="201" t="inlineStr">
        <is>
          <t>Referto</t>
        </is>
      </c>
      <c r="Q1650" s="201" t="inlineStr">
        <is>
          <t>Cronometro</t>
        </is>
      </c>
      <c r="R1650" s="201" t="inlineStr">
        <is>
          <t>Foglio Tiri</t>
        </is>
      </c>
    </row>
    <row r="1651" ht="22" customHeight="1">
      <c r="A1651" s="83">
        <f>IF('Calendario C'!A371="","",'Calendario C'!A371)</f>
        <v/>
      </c>
      <c r="B1651" s="61">
        <f>IF('Calendario C'!B371="","",'Calendario C'!B371)</f>
        <v/>
      </c>
      <c r="C1651" s="62">
        <f>IF('Calendario C'!C371="","",'Calendario C'!C371)</f>
        <v/>
      </c>
      <c r="D1651" s="61">
        <f>IF('Calendario C'!D371="","",'Calendario C'!D371)</f>
        <v/>
      </c>
      <c r="E1651" s="62">
        <f>IF('Calendario C'!E371="","",'Calendario C'!E371)</f>
        <v/>
      </c>
      <c r="F1651" s="63">
        <f>IF('Calendario C'!F371="","",'Calendario C'!F371)</f>
        <v/>
      </c>
      <c r="G1651" s="9" t="n"/>
      <c r="H1651" s="9" t="n"/>
      <c r="I1651" s="10" t="n"/>
      <c r="J1651" s="195">
        <f>IF('Calendario C'!J371="","",'Calendario C'!J371)</f>
        <v/>
      </c>
      <c r="K1651" s="64" t="inlineStr">
        <is>
          <t>-</t>
        </is>
      </c>
      <c r="L1651" s="195">
        <f>IF('Calendario C'!L371="","",'Calendario C'!L371)</f>
        <v/>
      </c>
      <c r="M1651" s="196" t="inlineStr">
        <is>
          <t>FOURNIER Tommaso [AA]</t>
        </is>
      </c>
      <c r="N1651" s="196" t="inlineStr">
        <is>
          <t>LEROUX Elena [AA]</t>
        </is>
      </c>
      <c r="O1651" s="196" t="inlineStr">
        <is>
          <t>IGLESIAS Beatrice [A]</t>
        </is>
      </c>
      <c r="P1651" s="196" t="inlineStr">
        <is>
          <t>ZUPAN Miha</t>
        </is>
      </c>
      <c r="Q1651" s="196" t="inlineStr">
        <is>
          <t>ROTH Stefano</t>
        </is>
      </c>
      <c r="R1651" s="196" t="inlineStr">
        <is>
          <t>SANTORI Miha</t>
        </is>
      </c>
    </row>
    <row r="1652" ht="15" customHeight="1">
      <c r="A1652" s="141" t="n"/>
      <c r="B1652" s="69">
        <f>IF('Calendario C'!B372="","",'Calendario C'!B372)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C'!I372="","",'Calendario C'!I372)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81" t="inlineStr">
        <is>
          <t>Gara N.</t>
        </is>
      </c>
      <c r="B1653" s="81" t="inlineStr">
        <is>
          <t>Squadra A</t>
        </is>
      </c>
      <c r="C1653" s="10" t="n"/>
      <c r="D1653" s="81" t="inlineStr">
        <is>
          <t>Squadra B</t>
        </is>
      </c>
      <c r="E1653" s="10" t="n"/>
      <c r="F1653" s="81" t="inlineStr">
        <is>
          <t>Giorno</t>
        </is>
      </c>
      <c r="G1653" s="81" t="inlineStr">
        <is>
          <t>Data</t>
        </is>
      </c>
      <c r="H1653" s="81" t="inlineStr">
        <is>
          <t>Ora</t>
        </is>
      </c>
      <c r="I1653" s="10" t="n"/>
      <c r="J1653" s="81" t="inlineStr">
        <is>
          <t>Risultato</t>
        </is>
      </c>
      <c r="K1653" s="9" t="n"/>
      <c r="L1653" s="10" t="n"/>
      <c r="M1653" s="201" t="inlineStr">
        <is>
          <t>1o Arbitro</t>
        </is>
      </c>
      <c r="N1653" s="201" t="inlineStr">
        <is>
          <t>2o Arbitro</t>
        </is>
      </c>
      <c r="O1653" s="201" t="inlineStr">
        <is>
          <t>3o Arbitro/Tirocinante</t>
        </is>
      </c>
      <c r="P1653" s="201" t="inlineStr">
        <is>
          <t>Referto</t>
        </is>
      </c>
      <c r="Q1653" s="201" t="inlineStr">
        <is>
          <t>Cronometro</t>
        </is>
      </c>
      <c r="R1653" s="201" t="inlineStr">
        <is>
          <t>Foglio Tiri</t>
        </is>
      </c>
    </row>
    <row r="1654" ht="22" customHeight="1">
      <c r="A1654" s="83">
        <f>IF('Calendario C'!A374="","",'Calendario C'!A374)</f>
        <v/>
      </c>
      <c r="B1654" s="61">
        <f>IF('Calendario C'!B374="","",'Calendario C'!B374)</f>
        <v/>
      </c>
      <c r="C1654" s="62">
        <f>IF('Calendario C'!C374="","",'Calendario C'!C374)</f>
        <v/>
      </c>
      <c r="D1654" s="61">
        <f>IF('Calendario C'!D374="","",'Calendario C'!D374)</f>
        <v/>
      </c>
      <c r="E1654" s="62">
        <f>IF('Calendario C'!E374="","",'Calendario C'!E374)</f>
        <v/>
      </c>
      <c r="F1654" s="63">
        <f>IF('Calendario C'!F374="","",'Calendario C'!F374)</f>
        <v/>
      </c>
      <c r="G1654" s="9" t="n"/>
      <c r="H1654" s="9" t="n"/>
      <c r="I1654" s="10" t="n"/>
      <c r="J1654" s="195">
        <f>IF('Calendario C'!J374="","",'Calendario C'!J374)</f>
        <v/>
      </c>
      <c r="K1654" s="64" t="inlineStr">
        <is>
          <t>-</t>
        </is>
      </c>
      <c r="L1654" s="195">
        <f>IF('Calendario C'!L374="","",'Calendario C'!L374)</f>
        <v/>
      </c>
      <c r="M1654" s="196" t="inlineStr">
        <is>
          <t>SANTORI Jonas [Aest]</t>
        </is>
      </c>
      <c r="N1654" s="196" t="inlineStr">
        <is>
          <t>SOLER Alenka [A]</t>
        </is>
      </c>
      <c r="O1654" s="196" t="inlineStr">
        <is>
          <t>HOFFMANN Lea [AAt]</t>
        </is>
      </c>
      <c r="P1654" s="196" t="inlineStr">
        <is>
          <t>MORETTO Jonas</t>
        </is>
      </c>
      <c r="Q1654" s="196" t="inlineStr">
        <is>
          <t>WEBER Matteo</t>
        </is>
      </c>
      <c r="R1654" s="196" t="inlineStr">
        <is>
          <t>MODIC Jonas</t>
        </is>
      </c>
    </row>
    <row r="1655" ht="15" customHeight="1">
      <c r="A1655" s="141" t="n"/>
      <c r="B1655" s="69">
        <f>IF('Calendario C'!B375="","",'Calendario C'!B375)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C'!I375="","",'Calendario C'!I375)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6" ht="14" customHeight="1">
      <c r="A1656" s="81" t="inlineStr">
        <is>
          <t>Gara N.</t>
        </is>
      </c>
      <c r="B1656" s="81" t="inlineStr">
        <is>
          <t>Squadra A</t>
        </is>
      </c>
      <c r="C1656" s="10" t="n"/>
      <c r="D1656" s="81" t="inlineStr">
        <is>
          <t>Squadra B</t>
        </is>
      </c>
      <c r="E1656" s="10" t="n"/>
      <c r="F1656" s="81" t="inlineStr">
        <is>
          <t>Giorno</t>
        </is>
      </c>
      <c r="G1656" s="81" t="inlineStr">
        <is>
          <t>Data</t>
        </is>
      </c>
      <c r="H1656" s="81" t="inlineStr">
        <is>
          <t>Ora</t>
        </is>
      </c>
      <c r="I1656" s="10" t="n"/>
      <c r="J1656" s="81" t="inlineStr">
        <is>
          <t>Risultato</t>
        </is>
      </c>
      <c r="K1656" s="9" t="n"/>
      <c r="L1656" s="10" t="n"/>
      <c r="M1656" s="201" t="inlineStr">
        <is>
          <t>1o Arbitro</t>
        </is>
      </c>
      <c r="N1656" s="201" t="inlineStr">
        <is>
          <t>2o Arbitro</t>
        </is>
      </c>
      <c r="O1656" s="201" t="inlineStr">
        <is>
          <t>3o Arbitro/Tirocinante</t>
        </is>
      </c>
      <c r="P1656" s="201" t="inlineStr">
        <is>
          <t>Referto</t>
        </is>
      </c>
      <c r="Q1656" s="201" t="inlineStr">
        <is>
          <t>Cronometro</t>
        </is>
      </c>
      <c r="R1656" s="201" t="inlineStr">
        <is>
          <t>Foglio Tiri</t>
        </is>
      </c>
    </row>
    <row r="1657" ht="22" customHeight="1">
      <c r="A1657" s="83">
        <f>IF('Calendario C'!A377="","",'Calendario C'!A377)</f>
        <v/>
      </c>
      <c r="B1657" s="61">
        <f>IF('Calendario C'!B377="","",'Calendario C'!B377)</f>
        <v/>
      </c>
      <c r="C1657" s="62">
        <f>IF('Calendario C'!C377="","",'Calendario C'!C377)</f>
        <v/>
      </c>
      <c r="D1657" s="61">
        <f>IF('Calendario C'!D377="","",'Calendario C'!D377)</f>
        <v/>
      </c>
      <c r="E1657" s="62">
        <f>IF('Calendario C'!E377="","",'Calendario C'!E377)</f>
        <v/>
      </c>
      <c r="F1657" s="63">
        <f>IF('Calendario C'!F377="","",'Calendario C'!F377)</f>
        <v/>
      </c>
      <c r="G1657" s="9" t="n"/>
      <c r="H1657" s="9" t="n"/>
      <c r="I1657" s="10" t="n"/>
      <c r="J1657" s="195">
        <f>IF('Calendario C'!J377="","",'Calendario C'!J377)</f>
        <v/>
      </c>
      <c r="K1657" s="64" t="inlineStr">
        <is>
          <t>-</t>
        </is>
      </c>
      <c r="L1657" s="195">
        <f>IF('Calendario C'!L377="","",'Calendario C'!L377)</f>
        <v/>
      </c>
      <c r="M1657" s="196" t="inlineStr">
        <is>
          <t>MARCHIONI Katrin [AA]</t>
        </is>
      </c>
      <c r="N1657" s="196" t="inlineStr">
        <is>
          <t>NAVARRO Irene [Aest]</t>
        </is>
      </c>
      <c r="O1657" s="196" t="inlineStr">
        <is>
          <t>SANTORI Jonas [Aest]</t>
        </is>
      </c>
      <c r="P1657" s="196" t="inlineStr">
        <is>
          <t>FERRANTE Nicola</t>
        </is>
      </c>
      <c r="Q1657" s="196" t="inlineStr">
        <is>
          <t>LEFEVRE Ilaria</t>
        </is>
      </c>
      <c r="R1657" s="196" t="inlineStr">
        <is>
          <t>CARON Diego</t>
        </is>
      </c>
    </row>
    <row r="1658" ht="15" customHeight="1">
      <c r="A1658" s="141" t="n"/>
      <c r="B1658" s="69">
        <f>IF('Calendario C'!B378="","",'Calendario C'!B378)</f>
        <v/>
      </c>
      <c r="C1658" s="9" t="n"/>
      <c r="D1658" s="9" t="n"/>
      <c r="E1658" s="9" t="n"/>
      <c r="F1658" s="9" t="n"/>
      <c r="G1658" s="9" t="n"/>
      <c r="H1658" s="10" t="n"/>
      <c r="I1658" s="62">
        <f>IF('Calendario C'!I378="","",'Calendario C'!I378)</f>
        <v/>
      </c>
      <c r="J1658" s="141" t="n"/>
      <c r="K1658" s="141" t="n"/>
      <c r="L1658" s="141" t="n"/>
      <c r="M1658" s="141" t="n"/>
      <c r="N1658" s="141" t="n"/>
      <c r="O1658" s="141" t="n"/>
      <c r="P1658" s="141" t="n"/>
      <c r="Q1658" s="141" t="n"/>
      <c r="R1658" s="141" t="n"/>
    </row>
    <row r="1659" ht="14" customHeight="1">
      <c r="A1659" s="81" t="inlineStr">
        <is>
          <t>Gara N.</t>
        </is>
      </c>
      <c r="B1659" s="81" t="inlineStr">
        <is>
          <t>Squadra A</t>
        </is>
      </c>
      <c r="C1659" s="10" t="n"/>
      <c r="D1659" s="81" t="inlineStr">
        <is>
          <t>Squadra B</t>
        </is>
      </c>
      <c r="E1659" s="10" t="n"/>
      <c r="F1659" s="81" t="inlineStr">
        <is>
          <t>Giorno</t>
        </is>
      </c>
      <c r="G1659" s="81" t="inlineStr">
        <is>
          <t>Data</t>
        </is>
      </c>
      <c r="H1659" s="81" t="inlineStr">
        <is>
          <t>Ora</t>
        </is>
      </c>
      <c r="I1659" s="10" t="n"/>
      <c r="J1659" s="81" t="inlineStr">
        <is>
          <t>Risultato</t>
        </is>
      </c>
      <c r="K1659" s="9" t="n"/>
      <c r="L1659" s="10" t="n"/>
      <c r="M1659" s="201" t="inlineStr">
        <is>
          <t>1o Arbitro</t>
        </is>
      </c>
      <c r="N1659" s="201" t="inlineStr">
        <is>
          <t>2o Arbitro</t>
        </is>
      </c>
      <c r="O1659" s="201" t="inlineStr">
        <is>
          <t>3o Arbitro/Tirocinante</t>
        </is>
      </c>
      <c r="P1659" s="201" t="inlineStr">
        <is>
          <t>Referto</t>
        </is>
      </c>
      <c r="Q1659" s="201" t="inlineStr">
        <is>
          <t>Cronometro</t>
        </is>
      </c>
      <c r="R1659" s="201" t="inlineStr">
        <is>
          <t>Foglio Tiri</t>
        </is>
      </c>
    </row>
    <row r="1660" ht="22" customHeight="1">
      <c r="A1660" s="83">
        <f>IF('Calendario C'!A380="","",'Calendario C'!A380)</f>
        <v/>
      </c>
      <c r="B1660" s="61">
        <f>IF('Calendario C'!B380="","",'Calendario C'!B380)</f>
        <v/>
      </c>
      <c r="C1660" s="62">
        <f>IF('Calendario C'!C380="","",'Calendario C'!C380)</f>
        <v/>
      </c>
      <c r="D1660" s="61">
        <f>IF('Calendario C'!D380="","",'Calendario C'!D380)</f>
        <v/>
      </c>
      <c r="E1660" s="62">
        <f>IF('Calendario C'!E380="","",'Calendario C'!E380)</f>
        <v/>
      </c>
      <c r="F1660" s="63">
        <f>IF('Calendario C'!F380="","",'Calendario C'!F380)</f>
        <v/>
      </c>
      <c r="G1660" s="9" t="n"/>
      <c r="H1660" s="9" t="n"/>
      <c r="I1660" s="10" t="n"/>
      <c r="J1660" s="195">
        <f>IF('Calendario C'!J380="","",'Calendario C'!J380)</f>
        <v/>
      </c>
      <c r="K1660" s="64" t="inlineStr">
        <is>
          <t>-</t>
        </is>
      </c>
      <c r="L1660" s="195">
        <f>IF('Calendario C'!L380="","",'Calendario C'!L380)</f>
        <v/>
      </c>
      <c r="M1660" s="196" t="inlineStr">
        <is>
          <t>MORETTO Chiara [A]</t>
        </is>
      </c>
      <c r="N1660" s="196" t="inlineStr">
        <is>
          <t>BIANCHELLI Vid [AAt]</t>
        </is>
      </c>
      <c r="O1660" s="196" t="inlineStr">
        <is>
          <t>KOVAC Miha [Aest]</t>
        </is>
      </c>
      <c r="P1660" s="196" t="inlineStr">
        <is>
          <t>HOFFMANN Diego</t>
        </is>
      </c>
      <c r="Q1660" s="196" t="inlineStr">
        <is>
          <t>SEVER Ottavia</t>
        </is>
      </c>
      <c r="R1660" s="196" t="inlineStr">
        <is>
          <t>ZUPAN Irene</t>
        </is>
      </c>
    </row>
    <row r="1661" ht="15" customHeight="1">
      <c r="A1661" s="141" t="n"/>
      <c r="B1661" s="69">
        <f>IF('Calendario C'!B381="","",'Calendario C'!B381)</f>
        <v/>
      </c>
      <c r="C1661" s="9" t="n"/>
      <c r="D1661" s="9" t="n"/>
      <c r="E1661" s="9" t="n"/>
      <c r="F1661" s="9" t="n"/>
      <c r="G1661" s="9" t="n"/>
      <c r="H1661" s="10" t="n"/>
      <c r="I1661" s="62">
        <f>IF('Calendario C'!I381="","",'Calendario C'!I381)</f>
        <v/>
      </c>
      <c r="J1661" s="141" t="n"/>
      <c r="K1661" s="141" t="n"/>
      <c r="L1661" s="141" t="n"/>
      <c r="M1661" s="141" t="n"/>
      <c r="N1661" s="141" t="n"/>
      <c r="O1661" s="141" t="n"/>
      <c r="P1661" s="141" t="n"/>
      <c r="Q1661" s="141" t="n"/>
      <c r="R1661" s="141" t="n"/>
    </row>
    <row r="1662" ht="14" customHeight="1">
      <c r="A1662" s="81" t="inlineStr">
        <is>
          <t>Gara N.</t>
        </is>
      </c>
      <c r="B1662" s="81" t="inlineStr">
        <is>
          <t>Squadra A</t>
        </is>
      </c>
      <c r="C1662" s="10" t="n"/>
      <c r="D1662" s="81" t="inlineStr">
        <is>
          <t>Squadra B</t>
        </is>
      </c>
      <c r="E1662" s="10" t="n"/>
      <c r="F1662" s="81" t="inlineStr">
        <is>
          <t>Giorno</t>
        </is>
      </c>
      <c r="G1662" s="81" t="inlineStr">
        <is>
          <t>Data</t>
        </is>
      </c>
      <c r="H1662" s="81" t="inlineStr">
        <is>
          <t>Ora</t>
        </is>
      </c>
      <c r="I1662" s="10" t="n"/>
      <c r="J1662" s="81" t="inlineStr">
        <is>
          <t>Risultato</t>
        </is>
      </c>
      <c r="K1662" s="9" t="n"/>
      <c r="L1662" s="10" t="n"/>
      <c r="M1662" s="201" t="inlineStr">
        <is>
          <t>1o Arbitro</t>
        </is>
      </c>
      <c r="N1662" s="201" t="inlineStr">
        <is>
          <t>2o Arbitro</t>
        </is>
      </c>
      <c r="O1662" s="201" t="inlineStr">
        <is>
          <t>3o Arbitro/Tirocinante</t>
        </is>
      </c>
      <c r="P1662" s="201" t="inlineStr">
        <is>
          <t>Referto</t>
        </is>
      </c>
      <c r="Q1662" s="201" t="inlineStr">
        <is>
          <t>Cronometro</t>
        </is>
      </c>
      <c r="R1662" s="201" t="inlineStr">
        <is>
          <t>Foglio Tiri</t>
        </is>
      </c>
    </row>
    <row r="1663" ht="22" customHeight="1">
      <c r="A1663" s="83">
        <f>IF('Calendario C'!A383="","",'Calendario C'!A383)</f>
        <v/>
      </c>
      <c r="B1663" s="61">
        <f>IF('Calendario C'!B383="","",'Calendario C'!B383)</f>
        <v/>
      </c>
      <c r="C1663" s="62">
        <f>IF('Calendario C'!C383="","",'Calendario C'!C383)</f>
        <v/>
      </c>
      <c r="D1663" s="61">
        <f>IF('Calendario C'!D383="","",'Calendario C'!D383)</f>
        <v/>
      </c>
      <c r="E1663" s="62">
        <f>IF('Calendario C'!E383="","",'Calendario C'!E383)</f>
        <v/>
      </c>
      <c r="F1663" s="63">
        <f>IF('Calendario C'!F383="","",'Calendario C'!F383)</f>
        <v/>
      </c>
      <c r="G1663" s="9" t="n"/>
      <c r="H1663" s="9" t="n"/>
      <c r="I1663" s="10" t="n"/>
      <c r="J1663" s="195">
        <f>IF('Calendario C'!J383="","",'Calendario C'!J383)</f>
        <v/>
      </c>
      <c r="K1663" s="64" t="inlineStr">
        <is>
          <t>-</t>
        </is>
      </c>
      <c r="L1663" s="195">
        <f>IF('Calendario C'!L383="","",'Calendario C'!L383)</f>
        <v/>
      </c>
      <c r="M1663" s="196" t="inlineStr">
        <is>
          <t>PRADO Marco [AAt]</t>
        </is>
      </c>
      <c r="N1663" s="196" t="inlineStr">
        <is>
          <t>CONTARDI Lea [AAt]</t>
        </is>
      </c>
      <c r="O1663" s="196" t="inlineStr">
        <is>
          <t>OBLAK Mathilde [A]</t>
        </is>
      </c>
      <c r="P1663" s="196" t="inlineStr">
        <is>
          <t>FERRANTE Stefano</t>
        </is>
      </c>
      <c r="Q1663" s="196" t="inlineStr">
        <is>
          <t>SEVER Greta</t>
        </is>
      </c>
      <c r="R1663" s="196" t="inlineStr">
        <is>
          <t>BLANCHET Alenka</t>
        </is>
      </c>
    </row>
    <row r="1664" ht="15" customHeight="1">
      <c r="A1664" s="141" t="n"/>
      <c r="B1664" s="69">
        <f>IF('Calendario C'!B384="","",'Calendario C'!B384)</f>
        <v/>
      </c>
      <c r="C1664" s="9" t="n"/>
      <c r="D1664" s="9" t="n"/>
      <c r="E1664" s="9" t="n"/>
      <c r="F1664" s="9" t="n"/>
      <c r="G1664" s="9" t="n"/>
      <c r="H1664" s="10" t="n"/>
      <c r="I1664" s="62">
        <f>IF('Calendario C'!I384="","",'Calendario C'!I384)</f>
        <v/>
      </c>
      <c r="J1664" s="141" t="n"/>
      <c r="K1664" s="141" t="n"/>
      <c r="L1664" s="141" t="n"/>
      <c r="M1664" s="141" t="n"/>
      <c r="N1664" s="141" t="n"/>
      <c r="O1664" s="141" t="n"/>
      <c r="P1664" s="141" t="n"/>
      <c r="Q1664" s="141" t="n"/>
      <c r="R1664" s="141" t="n"/>
    </row>
    <row r="1665" ht="14" customHeight="1">
      <c r="A1665" s="81" t="inlineStr">
        <is>
          <t>Gara N.</t>
        </is>
      </c>
      <c r="B1665" s="81" t="inlineStr">
        <is>
          <t>Squadra A</t>
        </is>
      </c>
      <c r="C1665" s="10" t="n"/>
      <c r="D1665" s="81" t="inlineStr">
        <is>
          <t>Squadra B</t>
        </is>
      </c>
      <c r="E1665" s="10" t="n"/>
      <c r="F1665" s="81" t="inlineStr">
        <is>
          <t>Giorno</t>
        </is>
      </c>
      <c r="G1665" s="81" t="inlineStr">
        <is>
          <t>Data</t>
        </is>
      </c>
      <c r="H1665" s="81" t="inlineStr">
        <is>
          <t>Ora</t>
        </is>
      </c>
      <c r="I1665" s="10" t="n"/>
      <c r="J1665" s="81" t="inlineStr">
        <is>
          <t>Risultato</t>
        </is>
      </c>
      <c r="K1665" s="9" t="n"/>
      <c r="L1665" s="10" t="n"/>
      <c r="M1665" s="201" t="inlineStr">
        <is>
          <t>1o Arbitro</t>
        </is>
      </c>
      <c r="N1665" s="201" t="inlineStr">
        <is>
          <t>2o Arbitro</t>
        </is>
      </c>
      <c r="O1665" s="201" t="inlineStr">
        <is>
          <t>3o Arbitro/Tirocinante</t>
        </is>
      </c>
      <c r="P1665" s="201" t="inlineStr">
        <is>
          <t>Referto</t>
        </is>
      </c>
      <c r="Q1665" s="201" t="inlineStr">
        <is>
          <t>Cronometro</t>
        </is>
      </c>
      <c r="R1665" s="201" t="inlineStr">
        <is>
          <t>Foglio Tiri</t>
        </is>
      </c>
    </row>
    <row r="1666" ht="22" customHeight="1">
      <c r="A1666" s="83">
        <f>IF('Calendario C'!A386="","",'Calendario C'!A386)</f>
        <v/>
      </c>
      <c r="B1666" s="61">
        <f>IF('Calendario C'!B386="","",'Calendario C'!B386)</f>
        <v/>
      </c>
      <c r="C1666" s="62">
        <f>IF('Calendario C'!C386="","",'Calendario C'!C386)</f>
        <v/>
      </c>
      <c r="D1666" s="61">
        <f>IF('Calendario C'!D386="","",'Calendario C'!D386)</f>
        <v/>
      </c>
      <c r="E1666" s="62">
        <f>IF('Calendario C'!E386="","",'Calendario C'!E386)</f>
        <v/>
      </c>
      <c r="F1666" s="63">
        <f>IF('Calendario C'!F386="","",'Calendario C'!F386)</f>
        <v/>
      </c>
      <c r="G1666" s="9" t="n"/>
      <c r="H1666" s="9" t="n"/>
      <c r="I1666" s="10" t="n"/>
      <c r="J1666" s="195">
        <f>IF('Calendario C'!J386="","",'Calendario C'!J386)</f>
        <v/>
      </c>
      <c r="K1666" s="64" t="inlineStr">
        <is>
          <t>-</t>
        </is>
      </c>
      <c r="L1666" s="195">
        <f>IF('Calendario C'!L386="","",'Calendario C'!L386)</f>
        <v/>
      </c>
      <c r="M1666" s="196" t="inlineStr">
        <is>
          <t>SANTORI Chiara [A]</t>
        </is>
      </c>
      <c r="N1666" s="196" t="inlineStr">
        <is>
          <t>KRUGER Nicola [Aest]</t>
        </is>
      </c>
      <c r="O1666" s="196" t="inlineStr">
        <is>
          <t>CARON Martina [AAt]</t>
        </is>
      </c>
      <c r="P1666" s="196" t="inlineStr">
        <is>
          <t>BLANCHET Alenka</t>
        </is>
      </c>
      <c r="Q1666" s="196" t="inlineStr">
        <is>
          <t>KOVAC Lea</t>
        </is>
      </c>
      <c r="R1666" s="196" t="inlineStr">
        <is>
          <t>LEFEVRE Alenka</t>
        </is>
      </c>
    </row>
    <row r="1667" ht="15" customHeight="1">
      <c r="A1667" s="141" t="n"/>
      <c r="B1667" s="69">
        <f>IF('Calendario C'!B387="","",'Calendario C'!B387)</f>
        <v/>
      </c>
      <c r="C1667" s="9" t="n"/>
      <c r="D1667" s="9" t="n"/>
      <c r="E1667" s="9" t="n"/>
      <c r="F1667" s="9" t="n"/>
      <c r="G1667" s="9" t="n"/>
      <c r="H1667" s="10" t="n"/>
      <c r="I1667" s="62">
        <f>IF('Calendario C'!I387="","",'Calendario C'!I387)</f>
        <v/>
      </c>
      <c r="J1667" s="141" t="n"/>
      <c r="K1667" s="141" t="n"/>
      <c r="L1667" s="141" t="n"/>
      <c r="M1667" s="141" t="n"/>
      <c r="N1667" s="141" t="n"/>
      <c r="O1667" s="141" t="n"/>
      <c r="P1667" s="141" t="n"/>
      <c r="Q1667" s="141" t="n"/>
      <c r="R1667" s="141" t="n"/>
    </row>
    <row r="1668" ht="14" customHeight="1">
      <c r="A1668" s="81" t="inlineStr">
        <is>
          <t>Gara N.</t>
        </is>
      </c>
      <c r="B1668" s="81" t="inlineStr">
        <is>
          <t>Squadra A</t>
        </is>
      </c>
      <c r="C1668" s="10" t="n"/>
      <c r="D1668" s="81" t="inlineStr">
        <is>
          <t>Squadra B</t>
        </is>
      </c>
      <c r="E1668" s="10" t="n"/>
      <c r="F1668" s="81" t="inlineStr">
        <is>
          <t>Giorno</t>
        </is>
      </c>
      <c r="G1668" s="81" t="inlineStr">
        <is>
          <t>Data</t>
        </is>
      </c>
      <c r="H1668" s="81" t="inlineStr">
        <is>
          <t>Ora</t>
        </is>
      </c>
      <c r="I1668" s="10" t="n"/>
      <c r="J1668" s="81" t="inlineStr">
        <is>
          <t>Risultato</t>
        </is>
      </c>
      <c r="K1668" s="9" t="n"/>
      <c r="L1668" s="10" t="n"/>
      <c r="M1668" s="201" t="inlineStr">
        <is>
          <t>1o Arbitro</t>
        </is>
      </c>
      <c r="N1668" s="201" t="inlineStr">
        <is>
          <t>2o Arbitro</t>
        </is>
      </c>
      <c r="O1668" s="201" t="inlineStr">
        <is>
          <t>3o Arbitro/Tirocinante</t>
        </is>
      </c>
      <c r="P1668" s="201" t="inlineStr">
        <is>
          <t>Referto</t>
        </is>
      </c>
      <c r="Q1668" s="201" t="inlineStr">
        <is>
          <t>Cronometro</t>
        </is>
      </c>
      <c r="R1668" s="201" t="inlineStr">
        <is>
          <t>Foglio Tiri</t>
        </is>
      </c>
    </row>
    <row r="1669" ht="22" customHeight="1">
      <c r="A1669" s="83">
        <f>IF('Calendario C'!A389="","",'Calendario C'!A389)</f>
        <v/>
      </c>
      <c r="B1669" s="61">
        <f>IF('Calendario C'!B389="","",'Calendario C'!B389)</f>
        <v/>
      </c>
      <c r="C1669" s="62">
        <f>IF('Calendario C'!C389="","",'Calendario C'!C389)</f>
        <v/>
      </c>
      <c r="D1669" s="61">
        <f>IF('Calendario C'!D389="","",'Calendario C'!D389)</f>
        <v/>
      </c>
      <c r="E1669" s="62">
        <f>IF('Calendario C'!E389="","",'Calendario C'!E389)</f>
        <v/>
      </c>
      <c r="F1669" s="63">
        <f>IF('Calendario C'!F389="","",'Calendario C'!F389)</f>
        <v/>
      </c>
      <c r="G1669" s="9" t="n"/>
      <c r="H1669" s="9" t="n"/>
      <c r="I1669" s="10" t="n"/>
      <c r="J1669" s="195">
        <f>IF('Calendario C'!J389="","",'Calendario C'!J389)</f>
        <v/>
      </c>
      <c r="K1669" s="64" t="inlineStr">
        <is>
          <t>-</t>
        </is>
      </c>
      <c r="L1669" s="195">
        <f>IF('Calendario C'!L389="","",'Calendario C'!L389)</f>
        <v/>
      </c>
      <c r="M1669" s="196" t="inlineStr">
        <is>
          <t>GAUTHIER Alenka [Aest]</t>
        </is>
      </c>
      <c r="N1669" s="196" t="inlineStr">
        <is>
          <t>CARON Martina [AAt]</t>
        </is>
      </c>
      <c r="O1669" s="196" t="inlineStr">
        <is>
          <t>LANGER Valerie [Aest]</t>
        </is>
      </c>
      <c r="P1669" s="196" t="inlineStr">
        <is>
          <t>ROMERO Elena</t>
        </is>
      </c>
      <c r="Q1669" s="196" t="inlineStr">
        <is>
          <t>SANTORI Jonas</t>
        </is>
      </c>
      <c r="R1669" s="196" t="inlineStr">
        <is>
          <t>BELLANDI Tommaso</t>
        </is>
      </c>
    </row>
    <row r="1670" ht="15" customHeight="1">
      <c r="A1670" s="141" t="n"/>
      <c r="B1670" s="69">
        <f>IF('Calendario C'!B390="","",'Calendario C'!B390)</f>
        <v/>
      </c>
      <c r="C1670" s="9" t="n"/>
      <c r="D1670" s="9" t="n"/>
      <c r="E1670" s="9" t="n"/>
      <c r="F1670" s="9" t="n"/>
      <c r="G1670" s="9" t="n"/>
      <c r="H1670" s="10" t="n"/>
      <c r="I1670" s="62">
        <f>IF('Calendario C'!I390="","",'Calendario C'!I390)</f>
        <v/>
      </c>
      <c r="J1670" s="141" t="n"/>
      <c r="K1670" s="141" t="n"/>
      <c r="L1670" s="141" t="n"/>
      <c r="M1670" s="141" t="n"/>
      <c r="N1670" s="141" t="n"/>
      <c r="O1670" s="141" t="n"/>
      <c r="P1670" s="141" t="n"/>
      <c r="Q1670" s="141" t="n"/>
      <c r="R1670" s="141" t="n"/>
    </row>
    <row r="1672" ht="20" customHeight="1">
      <c r="A1672" s="78">
        <f>IF('Calendario C'!A392="","",'Calendario C'!A392)</f>
        <v/>
      </c>
      <c r="B1672" s="79">
        <f>IF('Calendario C'!B392="","",'Calendario C'!B392)</f>
        <v/>
      </c>
      <c r="C1672" s="9" t="n"/>
      <c r="D1672" s="9" t="n"/>
      <c r="E1672" s="9" t="n"/>
      <c r="F1672" s="9" t="n"/>
      <c r="G1672" s="9" t="n"/>
      <c r="H1672" s="9" t="n"/>
      <c r="I1672" s="9" t="n"/>
      <c r="J1672" s="9" t="n"/>
      <c r="K1672" s="9" t="n"/>
      <c r="L1672" s="10" t="n"/>
      <c r="M1672" s="200" t="inlineStr">
        <is>
          <t>ARBITRI</t>
        </is>
      </c>
      <c r="N1672" s="9" t="n"/>
      <c r="O1672" s="10" t="n"/>
      <c r="P1672" s="200" t="inlineStr">
        <is>
          <t>UFFICIALI DI CAMPO</t>
        </is>
      </c>
      <c r="Q1672" s="9" t="n"/>
      <c r="R1672" s="10" t="n"/>
    </row>
    <row r="1673" ht="14" customHeight="1">
      <c r="A1673" s="81" t="inlineStr">
        <is>
          <t>Gara N.</t>
        </is>
      </c>
      <c r="B1673" s="81" t="inlineStr">
        <is>
          <t>Squadra A</t>
        </is>
      </c>
      <c r="C1673" s="10" t="n"/>
      <c r="D1673" s="81" t="inlineStr">
        <is>
          <t>Squadra B</t>
        </is>
      </c>
      <c r="E1673" s="10" t="n"/>
      <c r="F1673" s="81" t="inlineStr">
        <is>
          <t>Giorno</t>
        </is>
      </c>
      <c r="G1673" s="81" t="inlineStr">
        <is>
          <t>Data</t>
        </is>
      </c>
      <c r="H1673" s="81" t="inlineStr">
        <is>
          <t>Ora</t>
        </is>
      </c>
      <c r="I1673" s="10" t="n"/>
      <c r="J1673" s="81" t="inlineStr">
        <is>
          <t>Risultato</t>
        </is>
      </c>
      <c r="K1673" s="9" t="n"/>
      <c r="L1673" s="10" t="n"/>
      <c r="M1673" s="201" t="inlineStr">
        <is>
          <t>1o Arbitro</t>
        </is>
      </c>
      <c r="N1673" s="201" t="inlineStr">
        <is>
          <t>2o Arbitro</t>
        </is>
      </c>
      <c r="O1673" s="201" t="inlineStr">
        <is>
          <t>3o Arbitro/Tirocinante</t>
        </is>
      </c>
      <c r="P1673" s="201" t="inlineStr">
        <is>
          <t>Referto</t>
        </is>
      </c>
      <c r="Q1673" s="201" t="inlineStr">
        <is>
          <t>Cronometro</t>
        </is>
      </c>
      <c r="R1673" s="201" t="inlineStr">
        <is>
          <t>Foglio Tiri</t>
        </is>
      </c>
    </row>
    <row r="1674" ht="22" customHeight="1">
      <c r="A1674" s="83">
        <f>IF('Calendario C'!A394="","",'Calendario C'!A394)</f>
        <v/>
      </c>
      <c r="B1674" s="61">
        <f>IF('Calendario C'!B394="","",'Calendario C'!B394)</f>
        <v/>
      </c>
      <c r="C1674" s="62">
        <f>IF('Calendario C'!C394="","",'Calendario C'!C394)</f>
        <v/>
      </c>
      <c r="D1674" s="61">
        <f>IF('Calendario C'!D394="","",'Calendario C'!D394)</f>
        <v/>
      </c>
      <c r="E1674" s="62">
        <f>IF('Calendario C'!E394="","",'Calendario C'!E394)</f>
        <v/>
      </c>
      <c r="F1674" s="63">
        <f>IF('Calendario C'!F394="","",'Calendario C'!F394)</f>
        <v/>
      </c>
      <c r="G1674" s="9" t="n"/>
      <c r="H1674" s="9" t="n"/>
      <c r="I1674" s="10" t="n"/>
      <c r="J1674" s="195">
        <f>IF('Calendario C'!J394="","",'Calendario C'!J394)</f>
        <v/>
      </c>
      <c r="K1674" s="64" t="inlineStr">
        <is>
          <t>-</t>
        </is>
      </c>
      <c r="L1674" s="195">
        <f>IF('Calendario C'!L394="","",'Calendario C'!L394)</f>
        <v/>
      </c>
      <c r="M1674" s="196" t="inlineStr">
        <is>
          <t>MORETTO Ottavia [A]</t>
        </is>
      </c>
      <c r="N1674" s="196" t="inlineStr">
        <is>
          <t>KRAJNC Elena [AA]</t>
        </is>
      </c>
      <c r="O1674" s="196" t="inlineStr">
        <is>
          <t>PELLEGRI Eva [AA]</t>
        </is>
      </c>
      <c r="P1674" s="196" t="inlineStr">
        <is>
          <t>CONTARDI Valerie</t>
        </is>
      </c>
      <c r="Q1674" s="196" t="inlineStr">
        <is>
          <t>CARON Anja</t>
        </is>
      </c>
      <c r="R1674" s="196" t="inlineStr">
        <is>
          <t>WEBER Filippo</t>
        </is>
      </c>
    </row>
    <row r="1675" ht="15" customHeight="1">
      <c r="A1675" s="141" t="n"/>
      <c r="B1675" s="69">
        <f>IF('Calendario C'!B395="","",'Calendario C'!B395)</f>
        <v/>
      </c>
      <c r="C1675" s="9" t="n"/>
      <c r="D1675" s="9" t="n"/>
      <c r="E1675" s="9" t="n"/>
      <c r="F1675" s="9" t="n"/>
      <c r="G1675" s="9" t="n"/>
      <c r="H1675" s="10" t="n"/>
      <c r="I1675" s="62">
        <f>IF('Calendario C'!I395="","",'Calendario C'!I395)</f>
        <v/>
      </c>
      <c r="J1675" s="141" t="n"/>
      <c r="K1675" s="141" t="n"/>
      <c r="L1675" s="141" t="n"/>
      <c r="M1675" s="141" t="n"/>
      <c r="N1675" s="141" t="n"/>
      <c r="O1675" s="141" t="n"/>
      <c r="P1675" s="141" t="n"/>
      <c r="Q1675" s="141" t="n"/>
      <c r="R1675" s="141" t="n"/>
    </row>
    <row r="1676" ht="14" customHeight="1">
      <c r="A1676" s="81" t="inlineStr">
        <is>
          <t>Gara N.</t>
        </is>
      </c>
      <c r="B1676" s="81" t="inlineStr">
        <is>
          <t>Squadra A</t>
        </is>
      </c>
      <c r="C1676" s="10" t="n"/>
      <c r="D1676" s="81" t="inlineStr">
        <is>
          <t>Squadra B</t>
        </is>
      </c>
      <c r="E1676" s="10" t="n"/>
      <c r="F1676" s="81" t="inlineStr">
        <is>
          <t>Giorno</t>
        </is>
      </c>
      <c r="G1676" s="81" t="inlineStr">
        <is>
          <t>Data</t>
        </is>
      </c>
      <c r="H1676" s="81" t="inlineStr">
        <is>
          <t>Ora</t>
        </is>
      </c>
      <c r="I1676" s="10" t="n"/>
      <c r="J1676" s="81" t="inlineStr">
        <is>
          <t>Risultato</t>
        </is>
      </c>
      <c r="K1676" s="9" t="n"/>
      <c r="L1676" s="10" t="n"/>
      <c r="M1676" s="201" t="inlineStr">
        <is>
          <t>1o Arbitro</t>
        </is>
      </c>
      <c r="N1676" s="201" t="inlineStr">
        <is>
          <t>2o Arbitro</t>
        </is>
      </c>
      <c r="O1676" s="201" t="inlineStr">
        <is>
          <t>3o Arbitro/Tirocinante</t>
        </is>
      </c>
      <c r="P1676" s="201" t="inlineStr">
        <is>
          <t>Referto</t>
        </is>
      </c>
      <c r="Q1676" s="201" t="inlineStr">
        <is>
          <t>Cronometro</t>
        </is>
      </c>
      <c r="R1676" s="201" t="inlineStr">
        <is>
          <t>Foglio Tiri</t>
        </is>
      </c>
    </row>
    <row r="1677" ht="22" customHeight="1">
      <c r="A1677" s="83">
        <f>IF('Calendario C'!A397="","",'Calendario C'!A397)</f>
        <v/>
      </c>
      <c r="B1677" s="61">
        <f>IF('Calendario C'!B397="","",'Calendario C'!B397)</f>
        <v/>
      </c>
      <c r="C1677" s="62">
        <f>IF('Calendario C'!C397="","",'Calendario C'!C397)</f>
        <v/>
      </c>
      <c r="D1677" s="61">
        <f>IF('Calendario C'!D397="","",'Calendario C'!D397)</f>
        <v/>
      </c>
      <c r="E1677" s="62">
        <f>IF('Calendario C'!E397="","",'Calendario C'!E397)</f>
        <v/>
      </c>
      <c r="F1677" s="63">
        <f>IF('Calendario C'!F397="","",'Calendario C'!F397)</f>
        <v/>
      </c>
      <c r="G1677" s="9" t="n"/>
      <c r="H1677" s="9" t="n"/>
      <c r="I1677" s="10" t="n"/>
      <c r="J1677" s="195">
        <f>IF('Calendario C'!J397="","",'Calendario C'!J397)</f>
        <v/>
      </c>
      <c r="K1677" s="64" t="inlineStr">
        <is>
          <t>-</t>
        </is>
      </c>
      <c r="L1677" s="195">
        <f>IF('Calendario C'!L397="","",'Calendario C'!L397)</f>
        <v/>
      </c>
      <c r="M1677" s="196" t="inlineStr">
        <is>
          <t>SEVER Tommaso [AAt]</t>
        </is>
      </c>
      <c r="N1677" s="196" t="inlineStr">
        <is>
          <t>ROSSINI Sofia [AA]</t>
        </is>
      </c>
      <c r="O1677" s="196" t="inlineStr">
        <is>
          <t>AUBERT Martina [AA]</t>
        </is>
      </c>
      <c r="P1677" s="196" t="inlineStr">
        <is>
          <t>IGLESIAS Jonas</t>
        </is>
      </c>
      <c r="Q1677" s="196" t="inlineStr">
        <is>
          <t>GAUTHIER Irene</t>
        </is>
      </c>
      <c r="R1677" s="196" t="inlineStr">
        <is>
          <t>ROMERO Giulia</t>
        </is>
      </c>
    </row>
    <row r="1678" ht="15" customHeight="1">
      <c r="A1678" s="141" t="n"/>
      <c r="B1678" s="69">
        <f>IF('Calendario C'!B398="","",'Calendario C'!B398)</f>
        <v/>
      </c>
      <c r="C1678" s="9" t="n"/>
      <c r="D1678" s="9" t="n"/>
      <c r="E1678" s="9" t="n"/>
      <c r="F1678" s="9" t="n"/>
      <c r="G1678" s="9" t="n"/>
      <c r="H1678" s="10" t="n"/>
      <c r="I1678" s="62">
        <f>IF('Calendario C'!I398="","",'Calendario C'!I398)</f>
        <v/>
      </c>
      <c r="J1678" s="141" t="n"/>
      <c r="K1678" s="141" t="n"/>
      <c r="L1678" s="141" t="n"/>
      <c r="M1678" s="141" t="n"/>
      <c r="N1678" s="141" t="n"/>
      <c r="O1678" s="141" t="n"/>
      <c r="P1678" s="141" t="n"/>
      <c r="Q1678" s="141" t="n"/>
      <c r="R1678" s="141" t="n"/>
    </row>
    <row r="1679" ht="14" customHeight="1">
      <c r="A1679" s="81" t="inlineStr">
        <is>
          <t>Gara N.</t>
        </is>
      </c>
      <c r="B1679" s="81" t="inlineStr">
        <is>
          <t>Squadra A</t>
        </is>
      </c>
      <c r="C1679" s="10" t="n"/>
      <c r="D1679" s="81" t="inlineStr">
        <is>
          <t>Squadra B</t>
        </is>
      </c>
      <c r="E1679" s="10" t="n"/>
      <c r="F1679" s="81" t="inlineStr">
        <is>
          <t>Giorno</t>
        </is>
      </c>
      <c r="G1679" s="81" t="inlineStr">
        <is>
          <t>Data</t>
        </is>
      </c>
      <c r="H1679" s="81" t="inlineStr">
        <is>
          <t>Ora</t>
        </is>
      </c>
      <c r="I1679" s="10" t="n"/>
      <c r="J1679" s="81" t="inlineStr">
        <is>
          <t>Risultato</t>
        </is>
      </c>
      <c r="K1679" s="9" t="n"/>
      <c r="L1679" s="10" t="n"/>
      <c r="M1679" s="201" t="inlineStr">
        <is>
          <t>1o Arbitro</t>
        </is>
      </c>
      <c r="N1679" s="201" t="inlineStr">
        <is>
          <t>2o Arbitro</t>
        </is>
      </c>
      <c r="O1679" s="201" t="inlineStr">
        <is>
          <t>3o Arbitro/Tirocinante</t>
        </is>
      </c>
      <c r="P1679" s="201" t="inlineStr">
        <is>
          <t>Referto</t>
        </is>
      </c>
      <c r="Q1679" s="201" t="inlineStr">
        <is>
          <t>Cronometro</t>
        </is>
      </c>
      <c r="R1679" s="201" t="inlineStr">
        <is>
          <t>Foglio Tiri</t>
        </is>
      </c>
    </row>
    <row r="1680" ht="22" customHeight="1">
      <c r="A1680" s="83">
        <f>IF('Calendario C'!A400="","",'Calendario C'!A400)</f>
        <v/>
      </c>
      <c r="B1680" s="61">
        <f>IF('Calendario C'!B400="","",'Calendario C'!B400)</f>
        <v/>
      </c>
      <c r="C1680" s="62">
        <f>IF('Calendario C'!C400="","",'Calendario C'!C400)</f>
        <v/>
      </c>
      <c r="D1680" s="61">
        <f>IF('Calendario C'!D400="","",'Calendario C'!D400)</f>
        <v/>
      </c>
      <c r="E1680" s="62">
        <f>IF('Calendario C'!E400="","",'Calendario C'!E400)</f>
        <v/>
      </c>
      <c r="F1680" s="63">
        <f>IF('Calendario C'!F400="","",'Calendario C'!F400)</f>
        <v/>
      </c>
      <c r="G1680" s="9" t="n"/>
      <c r="H1680" s="9" t="n"/>
      <c r="I1680" s="10" t="n"/>
      <c r="J1680" s="195">
        <f>IF('Calendario C'!J400="","",'Calendario C'!J400)</f>
        <v/>
      </c>
      <c r="K1680" s="64" t="inlineStr">
        <is>
          <t>-</t>
        </is>
      </c>
      <c r="L1680" s="195">
        <f>IF('Calendario C'!L400="","",'Calendario C'!L400)</f>
        <v/>
      </c>
      <c r="M1680" s="196" t="inlineStr">
        <is>
          <t>MORETTO Chiara [A]</t>
        </is>
      </c>
      <c r="N1680" s="196" t="inlineStr">
        <is>
          <t>NADAUD Paula [Aest]</t>
        </is>
      </c>
      <c r="O1680" s="196" t="inlineStr">
        <is>
          <t>SOLER Stefano [A]</t>
        </is>
      </c>
      <c r="P1680" s="196" t="inlineStr">
        <is>
          <t>NOVAK Giulia</t>
        </is>
      </c>
      <c r="Q1680" s="196" t="inlineStr">
        <is>
          <t>KRUGER Katrin</t>
        </is>
      </c>
      <c r="R1680" s="196" t="inlineStr">
        <is>
          <t>FERRANTE Felix</t>
        </is>
      </c>
    </row>
    <row r="1681" ht="15" customHeight="1">
      <c r="A1681" s="141" t="n"/>
      <c r="B1681" s="69">
        <f>IF('Calendario C'!B401="","",'Calendario C'!B401)</f>
        <v/>
      </c>
      <c r="C1681" s="9" t="n"/>
      <c r="D1681" s="9" t="n"/>
      <c r="E1681" s="9" t="n"/>
      <c r="F1681" s="9" t="n"/>
      <c r="G1681" s="9" t="n"/>
      <c r="H1681" s="10" t="n"/>
      <c r="I1681" s="62">
        <f>IF('Calendario C'!I401="","",'Calendario C'!I401)</f>
        <v/>
      </c>
      <c r="J1681" s="141" t="n"/>
      <c r="K1681" s="141" t="n"/>
      <c r="L1681" s="141" t="n"/>
      <c r="M1681" s="141" t="n"/>
      <c r="N1681" s="141" t="n"/>
      <c r="O1681" s="141" t="n"/>
      <c r="P1681" s="141" t="n"/>
      <c r="Q1681" s="141" t="n"/>
      <c r="R1681" s="141" t="n"/>
    </row>
    <row r="1682" ht="14" customHeight="1">
      <c r="A1682" s="81" t="inlineStr">
        <is>
          <t>Gara N.</t>
        </is>
      </c>
      <c r="B1682" s="81" t="inlineStr">
        <is>
          <t>Squadra A</t>
        </is>
      </c>
      <c r="C1682" s="10" t="n"/>
      <c r="D1682" s="81" t="inlineStr">
        <is>
          <t>Squadra B</t>
        </is>
      </c>
      <c r="E1682" s="10" t="n"/>
      <c r="F1682" s="81" t="inlineStr">
        <is>
          <t>Giorno</t>
        </is>
      </c>
      <c r="G1682" s="81" t="inlineStr">
        <is>
          <t>Data</t>
        </is>
      </c>
      <c r="H1682" s="81" t="inlineStr">
        <is>
          <t>Ora</t>
        </is>
      </c>
      <c r="I1682" s="10" t="n"/>
      <c r="J1682" s="81" t="inlineStr">
        <is>
          <t>Risultato</t>
        </is>
      </c>
      <c r="K1682" s="9" t="n"/>
      <c r="L1682" s="10" t="n"/>
      <c r="M1682" s="201" t="inlineStr">
        <is>
          <t>1o Arbitro</t>
        </is>
      </c>
      <c r="N1682" s="201" t="inlineStr">
        <is>
          <t>2o Arbitro</t>
        </is>
      </c>
      <c r="O1682" s="201" t="inlineStr">
        <is>
          <t>3o Arbitro/Tirocinante</t>
        </is>
      </c>
      <c r="P1682" s="201" t="inlineStr">
        <is>
          <t>Referto</t>
        </is>
      </c>
      <c r="Q1682" s="201" t="inlineStr">
        <is>
          <t>Cronometro</t>
        </is>
      </c>
      <c r="R1682" s="201" t="inlineStr">
        <is>
          <t>Foglio Tiri</t>
        </is>
      </c>
    </row>
    <row r="1683" ht="22" customHeight="1">
      <c r="A1683" s="83">
        <f>IF('Calendario C'!A403="","",'Calendario C'!A403)</f>
        <v/>
      </c>
      <c r="B1683" s="61">
        <f>IF('Calendario C'!B403="","",'Calendario C'!B403)</f>
        <v/>
      </c>
      <c r="C1683" s="62">
        <f>IF('Calendario C'!C403="","",'Calendario C'!C403)</f>
        <v/>
      </c>
      <c r="D1683" s="61">
        <f>IF('Calendario C'!D403="","",'Calendario C'!D403)</f>
        <v/>
      </c>
      <c r="E1683" s="62">
        <f>IF('Calendario C'!E403="","",'Calendario C'!E403)</f>
        <v/>
      </c>
      <c r="F1683" s="63">
        <f>IF('Calendario C'!F403="","",'Calendario C'!F403)</f>
        <v/>
      </c>
      <c r="G1683" s="9" t="n"/>
      <c r="H1683" s="9" t="n"/>
      <c r="I1683" s="10" t="n"/>
      <c r="J1683" s="195">
        <f>IF('Calendario C'!J403="","",'Calendario C'!J403)</f>
        <v/>
      </c>
      <c r="K1683" s="64" t="inlineStr">
        <is>
          <t>-</t>
        </is>
      </c>
      <c r="L1683" s="195">
        <f>IF('Calendario C'!L403="","",'Calendario C'!L403)</f>
        <v/>
      </c>
      <c r="M1683" s="196" t="inlineStr">
        <is>
          <t>KOVAC Miha [Aest]</t>
        </is>
      </c>
      <c r="N1683" s="196" t="inlineStr">
        <is>
          <t>CAMPOS Ilaria [A]</t>
        </is>
      </c>
      <c r="O1683" s="196" t="inlineStr">
        <is>
          <t>MARCHIONI Filippo [AAt]</t>
        </is>
      </c>
      <c r="P1683" s="196" t="inlineStr">
        <is>
          <t>AUBERT Lea</t>
        </is>
      </c>
      <c r="Q1683" s="196" t="inlineStr">
        <is>
          <t>CAMPOS Noemi</t>
        </is>
      </c>
      <c r="R1683" s="196" t="inlineStr">
        <is>
          <t>KRAJNC Marco</t>
        </is>
      </c>
    </row>
    <row r="1684" ht="15" customHeight="1">
      <c r="A1684" s="141" t="n"/>
      <c r="B1684" s="69">
        <f>IF('Calendario C'!B404="","",'Calendario C'!B404)</f>
        <v/>
      </c>
      <c r="C1684" s="9" t="n"/>
      <c r="D1684" s="9" t="n"/>
      <c r="E1684" s="9" t="n"/>
      <c r="F1684" s="9" t="n"/>
      <c r="G1684" s="9" t="n"/>
      <c r="H1684" s="10" t="n"/>
      <c r="I1684" s="62">
        <f>IF('Calendario C'!I404="","",'Calendario C'!I404)</f>
        <v/>
      </c>
      <c r="J1684" s="141" t="n"/>
      <c r="K1684" s="141" t="n"/>
      <c r="L1684" s="141" t="n"/>
      <c r="M1684" s="141" t="n"/>
      <c r="N1684" s="141" t="n"/>
      <c r="O1684" s="141" t="n"/>
      <c r="P1684" s="141" t="n"/>
      <c r="Q1684" s="141" t="n"/>
      <c r="R1684" s="141" t="n"/>
    </row>
    <row r="1685" ht="14" customHeight="1">
      <c r="A1685" s="81" t="inlineStr">
        <is>
          <t>Gara N.</t>
        </is>
      </c>
      <c r="B1685" s="81" t="inlineStr">
        <is>
          <t>Squadra A</t>
        </is>
      </c>
      <c r="C1685" s="10" t="n"/>
      <c r="D1685" s="81" t="inlineStr">
        <is>
          <t>Squadra B</t>
        </is>
      </c>
      <c r="E1685" s="10" t="n"/>
      <c r="F1685" s="81" t="inlineStr">
        <is>
          <t>Giorno</t>
        </is>
      </c>
      <c r="G1685" s="81" t="inlineStr">
        <is>
          <t>Data</t>
        </is>
      </c>
      <c r="H1685" s="81" t="inlineStr">
        <is>
          <t>Ora</t>
        </is>
      </c>
      <c r="I1685" s="10" t="n"/>
      <c r="J1685" s="81" t="inlineStr">
        <is>
          <t>Risultato</t>
        </is>
      </c>
      <c r="K1685" s="9" t="n"/>
      <c r="L1685" s="10" t="n"/>
      <c r="M1685" s="201" t="inlineStr">
        <is>
          <t>1o Arbitro</t>
        </is>
      </c>
      <c r="N1685" s="201" t="inlineStr">
        <is>
          <t>2o Arbitro</t>
        </is>
      </c>
      <c r="O1685" s="201" t="inlineStr">
        <is>
          <t>3o Arbitro/Tirocinante</t>
        </is>
      </c>
      <c r="P1685" s="201" t="inlineStr">
        <is>
          <t>Referto</t>
        </is>
      </c>
      <c r="Q1685" s="201" t="inlineStr">
        <is>
          <t>Cronometro</t>
        </is>
      </c>
      <c r="R1685" s="201" t="inlineStr">
        <is>
          <t>Foglio Tiri</t>
        </is>
      </c>
    </row>
    <row r="1686" ht="22" customHeight="1">
      <c r="A1686" s="83">
        <f>IF('Calendario C'!A406="","",'Calendario C'!A406)</f>
        <v/>
      </c>
      <c r="B1686" s="61">
        <f>IF('Calendario C'!B406="","",'Calendario C'!B406)</f>
        <v/>
      </c>
      <c r="C1686" s="62">
        <f>IF('Calendario C'!C406="","",'Calendario C'!C406)</f>
        <v/>
      </c>
      <c r="D1686" s="61">
        <f>IF('Calendario C'!D406="","",'Calendario C'!D406)</f>
        <v/>
      </c>
      <c r="E1686" s="62">
        <f>IF('Calendario C'!E406="","",'Calendario C'!E406)</f>
        <v/>
      </c>
      <c r="F1686" s="63">
        <f>IF('Calendario C'!F406="","",'Calendario C'!F406)</f>
        <v/>
      </c>
      <c r="G1686" s="9" t="n"/>
      <c r="H1686" s="9" t="n"/>
      <c r="I1686" s="10" t="n"/>
      <c r="J1686" s="195">
        <f>IF('Calendario C'!J406="","",'Calendario C'!J406)</f>
        <v/>
      </c>
      <c r="K1686" s="64" t="inlineStr">
        <is>
          <t>-</t>
        </is>
      </c>
      <c r="L1686" s="195">
        <f>IF('Calendario C'!L406="","",'Calendario C'!L406)</f>
        <v/>
      </c>
      <c r="M1686" s="196" t="inlineStr">
        <is>
          <t>LEROUX Diego [AAt]</t>
        </is>
      </c>
      <c r="N1686" s="196" t="inlineStr">
        <is>
          <t>FERRANTE Luca [AAt]</t>
        </is>
      </c>
      <c r="O1686" s="196" t="inlineStr">
        <is>
          <t>CAMPOS Jonas [AAt]</t>
        </is>
      </c>
      <c r="P1686" s="196" t="inlineStr">
        <is>
          <t>WEBER Filippo</t>
        </is>
      </c>
      <c r="Q1686" s="196" t="inlineStr">
        <is>
          <t>NOVAK Ilaria</t>
        </is>
      </c>
      <c r="R1686" s="196" t="inlineStr">
        <is>
          <t>ZUPAN Noemi</t>
        </is>
      </c>
    </row>
    <row r="1687" ht="15" customHeight="1">
      <c r="A1687" s="141" t="n"/>
      <c r="B1687" s="69">
        <f>IF('Calendario C'!B407="","",'Calendario C'!B407)</f>
        <v/>
      </c>
      <c r="C1687" s="9" t="n"/>
      <c r="D1687" s="9" t="n"/>
      <c r="E1687" s="9" t="n"/>
      <c r="F1687" s="9" t="n"/>
      <c r="G1687" s="9" t="n"/>
      <c r="H1687" s="10" t="n"/>
      <c r="I1687" s="62">
        <f>IF('Calendario C'!I407="","",'Calendario C'!I407)</f>
        <v/>
      </c>
      <c r="J1687" s="141" t="n"/>
      <c r="K1687" s="141" t="n"/>
      <c r="L1687" s="141" t="n"/>
      <c r="M1687" s="141" t="n"/>
      <c r="N1687" s="141" t="n"/>
      <c r="O1687" s="141" t="n"/>
      <c r="P1687" s="141" t="n"/>
      <c r="Q1687" s="141" t="n"/>
      <c r="R1687" s="141" t="n"/>
    </row>
    <row r="1688" ht="14" customHeight="1">
      <c r="A1688" s="81" t="inlineStr">
        <is>
          <t>Gara N.</t>
        </is>
      </c>
      <c r="B1688" s="81" t="inlineStr">
        <is>
          <t>Squadra A</t>
        </is>
      </c>
      <c r="C1688" s="10" t="n"/>
      <c r="D1688" s="81" t="inlineStr">
        <is>
          <t>Squadra B</t>
        </is>
      </c>
      <c r="E1688" s="10" t="n"/>
      <c r="F1688" s="81" t="inlineStr">
        <is>
          <t>Giorno</t>
        </is>
      </c>
      <c r="G1688" s="81" t="inlineStr">
        <is>
          <t>Data</t>
        </is>
      </c>
      <c r="H1688" s="81" t="inlineStr">
        <is>
          <t>Ora</t>
        </is>
      </c>
      <c r="I1688" s="10" t="n"/>
      <c r="J1688" s="81" t="inlineStr">
        <is>
          <t>Risultato</t>
        </is>
      </c>
      <c r="K1688" s="9" t="n"/>
      <c r="L1688" s="10" t="n"/>
      <c r="M1688" s="201" t="inlineStr">
        <is>
          <t>1o Arbitro</t>
        </is>
      </c>
      <c r="N1688" s="201" t="inlineStr">
        <is>
          <t>2o Arbitro</t>
        </is>
      </c>
      <c r="O1688" s="201" t="inlineStr">
        <is>
          <t>3o Arbitro/Tirocinante</t>
        </is>
      </c>
      <c r="P1688" s="201" t="inlineStr">
        <is>
          <t>Referto</t>
        </is>
      </c>
      <c r="Q1688" s="201" t="inlineStr">
        <is>
          <t>Cronometro</t>
        </is>
      </c>
      <c r="R1688" s="201" t="inlineStr">
        <is>
          <t>Foglio Tiri</t>
        </is>
      </c>
    </row>
    <row r="1689" ht="22" customHeight="1">
      <c r="A1689" s="83">
        <f>IF('Calendario C'!A409="","",'Calendario C'!A409)</f>
        <v/>
      </c>
      <c r="B1689" s="61">
        <f>IF('Calendario C'!B409="","",'Calendario C'!B409)</f>
        <v/>
      </c>
      <c r="C1689" s="62">
        <f>IF('Calendario C'!C409="","",'Calendario C'!C409)</f>
        <v/>
      </c>
      <c r="D1689" s="61">
        <f>IF('Calendario C'!D409="","",'Calendario C'!D409)</f>
        <v/>
      </c>
      <c r="E1689" s="62">
        <f>IF('Calendario C'!E409="","",'Calendario C'!E409)</f>
        <v/>
      </c>
      <c r="F1689" s="63">
        <f>IF('Calendario C'!F409="","",'Calendario C'!F409)</f>
        <v/>
      </c>
      <c r="G1689" s="9" t="n"/>
      <c r="H1689" s="9" t="n"/>
      <c r="I1689" s="10" t="n"/>
      <c r="J1689" s="195">
        <f>IF('Calendario C'!J409="","",'Calendario C'!J409)</f>
        <v/>
      </c>
      <c r="K1689" s="64" t="inlineStr">
        <is>
          <t>-</t>
        </is>
      </c>
      <c r="L1689" s="195">
        <f>IF('Calendario C'!L409="","",'Calendario C'!L409)</f>
        <v/>
      </c>
      <c r="M1689" s="196" t="inlineStr">
        <is>
          <t>PELLEGRI Valerie [AA]</t>
        </is>
      </c>
      <c r="N1689" s="196" t="inlineStr">
        <is>
          <t>PRADO Eva [AAt]</t>
        </is>
      </c>
      <c r="O1689" s="196" t="inlineStr">
        <is>
          <t>SCHAFER Stefano [A]</t>
        </is>
      </c>
      <c r="P1689" s="196" t="inlineStr">
        <is>
          <t>OBLAK Chiara</t>
        </is>
      </c>
      <c r="Q1689" s="196" t="inlineStr">
        <is>
          <t>HOFFMANN Davide</t>
        </is>
      </c>
      <c r="R1689" s="196" t="inlineStr">
        <is>
          <t>BELLANDI Hugo</t>
        </is>
      </c>
    </row>
    <row r="1690" ht="15" customHeight="1">
      <c r="A1690" s="141" t="n"/>
      <c r="B1690" s="69">
        <f>IF('Calendario C'!B410="","",'Calendario C'!B410)</f>
        <v/>
      </c>
      <c r="C1690" s="9" t="n"/>
      <c r="D1690" s="9" t="n"/>
      <c r="E1690" s="9" t="n"/>
      <c r="F1690" s="9" t="n"/>
      <c r="G1690" s="9" t="n"/>
      <c r="H1690" s="10" t="n"/>
      <c r="I1690" s="62">
        <f>IF('Calendario C'!I410="","",'Calendario C'!I410)</f>
        <v/>
      </c>
      <c r="J1690" s="141" t="n"/>
      <c r="K1690" s="141" t="n"/>
      <c r="L1690" s="141" t="n"/>
      <c r="M1690" s="141" t="n"/>
      <c r="N1690" s="141" t="n"/>
      <c r="O1690" s="141" t="n"/>
      <c r="P1690" s="141" t="n"/>
      <c r="Q1690" s="141" t="n"/>
      <c r="R1690" s="141" t="n"/>
    </row>
    <row r="1691" ht="14" customHeight="1">
      <c r="A1691" s="81" t="inlineStr">
        <is>
          <t>Gara N.</t>
        </is>
      </c>
      <c r="B1691" s="81" t="inlineStr">
        <is>
          <t>Squadra A</t>
        </is>
      </c>
      <c r="C1691" s="10" t="n"/>
      <c r="D1691" s="81" t="inlineStr">
        <is>
          <t>Squadra B</t>
        </is>
      </c>
      <c r="E1691" s="10" t="n"/>
      <c r="F1691" s="81" t="inlineStr">
        <is>
          <t>Giorno</t>
        </is>
      </c>
      <c r="G1691" s="81" t="inlineStr">
        <is>
          <t>Data</t>
        </is>
      </c>
      <c r="H1691" s="81" t="inlineStr">
        <is>
          <t>Ora</t>
        </is>
      </c>
      <c r="I1691" s="10" t="n"/>
      <c r="J1691" s="81" t="inlineStr">
        <is>
          <t>Risultato</t>
        </is>
      </c>
      <c r="K1691" s="9" t="n"/>
      <c r="L1691" s="10" t="n"/>
      <c r="M1691" s="201" t="inlineStr">
        <is>
          <t>1o Arbitro</t>
        </is>
      </c>
      <c r="N1691" s="201" t="inlineStr">
        <is>
          <t>2o Arbitro</t>
        </is>
      </c>
      <c r="O1691" s="201" t="inlineStr">
        <is>
          <t>3o Arbitro/Tirocinante</t>
        </is>
      </c>
      <c r="P1691" s="201" t="inlineStr">
        <is>
          <t>Referto</t>
        </is>
      </c>
      <c r="Q1691" s="201" t="inlineStr">
        <is>
          <t>Cronometro</t>
        </is>
      </c>
      <c r="R1691" s="201" t="inlineStr">
        <is>
          <t>Foglio Tiri</t>
        </is>
      </c>
    </row>
    <row r="1692" ht="22" customHeight="1">
      <c r="A1692" s="83">
        <f>IF('Calendario C'!A412="","",'Calendario C'!A412)</f>
        <v/>
      </c>
      <c r="B1692" s="61">
        <f>IF('Calendario C'!B412="","",'Calendario C'!B412)</f>
        <v/>
      </c>
      <c r="C1692" s="62">
        <f>IF('Calendario C'!C412="","",'Calendario C'!C412)</f>
        <v/>
      </c>
      <c r="D1692" s="61">
        <f>IF('Calendario C'!D412="","",'Calendario C'!D412)</f>
        <v/>
      </c>
      <c r="E1692" s="62">
        <f>IF('Calendario C'!E412="","",'Calendario C'!E412)</f>
        <v/>
      </c>
      <c r="F1692" s="63">
        <f>IF('Calendario C'!F412="","",'Calendario C'!F412)</f>
        <v/>
      </c>
      <c r="G1692" s="9" t="n"/>
      <c r="H1692" s="9" t="n"/>
      <c r="I1692" s="10" t="n"/>
      <c r="J1692" s="195">
        <f>IF('Calendario C'!J412="","",'Calendario C'!J412)</f>
        <v/>
      </c>
      <c r="K1692" s="64" t="inlineStr">
        <is>
          <t>-</t>
        </is>
      </c>
      <c r="L1692" s="195">
        <f>IF('Calendario C'!L412="","",'Calendario C'!L412)</f>
        <v/>
      </c>
      <c r="M1692" s="196" t="inlineStr">
        <is>
          <t>MODIC Chiara [AA]</t>
        </is>
      </c>
      <c r="N1692" s="196" t="inlineStr">
        <is>
          <t>NOVAK Felix [A]</t>
        </is>
      </c>
      <c r="O1692" s="196" t="inlineStr">
        <is>
          <t>ROMERO Stefano [Aest]</t>
        </is>
      </c>
      <c r="P1692" s="196" t="inlineStr">
        <is>
          <t>PRADO Alenka</t>
        </is>
      </c>
      <c r="Q1692" s="196" t="inlineStr">
        <is>
          <t>VIDMAR Felix</t>
        </is>
      </c>
      <c r="R1692" s="196" t="inlineStr">
        <is>
          <t>ZUPAN Paula</t>
        </is>
      </c>
    </row>
    <row r="1693" ht="15" customHeight="1">
      <c r="A1693" s="141" t="n"/>
      <c r="B1693" s="69">
        <f>IF('Calendario C'!B413="","",'Calendario C'!B413)</f>
        <v/>
      </c>
      <c r="C1693" s="9" t="n"/>
      <c r="D1693" s="9" t="n"/>
      <c r="E1693" s="9" t="n"/>
      <c r="F1693" s="9" t="n"/>
      <c r="G1693" s="9" t="n"/>
      <c r="H1693" s="10" t="n"/>
      <c r="I1693" s="62">
        <f>IF('Calendario C'!I413="","",'Calendario C'!I413)</f>
        <v/>
      </c>
      <c r="J1693" s="141" t="n"/>
      <c r="K1693" s="141" t="n"/>
      <c r="L1693" s="141" t="n"/>
      <c r="M1693" s="141" t="n"/>
      <c r="N1693" s="141" t="n"/>
      <c r="O1693" s="141" t="n"/>
      <c r="P1693" s="141" t="n"/>
      <c r="Q1693" s="141" t="n"/>
      <c r="R1693" s="141" t="n"/>
    </row>
    <row r="1694" ht="14" customHeight="1">
      <c r="A1694" s="81" t="inlineStr">
        <is>
          <t>Gara N.</t>
        </is>
      </c>
      <c r="B1694" s="81" t="inlineStr">
        <is>
          <t>Squadra A</t>
        </is>
      </c>
      <c r="C1694" s="10" t="n"/>
      <c r="D1694" s="81" t="inlineStr">
        <is>
          <t>Squadra B</t>
        </is>
      </c>
      <c r="E1694" s="10" t="n"/>
      <c r="F1694" s="81" t="inlineStr">
        <is>
          <t>Giorno</t>
        </is>
      </c>
      <c r="G1694" s="81" t="inlineStr">
        <is>
          <t>Data</t>
        </is>
      </c>
      <c r="H1694" s="81" t="inlineStr">
        <is>
          <t>Ora</t>
        </is>
      </c>
      <c r="I1694" s="10" t="n"/>
      <c r="J1694" s="81" t="inlineStr">
        <is>
          <t>Risultato</t>
        </is>
      </c>
      <c r="K1694" s="9" t="n"/>
      <c r="L1694" s="10" t="n"/>
      <c r="M1694" s="201" t="inlineStr">
        <is>
          <t>1o Arbitro</t>
        </is>
      </c>
      <c r="N1694" s="201" t="inlineStr">
        <is>
          <t>2o Arbitro</t>
        </is>
      </c>
      <c r="O1694" s="201" t="inlineStr">
        <is>
          <t>3o Arbitro/Tirocinante</t>
        </is>
      </c>
      <c r="P1694" s="201" t="inlineStr">
        <is>
          <t>Referto</t>
        </is>
      </c>
      <c r="Q1694" s="201" t="inlineStr">
        <is>
          <t>Cronometro</t>
        </is>
      </c>
      <c r="R1694" s="201" t="inlineStr">
        <is>
          <t>Foglio Tiri</t>
        </is>
      </c>
    </row>
    <row r="1695" ht="22" customHeight="1">
      <c r="A1695" s="83">
        <f>IF('Calendario C'!A415="","",'Calendario C'!A415)</f>
        <v/>
      </c>
      <c r="B1695" s="61">
        <f>IF('Calendario C'!B415="","",'Calendario C'!B415)</f>
        <v/>
      </c>
      <c r="C1695" s="62">
        <f>IF('Calendario C'!C415="","",'Calendario C'!C415)</f>
        <v/>
      </c>
      <c r="D1695" s="61">
        <f>IF('Calendario C'!D415="","",'Calendario C'!D415)</f>
        <v/>
      </c>
      <c r="E1695" s="62">
        <f>IF('Calendario C'!E415="","",'Calendario C'!E415)</f>
        <v/>
      </c>
      <c r="F1695" s="63">
        <f>IF('Calendario C'!F415="","",'Calendario C'!F415)</f>
        <v/>
      </c>
      <c r="G1695" s="9" t="n"/>
      <c r="H1695" s="9" t="n"/>
      <c r="I1695" s="10" t="n"/>
      <c r="J1695" s="195">
        <f>IF('Calendario C'!J415="","",'Calendario C'!J415)</f>
        <v/>
      </c>
      <c r="K1695" s="64" t="inlineStr">
        <is>
          <t>-</t>
        </is>
      </c>
      <c r="L1695" s="195">
        <f>IF('Calendario C'!L415="","",'Calendario C'!L415)</f>
        <v/>
      </c>
      <c r="M1695" s="196" t="inlineStr">
        <is>
          <t>NOVAK Beatrice [Aest]</t>
        </is>
      </c>
      <c r="N1695" s="196" t="inlineStr">
        <is>
          <t>LEFEVRE Mathilde [A]</t>
        </is>
      </c>
      <c r="O1695" s="196" t="inlineStr">
        <is>
          <t>SANTORI Nicola [AA]</t>
        </is>
      </c>
      <c r="P1695" s="196" t="inlineStr">
        <is>
          <t>LEFEVRE Ilaria</t>
        </is>
      </c>
      <c r="Q1695" s="196" t="inlineStr">
        <is>
          <t>NAVARRO Luca</t>
        </is>
      </c>
      <c r="R1695" s="196" t="inlineStr">
        <is>
          <t>KELLER Ottavia</t>
        </is>
      </c>
    </row>
    <row r="1696" ht="15" customHeight="1">
      <c r="A1696" s="141" t="n"/>
      <c r="B1696" s="69">
        <f>IF('Calendario C'!B416="","",'Calendario C'!B416)</f>
        <v/>
      </c>
      <c r="C1696" s="9" t="n"/>
      <c r="D1696" s="9" t="n"/>
      <c r="E1696" s="9" t="n"/>
      <c r="F1696" s="9" t="n"/>
      <c r="G1696" s="9" t="n"/>
      <c r="H1696" s="10" t="n"/>
      <c r="I1696" s="62">
        <f>IF('Calendario C'!I416="","",'Calendario C'!I416)</f>
        <v/>
      </c>
      <c r="J1696" s="141" t="n"/>
      <c r="K1696" s="141" t="n"/>
      <c r="L1696" s="141" t="n"/>
      <c r="M1696" s="141" t="n"/>
      <c r="N1696" s="141" t="n"/>
      <c r="O1696" s="141" t="n"/>
      <c r="P1696" s="141" t="n"/>
      <c r="Q1696" s="141" t="n"/>
      <c r="R1696" s="141" t="n"/>
    </row>
    <row r="1697" ht="14" customHeight="1">
      <c r="A1697" s="81" t="inlineStr">
        <is>
          <t>Gara N.</t>
        </is>
      </c>
      <c r="B1697" s="81" t="inlineStr">
        <is>
          <t>Squadra A</t>
        </is>
      </c>
      <c r="C1697" s="10" t="n"/>
      <c r="D1697" s="81" t="inlineStr">
        <is>
          <t>Squadra B</t>
        </is>
      </c>
      <c r="E1697" s="10" t="n"/>
      <c r="F1697" s="81" t="inlineStr">
        <is>
          <t>Giorno</t>
        </is>
      </c>
      <c r="G1697" s="81" t="inlineStr">
        <is>
          <t>Data</t>
        </is>
      </c>
      <c r="H1697" s="81" t="inlineStr">
        <is>
          <t>Ora</t>
        </is>
      </c>
      <c r="I1697" s="10" t="n"/>
      <c r="J1697" s="81" t="inlineStr">
        <is>
          <t>Risultato</t>
        </is>
      </c>
      <c r="K1697" s="9" t="n"/>
      <c r="L1697" s="10" t="n"/>
      <c r="M1697" s="201" t="inlineStr">
        <is>
          <t>1o Arbitro</t>
        </is>
      </c>
      <c r="N1697" s="201" t="inlineStr">
        <is>
          <t>2o Arbitro</t>
        </is>
      </c>
      <c r="O1697" s="201" t="inlineStr">
        <is>
          <t>3o Arbitro/Tirocinante</t>
        </is>
      </c>
      <c r="P1697" s="201" t="inlineStr">
        <is>
          <t>Referto</t>
        </is>
      </c>
      <c r="Q1697" s="201" t="inlineStr">
        <is>
          <t>Cronometro</t>
        </is>
      </c>
      <c r="R1697" s="201" t="inlineStr">
        <is>
          <t>Foglio Tiri</t>
        </is>
      </c>
    </row>
    <row r="1698" ht="22" customHeight="1">
      <c r="A1698" s="83">
        <f>IF('Calendario C'!A418="","",'Calendario C'!A418)</f>
        <v/>
      </c>
      <c r="B1698" s="61">
        <f>IF('Calendario C'!B418="","",'Calendario C'!B418)</f>
        <v/>
      </c>
      <c r="C1698" s="62">
        <f>IF('Calendario C'!C418="","",'Calendario C'!C418)</f>
        <v/>
      </c>
      <c r="D1698" s="61">
        <f>IF('Calendario C'!D418="","",'Calendario C'!D418)</f>
        <v/>
      </c>
      <c r="E1698" s="62">
        <f>IF('Calendario C'!E418="","",'Calendario C'!E418)</f>
        <v/>
      </c>
      <c r="F1698" s="63">
        <f>IF('Calendario C'!F418="","",'Calendario C'!F418)</f>
        <v/>
      </c>
      <c r="G1698" s="9" t="n"/>
      <c r="H1698" s="9" t="n"/>
      <c r="I1698" s="10" t="n"/>
      <c r="J1698" s="195">
        <f>IF('Calendario C'!J418="","",'Calendario C'!J418)</f>
        <v/>
      </c>
      <c r="K1698" s="64" t="inlineStr">
        <is>
          <t>-</t>
        </is>
      </c>
      <c r="L1698" s="195">
        <f>IF('Calendario C'!L418="","",'Calendario C'!L418)</f>
        <v/>
      </c>
      <c r="M1698" s="196" t="inlineStr">
        <is>
          <t>ROTH Eva [A]</t>
        </is>
      </c>
      <c r="N1698" s="196" t="inlineStr">
        <is>
          <t>MODIC Gaelle [AA]</t>
        </is>
      </c>
      <c r="O1698" s="196" t="inlineStr">
        <is>
          <t>BIANCHELLI Tommaso [A]</t>
        </is>
      </c>
      <c r="P1698" s="196" t="inlineStr">
        <is>
          <t>SANTORI Jonas</t>
        </is>
      </c>
      <c r="Q1698" s="196" t="inlineStr">
        <is>
          <t>BLANCHET Paula</t>
        </is>
      </c>
      <c r="R1698" s="196" t="inlineStr">
        <is>
          <t>HOFFMANN Paolo</t>
        </is>
      </c>
    </row>
    <row r="1699" ht="15" customHeight="1">
      <c r="A1699" s="141" t="n"/>
      <c r="B1699" s="69">
        <f>IF('Calendario C'!B419="","",'Calendario C'!B419)</f>
        <v/>
      </c>
      <c r="C1699" s="9" t="n"/>
      <c r="D1699" s="9" t="n"/>
      <c r="E1699" s="9" t="n"/>
      <c r="F1699" s="9" t="n"/>
      <c r="G1699" s="9" t="n"/>
      <c r="H1699" s="10" t="n"/>
      <c r="I1699" s="62">
        <f>IF('Calendario C'!I419="","",'Calendario C'!I419)</f>
        <v/>
      </c>
      <c r="J1699" s="141" t="n"/>
      <c r="K1699" s="141" t="n"/>
      <c r="L1699" s="141" t="n"/>
      <c r="M1699" s="141" t="n"/>
      <c r="N1699" s="141" t="n"/>
      <c r="O1699" s="141" t="n"/>
      <c r="P1699" s="141" t="n"/>
      <c r="Q1699" s="141" t="n"/>
      <c r="R1699" s="141" t="n"/>
    </row>
    <row r="1700" ht="14" customHeight="1">
      <c r="A1700" s="81" t="inlineStr">
        <is>
          <t>Gara N.</t>
        </is>
      </c>
      <c r="B1700" s="81" t="inlineStr">
        <is>
          <t>Squadra A</t>
        </is>
      </c>
      <c r="C1700" s="10" t="n"/>
      <c r="D1700" s="81" t="inlineStr">
        <is>
          <t>Squadra B</t>
        </is>
      </c>
      <c r="E1700" s="10" t="n"/>
      <c r="F1700" s="81" t="inlineStr">
        <is>
          <t>Giorno</t>
        </is>
      </c>
      <c r="G1700" s="81" t="inlineStr">
        <is>
          <t>Data</t>
        </is>
      </c>
      <c r="H1700" s="81" t="inlineStr">
        <is>
          <t>Ora</t>
        </is>
      </c>
      <c r="I1700" s="10" t="n"/>
      <c r="J1700" s="81" t="inlineStr">
        <is>
          <t>Risultato</t>
        </is>
      </c>
      <c r="K1700" s="9" t="n"/>
      <c r="L1700" s="10" t="n"/>
      <c r="M1700" s="201" t="inlineStr">
        <is>
          <t>1o Arbitro</t>
        </is>
      </c>
      <c r="N1700" s="201" t="inlineStr">
        <is>
          <t>2o Arbitro</t>
        </is>
      </c>
      <c r="O1700" s="201" t="inlineStr">
        <is>
          <t>3o Arbitro/Tirocinante</t>
        </is>
      </c>
      <c r="P1700" s="201" t="inlineStr">
        <is>
          <t>Referto</t>
        </is>
      </c>
      <c r="Q1700" s="201" t="inlineStr">
        <is>
          <t>Cronometro</t>
        </is>
      </c>
      <c r="R1700" s="201" t="inlineStr">
        <is>
          <t>Foglio Tiri</t>
        </is>
      </c>
    </row>
    <row r="1701" ht="22" customHeight="1">
      <c r="A1701" s="83">
        <f>IF('Calendario C'!A421="","",'Calendario C'!A421)</f>
        <v/>
      </c>
      <c r="B1701" s="61">
        <f>IF('Calendario C'!B421="","",'Calendario C'!B421)</f>
        <v/>
      </c>
      <c r="C1701" s="62">
        <f>IF('Calendario C'!C421="","",'Calendario C'!C421)</f>
        <v/>
      </c>
      <c r="D1701" s="61">
        <f>IF('Calendario C'!D421="","",'Calendario C'!D421)</f>
        <v/>
      </c>
      <c r="E1701" s="62">
        <f>IF('Calendario C'!E421="","",'Calendario C'!E421)</f>
        <v/>
      </c>
      <c r="F1701" s="63">
        <f>IF('Calendario C'!F421="","",'Calendario C'!F421)</f>
        <v/>
      </c>
      <c r="G1701" s="9" t="n"/>
      <c r="H1701" s="9" t="n"/>
      <c r="I1701" s="10" t="n"/>
      <c r="J1701" s="195">
        <f>IF('Calendario C'!J421="","",'Calendario C'!J421)</f>
        <v/>
      </c>
      <c r="K1701" s="64" t="inlineStr">
        <is>
          <t>-</t>
        </is>
      </c>
      <c r="L1701" s="195">
        <f>IF('Calendario C'!L421="","",'Calendario C'!L421)</f>
        <v/>
      </c>
      <c r="M1701" s="196" t="inlineStr">
        <is>
          <t>AUBERT Filippo [AA]</t>
        </is>
      </c>
      <c r="N1701" s="196" t="inlineStr">
        <is>
          <t>ENGEL Luca [AA]</t>
        </is>
      </c>
      <c r="O1701" s="196" t="inlineStr">
        <is>
          <t>MARCHIONI Lea [AAt]</t>
        </is>
      </c>
      <c r="P1701" s="196" t="inlineStr">
        <is>
          <t>GAUTHIER Pablo</t>
        </is>
      </c>
      <c r="Q1701" s="196" t="inlineStr">
        <is>
          <t>ROTH Hugo</t>
        </is>
      </c>
      <c r="R1701" s="196" t="inlineStr">
        <is>
          <t>VIDMAR Matteo</t>
        </is>
      </c>
    </row>
    <row r="1702" ht="15" customHeight="1">
      <c r="A1702" s="141" t="n"/>
      <c r="B1702" s="69">
        <f>IF('Calendario C'!B422="","",'Calendario C'!B422)</f>
        <v/>
      </c>
      <c r="C1702" s="9" t="n"/>
      <c r="D1702" s="9" t="n"/>
      <c r="E1702" s="9" t="n"/>
      <c r="F1702" s="9" t="n"/>
      <c r="G1702" s="9" t="n"/>
      <c r="H1702" s="10" t="n"/>
      <c r="I1702" s="62">
        <f>IF('Calendario C'!I422="","",'Calendario C'!I422)</f>
        <v/>
      </c>
      <c r="J1702" s="141" t="n"/>
      <c r="K1702" s="141" t="n"/>
      <c r="L1702" s="141" t="n"/>
      <c r="M1702" s="141" t="n"/>
      <c r="N1702" s="141" t="n"/>
      <c r="O1702" s="141" t="n"/>
      <c r="P1702" s="141" t="n"/>
      <c r="Q1702" s="141" t="n"/>
      <c r="R1702" s="141" t="n"/>
    </row>
    <row r="1704" ht="20" customHeight="1">
      <c r="A1704" s="78">
        <f>IF('Calendario C'!A424="","",'Calendario C'!A424)</f>
        <v/>
      </c>
      <c r="B1704" s="79">
        <f>IF('Calendario C'!B424="","",'Calendario C'!B424)</f>
        <v/>
      </c>
      <c r="C1704" s="9" t="n"/>
      <c r="D1704" s="9" t="n"/>
      <c r="E1704" s="9" t="n"/>
      <c r="F1704" s="9" t="n"/>
      <c r="G1704" s="9" t="n"/>
      <c r="H1704" s="9" t="n"/>
      <c r="I1704" s="9" t="n"/>
      <c r="J1704" s="9" t="n"/>
      <c r="K1704" s="9" t="n"/>
      <c r="L1704" s="10" t="n"/>
      <c r="M1704" s="200" t="inlineStr">
        <is>
          <t>ARBITRI</t>
        </is>
      </c>
      <c r="N1704" s="9" t="n"/>
      <c r="O1704" s="10" t="n"/>
      <c r="P1704" s="200" t="inlineStr">
        <is>
          <t>UFFICIALI DI CAMPO</t>
        </is>
      </c>
      <c r="Q1704" s="9" t="n"/>
      <c r="R1704" s="10" t="n"/>
    </row>
    <row r="1705" ht="14" customHeight="1">
      <c r="A1705" s="81" t="inlineStr">
        <is>
          <t>Gara N.</t>
        </is>
      </c>
      <c r="B1705" s="81" t="inlineStr">
        <is>
          <t>Squadra A</t>
        </is>
      </c>
      <c r="C1705" s="10" t="n"/>
      <c r="D1705" s="81" t="inlineStr">
        <is>
          <t>Squadra B</t>
        </is>
      </c>
      <c r="E1705" s="10" t="n"/>
      <c r="F1705" s="81" t="inlineStr">
        <is>
          <t>Giorno</t>
        </is>
      </c>
      <c r="G1705" s="81" t="inlineStr">
        <is>
          <t>Data</t>
        </is>
      </c>
      <c r="H1705" s="81" t="inlineStr">
        <is>
          <t>Ora</t>
        </is>
      </c>
      <c r="I1705" s="10" t="n"/>
      <c r="J1705" s="81" t="inlineStr">
        <is>
          <t>Risultato</t>
        </is>
      </c>
      <c r="K1705" s="9" t="n"/>
      <c r="L1705" s="10" t="n"/>
      <c r="M1705" s="201" t="inlineStr">
        <is>
          <t>1o Arbitro</t>
        </is>
      </c>
      <c r="N1705" s="201" t="inlineStr">
        <is>
          <t>2o Arbitro</t>
        </is>
      </c>
      <c r="O1705" s="201" t="inlineStr">
        <is>
          <t>3o Arbitro/Tirocinante</t>
        </is>
      </c>
      <c r="P1705" s="201" t="inlineStr">
        <is>
          <t>Referto</t>
        </is>
      </c>
      <c r="Q1705" s="201" t="inlineStr">
        <is>
          <t>Cronometro</t>
        </is>
      </c>
      <c r="R1705" s="201" t="inlineStr">
        <is>
          <t>Foglio Tiri</t>
        </is>
      </c>
    </row>
    <row r="1706" ht="22" customHeight="1">
      <c r="A1706" s="83">
        <f>IF('Calendario C'!A426="","",'Calendario C'!A426)</f>
        <v/>
      </c>
      <c r="B1706" s="61">
        <f>IF('Calendario C'!B426="","",'Calendario C'!B426)</f>
        <v/>
      </c>
      <c r="C1706" s="62">
        <f>IF('Calendario C'!C426="","",'Calendario C'!C426)</f>
        <v/>
      </c>
      <c r="D1706" s="61">
        <f>IF('Calendario C'!D426="","",'Calendario C'!D426)</f>
        <v/>
      </c>
      <c r="E1706" s="62">
        <f>IF('Calendario C'!E426="","",'Calendario C'!E426)</f>
        <v/>
      </c>
      <c r="F1706" s="63">
        <f>IF('Calendario C'!F426="","",'Calendario C'!F426)</f>
        <v/>
      </c>
      <c r="G1706" s="9" t="n"/>
      <c r="H1706" s="9" t="n"/>
      <c r="I1706" s="10" t="n"/>
      <c r="J1706" s="195">
        <f>IF('Calendario C'!J426="","",'Calendario C'!J426)</f>
        <v/>
      </c>
      <c r="K1706" s="64" t="inlineStr">
        <is>
          <t>-</t>
        </is>
      </c>
      <c r="L1706" s="195">
        <f>IF('Calendario C'!L426="","",'Calendario C'!L426)</f>
        <v/>
      </c>
      <c r="M1706" s="196" t="inlineStr">
        <is>
          <t>HORVAT Davide [Aest]</t>
        </is>
      </c>
      <c r="N1706" s="196" t="inlineStr">
        <is>
          <t>OBLAK Stefano [AA]</t>
        </is>
      </c>
      <c r="O1706" s="196" t="inlineStr">
        <is>
          <t>MARCHIONI Marco [Aest]</t>
        </is>
      </c>
      <c r="P1706" s="196" t="inlineStr">
        <is>
          <t>NADAUD Ilaria</t>
        </is>
      </c>
      <c r="Q1706" s="196" t="inlineStr">
        <is>
          <t>CAMPOS Noemi</t>
        </is>
      </c>
      <c r="R1706" s="196" t="inlineStr">
        <is>
          <t>MORETTO Beatrice</t>
        </is>
      </c>
    </row>
    <row r="1707" ht="15" customHeight="1">
      <c r="A1707" s="141" t="n"/>
      <c r="B1707" s="69">
        <f>IF('Calendario C'!B427="","",'Calendario C'!B427)</f>
        <v/>
      </c>
      <c r="C1707" s="9" t="n"/>
      <c r="D1707" s="9" t="n"/>
      <c r="E1707" s="9" t="n"/>
      <c r="F1707" s="9" t="n"/>
      <c r="G1707" s="9" t="n"/>
      <c r="H1707" s="10" t="n"/>
      <c r="I1707" s="62">
        <f>IF('Calendario C'!I427="","",'Calendario C'!I427)</f>
        <v/>
      </c>
      <c r="J1707" s="141" t="n"/>
      <c r="K1707" s="141" t="n"/>
      <c r="L1707" s="141" t="n"/>
      <c r="M1707" s="141" t="n"/>
      <c r="N1707" s="141" t="n"/>
      <c r="O1707" s="141" t="n"/>
      <c r="P1707" s="141" t="n"/>
      <c r="Q1707" s="141" t="n"/>
      <c r="R1707" s="141" t="n"/>
    </row>
    <row r="1708" ht="14" customHeight="1">
      <c r="A1708" s="81" t="inlineStr">
        <is>
          <t>Gara N.</t>
        </is>
      </c>
      <c r="B1708" s="81" t="inlineStr">
        <is>
          <t>Squadra A</t>
        </is>
      </c>
      <c r="C1708" s="10" t="n"/>
      <c r="D1708" s="81" t="inlineStr">
        <is>
          <t>Squadra B</t>
        </is>
      </c>
      <c r="E1708" s="10" t="n"/>
      <c r="F1708" s="81" t="inlineStr">
        <is>
          <t>Giorno</t>
        </is>
      </c>
      <c r="G1708" s="81" t="inlineStr">
        <is>
          <t>Data</t>
        </is>
      </c>
      <c r="H1708" s="81" t="inlineStr">
        <is>
          <t>Ora</t>
        </is>
      </c>
      <c r="I1708" s="10" t="n"/>
      <c r="J1708" s="81" t="inlineStr">
        <is>
          <t>Risultato</t>
        </is>
      </c>
      <c r="K1708" s="9" t="n"/>
      <c r="L1708" s="10" t="n"/>
      <c r="M1708" s="201" t="inlineStr">
        <is>
          <t>1o Arbitro</t>
        </is>
      </c>
      <c r="N1708" s="201" t="inlineStr">
        <is>
          <t>2o Arbitro</t>
        </is>
      </c>
      <c r="O1708" s="201" t="inlineStr">
        <is>
          <t>3o Arbitro/Tirocinante</t>
        </is>
      </c>
      <c r="P1708" s="201" t="inlineStr">
        <is>
          <t>Referto</t>
        </is>
      </c>
      <c r="Q1708" s="201" t="inlineStr">
        <is>
          <t>Cronometro</t>
        </is>
      </c>
      <c r="R1708" s="201" t="inlineStr">
        <is>
          <t>Foglio Tiri</t>
        </is>
      </c>
    </row>
    <row r="1709" ht="22" customHeight="1">
      <c r="A1709" s="83">
        <f>IF('Calendario C'!A429="","",'Calendario C'!A429)</f>
        <v/>
      </c>
      <c r="B1709" s="61">
        <f>IF('Calendario C'!B429="","",'Calendario C'!B429)</f>
        <v/>
      </c>
      <c r="C1709" s="62">
        <f>IF('Calendario C'!C429="","",'Calendario C'!C429)</f>
        <v/>
      </c>
      <c r="D1709" s="61">
        <f>IF('Calendario C'!D429="","",'Calendario C'!D429)</f>
        <v/>
      </c>
      <c r="E1709" s="62">
        <f>IF('Calendario C'!E429="","",'Calendario C'!E429)</f>
        <v/>
      </c>
      <c r="F1709" s="63">
        <f>IF('Calendario C'!F429="","",'Calendario C'!F429)</f>
        <v/>
      </c>
      <c r="G1709" s="9" t="n"/>
      <c r="H1709" s="9" t="n"/>
      <c r="I1709" s="10" t="n"/>
      <c r="J1709" s="195">
        <f>IF('Calendario C'!J429="","",'Calendario C'!J429)</f>
        <v/>
      </c>
      <c r="K1709" s="64" t="inlineStr">
        <is>
          <t>-</t>
        </is>
      </c>
      <c r="L1709" s="195">
        <f>IF('Calendario C'!L429="","",'Calendario C'!L429)</f>
        <v/>
      </c>
      <c r="M1709" s="196" t="inlineStr">
        <is>
          <t>PELLEGRI Valerie [AA]</t>
        </is>
      </c>
      <c r="N1709" s="196" t="inlineStr">
        <is>
          <t>CAMPOS Felix [Aest]</t>
        </is>
      </c>
      <c r="O1709" s="196" t="inlineStr">
        <is>
          <t>FOURNIER Tommaso [AA]</t>
        </is>
      </c>
      <c r="P1709" s="196" t="inlineStr">
        <is>
          <t>KRUGER Katrin</t>
        </is>
      </c>
      <c r="Q1709" s="196" t="inlineStr">
        <is>
          <t>CASTILLO Davide</t>
        </is>
      </c>
      <c r="R1709" s="196" t="inlineStr">
        <is>
          <t>GAUTHIER Matteo</t>
        </is>
      </c>
    </row>
    <row r="1710" ht="15" customHeight="1">
      <c r="A1710" s="141" t="n"/>
      <c r="B1710" s="69">
        <f>IF('Calendario C'!B430="","",'Calendario C'!B430)</f>
        <v/>
      </c>
      <c r="C1710" s="9" t="n"/>
      <c r="D1710" s="9" t="n"/>
      <c r="E1710" s="9" t="n"/>
      <c r="F1710" s="9" t="n"/>
      <c r="G1710" s="9" t="n"/>
      <c r="H1710" s="10" t="n"/>
      <c r="I1710" s="62">
        <f>IF('Calendario C'!I430="","",'Calendario C'!I430)</f>
        <v/>
      </c>
      <c r="J1710" s="141" t="n"/>
      <c r="K1710" s="141" t="n"/>
      <c r="L1710" s="141" t="n"/>
      <c r="M1710" s="141" t="n"/>
      <c r="N1710" s="141" t="n"/>
      <c r="O1710" s="141" t="n"/>
      <c r="P1710" s="141" t="n"/>
      <c r="Q1710" s="141" t="n"/>
      <c r="R1710" s="141" t="n"/>
    </row>
    <row r="1711" ht="14" customHeight="1">
      <c r="A1711" s="81" t="inlineStr">
        <is>
          <t>Gara N.</t>
        </is>
      </c>
      <c r="B1711" s="81" t="inlineStr">
        <is>
          <t>Squadra A</t>
        </is>
      </c>
      <c r="C1711" s="10" t="n"/>
      <c r="D1711" s="81" t="inlineStr">
        <is>
          <t>Squadra B</t>
        </is>
      </c>
      <c r="E1711" s="10" t="n"/>
      <c r="F1711" s="81" t="inlineStr">
        <is>
          <t>Giorno</t>
        </is>
      </c>
      <c r="G1711" s="81" t="inlineStr">
        <is>
          <t>Data</t>
        </is>
      </c>
      <c r="H1711" s="81" t="inlineStr">
        <is>
          <t>Ora</t>
        </is>
      </c>
      <c r="I1711" s="10" t="n"/>
      <c r="J1711" s="81" t="inlineStr">
        <is>
          <t>Risultato</t>
        </is>
      </c>
      <c r="K1711" s="9" t="n"/>
      <c r="L1711" s="10" t="n"/>
      <c r="M1711" s="201" t="inlineStr">
        <is>
          <t>1o Arbitro</t>
        </is>
      </c>
      <c r="N1711" s="201" t="inlineStr">
        <is>
          <t>2o Arbitro</t>
        </is>
      </c>
      <c r="O1711" s="201" t="inlineStr">
        <is>
          <t>3o Arbitro/Tirocinante</t>
        </is>
      </c>
      <c r="P1711" s="201" t="inlineStr">
        <is>
          <t>Referto</t>
        </is>
      </c>
      <c r="Q1711" s="201" t="inlineStr">
        <is>
          <t>Cronometro</t>
        </is>
      </c>
      <c r="R1711" s="201" t="inlineStr">
        <is>
          <t>Foglio Tiri</t>
        </is>
      </c>
    </row>
    <row r="1712" ht="22" customHeight="1">
      <c r="A1712" s="83">
        <f>IF('Calendario C'!A432="","",'Calendario C'!A432)</f>
        <v/>
      </c>
      <c r="B1712" s="61">
        <f>IF('Calendario C'!B432="","",'Calendario C'!B432)</f>
        <v/>
      </c>
      <c r="C1712" s="62">
        <f>IF('Calendario C'!C432="","",'Calendario C'!C432)</f>
        <v/>
      </c>
      <c r="D1712" s="61">
        <f>IF('Calendario C'!D432="","",'Calendario C'!D432)</f>
        <v/>
      </c>
      <c r="E1712" s="62">
        <f>IF('Calendario C'!E432="","",'Calendario C'!E432)</f>
        <v/>
      </c>
      <c r="F1712" s="63">
        <f>IF('Calendario C'!F432="","",'Calendario C'!F432)</f>
        <v/>
      </c>
      <c r="G1712" s="9" t="n"/>
      <c r="H1712" s="9" t="n"/>
      <c r="I1712" s="10" t="n"/>
      <c r="J1712" s="195">
        <f>IF('Calendario C'!J432="","",'Calendario C'!J432)</f>
        <v/>
      </c>
      <c r="K1712" s="64" t="inlineStr">
        <is>
          <t>-</t>
        </is>
      </c>
      <c r="L1712" s="195">
        <f>IF('Calendario C'!L432="","",'Calendario C'!L432)</f>
        <v/>
      </c>
      <c r="M1712" s="196" t="inlineStr">
        <is>
          <t>ROTH Eva [A]</t>
        </is>
      </c>
      <c r="N1712" s="196" t="inlineStr">
        <is>
          <t>BLANCHET Nicola [AA]</t>
        </is>
      </c>
      <c r="O1712" s="196" t="inlineStr">
        <is>
          <t>KELLER Chiara [AAt]</t>
        </is>
      </c>
      <c r="P1712" s="196" t="inlineStr">
        <is>
          <t>ROSSINI Mathilde</t>
        </is>
      </c>
      <c r="Q1712" s="196" t="inlineStr">
        <is>
          <t>NADAUD Mathilde</t>
        </is>
      </c>
      <c r="R1712" s="196" t="inlineStr">
        <is>
          <t>WEBER Nicola</t>
        </is>
      </c>
    </row>
    <row r="1713" ht="15" customHeight="1">
      <c r="A1713" s="141" t="n"/>
      <c r="B1713" s="69">
        <f>IF('Calendario C'!B433="","",'Calendario C'!B433)</f>
        <v/>
      </c>
      <c r="C1713" s="9" t="n"/>
      <c r="D1713" s="9" t="n"/>
      <c r="E1713" s="9" t="n"/>
      <c r="F1713" s="9" t="n"/>
      <c r="G1713" s="9" t="n"/>
      <c r="H1713" s="10" t="n"/>
      <c r="I1713" s="62">
        <f>IF('Calendario C'!I433="","",'Calendario C'!I433)</f>
        <v/>
      </c>
      <c r="J1713" s="141" t="n"/>
      <c r="K1713" s="141" t="n"/>
      <c r="L1713" s="141" t="n"/>
      <c r="M1713" s="141" t="n"/>
      <c r="N1713" s="141" t="n"/>
      <c r="O1713" s="141" t="n"/>
      <c r="P1713" s="141" t="n"/>
      <c r="Q1713" s="141" t="n"/>
      <c r="R1713" s="141" t="n"/>
    </row>
    <row r="1714" ht="14" customHeight="1">
      <c r="A1714" s="81" t="inlineStr">
        <is>
          <t>Gara N.</t>
        </is>
      </c>
      <c r="B1714" s="81" t="inlineStr">
        <is>
          <t>Squadra A</t>
        </is>
      </c>
      <c r="C1714" s="10" t="n"/>
      <c r="D1714" s="81" t="inlineStr">
        <is>
          <t>Squadra B</t>
        </is>
      </c>
      <c r="E1714" s="10" t="n"/>
      <c r="F1714" s="81" t="inlineStr">
        <is>
          <t>Giorno</t>
        </is>
      </c>
      <c r="G1714" s="81" t="inlineStr">
        <is>
          <t>Data</t>
        </is>
      </c>
      <c r="H1714" s="81" t="inlineStr">
        <is>
          <t>Ora</t>
        </is>
      </c>
      <c r="I1714" s="10" t="n"/>
      <c r="J1714" s="81" t="inlineStr">
        <is>
          <t>Risultato</t>
        </is>
      </c>
      <c r="K1714" s="9" t="n"/>
      <c r="L1714" s="10" t="n"/>
      <c r="M1714" s="201" t="inlineStr">
        <is>
          <t>1o Arbitro</t>
        </is>
      </c>
      <c r="N1714" s="201" t="inlineStr">
        <is>
          <t>2o Arbitro</t>
        </is>
      </c>
      <c r="O1714" s="201" t="inlineStr">
        <is>
          <t>3o Arbitro/Tirocinante</t>
        </is>
      </c>
      <c r="P1714" s="201" t="inlineStr">
        <is>
          <t>Referto</t>
        </is>
      </c>
      <c r="Q1714" s="201" t="inlineStr">
        <is>
          <t>Cronometro</t>
        </is>
      </c>
      <c r="R1714" s="201" t="inlineStr">
        <is>
          <t>Foglio Tiri</t>
        </is>
      </c>
    </row>
    <row r="1715" ht="22" customHeight="1">
      <c r="A1715" s="83">
        <f>IF('Calendario C'!A435="","",'Calendario C'!A435)</f>
        <v/>
      </c>
      <c r="B1715" s="61">
        <f>IF('Calendario C'!B435="","",'Calendario C'!B435)</f>
        <v/>
      </c>
      <c r="C1715" s="62">
        <f>IF('Calendario C'!C435="","",'Calendario C'!C435)</f>
        <v/>
      </c>
      <c r="D1715" s="61">
        <f>IF('Calendario C'!D435="","",'Calendario C'!D435)</f>
        <v/>
      </c>
      <c r="E1715" s="62">
        <f>IF('Calendario C'!E435="","",'Calendario C'!E435)</f>
        <v/>
      </c>
      <c r="F1715" s="63">
        <f>IF('Calendario C'!F435="","",'Calendario C'!F435)</f>
        <v/>
      </c>
      <c r="G1715" s="9" t="n"/>
      <c r="H1715" s="9" t="n"/>
      <c r="I1715" s="10" t="n"/>
      <c r="J1715" s="195">
        <f>IF('Calendario C'!J435="","",'Calendario C'!J435)</f>
        <v/>
      </c>
      <c r="K1715" s="64" t="inlineStr">
        <is>
          <t>-</t>
        </is>
      </c>
      <c r="L1715" s="195">
        <f>IF('Calendario C'!L435="","",'Calendario C'!L435)</f>
        <v/>
      </c>
      <c r="M1715" s="196" t="inlineStr">
        <is>
          <t>FUENTES Katrin [A]</t>
        </is>
      </c>
      <c r="N1715" s="196" t="inlineStr">
        <is>
          <t>MARCHIONI Matteo [AAt]</t>
        </is>
      </c>
      <c r="O1715" s="196" t="inlineStr">
        <is>
          <t>VIDMAR Stefano [AAt]</t>
        </is>
      </c>
      <c r="P1715" s="196" t="inlineStr">
        <is>
          <t>NAVARRO Lea</t>
        </is>
      </c>
      <c r="Q1715" s="196" t="inlineStr">
        <is>
          <t>CONTARDI Miha</t>
        </is>
      </c>
      <c r="R1715" s="196" t="inlineStr">
        <is>
          <t>CASTILLO Noemi</t>
        </is>
      </c>
    </row>
    <row r="1716" ht="15" customHeight="1">
      <c r="A1716" s="141" t="n"/>
      <c r="B1716" s="69">
        <f>IF('Calendario C'!B436="","",'Calendario C'!B436)</f>
        <v/>
      </c>
      <c r="C1716" s="9" t="n"/>
      <c r="D1716" s="9" t="n"/>
      <c r="E1716" s="9" t="n"/>
      <c r="F1716" s="9" t="n"/>
      <c r="G1716" s="9" t="n"/>
      <c r="H1716" s="10" t="n"/>
      <c r="I1716" s="62">
        <f>IF('Calendario C'!I436="","",'Calendario C'!I436)</f>
        <v/>
      </c>
      <c r="J1716" s="141" t="n"/>
      <c r="K1716" s="141" t="n"/>
      <c r="L1716" s="141" t="n"/>
      <c r="M1716" s="141" t="n"/>
      <c r="N1716" s="141" t="n"/>
      <c r="O1716" s="141" t="n"/>
      <c r="P1716" s="141" t="n"/>
      <c r="Q1716" s="141" t="n"/>
      <c r="R1716" s="141" t="n"/>
    </row>
    <row r="1717" ht="14" customHeight="1">
      <c r="A1717" s="81" t="inlineStr">
        <is>
          <t>Gara N.</t>
        </is>
      </c>
      <c r="B1717" s="81" t="inlineStr">
        <is>
          <t>Squadra A</t>
        </is>
      </c>
      <c r="C1717" s="10" t="n"/>
      <c r="D1717" s="81" t="inlineStr">
        <is>
          <t>Squadra B</t>
        </is>
      </c>
      <c r="E1717" s="10" t="n"/>
      <c r="F1717" s="81" t="inlineStr">
        <is>
          <t>Giorno</t>
        </is>
      </c>
      <c r="G1717" s="81" t="inlineStr">
        <is>
          <t>Data</t>
        </is>
      </c>
      <c r="H1717" s="81" t="inlineStr">
        <is>
          <t>Ora</t>
        </is>
      </c>
      <c r="I1717" s="10" t="n"/>
      <c r="J1717" s="81" t="inlineStr">
        <is>
          <t>Risultato</t>
        </is>
      </c>
      <c r="K1717" s="9" t="n"/>
      <c r="L1717" s="10" t="n"/>
      <c r="M1717" s="201" t="inlineStr">
        <is>
          <t>1o Arbitro</t>
        </is>
      </c>
      <c r="N1717" s="201" t="inlineStr">
        <is>
          <t>2o Arbitro</t>
        </is>
      </c>
      <c r="O1717" s="201" t="inlineStr">
        <is>
          <t>3o Arbitro/Tirocinante</t>
        </is>
      </c>
      <c r="P1717" s="201" t="inlineStr">
        <is>
          <t>Referto</t>
        </is>
      </c>
      <c r="Q1717" s="201" t="inlineStr">
        <is>
          <t>Cronometro</t>
        </is>
      </c>
      <c r="R1717" s="201" t="inlineStr">
        <is>
          <t>Foglio Tiri</t>
        </is>
      </c>
    </row>
    <row r="1718" ht="22" customHeight="1">
      <c r="A1718" s="83">
        <f>IF('Calendario C'!A438="","",'Calendario C'!A438)</f>
        <v/>
      </c>
      <c r="B1718" s="61">
        <f>IF('Calendario C'!B438="","",'Calendario C'!B438)</f>
        <v/>
      </c>
      <c r="C1718" s="62">
        <f>IF('Calendario C'!C438="","",'Calendario C'!C438)</f>
        <v/>
      </c>
      <c r="D1718" s="61">
        <f>IF('Calendario C'!D438="","",'Calendario C'!D438)</f>
        <v/>
      </c>
      <c r="E1718" s="62">
        <f>IF('Calendario C'!E438="","",'Calendario C'!E438)</f>
        <v/>
      </c>
      <c r="F1718" s="63">
        <f>IF('Calendario C'!F438="","",'Calendario C'!F438)</f>
        <v/>
      </c>
      <c r="G1718" s="9" t="n"/>
      <c r="H1718" s="9" t="n"/>
      <c r="I1718" s="10" t="n"/>
      <c r="J1718" s="195">
        <f>IF('Calendario C'!J438="","",'Calendario C'!J438)</f>
        <v/>
      </c>
      <c r="K1718" s="64" t="inlineStr">
        <is>
          <t>-</t>
        </is>
      </c>
      <c r="L1718" s="195">
        <f>IF('Calendario C'!L438="","",'Calendario C'!L438)</f>
        <v/>
      </c>
      <c r="M1718" s="196" t="inlineStr">
        <is>
          <t>KRUGER Gaelle [AAt]</t>
        </is>
      </c>
      <c r="N1718" s="196" t="inlineStr">
        <is>
          <t>ROSSINI Irene [AA]</t>
        </is>
      </c>
      <c r="O1718" s="196" t="inlineStr">
        <is>
          <t>WEBER Filippo [AA]</t>
        </is>
      </c>
      <c r="P1718" s="196" t="inlineStr">
        <is>
          <t>LANGER Valerie</t>
        </is>
      </c>
      <c r="Q1718" s="196" t="inlineStr">
        <is>
          <t>FOURNIER Miha</t>
        </is>
      </c>
      <c r="R1718" s="196" t="inlineStr">
        <is>
          <t>SANTORI Pablo</t>
        </is>
      </c>
    </row>
    <row r="1719" ht="15" customHeight="1">
      <c r="A1719" s="141" t="n"/>
      <c r="B1719" s="69">
        <f>IF('Calendario C'!B439="","",'Calendario C'!B439)</f>
        <v/>
      </c>
      <c r="C1719" s="9" t="n"/>
      <c r="D1719" s="9" t="n"/>
      <c r="E1719" s="9" t="n"/>
      <c r="F1719" s="9" t="n"/>
      <c r="G1719" s="9" t="n"/>
      <c r="H1719" s="10" t="n"/>
      <c r="I1719" s="62">
        <f>IF('Calendario C'!I439="","",'Calendario C'!I439)</f>
        <v/>
      </c>
      <c r="J1719" s="141" t="n"/>
      <c r="K1719" s="141" t="n"/>
      <c r="L1719" s="141" t="n"/>
      <c r="M1719" s="141" t="n"/>
      <c r="N1719" s="141" t="n"/>
      <c r="O1719" s="141" t="n"/>
      <c r="P1719" s="141" t="n"/>
      <c r="Q1719" s="141" t="n"/>
      <c r="R1719" s="141" t="n"/>
    </row>
    <row r="1720" ht="14" customHeight="1">
      <c r="A1720" s="81" t="inlineStr">
        <is>
          <t>Gara N.</t>
        </is>
      </c>
      <c r="B1720" s="81" t="inlineStr">
        <is>
          <t>Squadra A</t>
        </is>
      </c>
      <c r="C1720" s="10" t="n"/>
      <c r="D1720" s="81" t="inlineStr">
        <is>
          <t>Squadra B</t>
        </is>
      </c>
      <c r="E1720" s="10" t="n"/>
      <c r="F1720" s="81" t="inlineStr">
        <is>
          <t>Giorno</t>
        </is>
      </c>
      <c r="G1720" s="81" t="inlineStr">
        <is>
          <t>Data</t>
        </is>
      </c>
      <c r="H1720" s="81" t="inlineStr">
        <is>
          <t>Ora</t>
        </is>
      </c>
      <c r="I1720" s="10" t="n"/>
      <c r="J1720" s="81" t="inlineStr">
        <is>
          <t>Risultato</t>
        </is>
      </c>
      <c r="K1720" s="9" t="n"/>
      <c r="L1720" s="10" t="n"/>
      <c r="M1720" s="201" t="inlineStr">
        <is>
          <t>1o Arbitro</t>
        </is>
      </c>
      <c r="N1720" s="201" t="inlineStr">
        <is>
          <t>2o Arbitro</t>
        </is>
      </c>
      <c r="O1720" s="201" t="inlineStr">
        <is>
          <t>3o Arbitro/Tirocinante</t>
        </is>
      </c>
      <c r="P1720" s="201" t="inlineStr">
        <is>
          <t>Referto</t>
        </is>
      </c>
      <c r="Q1720" s="201" t="inlineStr">
        <is>
          <t>Cronometro</t>
        </is>
      </c>
      <c r="R1720" s="201" t="inlineStr">
        <is>
          <t>Foglio Tiri</t>
        </is>
      </c>
    </row>
    <row r="1721" ht="22" customHeight="1">
      <c r="A1721" s="83">
        <f>IF('Calendario C'!A441="","",'Calendario C'!A441)</f>
        <v/>
      </c>
      <c r="B1721" s="61">
        <f>IF('Calendario C'!B441="","",'Calendario C'!B441)</f>
        <v/>
      </c>
      <c r="C1721" s="62">
        <f>IF('Calendario C'!C441="","",'Calendario C'!C441)</f>
        <v/>
      </c>
      <c r="D1721" s="61">
        <f>IF('Calendario C'!D441="","",'Calendario C'!D441)</f>
        <v/>
      </c>
      <c r="E1721" s="62">
        <f>IF('Calendario C'!E441="","",'Calendario C'!E441)</f>
        <v/>
      </c>
      <c r="F1721" s="63">
        <f>IF('Calendario C'!F441="","",'Calendario C'!F441)</f>
        <v/>
      </c>
      <c r="G1721" s="9" t="n"/>
      <c r="H1721" s="9" t="n"/>
      <c r="I1721" s="10" t="n"/>
      <c r="J1721" s="195">
        <f>IF('Calendario C'!J441="","",'Calendario C'!J441)</f>
        <v/>
      </c>
      <c r="K1721" s="64" t="inlineStr">
        <is>
          <t>-</t>
        </is>
      </c>
      <c r="L1721" s="195">
        <f>IF('Calendario C'!L441="","",'Calendario C'!L441)</f>
        <v/>
      </c>
      <c r="M1721" s="196" t="inlineStr">
        <is>
          <t>FUENTES Irene [AA]</t>
        </is>
      </c>
      <c r="N1721" s="196" t="inlineStr">
        <is>
          <t>VALLET Martina [Aest]</t>
        </is>
      </c>
      <c r="O1721" s="196" t="inlineStr">
        <is>
          <t>SOLER Mathilde [AA]</t>
        </is>
      </c>
      <c r="P1721" s="196" t="inlineStr">
        <is>
          <t>NOVAK Giulia</t>
        </is>
      </c>
      <c r="Q1721" s="196" t="inlineStr">
        <is>
          <t>SOLER Stefano</t>
        </is>
      </c>
      <c r="R1721" s="196" t="inlineStr">
        <is>
          <t>BLANCHET Matteo</t>
        </is>
      </c>
    </row>
    <row r="1722" ht="15" customHeight="1">
      <c r="A1722" s="141" t="n"/>
      <c r="B1722" s="69">
        <f>IF('Calendario C'!B442="","",'Calendario C'!B442)</f>
        <v/>
      </c>
      <c r="C1722" s="9" t="n"/>
      <c r="D1722" s="9" t="n"/>
      <c r="E1722" s="9" t="n"/>
      <c r="F1722" s="9" t="n"/>
      <c r="G1722" s="9" t="n"/>
      <c r="H1722" s="10" t="n"/>
      <c r="I1722" s="62">
        <f>IF('Calendario C'!I442="","",'Calendario C'!I442)</f>
        <v/>
      </c>
      <c r="J1722" s="141" t="n"/>
      <c r="K1722" s="141" t="n"/>
      <c r="L1722" s="141" t="n"/>
      <c r="M1722" s="141" t="n"/>
      <c r="N1722" s="141" t="n"/>
      <c r="O1722" s="141" t="n"/>
      <c r="P1722" s="141" t="n"/>
      <c r="Q1722" s="141" t="n"/>
      <c r="R1722" s="141" t="n"/>
    </row>
    <row r="1723" ht="14" customHeight="1">
      <c r="A1723" s="81" t="inlineStr">
        <is>
          <t>Gara N.</t>
        </is>
      </c>
      <c r="B1723" s="81" t="inlineStr">
        <is>
          <t>Squadra A</t>
        </is>
      </c>
      <c r="C1723" s="10" t="n"/>
      <c r="D1723" s="81" t="inlineStr">
        <is>
          <t>Squadra B</t>
        </is>
      </c>
      <c r="E1723" s="10" t="n"/>
      <c r="F1723" s="81" t="inlineStr">
        <is>
          <t>Giorno</t>
        </is>
      </c>
      <c r="G1723" s="81" t="inlineStr">
        <is>
          <t>Data</t>
        </is>
      </c>
      <c r="H1723" s="81" t="inlineStr">
        <is>
          <t>Ora</t>
        </is>
      </c>
      <c r="I1723" s="10" t="n"/>
      <c r="J1723" s="81" t="inlineStr">
        <is>
          <t>Risultato</t>
        </is>
      </c>
      <c r="K1723" s="9" t="n"/>
      <c r="L1723" s="10" t="n"/>
      <c r="M1723" s="201" t="inlineStr">
        <is>
          <t>1o Arbitro</t>
        </is>
      </c>
      <c r="N1723" s="201" t="inlineStr">
        <is>
          <t>2o Arbitro</t>
        </is>
      </c>
      <c r="O1723" s="201" t="inlineStr">
        <is>
          <t>3o Arbitro/Tirocinante</t>
        </is>
      </c>
      <c r="P1723" s="201" t="inlineStr">
        <is>
          <t>Referto</t>
        </is>
      </c>
      <c r="Q1723" s="201" t="inlineStr">
        <is>
          <t>Cronometro</t>
        </is>
      </c>
      <c r="R1723" s="201" t="inlineStr">
        <is>
          <t>Foglio Tiri</t>
        </is>
      </c>
    </row>
    <row r="1724" ht="22" customHeight="1">
      <c r="A1724" s="83">
        <f>IF('Calendario C'!A444="","",'Calendario C'!A444)</f>
        <v/>
      </c>
      <c r="B1724" s="61">
        <f>IF('Calendario C'!B444="","",'Calendario C'!B444)</f>
        <v/>
      </c>
      <c r="C1724" s="62">
        <f>IF('Calendario C'!C444="","",'Calendario C'!C444)</f>
        <v/>
      </c>
      <c r="D1724" s="61">
        <f>IF('Calendario C'!D444="","",'Calendario C'!D444)</f>
        <v/>
      </c>
      <c r="E1724" s="62">
        <f>IF('Calendario C'!E444="","",'Calendario C'!E444)</f>
        <v/>
      </c>
      <c r="F1724" s="63">
        <f>IF('Calendario C'!F444="","",'Calendario C'!F444)</f>
        <v/>
      </c>
      <c r="G1724" s="9" t="n"/>
      <c r="H1724" s="9" t="n"/>
      <c r="I1724" s="10" t="n"/>
      <c r="J1724" s="195">
        <f>IF('Calendario C'!J444="","",'Calendario C'!J444)</f>
        <v/>
      </c>
      <c r="K1724" s="64" t="inlineStr">
        <is>
          <t>-</t>
        </is>
      </c>
      <c r="L1724" s="195">
        <f>IF('Calendario C'!L444="","",'Calendario C'!L444)</f>
        <v/>
      </c>
      <c r="M1724" s="196" t="inlineStr">
        <is>
          <t>CARON Giulia [AAt]</t>
        </is>
      </c>
      <c r="N1724" s="196" t="inlineStr">
        <is>
          <t>OBLAK Beatrice [AA]</t>
        </is>
      </c>
      <c r="O1724" s="196" t="inlineStr">
        <is>
          <t>CAMPOS Anja [Aest]</t>
        </is>
      </c>
      <c r="P1724" s="196" t="inlineStr">
        <is>
          <t>ROSSINI Filippo</t>
        </is>
      </c>
      <c r="Q1724" s="196" t="inlineStr">
        <is>
          <t>FOURNIER Miha</t>
        </is>
      </c>
      <c r="R1724" s="196" t="inlineStr">
        <is>
          <t>BRANDT Beatrice</t>
        </is>
      </c>
    </row>
    <row r="1725" ht="15" customHeight="1">
      <c r="A1725" s="141" t="n"/>
      <c r="B1725" s="69">
        <f>IF('Calendario C'!B445="","",'Calendario C'!B445)</f>
        <v/>
      </c>
      <c r="C1725" s="9" t="n"/>
      <c r="D1725" s="9" t="n"/>
      <c r="E1725" s="9" t="n"/>
      <c r="F1725" s="9" t="n"/>
      <c r="G1725" s="9" t="n"/>
      <c r="H1725" s="10" t="n"/>
      <c r="I1725" s="62">
        <f>IF('Calendario C'!I445="","",'Calendario C'!I445)</f>
        <v/>
      </c>
      <c r="J1725" s="141" t="n"/>
      <c r="K1725" s="141" t="n"/>
      <c r="L1725" s="141" t="n"/>
      <c r="M1725" s="141" t="n"/>
      <c r="N1725" s="141" t="n"/>
      <c r="O1725" s="141" t="n"/>
      <c r="P1725" s="141" t="n"/>
      <c r="Q1725" s="141" t="n"/>
      <c r="R1725" s="141" t="n"/>
    </row>
    <row r="1726" ht="14" customHeight="1">
      <c r="A1726" s="81" t="inlineStr">
        <is>
          <t>Gara N.</t>
        </is>
      </c>
      <c r="B1726" s="81" t="inlineStr">
        <is>
          <t>Squadra A</t>
        </is>
      </c>
      <c r="C1726" s="10" t="n"/>
      <c r="D1726" s="81" t="inlineStr">
        <is>
          <t>Squadra B</t>
        </is>
      </c>
      <c r="E1726" s="10" t="n"/>
      <c r="F1726" s="81" t="inlineStr">
        <is>
          <t>Giorno</t>
        </is>
      </c>
      <c r="G1726" s="81" t="inlineStr">
        <is>
          <t>Data</t>
        </is>
      </c>
      <c r="H1726" s="81" t="inlineStr">
        <is>
          <t>Ora</t>
        </is>
      </c>
      <c r="I1726" s="10" t="n"/>
      <c r="J1726" s="81" t="inlineStr">
        <is>
          <t>Risultato</t>
        </is>
      </c>
      <c r="K1726" s="9" t="n"/>
      <c r="L1726" s="10" t="n"/>
      <c r="M1726" s="201" t="inlineStr">
        <is>
          <t>1o Arbitro</t>
        </is>
      </c>
      <c r="N1726" s="201" t="inlineStr">
        <is>
          <t>2o Arbitro</t>
        </is>
      </c>
      <c r="O1726" s="201" t="inlineStr">
        <is>
          <t>3o Arbitro/Tirocinante</t>
        </is>
      </c>
      <c r="P1726" s="201" t="inlineStr">
        <is>
          <t>Referto</t>
        </is>
      </c>
      <c r="Q1726" s="201" t="inlineStr">
        <is>
          <t>Cronometro</t>
        </is>
      </c>
      <c r="R1726" s="201" t="inlineStr">
        <is>
          <t>Foglio Tiri</t>
        </is>
      </c>
    </row>
    <row r="1727" ht="22" customHeight="1">
      <c r="A1727" s="83">
        <f>IF('Calendario C'!A447="","",'Calendario C'!A447)</f>
        <v/>
      </c>
      <c r="B1727" s="61">
        <f>IF('Calendario C'!B447="","",'Calendario C'!B447)</f>
        <v/>
      </c>
      <c r="C1727" s="62">
        <f>IF('Calendario C'!C447="","",'Calendario C'!C447)</f>
        <v/>
      </c>
      <c r="D1727" s="61">
        <f>IF('Calendario C'!D447="","",'Calendario C'!D447)</f>
        <v/>
      </c>
      <c r="E1727" s="62">
        <f>IF('Calendario C'!E447="","",'Calendario C'!E447)</f>
        <v/>
      </c>
      <c r="F1727" s="63">
        <f>IF('Calendario C'!F447="","",'Calendario C'!F447)</f>
        <v/>
      </c>
      <c r="G1727" s="9" t="n"/>
      <c r="H1727" s="9" t="n"/>
      <c r="I1727" s="10" t="n"/>
      <c r="J1727" s="195">
        <f>IF('Calendario C'!J447="","",'Calendario C'!J447)</f>
        <v/>
      </c>
      <c r="K1727" s="64" t="inlineStr">
        <is>
          <t>-</t>
        </is>
      </c>
      <c r="L1727" s="195">
        <f>IF('Calendario C'!L447="","",'Calendario C'!L447)</f>
        <v/>
      </c>
      <c r="M1727" s="196" t="inlineStr">
        <is>
          <t>CASTILLO Jonas [AA]</t>
        </is>
      </c>
      <c r="N1727" s="196" t="inlineStr">
        <is>
          <t>FUENTES Eva [A]</t>
        </is>
      </c>
      <c r="O1727" s="196" t="inlineStr">
        <is>
          <t>MORETTO Anja [Aest]</t>
        </is>
      </c>
      <c r="P1727" s="196" t="inlineStr">
        <is>
          <t>BIANCHELLI Eva</t>
        </is>
      </c>
      <c r="Q1727" s="196" t="inlineStr">
        <is>
          <t>PRADO Eva</t>
        </is>
      </c>
      <c r="R1727" s="196" t="inlineStr">
        <is>
          <t>VOGEL Giulia</t>
        </is>
      </c>
    </row>
    <row r="1728" ht="15" customHeight="1">
      <c r="A1728" s="141" t="n"/>
      <c r="B1728" s="69">
        <f>IF('Calendario C'!B448="","",'Calendario C'!B448)</f>
        <v/>
      </c>
      <c r="C1728" s="9" t="n"/>
      <c r="D1728" s="9" t="n"/>
      <c r="E1728" s="9" t="n"/>
      <c r="F1728" s="9" t="n"/>
      <c r="G1728" s="9" t="n"/>
      <c r="H1728" s="10" t="n"/>
      <c r="I1728" s="62">
        <f>IF('Calendario C'!I448="","",'Calendario C'!I448)</f>
        <v/>
      </c>
      <c r="J1728" s="141" t="n"/>
      <c r="K1728" s="141" t="n"/>
      <c r="L1728" s="141" t="n"/>
      <c r="M1728" s="141" t="n"/>
      <c r="N1728" s="141" t="n"/>
      <c r="O1728" s="141" t="n"/>
      <c r="P1728" s="141" t="n"/>
      <c r="Q1728" s="141" t="n"/>
      <c r="R1728" s="141" t="n"/>
    </row>
    <row r="1729" ht="14" customHeight="1">
      <c r="A1729" s="81" t="inlineStr">
        <is>
          <t>Gara N.</t>
        </is>
      </c>
      <c r="B1729" s="81" t="inlineStr">
        <is>
          <t>Squadra A</t>
        </is>
      </c>
      <c r="C1729" s="10" t="n"/>
      <c r="D1729" s="81" t="inlineStr">
        <is>
          <t>Squadra B</t>
        </is>
      </c>
      <c r="E1729" s="10" t="n"/>
      <c r="F1729" s="81" t="inlineStr">
        <is>
          <t>Giorno</t>
        </is>
      </c>
      <c r="G1729" s="81" t="inlineStr">
        <is>
          <t>Data</t>
        </is>
      </c>
      <c r="H1729" s="81" t="inlineStr">
        <is>
          <t>Ora</t>
        </is>
      </c>
      <c r="I1729" s="10" t="n"/>
      <c r="J1729" s="81" t="inlineStr">
        <is>
          <t>Risultato</t>
        </is>
      </c>
      <c r="K1729" s="9" t="n"/>
      <c r="L1729" s="10" t="n"/>
      <c r="M1729" s="201" t="inlineStr">
        <is>
          <t>1o Arbitro</t>
        </is>
      </c>
      <c r="N1729" s="201" t="inlineStr">
        <is>
          <t>2o Arbitro</t>
        </is>
      </c>
      <c r="O1729" s="201" t="inlineStr">
        <is>
          <t>3o Arbitro/Tirocinante</t>
        </is>
      </c>
      <c r="P1729" s="201" t="inlineStr">
        <is>
          <t>Referto</t>
        </is>
      </c>
      <c r="Q1729" s="201" t="inlineStr">
        <is>
          <t>Cronometro</t>
        </is>
      </c>
      <c r="R1729" s="201" t="inlineStr">
        <is>
          <t>Foglio Tiri</t>
        </is>
      </c>
    </row>
    <row r="1730" ht="22" customHeight="1">
      <c r="A1730" s="83">
        <f>IF('Calendario C'!A450="","",'Calendario C'!A450)</f>
        <v/>
      </c>
      <c r="B1730" s="61">
        <f>IF('Calendario C'!B450="","",'Calendario C'!B450)</f>
        <v/>
      </c>
      <c r="C1730" s="62">
        <f>IF('Calendario C'!C450="","",'Calendario C'!C450)</f>
        <v/>
      </c>
      <c r="D1730" s="61">
        <f>IF('Calendario C'!D450="","",'Calendario C'!D450)</f>
        <v/>
      </c>
      <c r="E1730" s="62">
        <f>IF('Calendario C'!E450="","",'Calendario C'!E450)</f>
        <v/>
      </c>
      <c r="F1730" s="63">
        <f>IF('Calendario C'!F450="","",'Calendario C'!F450)</f>
        <v/>
      </c>
      <c r="G1730" s="9" t="n"/>
      <c r="H1730" s="9" t="n"/>
      <c r="I1730" s="10" t="n"/>
      <c r="J1730" s="195">
        <f>IF('Calendario C'!J450="","",'Calendario C'!J450)</f>
        <v/>
      </c>
      <c r="K1730" s="64" t="inlineStr">
        <is>
          <t>-</t>
        </is>
      </c>
      <c r="L1730" s="195">
        <f>IF('Calendario C'!L450="","",'Calendario C'!L450)</f>
        <v/>
      </c>
      <c r="M1730" s="196" t="inlineStr">
        <is>
          <t>MODIC Chiara [AA]</t>
        </is>
      </c>
      <c r="N1730" s="196" t="inlineStr">
        <is>
          <t>ROTH Martina [AA]</t>
        </is>
      </c>
      <c r="O1730" s="196" t="inlineStr">
        <is>
          <t>AUBERT Lucia [AAt]</t>
        </is>
      </c>
      <c r="P1730" s="196" t="inlineStr">
        <is>
          <t>SOLER Irene</t>
        </is>
      </c>
      <c r="Q1730" s="196" t="inlineStr">
        <is>
          <t>SEVER Giulia</t>
        </is>
      </c>
      <c r="R1730" s="196" t="inlineStr">
        <is>
          <t>HOFFMANN Diego</t>
        </is>
      </c>
    </row>
    <row r="1731" ht="15" customHeight="1">
      <c r="A1731" s="141" t="n"/>
      <c r="B1731" s="69">
        <f>IF('Calendario C'!B451="","",'Calendario C'!B451)</f>
        <v/>
      </c>
      <c r="C1731" s="9" t="n"/>
      <c r="D1731" s="9" t="n"/>
      <c r="E1731" s="9" t="n"/>
      <c r="F1731" s="9" t="n"/>
      <c r="G1731" s="9" t="n"/>
      <c r="H1731" s="10" t="n"/>
      <c r="I1731" s="62">
        <f>IF('Calendario C'!I451="","",'Calendario C'!I451)</f>
        <v/>
      </c>
      <c r="J1731" s="141" t="n"/>
      <c r="K1731" s="141" t="n"/>
      <c r="L1731" s="141" t="n"/>
      <c r="M1731" s="141" t="n"/>
      <c r="N1731" s="141" t="n"/>
      <c r="O1731" s="141" t="n"/>
      <c r="P1731" s="141" t="n"/>
      <c r="Q1731" s="141" t="n"/>
      <c r="R1731" s="141" t="n"/>
    </row>
    <row r="1732" ht="14" customHeight="1">
      <c r="A1732" s="81" t="inlineStr">
        <is>
          <t>Gara N.</t>
        </is>
      </c>
      <c r="B1732" s="81" t="inlineStr">
        <is>
          <t>Squadra A</t>
        </is>
      </c>
      <c r="C1732" s="10" t="n"/>
      <c r="D1732" s="81" t="inlineStr">
        <is>
          <t>Squadra B</t>
        </is>
      </c>
      <c r="E1732" s="10" t="n"/>
      <c r="F1732" s="81" t="inlineStr">
        <is>
          <t>Giorno</t>
        </is>
      </c>
      <c r="G1732" s="81" t="inlineStr">
        <is>
          <t>Data</t>
        </is>
      </c>
      <c r="H1732" s="81" t="inlineStr">
        <is>
          <t>Ora</t>
        </is>
      </c>
      <c r="I1732" s="10" t="n"/>
      <c r="J1732" s="81" t="inlineStr">
        <is>
          <t>Risultato</t>
        </is>
      </c>
      <c r="K1732" s="9" t="n"/>
      <c r="L1732" s="10" t="n"/>
      <c r="M1732" s="201" t="inlineStr">
        <is>
          <t>1o Arbitro</t>
        </is>
      </c>
      <c r="N1732" s="201" t="inlineStr">
        <is>
          <t>2o Arbitro</t>
        </is>
      </c>
      <c r="O1732" s="201" t="inlineStr">
        <is>
          <t>3o Arbitro/Tirocinante</t>
        </is>
      </c>
      <c r="P1732" s="201" t="inlineStr">
        <is>
          <t>Referto</t>
        </is>
      </c>
      <c r="Q1732" s="201" t="inlineStr">
        <is>
          <t>Cronometro</t>
        </is>
      </c>
      <c r="R1732" s="201" t="inlineStr">
        <is>
          <t>Foglio Tiri</t>
        </is>
      </c>
    </row>
    <row r="1733" ht="22" customHeight="1">
      <c r="A1733" s="83">
        <f>IF('Calendario C'!A453="","",'Calendario C'!A453)</f>
        <v/>
      </c>
      <c r="B1733" s="61">
        <f>IF('Calendario C'!B453="","",'Calendario C'!B453)</f>
        <v/>
      </c>
      <c r="C1733" s="62">
        <f>IF('Calendario C'!C453="","",'Calendario C'!C453)</f>
        <v/>
      </c>
      <c r="D1733" s="61">
        <f>IF('Calendario C'!D453="","",'Calendario C'!D453)</f>
        <v/>
      </c>
      <c r="E1733" s="62">
        <f>IF('Calendario C'!E453="","",'Calendario C'!E453)</f>
        <v/>
      </c>
      <c r="F1733" s="63">
        <f>IF('Calendario C'!F453="","",'Calendario C'!F453)</f>
        <v/>
      </c>
      <c r="G1733" s="9" t="n"/>
      <c r="H1733" s="9" t="n"/>
      <c r="I1733" s="10" t="n"/>
      <c r="J1733" s="195">
        <f>IF('Calendario C'!J453="","",'Calendario C'!J453)</f>
        <v/>
      </c>
      <c r="K1733" s="64" t="inlineStr">
        <is>
          <t>-</t>
        </is>
      </c>
      <c r="L1733" s="195">
        <f>IF('Calendario C'!L453="","",'Calendario C'!L453)</f>
        <v/>
      </c>
      <c r="M1733" s="196" t="inlineStr">
        <is>
          <t>HORVAT Giulia [A]</t>
        </is>
      </c>
      <c r="N1733" s="196" t="inlineStr">
        <is>
          <t>AUBERT Lucia [AAt]</t>
        </is>
      </c>
      <c r="O1733" s="196" t="inlineStr">
        <is>
          <t>AUBERT Diego [A]</t>
        </is>
      </c>
      <c r="P1733" s="196" t="inlineStr">
        <is>
          <t>BLANCHET Luca</t>
        </is>
      </c>
      <c r="Q1733" s="196" t="inlineStr">
        <is>
          <t>CASTILLO Martina</t>
        </is>
      </c>
      <c r="R1733" s="196" t="inlineStr">
        <is>
          <t>MODIC Marco</t>
        </is>
      </c>
    </row>
    <row r="1734" ht="15" customHeight="1">
      <c r="A1734" s="141" t="n"/>
      <c r="B1734" s="69">
        <f>IF('Calendario C'!B454="","",'Calendario C'!B454)</f>
        <v/>
      </c>
      <c r="C1734" s="9" t="n"/>
      <c r="D1734" s="9" t="n"/>
      <c r="E1734" s="9" t="n"/>
      <c r="F1734" s="9" t="n"/>
      <c r="G1734" s="9" t="n"/>
      <c r="H1734" s="10" t="n"/>
      <c r="I1734" s="62">
        <f>IF('Calendario C'!I454="","",'Calendario C'!I454)</f>
        <v/>
      </c>
      <c r="J1734" s="141" t="n"/>
      <c r="K1734" s="141" t="n"/>
      <c r="L1734" s="141" t="n"/>
      <c r="M1734" s="141" t="n"/>
      <c r="N1734" s="141" t="n"/>
      <c r="O1734" s="141" t="n"/>
      <c r="P1734" s="141" t="n"/>
      <c r="Q1734" s="141" t="n"/>
      <c r="R1734" s="141" t="n"/>
    </row>
    <row r="1736" ht="20" customHeight="1">
      <c r="A1736" s="78">
        <f>IF('Calendario C'!A456="","",'Calendario C'!A456)</f>
        <v/>
      </c>
      <c r="B1736" s="79">
        <f>IF('Calendario C'!B456="","",'Calendario C'!B456)</f>
        <v/>
      </c>
      <c r="C1736" s="9" t="n"/>
      <c r="D1736" s="9" t="n"/>
      <c r="E1736" s="9" t="n"/>
      <c r="F1736" s="9" t="n"/>
      <c r="G1736" s="9" t="n"/>
      <c r="H1736" s="9" t="n"/>
      <c r="I1736" s="9" t="n"/>
      <c r="J1736" s="9" t="n"/>
      <c r="K1736" s="9" t="n"/>
      <c r="L1736" s="10" t="n"/>
      <c r="M1736" s="200" t="inlineStr">
        <is>
          <t>ARBITRI</t>
        </is>
      </c>
      <c r="N1736" s="9" t="n"/>
      <c r="O1736" s="10" t="n"/>
      <c r="P1736" s="200" t="inlineStr">
        <is>
          <t>UFFICIALI DI CAMPO</t>
        </is>
      </c>
      <c r="Q1736" s="9" t="n"/>
      <c r="R1736" s="10" t="n"/>
    </row>
    <row r="1737" ht="14" customHeight="1">
      <c r="A1737" s="81" t="inlineStr">
        <is>
          <t>Gara N.</t>
        </is>
      </c>
      <c r="B1737" s="81" t="inlineStr">
        <is>
          <t>Squadra A</t>
        </is>
      </c>
      <c r="C1737" s="10" t="n"/>
      <c r="D1737" s="81" t="inlineStr">
        <is>
          <t>Squadra B</t>
        </is>
      </c>
      <c r="E1737" s="10" t="n"/>
      <c r="F1737" s="81" t="inlineStr">
        <is>
          <t>Giorno</t>
        </is>
      </c>
      <c r="G1737" s="81" t="inlineStr">
        <is>
          <t>Data</t>
        </is>
      </c>
      <c r="H1737" s="81" t="inlineStr">
        <is>
          <t>Ora</t>
        </is>
      </c>
      <c r="I1737" s="10" t="n"/>
      <c r="J1737" s="81" t="inlineStr">
        <is>
          <t>Risultato</t>
        </is>
      </c>
      <c r="K1737" s="9" t="n"/>
      <c r="L1737" s="10" t="n"/>
      <c r="M1737" s="201" t="inlineStr">
        <is>
          <t>1o Arbitro</t>
        </is>
      </c>
      <c r="N1737" s="201" t="inlineStr">
        <is>
          <t>2o Arbitro</t>
        </is>
      </c>
      <c r="O1737" s="201" t="inlineStr">
        <is>
          <t>3o Arbitro/Tirocinante</t>
        </is>
      </c>
      <c r="P1737" s="201" t="inlineStr">
        <is>
          <t>Referto</t>
        </is>
      </c>
      <c r="Q1737" s="201" t="inlineStr">
        <is>
          <t>Cronometro</t>
        </is>
      </c>
      <c r="R1737" s="201" t="inlineStr">
        <is>
          <t>Foglio Tiri</t>
        </is>
      </c>
    </row>
    <row r="1738" ht="22" customHeight="1">
      <c r="A1738" s="83">
        <f>IF('Calendario C'!A458="","",'Calendario C'!A458)</f>
        <v/>
      </c>
      <c r="B1738" s="61">
        <f>IF('Calendario C'!B458="","",'Calendario C'!B458)</f>
        <v/>
      </c>
      <c r="C1738" s="62">
        <f>IF('Calendario C'!C458="","",'Calendario C'!C458)</f>
        <v/>
      </c>
      <c r="D1738" s="61">
        <f>IF('Calendario C'!D458="","",'Calendario C'!D458)</f>
        <v/>
      </c>
      <c r="E1738" s="62">
        <f>IF('Calendario C'!E458="","",'Calendario C'!E458)</f>
        <v/>
      </c>
      <c r="F1738" s="63">
        <f>IF('Calendario C'!F458="","",'Calendario C'!F458)</f>
        <v/>
      </c>
      <c r="G1738" s="9" t="n"/>
      <c r="H1738" s="9" t="n"/>
      <c r="I1738" s="10" t="n"/>
      <c r="J1738" s="195">
        <f>IF('Calendario C'!J458="","",'Calendario C'!J458)</f>
        <v/>
      </c>
      <c r="K1738" s="64" t="inlineStr">
        <is>
          <t>-</t>
        </is>
      </c>
      <c r="L1738" s="195">
        <f>IF('Calendario C'!L458="","",'Calendario C'!L458)</f>
        <v/>
      </c>
      <c r="M1738" s="196" t="inlineStr">
        <is>
          <t>BELLANDI Vid [Aest]</t>
        </is>
      </c>
      <c r="N1738" s="196" t="inlineStr">
        <is>
          <t>MOREAU Andrea [AAt]</t>
        </is>
      </c>
      <c r="O1738" s="196" t="inlineStr">
        <is>
          <t>MODIC Chiara [AA]</t>
        </is>
      </c>
      <c r="P1738" s="196" t="inlineStr">
        <is>
          <t>PRADO Hugo</t>
        </is>
      </c>
      <c r="Q1738" s="196" t="inlineStr">
        <is>
          <t>NOVAK Giulia</t>
        </is>
      </c>
      <c r="R1738" s="196" t="inlineStr">
        <is>
          <t>IGLESIAS Jonas</t>
        </is>
      </c>
    </row>
    <row r="1739" ht="15" customHeight="1">
      <c r="A1739" s="141" t="n"/>
      <c r="B1739" s="69">
        <f>IF('Calendario C'!B459="","",'Calendario C'!B459)</f>
        <v/>
      </c>
      <c r="C1739" s="9" t="n"/>
      <c r="D1739" s="9" t="n"/>
      <c r="E1739" s="9" t="n"/>
      <c r="F1739" s="9" t="n"/>
      <c r="G1739" s="9" t="n"/>
      <c r="H1739" s="10" t="n"/>
      <c r="I1739" s="62">
        <f>IF('Calendario C'!I459="","",'Calendario C'!I459)</f>
        <v/>
      </c>
      <c r="J1739" s="141" t="n"/>
      <c r="K1739" s="141" t="n"/>
      <c r="L1739" s="141" t="n"/>
      <c r="M1739" s="141" t="n"/>
      <c r="N1739" s="141" t="n"/>
      <c r="O1739" s="141" t="n"/>
      <c r="P1739" s="141" t="n"/>
      <c r="Q1739" s="141" t="n"/>
      <c r="R1739" s="141" t="n"/>
    </row>
    <row r="1740" ht="14" customHeight="1">
      <c r="A1740" s="81" t="inlineStr">
        <is>
          <t>Gara N.</t>
        </is>
      </c>
      <c r="B1740" s="81" t="inlineStr">
        <is>
          <t>Squadra A</t>
        </is>
      </c>
      <c r="C1740" s="10" t="n"/>
      <c r="D1740" s="81" t="inlineStr">
        <is>
          <t>Squadra B</t>
        </is>
      </c>
      <c r="E1740" s="10" t="n"/>
      <c r="F1740" s="81" t="inlineStr">
        <is>
          <t>Giorno</t>
        </is>
      </c>
      <c r="G1740" s="81" t="inlineStr">
        <is>
          <t>Data</t>
        </is>
      </c>
      <c r="H1740" s="81" t="inlineStr">
        <is>
          <t>Ora</t>
        </is>
      </c>
      <c r="I1740" s="10" t="n"/>
      <c r="J1740" s="81" t="inlineStr">
        <is>
          <t>Risultato</t>
        </is>
      </c>
      <c r="K1740" s="9" t="n"/>
      <c r="L1740" s="10" t="n"/>
      <c r="M1740" s="201" t="inlineStr">
        <is>
          <t>1o Arbitro</t>
        </is>
      </c>
      <c r="N1740" s="201" t="inlineStr">
        <is>
          <t>2o Arbitro</t>
        </is>
      </c>
      <c r="O1740" s="201" t="inlineStr">
        <is>
          <t>3o Arbitro/Tirocinante</t>
        </is>
      </c>
      <c r="P1740" s="201" t="inlineStr">
        <is>
          <t>Referto</t>
        </is>
      </c>
      <c r="Q1740" s="201" t="inlineStr">
        <is>
          <t>Cronometro</t>
        </is>
      </c>
      <c r="R1740" s="201" t="inlineStr">
        <is>
          <t>Foglio Tiri</t>
        </is>
      </c>
    </row>
    <row r="1741" ht="22" customHeight="1">
      <c r="A1741" s="83">
        <f>IF('Calendario C'!A461="","",'Calendario C'!A461)</f>
        <v/>
      </c>
      <c r="B1741" s="61">
        <f>IF('Calendario C'!B461="","",'Calendario C'!B461)</f>
        <v/>
      </c>
      <c r="C1741" s="62">
        <f>IF('Calendario C'!C461="","",'Calendario C'!C461)</f>
        <v/>
      </c>
      <c r="D1741" s="61">
        <f>IF('Calendario C'!D461="","",'Calendario C'!D461)</f>
        <v/>
      </c>
      <c r="E1741" s="62">
        <f>IF('Calendario C'!E461="","",'Calendario C'!E461)</f>
        <v/>
      </c>
      <c r="F1741" s="63">
        <f>IF('Calendario C'!F461="","",'Calendario C'!F461)</f>
        <v/>
      </c>
      <c r="G1741" s="9" t="n"/>
      <c r="H1741" s="9" t="n"/>
      <c r="I1741" s="10" t="n"/>
      <c r="J1741" s="195">
        <f>IF('Calendario C'!J461="","",'Calendario C'!J461)</f>
        <v/>
      </c>
      <c r="K1741" s="64" t="inlineStr">
        <is>
          <t>-</t>
        </is>
      </c>
      <c r="L1741" s="195">
        <f>IF('Calendario C'!L461="","",'Calendario C'!L461)</f>
        <v/>
      </c>
      <c r="M1741" s="196" t="inlineStr">
        <is>
          <t>BIANCHELLI Vid [AAt]</t>
        </is>
      </c>
      <c r="N1741" s="196" t="inlineStr">
        <is>
          <t>KELLER Chiara [AAt]</t>
        </is>
      </c>
      <c r="O1741" s="196" t="inlineStr">
        <is>
          <t>VOGEL Andrea [A]</t>
        </is>
      </c>
      <c r="P1741" s="196" t="inlineStr">
        <is>
          <t>GALLINI Tommaso</t>
        </is>
      </c>
      <c r="Q1741" s="196" t="inlineStr">
        <is>
          <t>VIDMAR Matteo</t>
        </is>
      </c>
      <c r="R1741" s="196" t="inlineStr">
        <is>
          <t>SANTORI Miha</t>
        </is>
      </c>
    </row>
    <row r="1742" ht="15" customHeight="1">
      <c r="A1742" s="141" t="n"/>
      <c r="B1742" s="69">
        <f>IF('Calendario C'!B462="","",'Calendario C'!B462)</f>
        <v/>
      </c>
      <c r="C1742" s="9" t="n"/>
      <c r="D1742" s="9" t="n"/>
      <c r="E1742" s="9" t="n"/>
      <c r="F1742" s="9" t="n"/>
      <c r="G1742" s="9" t="n"/>
      <c r="H1742" s="10" t="n"/>
      <c r="I1742" s="62">
        <f>IF('Calendario C'!I462="","",'Calendario C'!I462)</f>
        <v/>
      </c>
      <c r="J1742" s="141" t="n"/>
      <c r="K1742" s="141" t="n"/>
      <c r="L1742" s="141" t="n"/>
      <c r="M1742" s="141" t="n"/>
      <c r="N1742" s="141" t="n"/>
      <c r="O1742" s="141" t="n"/>
      <c r="P1742" s="141" t="n"/>
      <c r="Q1742" s="141" t="n"/>
      <c r="R1742" s="141" t="n"/>
    </row>
    <row r="1743" ht="14" customHeight="1">
      <c r="A1743" s="81" t="inlineStr">
        <is>
          <t>Gara N.</t>
        </is>
      </c>
      <c r="B1743" s="81" t="inlineStr">
        <is>
          <t>Squadra A</t>
        </is>
      </c>
      <c r="C1743" s="10" t="n"/>
      <c r="D1743" s="81" t="inlineStr">
        <is>
          <t>Squadra B</t>
        </is>
      </c>
      <c r="E1743" s="10" t="n"/>
      <c r="F1743" s="81" t="inlineStr">
        <is>
          <t>Giorno</t>
        </is>
      </c>
      <c r="G1743" s="81" t="inlineStr">
        <is>
          <t>Data</t>
        </is>
      </c>
      <c r="H1743" s="81" t="inlineStr">
        <is>
          <t>Ora</t>
        </is>
      </c>
      <c r="I1743" s="10" t="n"/>
      <c r="J1743" s="81" t="inlineStr">
        <is>
          <t>Risultato</t>
        </is>
      </c>
      <c r="K1743" s="9" t="n"/>
      <c r="L1743" s="10" t="n"/>
      <c r="M1743" s="201" t="inlineStr">
        <is>
          <t>1o Arbitro</t>
        </is>
      </c>
      <c r="N1743" s="201" t="inlineStr">
        <is>
          <t>2o Arbitro</t>
        </is>
      </c>
      <c r="O1743" s="201" t="inlineStr">
        <is>
          <t>3o Arbitro/Tirocinante</t>
        </is>
      </c>
      <c r="P1743" s="201" t="inlineStr">
        <is>
          <t>Referto</t>
        </is>
      </c>
      <c r="Q1743" s="201" t="inlineStr">
        <is>
          <t>Cronometro</t>
        </is>
      </c>
      <c r="R1743" s="201" t="inlineStr">
        <is>
          <t>Foglio Tiri</t>
        </is>
      </c>
    </row>
    <row r="1744" ht="22" customHeight="1">
      <c r="A1744" s="83">
        <f>IF('Calendario C'!A464="","",'Calendario C'!A464)</f>
        <v/>
      </c>
      <c r="B1744" s="61">
        <f>IF('Calendario C'!B464="","",'Calendario C'!B464)</f>
        <v/>
      </c>
      <c r="C1744" s="62">
        <f>IF('Calendario C'!C464="","",'Calendario C'!C464)</f>
        <v/>
      </c>
      <c r="D1744" s="61">
        <f>IF('Calendario C'!D464="","",'Calendario C'!D464)</f>
        <v/>
      </c>
      <c r="E1744" s="62">
        <f>IF('Calendario C'!E464="","",'Calendario C'!E464)</f>
        <v/>
      </c>
      <c r="F1744" s="63">
        <f>IF('Calendario C'!F464="","",'Calendario C'!F464)</f>
        <v/>
      </c>
      <c r="G1744" s="9" t="n"/>
      <c r="H1744" s="9" t="n"/>
      <c r="I1744" s="10" t="n"/>
      <c r="J1744" s="195">
        <f>IF('Calendario C'!J464="","",'Calendario C'!J464)</f>
        <v/>
      </c>
      <c r="K1744" s="64" t="inlineStr">
        <is>
          <t>-</t>
        </is>
      </c>
      <c r="L1744" s="195">
        <f>IF('Calendario C'!L464="","",'Calendario C'!L464)</f>
        <v/>
      </c>
      <c r="M1744" s="196" t="inlineStr">
        <is>
          <t>MARCHIONI Paolo [AAt]</t>
        </is>
      </c>
      <c r="N1744" s="196" t="inlineStr">
        <is>
          <t>NADAUD Lucia [AA]</t>
        </is>
      </c>
      <c r="O1744" s="196" t="inlineStr">
        <is>
          <t>ENGEL Valerie [Aest]</t>
        </is>
      </c>
      <c r="P1744" s="196" t="inlineStr">
        <is>
          <t>BELLANDI Lucia</t>
        </is>
      </c>
      <c r="Q1744" s="196" t="inlineStr">
        <is>
          <t>KOVAC Paolo</t>
        </is>
      </c>
      <c r="R1744" s="196" t="inlineStr">
        <is>
          <t>WEBER Sofia</t>
        </is>
      </c>
    </row>
    <row r="1745" ht="15" customHeight="1">
      <c r="A1745" s="141" t="n"/>
      <c r="B1745" s="69">
        <f>IF('Calendario C'!B465="","",'Calendario C'!B465)</f>
        <v/>
      </c>
      <c r="C1745" s="9" t="n"/>
      <c r="D1745" s="9" t="n"/>
      <c r="E1745" s="9" t="n"/>
      <c r="F1745" s="9" t="n"/>
      <c r="G1745" s="9" t="n"/>
      <c r="H1745" s="10" t="n"/>
      <c r="I1745" s="62">
        <f>IF('Calendario C'!I465="","",'Calendario C'!I465)</f>
        <v/>
      </c>
      <c r="J1745" s="141" t="n"/>
      <c r="K1745" s="141" t="n"/>
      <c r="L1745" s="141" t="n"/>
      <c r="M1745" s="141" t="n"/>
      <c r="N1745" s="141" t="n"/>
      <c r="O1745" s="141" t="n"/>
      <c r="P1745" s="141" t="n"/>
      <c r="Q1745" s="141" t="n"/>
      <c r="R1745" s="141" t="n"/>
    </row>
    <row r="1746" ht="14" customHeight="1">
      <c r="A1746" s="81" t="inlineStr">
        <is>
          <t>Gara N.</t>
        </is>
      </c>
      <c r="B1746" s="81" t="inlineStr">
        <is>
          <t>Squadra A</t>
        </is>
      </c>
      <c r="C1746" s="10" t="n"/>
      <c r="D1746" s="81" t="inlineStr">
        <is>
          <t>Squadra B</t>
        </is>
      </c>
      <c r="E1746" s="10" t="n"/>
      <c r="F1746" s="81" t="inlineStr">
        <is>
          <t>Giorno</t>
        </is>
      </c>
      <c r="G1746" s="81" t="inlineStr">
        <is>
          <t>Data</t>
        </is>
      </c>
      <c r="H1746" s="81" t="inlineStr">
        <is>
          <t>Ora</t>
        </is>
      </c>
      <c r="I1746" s="10" t="n"/>
      <c r="J1746" s="81" t="inlineStr">
        <is>
          <t>Risultato</t>
        </is>
      </c>
      <c r="K1746" s="9" t="n"/>
      <c r="L1746" s="10" t="n"/>
      <c r="M1746" s="201" t="inlineStr">
        <is>
          <t>1o Arbitro</t>
        </is>
      </c>
      <c r="N1746" s="201" t="inlineStr">
        <is>
          <t>2o Arbitro</t>
        </is>
      </c>
      <c r="O1746" s="201" t="inlineStr">
        <is>
          <t>3o Arbitro/Tirocinante</t>
        </is>
      </c>
      <c r="P1746" s="201" t="inlineStr">
        <is>
          <t>Referto</t>
        </is>
      </c>
      <c r="Q1746" s="201" t="inlineStr">
        <is>
          <t>Cronometro</t>
        </is>
      </c>
      <c r="R1746" s="201" t="inlineStr">
        <is>
          <t>Foglio Tiri</t>
        </is>
      </c>
    </row>
    <row r="1747" ht="22" customHeight="1">
      <c r="A1747" s="83">
        <f>IF('Calendario C'!A467="","",'Calendario C'!A467)</f>
        <v/>
      </c>
      <c r="B1747" s="61">
        <f>IF('Calendario C'!B467="","",'Calendario C'!B467)</f>
        <v/>
      </c>
      <c r="C1747" s="62">
        <f>IF('Calendario C'!C467="","",'Calendario C'!C467)</f>
        <v/>
      </c>
      <c r="D1747" s="61">
        <f>IF('Calendario C'!D467="","",'Calendario C'!D467)</f>
        <v/>
      </c>
      <c r="E1747" s="62">
        <f>IF('Calendario C'!E467="","",'Calendario C'!E467)</f>
        <v/>
      </c>
      <c r="F1747" s="63">
        <f>IF('Calendario C'!F467="","",'Calendario C'!F467)</f>
        <v/>
      </c>
      <c r="G1747" s="9" t="n"/>
      <c r="H1747" s="9" t="n"/>
      <c r="I1747" s="10" t="n"/>
      <c r="J1747" s="195">
        <f>IF('Calendario C'!J467="","",'Calendario C'!J467)</f>
        <v/>
      </c>
      <c r="K1747" s="64" t="inlineStr">
        <is>
          <t>-</t>
        </is>
      </c>
      <c r="L1747" s="195">
        <f>IF('Calendario C'!L467="","",'Calendario C'!L467)</f>
        <v/>
      </c>
      <c r="M1747" s="196" t="inlineStr">
        <is>
          <t>KELLER Chiara [AAt]</t>
        </is>
      </c>
      <c r="N1747" s="196" t="inlineStr">
        <is>
          <t>BLANCHET Anja [AA]</t>
        </is>
      </c>
      <c r="O1747" s="196" t="inlineStr">
        <is>
          <t>SANTORI Sofia [AA]</t>
        </is>
      </c>
      <c r="P1747" s="196" t="inlineStr">
        <is>
          <t>BIANCHELLI Katrin</t>
        </is>
      </c>
      <c r="Q1747" s="196" t="inlineStr">
        <is>
          <t>KOVAC Paolo</t>
        </is>
      </c>
      <c r="R1747" s="196" t="inlineStr">
        <is>
          <t>WEBER Ilaria</t>
        </is>
      </c>
    </row>
    <row r="1748" ht="15" customHeight="1">
      <c r="A1748" s="141" t="n"/>
      <c r="B1748" s="69">
        <f>IF('Calendario C'!B468="","",'Calendario C'!B468)</f>
        <v/>
      </c>
      <c r="C1748" s="9" t="n"/>
      <c r="D1748" s="9" t="n"/>
      <c r="E1748" s="9" t="n"/>
      <c r="F1748" s="9" t="n"/>
      <c r="G1748" s="9" t="n"/>
      <c r="H1748" s="10" t="n"/>
      <c r="I1748" s="62">
        <f>IF('Calendario C'!I468="","",'Calendario C'!I468)</f>
        <v/>
      </c>
      <c r="J1748" s="141" t="n"/>
      <c r="K1748" s="141" t="n"/>
      <c r="L1748" s="141" t="n"/>
      <c r="M1748" s="141" t="n"/>
      <c r="N1748" s="141" t="n"/>
      <c r="O1748" s="141" t="n"/>
      <c r="P1748" s="141" t="n"/>
      <c r="Q1748" s="141" t="n"/>
      <c r="R1748" s="141" t="n"/>
    </row>
    <row r="1749" ht="14" customHeight="1">
      <c r="A1749" s="81" t="inlineStr">
        <is>
          <t>Gara N.</t>
        </is>
      </c>
      <c r="B1749" s="81" t="inlineStr">
        <is>
          <t>Squadra A</t>
        </is>
      </c>
      <c r="C1749" s="10" t="n"/>
      <c r="D1749" s="81" t="inlineStr">
        <is>
          <t>Squadra B</t>
        </is>
      </c>
      <c r="E1749" s="10" t="n"/>
      <c r="F1749" s="81" t="inlineStr">
        <is>
          <t>Giorno</t>
        </is>
      </c>
      <c r="G1749" s="81" t="inlineStr">
        <is>
          <t>Data</t>
        </is>
      </c>
      <c r="H1749" s="81" t="inlineStr">
        <is>
          <t>Ora</t>
        </is>
      </c>
      <c r="I1749" s="10" t="n"/>
      <c r="J1749" s="81" t="inlineStr">
        <is>
          <t>Risultato</t>
        </is>
      </c>
      <c r="K1749" s="9" t="n"/>
      <c r="L1749" s="10" t="n"/>
      <c r="M1749" s="201" t="inlineStr">
        <is>
          <t>1o Arbitro</t>
        </is>
      </c>
      <c r="N1749" s="201" t="inlineStr">
        <is>
          <t>2o Arbitro</t>
        </is>
      </c>
      <c r="O1749" s="201" t="inlineStr">
        <is>
          <t>3o Arbitro/Tirocinante</t>
        </is>
      </c>
      <c r="P1749" s="201" t="inlineStr">
        <is>
          <t>Referto</t>
        </is>
      </c>
      <c r="Q1749" s="201" t="inlineStr">
        <is>
          <t>Cronometro</t>
        </is>
      </c>
      <c r="R1749" s="201" t="inlineStr">
        <is>
          <t>Foglio Tiri</t>
        </is>
      </c>
    </row>
    <row r="1750" ht="22" customHeight="1">
      <c r="A1750" s="83">
        <f>IF('Calendario C'!A470="","",'Calendario C'!A470)</f>
        <v/>
      </c>
      <c r="B1750" s="61">
        <f>IF('Calendario C'!B470="","",'Calendario C'!B470)</f>
        <v/>
      </c>
      <c r="C1750" s="62">
        <f>IF('Calendario C'!C470="","",'Calendario C'!C470)</f>
        <v/>
      </c>
      <c r="D1750" s="61">
        <f>IF('Calendario C'!D470="","",'Calendario C'!D470)</f>
        <v/>
      </c>
      <c r="E1750" s="62">
        <f>IF('Calendario C'!E470="","",'Calendario C'!E470)</f>
        <v/>
      </c>
      <c r="F1750" s="63">
        <f>IF('Calendario C'!F470="","",'Calendario C'!F470)</f>
        <v/>
      </c>
      <c r="G1750" s="9" t="n"/>
      <c r="H1750" s="9" t="n"/>
      <c r="I1750" s="10" t="n"/>
      <c r="J1750" s="195">
        <f>IF('Calendario C'!J470="","",'Calendario C'!J470)</f>
        <v/>
      </c>
      <c r="K1750" s="64" t="inlineStr">
        <is>
          <t>-</t>
        </is>
      </c>
      <c r="L1750" s="195">
        <f>IF('Calendario C'!L470="","",'Calendario C'!L470)</f>
        <v/>
      </c>
      <c r="M1750" s="196" t="inlineStr">
        <is>
          <t>MARCHIONI Katrin [AA]</t>
        </is>
      </c>
      <c r="N1750" s="196" t="inlineStr">
        <is>
          <t>HOFFMANN Marco [Aest]</t>
        </is>
      </c>
      <c r="O1750" s="196" t="inlineStr">
        <is>
          <t>FUENTES Valerie [AAt]</t>
        </is>
      </c>
      <c r="P1750" s="196" t="inlineStr">
        <is>
          <t>GAUTHIER Pablo</t>
        </is>
      </c>
      <c r="Q1750" s="196" t="inlineStr">
        <is>
          <t>FUENTES Greta</t>
        </is>
      </c>
      <c r="R1750" s="196" t="inlineStr">
        <is>
          <t>MODIC Jonas</t>
        </is>
      </c>
    </row>
    <row r="1751" ht="15" customHeight="1">
      <c r="A1751" s="141" t="n"/>
      <c r="B1751" s="69">
        <f>IF('Calendario C'!B471="","",'Calendario C'!B471)</f>
        <v/>
      </c>
      <c r="C1751" s="9" t="n"/>
      <c r="D1751" s="9" t="n"/>
      <c r="E1751" s="9" t="n"/>
      <c r="F1751" s="9" t="n"/>
      <c r="G1751" s="9" t="n"/>
      <c r="H1751" s="10" t="n"/>
      <c r="I1751" s="62">
        <f>IF('Calendario C'!I471="","",'Calendario C'!I471)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81" t="inlineStr">
        <is>
          <t>Gara N.</t>
        </is>
      </c>
      <c r="B1752" s="81" t="inlineStr">
        <is>
          <t>Squadra A</t>
        </is>
      </c>
      <c r="C1752" s="10" t="n"/>
      <c r="D1752" s="81" t="inlineStr">
        <is>
          <t>Squadra B</t>
        </is>
      </c>
      <c r="E1752" s="10" t="n"/>
      <c r="F1752" s="81" t="inlineStr">
        <is>
          <t>Giorno</t>
        </is>
      </c>
      <c r="G1752" s="81" t="inlineStr">
        <is>
          <t>Data</t>
        </is>
      </c>
      <c r="H1752" s="81" t="inlineStr">
        <is>
          <t>Ora</t>
        </is>
      </c>
      <c r="I1752" s="10" t="n"/>
      <c r="J1752" s="81" t="inlineStr">
        <is>
          <t>Risultato</t>
        </is>
      </c>
      <c r="K1752" s="9" t="n"/>
      <c r="L1752" s="10" t="n"/>
      <c r="M1752" s="201" t="inlineStr">
        <is>
          <t>1o Arbitro</t>
        </is>
      </c>
      <c r="N1752" s="201" t="inlineStr">
        <is>
          <t>2o Arbitro</t>
        </is>
      </c>
      <c r="O1752" s="201" t="inlineStr">
        <is>
          <t>3o Arbitro/Tirocinante</t>
        </is>
      </c>
      <c r="P1752" s="201" t="inlineStr">
        <is>
          <t>Referto</t>
        </is>
      </c>
      <c r="Q1752" s="201" t="inlineStr">
        <is>
          <t>Cronometro</t>
        </is>
      </c>
      <c r="R1752" s="201" t="inlineStr">
        <is>
          <t>Foglio Tiri</t>
        </is>
      </c>
    </row>
    <row r="1753" ht="22" customHeight="1">
      <c r="A1753" s="83">
        <f>IF('Calendario C'!A473="","",'Calendario C'!A473)</f>
        <v/>
      </c>
      <c r="B1753" s="61">
        <f>IF('Calendario C'!B473="","",'Calendario C'!B473)</f>
        <v/>
      </c>
      <c r="C1753" s="62">
        <f>IF('Calendario C'!C473="","",'Calendario C'!C473)</f>
        <v/>
      </c>
      <c r="D1753" s="61">
        <f>IF('Calendario C'!D473="","",'Calendario C'!D473)</f>
        <v/>
      </c>
      <c r="E1753" s="62">
        <f>IF('Calendario C'!E473="","",'Calendario C'!E473)</f>
        <v/>
      </c>
      <c r="F1753" s="63">
        <f>IF('Calendario C'!F473="","",'Calendario C'!F473)</f>
        <v/>
      </c>
      <c r="G1753" s="9" t="n"/>
      <c r="H1753" s="9" t="n"/>
      <c r="I1753" s="10" t="n"/>
      <c r="J1753" s="195">
        <f>IF('Calendario C'!J473="","",'Calendario C'!J473)</f>
        <v/>
      </c>
      <c r="K1753" s="64" t="inlineStr">
        <is>
          <t>-</t>
        </is>
      </c>
      <c r="L1753" s="195">
        <f>IF('Calendario C'!L473="","",'Calendario C'!L473)</f>
        <v/>
      </c>
      <c r="M1753" s="196" t="inlineStr">
        <is>
          <t>CARON Paolo [AA]</t>
        </is>
      </c>
      <c r="N1753" s="196" t="inlineStr">
        <is>
          <t>OBLAK Mathilde [A]</t>
        </is>
      </c>
      <c r="O1753" s="196" t="inlineStr">
        <is>
          <t>MARCHIONI Lea [AAt]</t>
        </is>
      </c>
      <c r="P1753" s="196" t="inlineStr">
        <is>
          <t>ZUPAN Luca</t>
        </is>
      </c>
      <c r="Q1753" s="196" t="inlineStr">
        <is>
          <t>ENGEL Ottavia</t>
        </is>
      </c>
      <c r="R1753" s="196" t="inlineStr">
        <is>
          <t>ENGEL Mathilde</t>
        </is>
      </c>
    </row>
    <row r="1754" ht="15" customHeight="1">
      <c r="A1754" s="141" t="n"/>
      <c r="B1754" s="69">
        <f>IF('Calendario C'!B474="","",'Calendario C'!B474)</f>
        <v/>
      </c>
      <c r="C1754" s="9" t="n"/>
      <c r="D1754" s="9" t="n"/>
      <c r="E1754" s="9" t="n"/>
      <c r="F1754" s="9" t="n"/>
      <c r="G1754" s="9" t="n"/>
      <c r="H1754" s="10" t="n"/>
      <c r="I1754" s="62">
        <f>IF('Calendario C'!I474="","",'Calendario C'!I474)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5" ht="14" customHeight="1">
      <c r="A1755" s="81" t="inlineStr">
        <is>
          <t>Gara N.</t>
        </is>
      </c>
      <c r="B1755" s="81" t="inlineStr">
        <is>
          <t>Squadra A</t>
        </is>
      </c>
      <c r="C1755" s="10" t="n"/>
      <c r="D1755" s="81" t="inlineStr">
        <is>
          <t>Squadra B</t>
        </is>
      </c>
      <c r="E1755" s="10" t="n"/>
      <c r="F1755" s="81" t="inlineStr">
        <is>
          <t>Giorno</t>
        </is>
      </c>
      <c r="G1755" s="81" t="inlineStr">
        <is>
          <t>Data</t>
        </is>
      </c>
      <c r="H1755" s="81" t="inlineStr">
        <is>
          <t>Ora</t>
        </is>
      </c>
      <c r="I1755" s="10" t="n"/>
      <c r="J1755" s="81" t="inlineStr">
        <is>
          <t>Risultato</t>
        </is>
      </c>
      <c r="K1755" s="9" t="n"/>
      <c r="L1755" s="10" t="n"/>
      <c r="M1755" s="201" t="inlineStr">
        <is>
          <t>1o Arbitro</t>
        </is>
      </c>
      <c r="N1755" s="201" t="inlineStr">
        <is>
          <t>2o Arbitro</t>
        </is>
      </c>
      <c r="O1755" s="201" t="inlineStr">
        <is>
          <t>3o Arbitro/Tirocinante</t>
        </is>
      </c>
      <c r="P1755" s="201" t="inlineStr">
        <is>
          <t>Referto</t>
        </is>
      </c>
      <c r="Q1755" s="201" t="inlineStr">
        <is>
          <t>Cronometro</t>
        </is>
      </c>
      <c r="R1755" s="201" t="inlineStr">
        <is>
          <t>Foglio Tiri</t>
        </is>
      </c>
    </row>
    <row r="1756" ht="22" customHeight="1">
      <c r="A1756" s="83">
        <f>IF('Calendario C'!A476="","",'Calendario C'!A476)</f>
        <v/>
      </c>
      <c r="B1756" s="61">
        <f>IF('Calendario C'!B476="","",'Calendario C'!B476)</f>
        <v/>
      </c>
      <c r="C1756" s="62">
        <f>IF('Calendario C'!C476="","",'Calendario C'!C476)</f>
        <v/>
      </c>
      <c r="D1756" s="61">
        <f>IF('Calendario C'!D476="","",'Calendario C'!D476)</f>
        <v/>
      </c>
      <c r="E1756" s="62">
        <f>IF('Calendario C'!E476="","",'Calendario C'!E476)</f>
        <v/>
      </c>
      <c r="F1756" s="63">
        <f>IF('Calendario C'!F476="","",'Calendario C'!F476)</f>
        <v/>
      </c>
      <c r="G1756" s="9" t="n"/>
      <c r="H1756" s="9" t="n"/>
      <c r="I1756" s="10" t="n"/>
      <c r="J1756" s="195">
        <f>IF('Calendario C'!J476="","",'Calendario C'!J476)</f>
        <v/>
      </c>
      <c r="K1756" s="64" t="inlineStr">
        <is>
          <t>-</t>
        </is>
      </c>
      <c r="L1756" s="195">
        <f>IF('Calendario C'!L476="","",'Calendario C'!L476)</f>
        <v/>
      </c>
      <c r="M1756" s="196" t="inlineStr">
        <is>
          <t>GALLINI Lukas [AA]</t>
        </is>
      </c>
      <c r="N1756" s="196" t="inlineStr">
        <is>
          <t>AUBERT Diego [A]</t>
        </is>
      </c>
      <c r="O1756" s="196" t="inlineStr">
        <is>
          <t>GAUTHIER Noemi [AA]</t>
        </is>
      </c>
      <c r="P1756" s="196" t="inlineStr">
        <is>
          <t>SANTORI Paolo</t>
        </is>
      </c>
      <c r="Q1756" s="196" t="inlineStr">
        <is>
          <t>ORTEGA Marta</t>
        </is>
      </c>
      <c r="R1756" s="196" t="inlineStr">
        <is>
          <t>HOFFMANN Davide</t>
        </is>
      </c>
    </row>
    <row r="1757" ht="15" customHeight="1">
      <c r="A1757" s="141" t="n"/>
      <c r="B1757" s="69">
        <f>IF('Calendario C'!B477="","",'Calendario C'!B477)</f>
        <v/>
      </c>
      <c r="C1757" s="9" t="n"/>
      <c r="D1757" s="9" t="n"/>
      <c r="E1757" s="9" t="n"/>
      <c r="F1757" s="9" t="n"/>
      <c r="G1757" s="9" t="n"/>
      <c r="H1757" s="10" t="n"/>
      <c r="I1757" s="62">
        <f>IF('Calendario C'!I477="","",'Calendario C'!I477)</f>
        <v/>
      </c>
      <c r="J1757" s="141" t="n"/>
      <c r="K1757" s="141" t="n"/>
      <c r="L1757" s="141" t="n"/>
      <c r="M1757" s="141" t="n"/>
      <c r="N1757" s="141" t="n"/>
      <c r="O1757" s="141" t="n"/>
      <c r="P1757" s="141" t="n"/>
      <c r="Q1757" s="141" t="n"/>
      <c r="R1757" s="141" t="n"/>
    </row>
    <row r="1758" ht="14" customHeight="1">
      <c r="A1758" s="81" t="inlineStr">
        <is>
          <t>Gara N.</t>
        </is>
      </c>
      <c r="B1758" s="81" t="inlineStr">
        <is>
          <t>Squadra A</t>
        </is>
      </c>
      <c r="C1758" s="10" t="n"/>
      <c r="D1758" s="81" t="inlineStr">
        <is>
          <t>Squadra B</t>
        </is>
      </c>
      <c r="E1758" s="10" t="n"/>
      <c r="F1758" s="81" t="inlineStr">
        <is>
          <t>Giorno</t>
        </is>
      </c>
      <c r="G1758" s="81" t="inlineStr">
        <is>
          <t>Data</t>
        </is>
      </c>
      <c r="H1758" s="81" t="inlineStr">
        <is>
          <t>Ora</t>
        </is>
      </c>
      <c r="I1758" s="10" t="n"/>
      <c r="J1758" s="81" t="inlineStr">
        <is>
          <t>Risultato</t>
        </is>
      </c>
      <c r="K1758" s="9" t="n"/>
      <c r="L1758" s="10" t="n"/>
      <c r="M1758" s="201" t="inlineStr">
        <is>
          <t>1o Arbitro</t>
        </is>
      </c>
      <c r="N1758" s="201" t="inlineStr">
        <is>
          <t>2o Arbitro</t>
        </is>
      </c>
      <c r="O1758" s="201" t="inlineStr">
        <is>
          <t>3o Arbitro/Tirocinante</t>
        </is>
      </c>
      <c r="P1758" s="201" t="inlineStr">
        <is>
          <t>Referto</t>
        </is>
      </c>
      <c r="Q1758" s="201" t="inlineStr">
        <is>
          <t>Cronometro</t>
        </is>
      </c>
      <c r="R1758" s="201" t="inlineStr">
        <is>
          <t>Foglio Tiri</t>
        </is>
      </c>
    </row>
    <row r="1759" ht="22" customHeight="1">
      <c r="A1759" s="83">
        <f>IF('Calendario C'!A479="","",'Calendario C'!A479)</f>
        <v/>
      </c>
      <c r="B1759" s="61">
        <f>IF('Calendario C'!B479="","",'Calendario C'!B479)</f>
        <v/>
      </c>
      <c r="C1759" s="62">
        <f>IF('Calendario C'!C479="","",'Calendario C'!C479)</f>
        <v/>
      </c>
      <c r="D1759" s="61">
        <f>IF('Calendario C'!D479="","",'Calendario C'!D479)</f>
        <v/>
      </c>
      <c r="E1759" s="62">
        <f>IF('Calendario C'!E479="","",'Calendario C'!E479)</f>
        <v/>
      </c>
      <c r="F1759" s="63">
        <f>IF('Calendario C'!F479="","",'Calendario C'!F479)</f>
        <v/>
      </c>
      <c r="G1759" s="9" t="n"/>
      <c r="H1759" s="9" t="n"/>
      <c r="I1759" s="10" t="n"/>
      <c r="J1759" s="195">
        <f>IF('Calendario C'!J479="","",'Calendario C'!J479)</f>
        <v/>
      </c>
      <c r="K1759" s="64" t="inlineStr">
        <is>
          <t>-</t>
        </is>
      </c>
      <c r="L1759" s="195">
        <f>IF('Calendario C'!L479="","",'Calendario C'!L479)</f>
        <v/>
      </c>
      <c r="M1759" s="196" t="inlineStr">
        <is>
          <t>VOGEL Stefano [AAt]</t>
        </is>
      </c>
      <c r="N1759" s="196" t="inlineStr">
        <is>
          <t>BELLANDI Chiara [Aest]</t>
        </is>
      </c>
      <c r="O1759" s="196" t="inlineStr">
        <is>
          <t>MODIC Miha [A]</t>
        </is>
      </c>
      <c r="P1759" s="196" t="inlineStr">
        <is>
          <t>BIANCHELLI Katrin</t>
        </is>
      </c>
      <c r="Q1759" s="196" t="inlineStr">
        <is>
          <t>KELLER Ottavia</t>
        </is>
      </c>
      <c r="R1759" s="196" t="inlineStr">
        <is>
          <t>ORTEGA Ilaria</t>
        </is>
      </c>
    </row>
    <row r="1760" ht="15" customHeight="1">
      <c r="A1760" s="141" t="n"/>
      <c r="B1760" s="69">
        <f>IF('Calendario C'!B480="","",'Calendario C'!B480)</f>
        <v/>
      </c>
      <c r="C1760" s="9" t="n"/>
      <c r="D1760" s="9" t="n"/>
      <c r="E1760" s="9" t="n"/>
      <c r="F1760" s="9" t="n"/>
      <c r="G1760" s="9" t="n"/>
      <c r="H1760" s="10" t="n"/>
      <c r="I1760" s="62">
        <f>IF('Calendario C'!I480="","",'Calendario C'!I480)</f>
        <v/>
      </c>
      <c r="J1760" s="141" t="n"/>
      <c r="K1760" s="141" t="n"/>
      <c r="L1760" s="141" t="n"/>
      <c r="M1760" s="141" t="n"/>
      <c r="N1760" s="141" t="n"/>
      <c r="O1760" s="141" t="n"/>
      <c r="P1760" s="141" t="n"/>
      <c r="Q1760" s="141" t="n"/>
      <c r="R1760" s="141" t="n"/>
    </row>
    <row r="1761" ht="14" customHeight="1">
      <c r="A1761" s="81" t="inlineStr">
        <is>
          <t>Gara N.</t>
        </is>
      </c>
      <c r="B1761" s="81" t="inlineStr">
        <is>
          <t>Squadra A</t>
        </is>
      </c>
      <c r="C1761" s="10" t="n"/>
      <c r="D1761" s="81" t="inlineStr">
        <is>
          <t>Squadra B</t>
        </is>
      </c>
      <c r="E1761" s="10" t="n"/>
      <c r="F1761" s="81" t="inlineStr">
        <is>
          <t>Giorno</t>
        </is>
      </c>
      <c r="G1761" s="81" t="inlineStr">
        <is>
          <t>Data</t>
        </is>
      </c>
      <c r="H1761" s="81" t="inlineStr">
        <is>
          <t>Ora</t>
        </is>
      </c>
      <c r="I1761" s="10" t="n"/>
      <c r="J1761" s="81" t="inlineStr">
        <is>
          <t>Risultato</t>
        </is>
      </c>
      <c r="K1761" s="9" t="n"/>
      <c r="L1761" s="10" t="n"/>
      <c r="M1761" s="201" t="inlineStr">
        <is>
          <t>1o Arbitro</t>
        </is>
      </c>
      <c r="N1761" s="201" t="inlineStr">
        <is>
          <t>2o Arbitro</t>
        </is>
      </c>
      <c r="O1761" s="201" t="inlineStr">
        <is>
          <t>3o Arbitro/Tirocinante</t>
        </is>
      </c>
      <c r="P1761" s="201" t="inlineStr">
        <is>
          <t>Referto</t>
        </is>
      </c>
      <c r="Q1761" s="201" t="inlineStr">
        <is>
          <t>Cronometro</t>
        </is>
      </c>
      <c r="R1761" s="201" t="inlineStr">
        <is>
          <t>Foglio Tiri</t>
        </is>
      </c>
    </row>
    <row r="1762" ht="22" customHeight="1">
      <c r="A1762" s="83">
        <f>IF('Calendario C'!A482="","",'Calendario C'!A482)</f>
        <v/>
      </c>
      <c r="B1762" s="61">
        <f>IF('Calendario C'!B482="","",'Calendario C'!B482)</f>
        <v/>
      </c>
      <c r="C1762" s="62">
        <f>IF('Calendario C'!C482="","",'Calendario C'!C482)</f>
        <v/>
      </c>
      <c r="D1762" s="61">
        <f>IF('Calendario C'!D482="","",'Calendario C'!D482)</f>
        <v/>
      </c>
      <c r="E1762" s="62">
        <f>IF('Calendario C'!E482="","",'Calendario C'!E482)</f>
        <v/>
      </c>
      <c r="F1762" s="63">
        <f>IF('Calendario C'!F482="","",'Calendario C'!F482)</f>
        <v/>
      </c>
      <c r="G1762" s="9" t="n"/>
      <c r="H1762" s="9" t="n"/>
      <c r="I1762" s="10" t="n"/>
      <c r="J1762" s="195">
        <f>IF('Calendario C'!J482="","",'Calendario C'!J482)</f>
        <v/>
      </c>
      <c r="K1762" s="64" t="inlineStr">
        <is>
          <t>-</t>
        </is>
      </c>
      <c r="L1762" s="195">
        <f>IF('Calendario C'!L482="","",'Calendario C'!L482)</f>
        <v/>
      </c>
      <c r="M1762" s="196" t="inlineStr">
        <is>
          <t>BLANCHET Diego [A]</t>
        </is>
      </c>
      <c r="N1762" s="196" t="inlineStr">
        <is>
          <t>PELLEGRI Eva [AA]</t>
        </is>
      </c>
      <c r="O1762" s="196" t="inlineStr">
        <is>
          <t>HOFFMANN Filippo [AA]</t>
        </is>
      </c>
      <c r="P1762" s="196" t="inlineStr">
        <is>
          <t>SCHAFER Greta</t>
        </is>
      </c>
      <c r="Q1762" s="196" t="inlineStr">
        <is>
          <t>SCHAFER Gaelle</t>
        </is>
      </c>
      <c r="R1762" s="196" t="inlineStr">
        <is>
          <t>FERRANTE Hugo</t>
        </is>
      </c>
    </row>
    <row r="1763" ht="15" customHeight="1">
      <c r="A1763" s="141" t="n"/>
      <c r="B1763" s="69">
        <f>IF('Calendario C'!B483="","",'Calendario C'!B483)</f>
        <v/>
      </c>
      <c r="C1763" s="9" t="n"/>
      <c r="D1763" s="9" t="n"/>
      <c r="E1763" s="9" t="n"/>
      <c r="F1763" s="9" t="n"/>
      <c r="G1763" s="9" t="n"/>
      <c r="H1763" s="10" t="n"/>
      <c r="I1763" s="62">
        <f>IF('Calendario C'!I483="","",'Calendario C'!I483)</f>
        <v/>
      </c>
      <c r="J1763" s="141" t="n"/>
      <c r="K1763" s="141" t="n"/>
      <c r="L1763" s="141" t="n"/>
      <c r="M1763" s="141" t="n"/>
      <c r="N1763" s="141" t="n"/>
      <c r="O1763" s="141" t="n"/>
      <c r="P1763" s="141" t="n"/>
      <c r="Q1763" s="141" t="n"/>
      <c r="R1763" s="141" t="n"/>
    </row>
    <row r="1764" ht="14" customHeight="1">
      <c r="A1764" s="81" t="inlineStr">
        <is>
          <t>Gara N.</t>
        </is>
      </c>
      <c r="B1764" s="81" t="inlineStr">
        <is>
          <t>Squadra A</t>
        </is>
      </c>
      <c r="C1764" s="10" t="n"/>
      <c r="D1764" s="81" t="inlineStr">
        <is>
          <t>Squadra B</t>
        </is>
      </c>
      <c r="E1764" s="10" t="n"/>
      <c r="F1764" s="81" t="inlineStr">
        <is>
          <t>Giorno</t>
        </is>
      </c>
      <c r="G1764" s="81" t="inlineStr">
        <is>
          <t>Data</t>
        </is>
      </c>
      <c r="H1764" s="81" t="inlineStr">
        <is>
          <t>Ora</t>
        </is>
      </c>
      <c r="I1764" s="10" t="n"/>
      <c r="J1764" s="81" t="inlineStr">
        <is>
          <t>Risultato</t>
        </is>
      </c>
      <c r="K1764" s="9" t="n"/>
      <c r="L1764" s="10" t="n"/>
      <c r="M1764" s="201" t="inlineStr">
        <is>
          <t>1o Arbitro</t>
        </is>
      </c>
      <c r="N1764" s="201" t="inlineStr">
        <is>
          <t>2o Arbitro</t>
        </is>
      </c>
      <c r="O1764" s="201" t="inlineStr">
        <is>
          <t>3o Arbitro/Tirocinante</t>
        </is>
      </c>
      <c r="P1764" s="201" t="inlineStr">
        <is>
          <t>Referto</t>
        </is>
      </c>
      <c r="Q1764" s="201" t="inlineStr">
        <is>
          <t>Cronometro</t>
        </is>
      </c>
      <c r="R1764" s="201" t="inlineStr">
        <is>
          <t>Foglio Tiri</t>
        </is>
      </c>
    </row>
    <row r="1765" ht="22" customHeight="1">
      <c r="A1765" s="83">
        <f>IF('Calendario C'!A485="","",'Calendario C'!A485)</f>
        <v/>
      </c>
      <c r="B1765" s="61">
        <f>IF('Calendario C'!B485="","",'Calendario C'!B485)</f>
        <v/>
      </c>
      <c r="C1765" s="62">
        <f>IF('Calendario C'!C485="","",'Calendario C'!C485)</f>
        <v/>
      </c>
      <c r="D1765" s="61">
        <f>IF('Calendario C'!D485="","",'Calendario C'!D485)</f>
        <v/>
      </c>
      <c r="E1765" s="62">
        <f>IF('Calendario C'!E485="","",'Calendario C'!E485)</f>
        <v/>
      </c>
      <c r="F1765" s="63">
        <f>IF('Calendario C'!F485="","",'Calendario C'!F485)</f>
        <v/>
      </c>
      <c r="G1765" s="9" t="n"/>
      <c r="H1765" s="9" t="n"/>
      <c r="I1765" s="10" t="n"/>
      <c r="J1765" s="195">
        <f>IF('Calendario C'!J485="","",'Calendario C'!J485)</f>
        <v/>
      </c>
      <c r="K1765" s="64" t="inlineStr">
        <is>
          <t>-</t>
        </is>
      </c>
      <c r="L1765" s="195">
        <f>IF('Calendario C'!L485="","",'Calendario C'!L485)</f>
        <v/>
      </c>
      <c r="M1765" s="196" t="inlineStr">
        <is>
          <t>KRUGER Nicola [Aest]</t>
        </is>
      </c>
      <c r="N1765" s="196" t="inlineStr">
        <is>
          <t>BELLANDI Matteo [AA]</t>
        </is>
      </c>
      <c r="O1765" s="196" t="inlineStr">
        <is>
          <t>BLANCHET Nicola [AA]</t>
        </is>
      </c>
      <c r="P1765" s="196" t="inlineStr">
        <is>
          <t>LEROUX Stefano</t>
        </is>
      </c>
      <c r="Q1765" s="196" t="inlineStr">
        <is>
          <t>NADAUD Ilaria</t>
        </is>
      </c>
      <c r="R1765" s="196" t="inlineStr">
        <is>
          <t>FOURNIER Lucia</t>
        </is>
      </c>
    </row>
    <row r="1766" ht="15" customHeight="1">
      <c r="A1766" s="141" t="n"/>
      <c r="B1766" s="69">
        <f>IF('Calendario C'!B486="","",'Calendario C'!B486)</f>
        <v/>
      </c>
      <c r="C1766" s="9" t="n"/>
      <c r="D1766" s="9" t="n"/>
      <c r="E1766" s="9" t="n"/>
      <c r="F1766" s="9" t="n"/>
      <c r="G1766" s="9" t="n"/>
      <c r="H1766" s="10" t="n"/>
      <c r="I1766" s="62">
        <f>IF('Calendario C'!I486="","",'Calendario C'!I486)</f>
        <v/>
      </c>
      <c r="J1766" s="141" t="n"/>
      <c r="K1766" s="141" t="n"/>
      <c r="L1766" s="141" t="n"/>
      <c r="M1766" s="141" t="n"/>
      <c r="N1766" s="141" t="n"/>
      <c r="O1766" s="141" t="n"/>
      <c r="P1766" s="141" t="n"/>
      <c r="Q1766" s="141" t="n"/>
      <c r="R1766" s="141" t="n"/>
    </row>
    <row r="1768" ht="20" customHeight="1">
      <c r="A1768" s="78">
        <f>IF('Calendario C'!A488="","",'Calendario C'!A488)</f>
        <v/>
      </c>
      <c r="B1768" s="79">
        <f>IF('Calendario C'!B488="","",'Calendario C'!B488)</f>
        <v/>
      </c>
      <c r="C1768" s="9" t="n"/>
      <c r="D1768" s="9" t="n"/>
      <c r="E1768" s="9" t="n"/>
      <c r="F1768" s="9" t="n"/>
      <c r="G1768" s="9" t="n"/>
      <c r="H1768" s="9" t="n"/>
      <c r="I1768" s="9" t="n"/>
      <c r="J1768" s="9" t="n"/>
      <c r="K1768" s="9" t="n"/>
      <c r="L1768" s="10" t="n"/>
      <c r="M1768" s="200" t="inlineStr">
        <is>
          <t>ARBITRI</t>
        </is>
      </c>
      <c r="N1768" s="9" t="n"/>
      <c r="O1768" s="10" t="n"/>
      <c r="P1768" s="200" t="inlineStr">
        <is>
          <t>UFFICIALI DI CAMPO</t>
        </is>
      </c>
      <c r="Q1768" s="9" t="n"/>
      <c r="R1768" s="10" t="n"/>
    </row>
    <row r="1769" ht="14" customHeight="1">
      <c r="A1769" s="81" t="inlineStr">
        <is>
          <t>Gara N.</t>
        </is>
      </c>
      <c r="B1769" s="81" t="inlineStr">
        <is>
          <t>Squadra A</t>
        </is>
      </c>
      <c r="C1769" s="10" t="n"/>
      <c r="D1769" s="81" t="inlineStr">
        <is>
          <t>Squadra B</t>
        </is>
      </c>
      <c r="E1769" s="10" t="n"/>
      <c r="F1769" s="81" t="inlineStr">
        <is>
          <t>Giorno</t>
        </is>
      </c>
      <c r="G1769" s="81" t="inlineStr">
        <is>
          <t>Data</t>
        </is>
      </c>
      <c r="H1769" s="81" t="inlineStr">
        <is>
          <t>Ora</t>
        </is>
      </c>
      <c r="I1769" s="10" t="n"/>
      <c r="J1769" s="81" t="inlineStr">
        <is>
          <t>Risultato</t>
        </is>
      </c>
      <c r="K1769" s="9" t="n"/>
      <c r="L1769" s="10" t="n"/>
      <c r="M1769" s="201" t="inlineStr">
        <is>
          <t>1o Arbitro</t>
        </is>
      </c>
      <c r="N1769" s="201" t="inlineStr">
        <is>
          <t>2o Arbitro</t>
        </is>
      </c>
      <c r="O1769" s="201" t="inlineStr">
        <is>
          <t>3o Arbitro/Tirocinante</t>
        </is>
      </c>
      <c r="P1769" s="201" t="inlineStr">
        <is>
          <t>Referto</t>
        </is>
      </c>
      <c r="Q1769" s="201" t="inlineStr">
        <is>
          <t>Cronometro</t>
        </is>
      </c>
      <c r="R1769" s="201" t="inlineStr">
        <is>
          <t>Foglio Tiri</t>
        </is>
      </c>
    </row>
    <row r="1770" ht="22" customHeight="1">
      <c r="A1770" s="83">
        <f>IF('Calendario C'!A490="","",'Calendario C'!A490)</f>
        <v/>
      </c>
      <c r="B1770" s="61">
        <f>IF('Calendario C'!B490="","",'Calendario C'!B490)</f>
        <v/>
      </c>
      <c r="C1770" s="62">
        <f>IF('Calendario C'!C490="","",'Calendario C'!C490)</f>
        <v/>
      </c>
      <c r="D1770" s="61">
        <f>IF('Calendario C'!D490="","",'Calendario C'!D490)</f>
        <v/>
      </c>
      <c r="E1770" s="62">
        <f>IF('Calendario C'!E490="","",'Calendario C'!E490)</f>
        <v/>
      </c>
      <c r="F1770" s="63">
        <f>IF('Calendario C'!F490="","",'Calendario C'!F490)</f>
        <v/>
      </c>
      <c r="G1770" s="9" t="n"/>
      <c r="H1770" s="9" t="n"/>
      <c r="I1770" s="10" t="n"/>
      <c r="J1770" s="195">
        <f>IF('Calendario C'!J490="","",'Calendario C'!J490)</f>
        <v/>
      </c>
      <c r="K1770" s="64" t="inlineStr">
        <is>
          <t>-</t>
        </is>
      </c>
      <c r="L1770" s="195">
        <f>IF('Calendario C'!L490="","",'Calendario C'!L490)</f>
        <v/>
      </c>
      <c r="M1770" s="196" t="inlineStr">
        <is>
          <t>KRUGER Greta [A]</t>
        </is>
      </c>
      <c r="N1770" s="196" t="inlineStr">
        <is>
          <t>LEROUX Mathilde [AA]</t>
        </is>
      </c>
      <c r="O1770" s="196" t="inlineStr">
        <is>
          <t>SANTORI Sofia [AA]</t>
        </is>
      </c>
      <c r="P1770" s="196" t="inlineStr">
        <is>
          <t>BIANCHELLI Mathilde</t>
        </is>
      </c>
      <c r="Q1770" s="196" t="inlineStr">
        <is>
          <t>KELLER Ottavia</t>
        </is>
      </c>
      <c r="R1770" s="196" t="inlineStr">
        <is>
          <t>BLANCHET Alenka</t>
        </is>
      </c>
    </row>
    <row r="1771" ht="15" customHeight="1">
      <c r="A1771" s="141" t="n"/>
      <c r="B1771" s="69">
        <f>IF('Calendario C'!B491="","",'Calendario C'!B491)</f>
        <v/>
      </c>
      <c r="C1771" s="9" t="n"/>
      <c r="D1771" s="9" t="n"/>
      <c r="E1771" s="9" t="n"/>
      <c r="F1771" s="9" t="n"/>
      <c r="G1771" s="9" t="n"/>
      <c r="H1771" s="10" t="n"/>
      <c r="I1771" s="62">
        <f>IF('Calendario C'!I491="","",'Calendario C'!I491)</f>
        <v/>
      </c>
      <c r="J1771" s="141" t="n"/>
      <c r="K1771" s="141" t="n"/>
      <c r="L1771" s="141" t="n"/>
      <c r="M1771" s="141" t="n"/>
      <c r="N1771" s="141" t="n"/>
      <c r="O1771" s="141" t="n"/>
      <c r="P1771" s="141" t="n"/>
      <c r="Q1771" s="141" t="n"/>
      <c r="R1771" s="141" t="n"/>
    </row>
    <row r="1772" ht="14" customHeight="1">
      <c r="A1772" s="81" t="inlineStr">
        <is>
          <t>Gara N.</t>
        </is>
      </c>
      <c r="B1772" s="81" t="inlineStr">
        <is>
          <t>Squadra A</t>
        </is>
      </c>
      <c r="C1772" s="10" t="n"/>
      <c r="D1772" s="81" t="inlineStr">
        <is>
          <t>Squadra B</t>
        </is>
      </c>
      <c r="E1772" s="10" t="n"/>
      <c r="F1772" s="81" t="inlineStr">
        <is>
          <t>Giorno</t>
        </is>
      </c>
      <c r="G1772" s="81" t="inlineStr">
        <is>
          <t>Data</t>
        </is>
      </c>
      <c r="H1772" s="81" t="inlineStr">
        <is>
          <t>Ora</t>
        </is>
      </c>
      <c r="I1772" s="10" t="n"/>
      <c r="J1772" s="81" t="inlineStr">
        <is>
          <t>Risultato</t>
        </is>
      </c>
      <c r="K1772" s="9" t="n"/>
      <c r="L1772" s="10" t="n"/>
      <c r="M1772" s="201" t="inlineStr">
        <is>
          <t>1o Arbitro</t>
        </is>
      </c>
      <c r="N1772" s="201" t="inlineStr">
        <is>
          <t>2o Arbitro</t>
        </is>
      </c>
      <c r="O1772" s="201" t="inlineStr">
        <is>
          <t>3o Arbitro/Tirocinante</t>
        </is>
      </c>
      <c r="P1772" s="201" t="inlineStr">
        <is>
          <t>Referto</t>
        </is>
      </c>
      <c r="Q1772" s="201" t="inlineStr">
        <is>
          <t>Cronometro</t>
        </is>
      </c>
      <c r="R1772" s="201" t="inlineStr">
        <is>
          <t>Foglio Tiri</t>
        </is>
      </c>
    </row>
    <row r="1773" ht="22" customHeight="1">
      <c r="A1773" s="83">
        <f>IF('Calendario C'!A493="","",'Calendario C'!A493)</f>
        <v/>
      </c>
      <c r="B1773" s="61">
        <f>IF('Calendario C'!B493="","",'Calendario C'!B493)</f>
        <v/>
      </c>
      <c r="C1773" s="62">
        <f>IF('Calendario C'!C493="","",'Calendario C'!C493)</f>
        <v/>
      </c>
      <c r="D1773" s="61">
        <f>IF('Calendario C'!D493="","",'Calendario C'!D493)</f>
        <v/>
      </c>
      <c r="E1773" s="62">
        <f>IF('Calendario C'!E493="","",'Calendario C'!E493)</f>
        <v/>
      </c>
      <c r="F1773" s="63">
        <f>IF('Calendario C'!F493="","",'Calendario C'!F493)</f>
        <v/>
      </c>
      <c r="G1773" s="9" t="n"/>
      <c r="H1773" s="9" t="n"/>
      <c r="I1773" s="10" t="n"/>
      <c r="J1773" s="195">
        <f>IF('Calendario C'!J493="","",'Calendario C'!J493)</f>
        <v/>
      </c>
      <c r="K1773" s="64" t="inlineStr">
        <is>
          <t>-</t>
        </is>
      </c>
      <c r="L1773" s="195">
        <f>IF('Calendario C'!L493="","",'Calendario C'!L493)</f>
        <v/>
      </c>
      <c r="M1773" s="196" t="inlineStr">
        <is>
          <t>KRUGER Sofia [A]</t>
        </is>
      </c>
      <c r="N1773" s="196" t="inlineStr">
        <is>
          <t>FOURNIER Matteo [AAt]</t>
        </is>
      </c>
      <c r="O1773" s="196" t="inlineStr">
        <is>
          <t>MOREAU Pablo [AAt]</t>
        </is>
      </c>
      <c r="P1773" s="196" t="inlineStr">
        <is>
          <t>BLANCHET Marta</t>
        </is>
      </c>
      <c r="Q1773" s="196" t="inlineStr">
        <is>
          <t>IGLESIAS Giulia</t>
        </is>
      </c>
      <c r="R1773" s="196" t="inlineStr">
        <is>
          <t>GAUTHIER Davide</t>
        </is>
      </c>
    </row>
    <row r="1774" ht="15" customHeight="1">
      <c r="A1774" s="141" t="n"/>
      <c r="B1774" s="69">
        <f>IF('Calendario C'!B494="","",'Calendario C'!B494)</f>
        <v/>
      </c>
      <c r="C1774" s="9" t="n"/>
      <c r="D1774" s="9" t="n"/>
      <c r="E1774" s="9" t="n"/>
      <c r="F1774" s="9" t="n"/>
      <c r="G1774" s="9" t="n"/>
      <c r="H1774" s="10" t="n"/>
      <c r="I1774" s="62">
        <f>IF('Calendario C'!I494="","",'Calendario C'!I494)</f>
        <v/>
      </c>
      <c r="J1774" s="141" t="n"/>
      <c r="K1774" s="141" t="n"/>
      <c r="L1774" s="141" t="n"/>
      <c r="M1774" s="141" t="n"/>
      <c r="N1774" s="141" t="n"/>
      <c r="O1774" s="141" t="n"/>
      <c r="P1774" s="141" t="n"/>
      <c r="Q1774" s="141" t="n"/>
      <c r="R1774" s="141" t="n"/>
    </row>
    <row r="1775" ht="14" customHeight="1">
      <c r="A1775" s="81" t="inlineStr">
        <is>
          <t>Gara N.</t>
        </is>
      </c>
      <c r="B1775" s="81" t="inlineStr">
        <is>
          <t>Squadra A</t>
        </is>
      </c>
      <c r="C1775" s="10" t="n"/>
      <c r="D1775" s="81" t="inlineStr">
        <is>
          <t>Squadra B</t>
        </is>
      </c>
      <c r="E1775" s="10" t="n"/>
      <c r="F1775" s="81" t="inlineStr">
        <is>
          <t>Giorno</t>
        </is>
      </c>
      <c r="G1775" s="81" t="inlineStr">
        <is>
          <t>Data</t>
        </is>
      </c>
      <c r="H1775" s="81" t="inlineStr">
        <is>
          <t>Ora</t>
        </is>
      </c>
      <c r="I1775" s="10" t="n"/>
      <c r="J1775" s="81" t="inlineStr">
        <is>
          <t>Risultato</t>
        </is>
      </c>
      <c r="K1775" s="9" t="n"/>
      <c r="L1775" s="10" t="n"/>
      <c r="M1775" s="201" t="inlineStr">
        <is>
          <t>1o Arbitro</t>
        </is>
      </c>
      <c r="N1775" s="201" t="inlineStr">
        <is>
          <t>2o Arbitro</t>
        </is>
      </c>
      <c r="O1775" s="201" t="inlineStr">
        <is>
          <t>3o Arbitro/Tirocinante</t>
        </is>
      </c>
      <c r="P1775" s="201" t="inlineStr">
        <is>
          <t>Referto</t>
        </is>
      </c>
      <c r="Q1775" s="201" t="inlineStr">
        <is>
          <t>Cronometro</t>
        </is>
      </c>
      <c r="R1775" s="201" t="inlineStr">
        <is>
          <t>Foglio Tiri</t>
        </is>
      </c>
    </row>
    <row r="1776" ht="22" customHeight="1">
      <c r="A1776" s="83">
        <f>IF('Calendario C'!A496="","",'Calendario C'!A496)</f>
        <v/>
      </c>
      <c r="B1776" s="61">
        <f>IF('Calendario C'!B496="","",'Calendario C'!B496)</f>
        <v/>
      </c>
      <c r="C1776" s="62">
        <f>IF('Calendario C'!C496="","",'Calendario C'!C496)</f>
        <v/>
      </c>
      <c r="D1776" s="61">
        <f>IF('Calendario C'!D496="","",'Calendario C'!D496)</f>
        <v/>
      </c>
      <c r="E1776" s="62">
        <f>IF('Calendario C'!E496="","",'Calendario C'!E496)</f>
        <v/>
      </c>
      <c r="F1776" s="63">
        <f>IF('Calendario C'!F496="","",'Calendario C'!F496)</f>
        <v/>
      </c>
      <c r="G1776" s="9" t="n"/>
      <c r="H1776" s="9" t="n"/>
      <c r="I1776" s="10" t="n"/>
      <c r="J1776" s="195">
        <f>IF('Calendario C'!J496="","",'Calendario C'!J496)</f>
        <v/>
      </c>
      <c r="K1776" s="64" t="inlineStr">
        <is>
          <t>-</t>
        </is>
      </c>
      <c r="L1776" s="195">
        <f>IF('Calendario C'!L496="","",'Calendario C'!L496)</f>
        <v/>
      </c>
      <c r="M1776" s="196" t="inlineStr">
        <is>
          <t>AUBERT Lucia [AAt]</t>
        </is>
      </c>
      <c r="N1776" s="196" t="inlineStr">
        <is>
          <t>KELLER Beatrice [AAt]</t>
        </is>
      </c>
      <c r="O1776" s="196" t="inlineStr">
        <is>
          <t>GAUTHIER Irene [Aest]</t>
        </is>
      </c>
      <c r="P1776" s="196" t="inlineStr">
        <is>
          <t>FUENTES Anja</t>
        </is>
      </c>
      <c r="Q1776" s="196" t="inlineStr">
        <is>
          <t>BLANCO Chiara</t>
        </is>
      </c>
      <c r="R1776" s="196" t="inlineStr">
        <is>
          <t>ROSSINI Filippo</t>
        </is>
      </c>
    </row>
    <row r="1777" ht="15" customHeight="1">
      <c r="A1777" s="141" t="n"/>
      <c r="B1777" s="69">
        <f>IF('Calendario C'!B497="","",'Calendario C'!B497)</f>
        <v/>
      </c>
      <c r="C1777" s="9" t="n"/>
      <c r="D1777" s="9" t="n"/>
      <c r="E1777" s="9" t="n"/>
      <c r="F1777" s="9" t="n"/>
      <c r="G1777" s="9" t="n"/>
      <c r="H1777" s="10" t="n"/>
      <c r="I1777" s="62">
        <f>IF('Calendario C'!I497="","",'Calendario C'!I497)</f>
        <v/>
      </c>
      <c r="J1777" s="141" t="n"/>
      <c r="K1777" s="141" t="n"/>
      <c r="L1777" s="141" t="n"/>
      <c r="M1777" s="141" t="n"/>
      <c r="N1777" s="141" t="n"/>
      <c r="O1777" s="141" t="n"/>
      <c r="P1777" s="141" t="n"/>
      <c r="Q1777" s="141" t="n"/>
      <c r="R1777" s="141" t="n"/>
    </row>
    <row r="1778" ht="14" customHeight="1">
      <c r="A1778" s="81" t="inlineStr">
        <is>
          <t>Gara N.</t>
        </is>
      </c>
      <c r="B1778" s="81" t="inlineStr">
        <is>
          <t>Squadra A</t>
        </is>
      </c>
      <c r="C1778" s="10" t="n"/>
      <c r="D1778" s="81" t="inlineStr">
        <is>
          <t>Squadra B</t>
        </is>
      </c>
      <c r="E1778" s="10" t="n"/>
      <c r="F1778" s="81" t="inlineStr">
        <is>
          <t>Giorno</t>
        </is>
      </c>
      <c r="G1778" s="81" t="inlineStr">
        <is>
          <t>Data</t>
        </is>
      </c>
      <c r="H1778" s="81" t="inlineStr">
        <is>
          <t>Ora</t>
        </is>
      </c>
      <c r="I1778" s="10" t="n"/>
      <c r="J1778" s="81" t="inlineStr">
        <is>
          <t>Risultato</t>
        </is>
      </c>
      <c r="K1778" s="9" t="n"/>
      <c r="L1778" s="10" t="n"/>
      <c r="M1778" s="201" t="inlineStr">
        <is>
          <t>1o Arbitro</t>
        </is>
      </c>
      <c r="N1778" s="201" t="inlineStr">
        <is>
          <t>2o Arbitro</t>
        </is>
      </c>
      <c r="O1778" s="201" t="inlineStr">
        <is>
          <t>3o Arbitro/Tirocinante</t>
        </is>
      </c>
      <c r="P1778" s="201" t="inlineStr">
        <is>
          <t>Referto</t>
        </is>
      </c>
      <c r="Q1778" s="201" t="inlineStr">
        <is>
          <t>Cronometro</t>
        </is>
      </c>
      <c r="R1778" s="201" t="inlineStr">
        <is>
          <t>Foglio Tiri</t>
        </is>
      </c>
    </row>
    <row r="1779" ht="22" customHeight="1">
      <c r="A1779" s="83">
        <f>IF('Calendario C'!A499="","",'Calendario C'!A499)</f>
        <v/>
      </c>
      <c r="B1779" s="61">
        <f>IF('Calendario C'!B499="","",'Calendario C'!B499)</f>
        <v/>
      </c>
      <c r="C1779" s="62">
        <f>IF('Calendario C'!C499="","",'Calendario C'!C499)</f>
        <v/>
      </c>
      <c r="D1779" s="61">
        <f>IF('Calendario C'!D499="","",'Calendario C'!D499)</f>
        <v/>
      </c>
      <c r="E1779" s="62">
        <f>IF('Calendario C'!E499="","",'Calendario C'!E499)</f>
        <v/>
      </c>
      <c r="F1779" s="63">
        <f>IF('Calendario C'!F499="","",'Calendario C'!F499)</f>
        <v/>
      </c>
      <c r="G1779" s="9" t="n"/>
      <c r="H1779" s="9" t="n"/>
      <c r="I1779" s="10" t="n"/>
      <c r="J1779" s="195">
        <f>IF('Calendario C'!J499="","",'Calendario C'!J499)</f>
        <v/>
      </c>
      <c r="K1779" s="64" t="inlineStr">
        <is>
          <t>-</t>
        </is>
      </c>
      <c r="L1779" s="195">
        <f>IF('Calendario C'!L499="","",'Calendario C'!L499)</f>
        <v/>
      </c>
      <c r="M1779" s="196" t="inlineStr">
        <is>
          <t>IGLESIAS Beatrice [A]</t>
        </is>
      </c>
      <c r="N1779" s="196" t="inlineStr">
        <is>
          <t>ROSSINI Chiara [AAt]</t>
        </is>
      </c>
      <c r="O1779" s="196" t="inlineStr">
        <is>
          <t>CARON Giulia [AAt]</t>
        </is>
      </c>
      <c r="P1779" s="196" t="inlineStr">
        <is>
          <t>SANTORI Marco</t>
        </is>
      </c>
      <c r="Q1779" s="196" t="inlineStr">
        <is>
          <t>NOVAK Ilaria</t>
        </is>
      </c>
      <c r="R1779" s="196" t="inlineStr">
        <is>
          <t>CAMPOS Martina</t>
        </is>
      </c>
    </row>
    <row r="1780" ht="15" customHeight="1">
      <c r="A1780" s="141" t="n"/>
      <c r="B1780" s="69">
        <f>IF('Calendario C'!B500="","",'Calendario C'!B500)</f>
        <v/>
      </c>
      <c r="C1780" s="9" t="n"/>
      <c r="D1780" s="9" t="n"/>
      <c r="E1780" s="9" t="n"/>
      <c r="F1780" s="9" t="n"/>
      <c r="G1780" s="9" t="n"/>
      <c r="H1780" s="10" t="n"/>
      <c r="I1780" s="62">
        <f>IF('Calendario C'!I500="","",'Calendario C'!I500)</f>
        <v/>
      </c>
      <c r="J1780" s="141" t="n"/>
      <c r="K1780" s="141" t="n"/>
      <c r="L1780" s="141" t="n"/>
      <c r="M1780" s="141" t="n"/>
      <c r="N1780" s="141" t="n"/>
      <c r="O1780" s="141" t="n"/>
      <c r="P1780" s="141" t="n"/>
      <c r="Q1780" s="141" t="n"/>
      <c r="R1780" s="141" t="n"/>
    </row>
    <row r="1781" ht="14" customHeight="1">
      <c r="A1781" s="81" t="inlineStr">
        <is>
          <t>Gara N.</t>
        </is>
      </c>
      <c r="B1781" s="81" t="inlineStr">
        <is>
          <t>Squadra A</t>
        </is>
      </c>
      <c r="C1781" s="10" t="n"/>
      <c r="D1781" s="81" t="inlineStr">
        <is>
          <t>Squadra B</t>
        </is>
      </c>
      <c r="E1781" s="10" t="n"/>
      <c r="F1781" s="81" t="inlineStr">
        <is>
          <t>Giorno</t>
        </is>
      </c>
      <c r="G1781" s="81" t="inlineStr">
        <is>
          <t>Data</t>
        </is>
      </c>
      <c r="H1781" s="81" t="inlineStr">
        <is>
          <t>Ora</t>
        </is>
      </c>
      <c r="I1781" s="10" t="n"/>
      <c r="J1781" s="81" t="inlineStr">
        <is>
          <t>Risultato</t>
        </is>
      </c>
      <c r="K1781" s="9" t="n"/>
      <c r="L1781" s="10" t="n"/>
      <c r="M1781" s="201" t="inlineStr">
        <is>
          <t>1o Arbitro</t>
        </is>
      </c>
      <c r="N1781" s="201" t="inlineStr">
        <is>
          <t>2o Arbitro</t>
        </is>
      </c>
      <c r="O1781" s="201" t="inlineStr">
        <is>
          <t>3o Arbitro/Tirocinante</t>
        </is>
      </c>
      <c r="P1781" s="201" t="inlineStr">
        <is>
          <t>Referto</t>
        </is>
      </c>
      <c r="Q1781" s="201" t="inlineStr">
        <is>
          <t>Cronometro</t>
        </is>
      </c>
      <c r="R1781" s="201" t="inlineStr">
        <is>
          <t>Foglio Tiri</t>
        </is>
      </c>
    </row>
    <row r="1782" ht="22" customHeight="1">
      <c r="A1782" s="83">
        <f>IF('Calendario C'!A502="","",'Calendario C'!A502)</f>
        <v/>
      </c>
      <c r="B1782" s="61">
        <f>IF('Calendario C'!B502="","",'Calendario C'!B502)</f>
        <v/>
      </c>
      <c r="C1782" s="62">
        <f>IF('Calendario C'!C502="","",'Calendario C'!C502)</f>
        <v/>
      </c>
      <c r="D1782" s="61">
        <f>IF('Calendario C'!D502="","",'Calendario C'!D502)</f>
        <v/>
      </c>
      <c r="E1782" s="62">
        <f>IF('Calendario C'!E502="","",'Calendario C'!E502)</f>
        <v/>
      </c>
      <c r="F1782" s="63">
        <f>IF('Calendario C'!F502="","",'Calendario C'!F502)</f>
        <v/>
      </c>
      <c r="G1782" s="9" t="n"/>
      <c r="H1782" s="9" t="n"/>
      <c r="I1782" s="10" t="n"/>
      <c r="J1782" s="195">
        <f>IF('Calendario C'!J502="","",'Calendario C'!J502)</f>
        <v/>
      </c>
      <c r="K1782" s="64" t="inlineStr">
        <is>
          <t>-</t>
        </is>
      </c>
      <c r="L1782" s="195">
        <f>IF('Calendario C'!L502="","",'Calendario C'!L502)</f>
        <v/>
      </c>
      <c r="M1782" s="196" t="inlineStr">
        <is>
          <t>KRUGER Nicola [Aest]</t>
        </is>
      </c>
      <c r="N1782" s="196" t="inlineStr">
        <is>
          <t>MARCHIONI Miha [Aest]</t>
        </is>
      </c>
      <c r="O1782" s="196" t="inlineStr">
        <is>
          <t>KELLER Valerie [AAt]</t>
        </is>
      </c>
      <c r="P1782" s="196" t="inlineStr">
        <is>
          <t>AUBERT Paolo</t>
        </is>
      </c>
      <c r="Q1782" s="196" t="inlineStr">
        <is>
          <t>HORVAT Irene</t>
        </is>
      </c>
      <c r="R1782" s="196" t="inlineStr">
        <is>
          <t>KOVAC Felix</t>
        </is>
      </c>
    </row>
    <row r="1783" ht="15" customHeight="1">
      <c r="A1783" s="141" t="n"/>
      <c r="B1783" s="69">
        <f>IF('Calendario C'!B503="","",'Calendario C'!B503)</f>
        <v/>
      </c>
      <c r="C1783" s="9" t="n"/>
      <c r="D1783" s="9" t="n"/>
      <c r="E1783" s="9" t="n"/>
      <c r="F1783" s="9" t="n"/>
      <c r="G1783" s="9" t="n"/>
      <c r="H1783" s="10" t="n"/>
      <c r="I1783" s="62">
        <f>IF('Calendario C'!I503="","",'Calendario C'!I503)</f>
        <v/>
      </c>
      <c r="J1783" s="141" t="n"/>
      <c r="K1783" s="141" t="n"/>
      <c r="L1783" s="141" t="n"/>
      <c r="M1783" s="141" t="n"/>
      <c r="N1783" s="141" t="n"/>
      <c r="O1783" s="141" t="n"/>
      <c r="P1783" s="141" t="n"/>
      <c r="Q1783" s="141" t="n"/>
      <c r="R1783" s="141" t="n"/>
    </row>
    <row r="1784" ht="14" customHeight="1">
      <c r="A1784" s="81" t="inlineStr">
        <is>
          <t>Gara N.</t>
        </is>
      </c>
      <c r="B1784" s="81" t="inlineStr">
        <is>
          <t>Squadra A</t>
        </is>
      </c>
      <c r="C1784" s="10" t="n"/>
      <c r="D1784" s="81" t="inlineStr">
        <is>
          <t>Squadra B</t>
        </is>
      </c>
      <c r="E1784" s="10" t="n"/>
      <c r="F1784" s="81" t="inlineStr">
        <is>
          <t>Giorno</t>
        </is>
      </c>
      <c r="G1784" s="81" t="inlineStr">
        <is>
          <t>Data</t>
        </is>
      </c>
      <c r="H1784" s="81" t="inlineStr">
        <is>
          <t>Ora</t>
        </is>
      </c>
      <c r="I1784" s="10" t="n"/>
      <c r="J1784" s="81" t="inlineStr">
        <is>
          <t>Risultato</t>
        </is>
      </c>
      <c r="K1784" s="9" t="n"/>
      <c r="L1784" s="10" t="n"/>
      <c r="M1784" s="201" t="inlineStr">
        <is>
          <t>1o Arbitro</t>
        </is>
      </c>
      <c r="N1784" s="201" t="inlineStr">
        <is>
          <t>2o Arbitro</t>
        </is>
      </c>
      <c r="O1784" s="201" t="inlineStr">
        <is>
          <t>3o Arbitro/Tirocinante</t>
        </is>
      </c>
      <c r="P1784" s="201" t="inlineStr">
        <is>
          <t>Referto</t>
        </is>
      </c>
      <c r="Q1784" s="201" t="inlineStr">
        <is>
          <t>Cronometro</t>
        </is>
      </c>
      <c r="R1784" s="201" t="inlineStr">
        <is>
          <t>Foglio Tiri</t>
        </is>
      </c>
    </row>
    <row r="1785" ht="22" customHeight="1">
      <c r="A1785" s="83">
        <f>IF('Calendario C'!A505="","",'Calendario C'!A505)</f>
        <v/>
      </c>
      <c r="B1785" s="61">
        <f>IF('Calendario C'!B505="","",'Calendario C'!B505)</f>
        <v/>
      </c>
      <c r="C1785" s="62">
        <f>IF('Calendario C'!C505="","",'Calendario C'!C505)</f>
        <v/>
      </c>
      <c r="D1785" s="61">
        <f>IF('Calendario C'!D505="","",'Calendario C'!D505)</f>
        <v/>
      </c>
      <c r="E1785" s="62">
        <f>IF('Calendario C'!E505="","",'Calendario C'!E505)</f>
        <v/>
      </c>
      <c r="F1785" s="63">
        <f>IF('Calendario C'!F505="","",'Calendario C'!F505)</f>
        <v/>
      </c>
      <c r="G1785" s="9" t="n"/>
      <c r="H1785" s="9" t="n"/>
      <c r="I1785" s="10" t="n"/>
      <c r="J1785" s="195">
        <f>IF('Calendario C'!J505="","",'Calendario C'!J505)</f>
        <v/>
      </c>
      <c r="K1785" s="64" t="inlineStr">
        <is>
          <t>-</t>
        </is>
      </c>
      <c r="L1785" s="195">
        <f>IF('Calendario C'!L505="","",'Calendario C'!L505)</f>
        <v/>
      </c>
      <c r="M1785" s="196" t="inlineStr">
        <is>
          <t>ENGEL Gaelle [AAt]</t>
        </is>
      </c>
      <c r="N1785" s="196" t="inlineStr">
        <is>
          <t>LEFEVRE Pablo [AA]</t>
        </is>
      </c>
      <c r="O1785" s="196" t="inlineStr">
        <is>
          <t>GALLINI Gaelle [A]</t>
        </is>
      </c>
      <c r="P1785" s="196" t="inlineStr">
        <is>
          <t>VIDMAR Chiara</t>
        </is>
      </c>
      <c r="Q1785" s="196" t="inlineStr">
        <is>
          <t>BELLANDI Tommaso</t>
        </is>
      </c>
      <c r="R1785" s="196" t="inlineStr">
        <is>
          <t>WEBER Filippo</t>
        </is>
      </c>
    </row>
    <row r="1786" ht="15" customHeight="1">
      <c r="A1786" s="141" t="n"/>
      <c r="B1786" s="69">
        <f>IF('Calendario C'!B506="","",'Calendario C'!B506)</f>
        <v/>
      </c>
      <c r="C1786" s="9" t="n"/>
      <c r="D1786" s="9" t="n"/>
      <c r="E1786" s="9" t="n"/>
      <c r="F1786" s="9" t="n"/>
      <c r="G1786" s="9" t="n"/>
      <c r="H1786" s="10" t="n"/>
      <c r="I1786" s="62">
        <f>IF('Calendario C'!I506="","",'Calendario C'!I506)</f>
        <v/>
      </c>
      <c r="J1786" s="141" t="n"/>
      <c r="K1786" s="141" t="n"/>
      <c r="L1786" s="141" t="n"/>
      <c r="M1786" s="141" t="n"/>
      <c r="N1786" s="141" t="n"/>
      <c r="O1786" s="141" t="n"/>
      <c r="P1786" s="141" t="n"/>
      <c r="Q1786" s="141" t="n"/>
      <c r="R1786" s="141" t="n"/>
    </row>
    <row r="1787" ht="14" customHeight="1">
      <c r="A1787" s="81" t="inlineStr">
        <is>
          <t>Gara N.</t>
        </is>
      </c>
      <c r="B1787" s="81" t="inlineStr">
        <is>
          <t>Squadra A</t>
        </is>
      </c>
      <c r="C1787" s="10" t="n"/>
      <c r="D1787" s="81" t="inlineStr">
        <is>
          <t>Squadra B</t>
        </is>
      </c>
      <c r="E1787" s="10" t="n"/>
      <c r="F1787" s="81" t="inlineStr">
        <is>
          <t>Giorno</t>
        </is>
      </c>
      <c r="G1787" s="81" t="inlineStr">
        <is>
          <t>Data</t>
        </is>
      </c>
      <c r="H1787" s="81" t="inlineStr">
        <is>
          <t>Ora</t>
        </is>
      </c>
      <c r="I1787" s="10" t="n"/>
      <c r="J1787" s="81" t="inlineStr">
        <is>
          <t>Risultato</t>
        </is>
      </c>
      <c r="K1787" s="9" t="n"/>
      <c r="L1787" s="10" t="n"/>
      <c r="M1787" s="201" t="inlineStr">
        <is>
          <t>1o Arbitro</t>
        </is>
      </c>
      <c r="N1787" s="201" t="inlineStr">
        <is>
          <t>2o Arbitro</t>
        </is>
      </c>
      <c r="O1787" s="201" t="inlineStr">
        <is>
          <t>3o Arbitro/Tirocinante</t>
        </is>
      </c>
      <c r="P1787" s="201" t="inlineStr">
        <is>
          <t>Referto</t>
        </is>
      </c>
      <c r="Q1787" s="201" t="inlineStr">
        <is>
          <t>Cronometro</t>
        </is>
      </c>
      <c r="R1787" s="201" t="inlineStr">
        <is>
          <t>Foglio Tiri</t>
        </is>
      </c>
    </row>
    <row r="1788" ht="22" customHeight="1">
      <c r="A1788" s="83">
        <f>IF('Calendario C'!A508="","",'Calendario C'!A508)</f>
        <v/>
      </c>
      <c r="B1788" s="61">
        <f>IF('Calendario C'!B508="","",'Calendario C'!B508)</f>
        <v/>
      </c>
      <c r="C1788" s="62">
        <f>IF('Calendario C'!C508="","",'Calendario C'!C508)</f>
        <v/>
      </c>
      <c r="D1788" s="61">
        <f>IF('Calendario C'!D508="","",'Calendario C'!D508)</f>
        <v/>
      </c>
      <c r="E1788" s="62">
        <f>IF('Calendario C'!E508="","",'Calendario C'!E508)</f>
        <v/>
      </c>
      <c r="F1788" s="63">
        <f>IF('Calendario C'!F508="","",'Calendario C'!F508)</f>
        <v/>
      </c>
      <c r="G1788" s="9" t="n"/>
      <c r="H1788" s="9" t="n"/>
      <c r="I1788" s="10" t="n"/>
      <c r="J1788" s="195">
        <f>IF('Calendario C'!J508="","",'Calendario C'!J508)</f>
        <v/>
      </c>
      <c r="K1788" s="64" t="inlineStr">
        <is>
          <t>-</t>
        </is>
      </c>
      <c r="L1788" s="195">
        <f>IF('Calendario C'!L508="","",'Calendario C'!L508)</f>
        <v/>
      </c>
      <c r="M1788" s="196" t="inlineStr">
        <is>
          <t>BLANCHET Diego [A]</t>
        </is>
      </c>
      <c r="N1788" s="196" t="inlineStr">
        <is>
          <t>FOURNIER Andrea [AA]</t>
        </is>
      </c>
      <c r="O1788" s="196" t="inlineStr">
        <is>
          <t>KELLER Chiara [AAt]</t>
        </is>
      </c>
      <c r="P1788" s="196" t="inlineStr">
        <is>
          <t>SCHAFER Gaelle</t>
        </is>
      </c>
      <c r="Q1788" s="196" t="inlineStr">
        <is>
          <t>PRADO Eva</t>
        </is>
      </c>
      <c r="R1788" s="196" t="inlineStr">
        <is>
          <t>IGLESIAS Irene</t>
        </is>
      </c>
    </row>
    <row r="1789" ht="15" customHeight="1">
      <c r="A1789" s="141" t="n"/>
      <c r="B1789" s="69">
        <f>IF('Calendario C'!B509="","",'Calendario C'!B509)</f>
        <v/>
      </c>
      <c r="C1789" s="9" t="n"/>
      <c r="D1789" s="9" t="n"/>
      <c r="E1789" s="9" t="n"/>
      <c r="F1789" s="9" t="n"/>
      <c r="G1789" s="9" t="n"/>
      <c r="H1789" s="10" t="n"/>
      <c r="I1789" s="62">
        <f>IF('Calendario C'!I509="","",'Calendario C'!I509)</f>
        <v/>
      </c>
      <c r="J1789" s="141" t="n"/>
      <c r="K1789" s="141" t="n"/>
      <c r="L1789" s="141" t="n"/>
      <c r="M1789" s="141" t="n"/>
      <c r="N1789" s="141" t="n"/>
      <c r="O1789" s="141" t="n"/>
      <c r="P1789" s="141" t="n"/>
      <c r="Q1789" s="141" t="n"/>
      <c r="R1789" s="141" t="n"/>
    </row>
    <row r="1790" ht="14" customHeight="1">
      <c r="A1790" s="81" t="inlineStr">
        <is>
          <t>Gara N.</t>
        </is>
      </c>
      <c r="B1790" s="81" t="inlineStr">
        <is>
          <t>Squadra A</t>
        </is>
      </c>
      <c r="C1790" s="10" t="n"/>
      <c r="D1790" s="81" t="inlineStr">
        <is>
          <t>Squadra B</t>
        </is>
      </c>
      <c r="E1790" s="10" t="n"/>
      <c r="F1790" s="81" t="inlineStr">
        <is>
          <t>Giorno</t>
        </is>
      </c>
      <c r="G1790" s="81" t="inlineStr">
        <is>
          <t>Data</t>
        </is>
      </c>
      <c r="H1790" s="81" t="inlineStr">
        <is>
          <t>Ora</t>
        </is>
      </c>
      <c r="I1790" s="10" t="n"/>
      <c r="J1790" s="81" t="inlineStr">
        <is>
          <t>Risultato</t>
        </is>
      </c>
      <c r="K1790" s="9" t="n"/>
      <c r="L1790" s="10" t="n"/>
      <c r="M1790" s="201" t="inlineStr">
        <is>
          <t>1o Arbitro</t>
        </is>
      </c>
      <c r="N1790" s="201" t="inlineStr">
        <is>
          <t>2o Arbitro</t>
        </is>
      </c>
      <c r="O1790" s="201" t="inlineStr">
        <is>
          <t>3o Arbitro/Tirocinante</t>
        </is>
      </c>
      <c r="P1790" s="201" t="inlineStr">
        <is>
          <t>Referto</t>
        </is>
      </c>
      <c r="Q1790" s="201" t="inlineStr">
        <is>
          <t>Cronometro</t>
        </is>
      </c>
      <c r="R1790" s="201" t="inlineStr">
        <is>
          <t>Foglio Tiri</t>
        </is>
      </c>
    </row>
    <row r="1791" ht="22" customHeight="1">
      <c r="A1791" s="83">
        <f>IF('Calendario C'!A511="","",'Calendario C'!A511)</f>
        <v/>
      </c>
      <c r="B1791" s="61">
        <f>IF('Calendario C'!B511="","",'Calendario C'!B511)</f>
        <v/>
      </c>
      <c r="C1791" s="62">
        <f>IF('Calendario C'!C511="","",'Calendario C'!C511)</f>
        <v/>
      </c>
      <c r="D1791" s="61">
        <f>IF('Calendario C'!D511="","",'Calendario C'!D511)</f>
        <v/>
      </c>
      <c r="E1791" s="62">
        <f>IF('Calendario C'!E511="","",'Calendario C'!E511)</f>
        <v/>
      </c>
      <c r="F1791" s="63">
        <f>IF('Calendario C'!F511="","",'Calendario C'!F511)</f>
        <v/>
      </c>
      <c r="G1791" s="9" t="n"/>
      <c r="H1791" s="9" t="n"/>
      <c r="I1791" s="10" t="n"/>
      <c r="J1791" s="195">
        <f>IF('Calendario C'!J511="","",'Calendario C'!J511)</f>
        <v/>
      </c>
      <c r="K1791" s="64" t="inlineStr">
        <is>
          <t>-</t>
        </is>
      </c>
      <c r="L1791" s="195">
        <f>IF('Calendario C'!L511="","",'Calendario C'!L511)</f>
        <v/>
      </c>
      <c r="M1791" s="196" t="inlineStr">
        <is>
          <t>NOVAK Beatrice [Aest]</t>
        </is>
      </c>
      <c r="N1791" s="196" t="inlineStr">
        <is>
          <t>HORVAT Marco [AA]</t>
        </is>
      </c>
      <c r="O1791" s="196" t="inlineStr">
        <is>
          <t>SANTORI Nicola [AA]</t>
        </is>
      </c>
      <c r="P1791" s="196" t="inlineStr">
        <is>
          <t>WEBER Ilaria</t>
        </is>
      </c>
      <c r="Q1791" s="196" t="inlineStr">
        <is>
          <t>MODIC Jonas</t>
        </is>
      </c>
      <c r="R1791" s="196" t="inlineStr">
        <is>
          <t>KELLER Jonas</t>
        </is>
      </c>
    </row>
    <row r="1792" ht="15" customHeight="1">
      <c r="A1792" s="141" t="n"/>
      <c r="B1792" s="69">
        <f>IF('Calendario C'!B512="","",'Calendario C'!B512)</f>
        <v/>
      </c>
      <c r="C1792" s="9" t="n"/>
      <c r="D1792" s="9" t="n"/>
      <c r="E1792" s="9" t="n"/>
      <c r="F1792" s="9" t="n"/>
      <c r="G1792" s="9" t="n"/>
      <c r="H1792" s="10" t="n"/>
      <c r="I1792" s="62">
        <f>IF('Calendario C'!I512="","",'Calendario C'!I512)</f>
        <v/>
      </c>
      <c r="J1792" s="141" t="n"/>
      <c r="K1792" s="141" t="n"/>
      <c r="L1792" s="141" t="n"/>
      <c r="M1792" s="141" t="n"/>
      <c r="N1792" s="141" t="n"/>
      <c r="O1792" s="141" t="n"/>
      <c r="P1792" s="141" t="n"/>
      <c r="Q1792" s="141" t="n"/>
      <c r="R1792" s="141" t="n"/>
    </row>
    <row r="1793" ht="14" customHeight="1">
      <c r="A1793" s="81" t="inlineStr">
        <is>
          <t>Gara N.</t>
        </is>
      </c>
      <c r="B1793" s="81" t="inlineStr">
        <is>
          <t>Squadra A</t>
        </is>
      </c>
      <c r="C1793" s="10" t="n"/>
      <c r="D1793" s="81" t="inlineStr">
        <is>
          <t>Squadra B</t>
        </is>
      </c>
      <c r="E1793" s="10" t="n"/>
      <c r="F1793" s="81" t="inlineStr">
        <is>
          <t>Giorno</t>
        </is>
      </c>
      <c r="G1793" s="81" t="inlineStr">
        <is>
          <t>Data</t>
        </is>
      </c>
      <c r="H1793" s="81" t="inlineStr">
        <is>
          <t>Ora</t>
        </is>
      </c>
      <c r="I1793" s="10" t="n"/>
      <c r="J1793" s="81" t="inlineStr">
        <is>
          <t>Risultato</t>
        </is>
      </c>
      <c r="K1793" s="9" t="n"/>
      <c r="L1793" s="10" t="n"/>
      <c r="M1793" s="201" t="inlineStr">
        <is>
          <t>1o Arbitro</t>
        </is>
      </c>
      <c r="N1793" s="201" t="inlineStr">
        <is>
          <t>2o Arbitro</t>
        </is>
      </c>
      <c r="O1793" s="201" t="inlineStr">
        <is>
          <t>3o Arbitro/Tirocinante</t>
        </is>
      </c>
      <c r="P1793" s="201" t="inlineStr">
        <is>
          <t>Referto</t>
        </is>
      </c>
      <c r="Q1793" s="201" t="inlineStr">
        <is>
          <t>Cronometro</t>
        </is>
      </c>
      <c r="R1793" s="201" t="inlineStr">
        <is>
          <t>Foglio Tiri</t>
        </is>
      </c>
    </row>
    <row r="1794" ht="22" customHeight="1">
      <c r="A1794" s="83">
        <f>IF('Calendario C'!A514="","",'Calendario C'!A514)</f>
        <v/>
      </c>
      <c r="B1794" s="61">
        <f>IF('Calendario C'!B514="","",'Calendario C'!B514)</f>
        <v/>
      </c>
      <c r="C1794" s="62">
        <f>IF('Calendario C'!C514="","",'Calendario C'!C514)</f>
        <v/>
      </c>
      <c r="D1794" s="61">
        <f>IF('Calendario C'!D514="","",'Calendario C'!D514)</f>
        <v/>
      </c>
      <c r="E1794" s="62">
        <f>IF('Calendario C'!E514="","",'Calendario C'!E514)</f>
        <v/>
      </c>
      <c r="F1794" s="63">
        <f>IF('Calendario C'!F514="","",'Calendario C'!F514)</f>
        <v/>
      </c>
      <c r="G1794" s="9" t="n"/>
      <c r="H1794" s="9" t="n"/>
      <c r="I1794" s="10" t="n"/>
      <c r="J1794" s="195">
        <f>IF('Calendario C'!J514="","",'Calendario C'!J514)</f>
        <v/>
      </c>
      <c r="K1794" s="64" t="inlineStr">
        <is>
          <t>-</t>
        </is>
      </c>
      <c r="L1794" s="195">
        <f>IF('Calendario C'!L514="","",'Calendario C'!L514)</f>
        <v/>
      </c>
      <c r="M1794" s="196" t="inlineStr">
        <is>
          <t>KRUGER Ilaria [A]</t>
        </is>
      </c>
      <c r="N1794" s="196" t="inlineStr">
        <is>
          <t>NADAUD Greta [A]</t>
        </is>
      </c>
      <c r="O1794" s="196" t="inlineStr">
        <is>
          <t>WEBER Nicola [AAt]</t>
        </is>
      </c>
      <c r="P1794" s="196" t="inlineStr">
        <is>
          <t>HOFFMANN Diego</t>
        </is>
      </c>
      <c r="Q1794" s="196" t="inlineStr">
        <is>
          <t>LEFEVRE Tommaso</t>
        </is>
      </c>
      <c r="R1794" s="196" t="inlineStr">
        <is>
          <t>HORVAT Irene</t>
        </is>
      </c>
    </row>
    <row r="1795" ht="15" customHeight="1">
      <c r="A1795" s="141" t="n"/>
      <c r="B1795" s="69">
        <f>IF('Calendario C'!B515="","",'Calendario C'!B515)</f>
        <v/>
      </c>
      <c r="C1795" s="9" t="n"/>
      <c r="D1795" s="9" t="n"/>
      <c r="E1795" s="9" t="n"/>
      <c r="F1795" s="9" t="n"/>
      <c r="G1795" s="9" t="n"/>
      <c r="H1795" s="10" t="n"/>
      <c r="I1795" s="62">
        <f>IF('Calendario C'!I515="","",'Calendario C'!I515)</f>
        <v/>
      </c>
      <c r="J1795" s="141" t="n"/>
      <c r="K1795" s="141" t="n"/>
      <c r="L1795" s="141" t="n"/>
      <c r="M1795" s="141" t="n"/>
      <c r="N1795" s="141" t="n"/>
      <c r="O1795" s="141" t="n"/>
      <c r="P1795" s="141" t="n"/>
      <c r="Q1795" s="141" t="n"/>
      <c r="R1795" s="141" t="n"/>
    </row>
    <row r="1796" ht="14" customHeight="1">
      <c r="A1796" s="81" t="inlineStr">
        <is>
          <t>Gara N.</t>
        </is>
      </c>
      <c r="B1796" s="81" t="inlineStr">
        <is>
          <t>Squadra A</t>
        </is>
      </c>
      <c r="C1796" s="10" t="n"/>
      <c r="D1796" s="81" t="inlineStr">
        <is>
          <t>Squadra B</t>
        </is>
      </c>
      <c r="E1796" s="10" t="n"/>
      <c r="F1796" s="81" t="inlineStr">
        <is>
          <t>Giorno</t>
        </is>
      </c>
      <c r="G1796" s="81" t="inlineStr">
        <is>
          <t>Data</t>
        </is>
      </c>
      <c r="H1796" s="81" t="inlineStr">
        <is>
          <t>Ora</t>
        </is>
      </c>
      <c r="I1796" s="10" t="n"/>
      <c r="J1796" s="81" t="inlineStr">
        <is>
          <t>Risultato</t>
        </is>
      </c>
      <c r="K1796" s="9" t="n"/>
      <c r="L1796" s="10" t="n"/>
      <c r="M1796" s="201" t="inlineStr">
        <is>
          <t>1o Arbitro</t>
        </is>
      </c>
      <c r="N1796" s="201" t="inlineStr">
        <is>
          <t>2o Arbitro</t>
        </is>
      </c>
      <c r="O1796" s="201" t="inlineStr">
        <is>
          <t>3o Arbitro/Tirocinante</t>
        </is>
      </c>
      <c r="P1796" s="201" t="inlineStr">
        <is>
          <t>Referto</t>
        </is>
      </c>
      <c r="Q1796" s="201" t="inlineStr">
        <is>
          <t>Cronometro</t>
        </is>
      </c>
      <c r="R1796" s="201" t="inlineStr">
        <is>
          <t>Foglio Tiri</t>
        </is>
      </c>
    </row>
    <row r="1797" ht="22" customHeight="1">
      <c r="A1797" s="83">
        <f>IF('Calendario C'!A517="","",'Calendario C'!A517)</f>
        <v/>
      </c>
      <c r="B1797" s="61">
        <f>IF('Calendario C'!B517="","",'Calendario C'!B517)</f>
        <v/>
      </c>
      <c r="C1797" s="62">
        <f>IF('Calendario C'!C517="","",'Calendario C'!C517)</f>
        <v/>
      </c>
      <c r="D1797" s="61">
        <f>IF('Calendario C'!D517="","",'Calendario C'!D517)</f>
        <v/>
      </c>
      <c r="E1797" s="62">
        <f>IF('Calendario C'!E517="","",'Calendario C'!E517)</f>
        <v/>
      </c>
      <c r="F1797" s="63">
        <f>IF('Calendario C'!F517="","",'Calendario C'!F517)</f>
        <v/>
      </c>
      <c r="G1797" s="9" t="n"/>
      <c r="H1797" s="9" t="n"/>
      <c r="I1797" s="10" t="n"/>
      <c r="J1797" s="195">
        <f>IF('Calendario C'!J517="","",'Calendario C'!J517)</f>
        <v/>
      </c>
      <c r="K1797" s="64" t="inlineStr">
        <is>
          <t>-</t>
        </is>
      </c>
      <c r="L1797" s="195">
        <f>IF('Calendario C'!L517="","",'Calendario C'!L517)</f>
        <v/>
      </c>
      <c r="M1797" s="196" t="inlineStr">
        <is>
          <t>OBLAK Stefano [AA]</t>
        </is>
      </c>
      <c r="N1797" s="196" t="inlineStr">
        <is>
          <t>MORETTO Anja [Aest]</t>
        </is>
      </c>
      <c r="O1797" s="196" t="inlineStr">
        <is>
          <t>VALLET Martina [Aest]</t>
        </is>
      </c>
      <c r="P1797" s="196" t="inlineStr">
        <is>
          <t>VIDMAR Felix</t>
        </is>
      </c>
      <c r="Q1797" s="196" t="inlineStr">
        <is>
          <t>ROMERO Greta</t>
        </is>
      </c>
      <c r="R1797" s="196" t="inlineStr">
        <is>
          <t>GAUTHIER Sofia</t>
        </is>
      </c>
    </row>
    <row r="1798" ht="15" customHeight="1">
      <c r="A1798" s="141" t="n"/>
      <c r="B1798" s="69">
        <f>IF('Calendario C'!B518="","",'Calendario C'!B518)</f>
        <v/>
      </c>
      <c r="C1798" s="9" t="n"/>
      <c r="D1798" s="9" t="n"/>
      <c r="E1798" s="9" t="n"/>
      <c r="F1798" s="9" t="n"/>
      <c r="G1798" s="9" t="n"/>
      <c r="H1798" s="10" t="n"/>
      <c r="I1798" s="62">
        <f>IF('Calendario C'!I518="","",'Calendario C'!I518)</f>
        <v/>
      </c>
      <c r="J1798" s="141" t="n"/>
      <c r="K1798" s="141" t="n"/>
      <c r="L1798" s="141" t="n"/>
      <c r="M1798" s="141" t="n"/>
      <c r="N1798" s="141" t="n"/>
      <c r="O1798" s="141" t="n"/>
      <c r="P1798" s="141" t="n"/>
      <c r="Q1798" s="141" t="n"/>
      <c r="R1798" s="141" t="n"/>
    </row>
    <row r="1800" ht="20" customHeight="1">
      <c r="A1800" s="78">
        <f>IF('Calendario C'!A520="","",'Calendario C'!A520)</f>
        <v/>
      </c>
      <c r="B1800" s="79">
        <f>IF('Calendario C'!B520="","",'Calendario C'!B520)</f>
        <v/>
      </c>
      <c r="C1800" s="9" t="n"/>
      <c r="D1800" s="9" t="n"/>
      <c r="E1800" s="9" t="n"/>
      <c r="F1800" s="9" t="n"/>
      <c r="G1800" s="9" t="n"/>
      <c r="H1800" s="9" t="n"/>
      <c r="I1800" s="9" t="n"/>
      <c r="J1800" s="9" t="n"/>
      <c r="K1800" s="9" t="n"/>
      <c r="L1800" s="10" t="n"/>
      <c r="M1800" s="200" t="inlineStr">
        <is>
          <t>ARBITRI</t>
        </is>
      </c>
      <c r="N1800" s="9" t="n"/>
      <c r="O1800" s="10" t="n"/>
      <c r="P1800" s="200" t="inlineStr">
        <is>
          <t>UFFICIALI DI CAMPO</t>
        </is>
      </c>
      <c r="Q1800" s="9" t="n"/>
      <c r="R1800" s="10" t="n"/>
    </row>
    <row r="1801" ht="14" customHeight="1">
      <c r="A1801" s="81" t="inlineStr">
        <is>
          <t>Gara N.</t>
        </is>
      </c>
      <c r="B1801" s="81" t="inlineStr">
        <is>
          <t>Squadra A</t>
        </is>
      </c>
      <c r="C1801" s="10" t="n"/>
      <c r="D1801" s="81" t="inlineStr">
        <is>
          <t>Squadra B</t>
        </is>
      </c>
      <c r="E1801" s="10" t="n"/>
      <c r="F1801" s="81" t="inlineStr">
        <is>
          <t>Giorno</t>
        </is>
      </c>
      <c r="G1801" s="81" t="inlineStr">
        <is>
          <t>Data</t>
        </is>
      </c>
      <c r="H1801" s="81" t="inlineStr">
        <is>
          <t>Ora</t>
        </is>
      </c>
      <c r="I1801" s="10" t="n"/>
      <c r="J1801" s="81" t="inlineStr">
        <is>
          <t>Risultato</t>
        </is>
      </c>
      <c r="K1801" s="9" t="n"/>
      <c r="L1801" s="10" t="n"/>
      <c r="M1801" s="201" t="inlineStr">
        <is>
          <t>1o Arbitro</t>
        </is>
      </c>
      <c r="N1801" s="201" t="inlineStr">
        <is>
          <t>2o Arbitro</t>
        </is>
      </c>
      <c r="O1801" s="201" t="inlineStr">
        <is>
          <t>3o Arbitro/Tirocinante</t>
        </is>
      </c>
      <c r="P1801" s="201" t="inlineStr">
        <is>
          <t>Referto</t>
        </is>
      </c>
      <c r="Q1801" s="201" t="inlineStr">
        <is>
          <t>Cronometro</t>
        </is>
      </c>
      <c r="R1801" s="201" t="inlineStr">
        <is>
          <t>Foglio Tiri</t>
        </is>
      </c>
    </row>
    <row r="1802" ht="22" customHeight="1">
      <c r="A1802" s="83">
        <f>IF('Calendario C'!A522="","",'Calendario C'!A522)</f>
        <v/>
      </c>
      <c r="B1802" s="61">
        <f>IF('Calendario C'!B522="","",'Calendario C'!B522)</f>
        <v/>
      </c>
      <c r="C1802" s="62">
        <f>IF('Calendario C'!C522="","",'Calendario C'!C522)</f>
        <v/>
      </c>
      <c r="D1802" s="61">
        <f>IF('Calendario C'!D522="","",'Calendario C'!D522)</f>
        <v/>
      </c>
      <c r="E1802" s="62">
        <f>IF('Calendario C'!E522="","",'Calendario C'!E522)</f>
        <v/>
      </c>
      <c r="F1802" s="63">
        <f>IF('Calendario C'!F522="","",'Calendario C'!F522)</f>
        <v/>
      </c>
      <c r="G1802" s="9" t="n"/>
      <c r="H1802" s="9" t="n"/>
      <c r="I1802" s="10" t="n"/>
      <c r="J1802" s="195">
        <f>IF('Calendario C'!J522="","",'Calendario C'!J522)</f>
        <v/>
      </c>
      <c r="K1802" s="64" t="inlineStr">
        <is>
          <t>-</t>
        </is>
      </c>
      <c r="L1802" s="195">
        <f>IF('Calendario C'!L522="","",'Calendario C'!L522)</f>
        <v/>
      </c>
      <c r="M1802" s="196" t="inlineStr">
        <is>
          <t>MARCHIONI Marco [Aest]</t>
        </is>
      </c>
      <c r="N1802" s="196" t="inlineStr">
        <is>
          <t>NADAUD Elena [AA]</t>
        </is>
      </c>
      <c r="O1802" s="196" t="inlineStr">
        <is>
          <t>PETERLIN Luca [Aest]</t>
        </is>
      </c>
      <c r="P1802" s="196" t="inlineStr">
        <is>
          <t>OBLAK Hugo</t>
        </is>
      </c>
      <c r="Q1802" s="196" t="inlineStr">
        <is>
          <t>KRUGER Mathilde</t>
        </is>
      </c>
      <c r="R1802" s="196" t="inlineStr">
        <is>
          <t>MORETTO Jonas</t>
        </is>
      </c>
    </row>
    <row r="1803" ht="15" customHeight="1">
      <c r="A1803" s="141" t="n"/>
      <c r="B1803" s="69">
        <f>IF('Calendario C'!B523="","",'Calendario C'!B523)</f>
        <v/>
      </c>
      <c r="C1803" s="9" t="n"/>
      <c r="D1803" s="9" t="n"/>
      <c r="E1803" s="9" t="n"/>
      <c r="F1803" s="9" t="n"/>
      <c r="G1803" s="9" t="n"/>
      <c r="H1803" s="10" t="n"/>
      <c r="I1803" s="62">
        <f>IF('Calendario C'!I523="","",'Calendario C'!I523)</f>
        <v/>
      </c>
      <c r="J1803" s="141" t="n"/>
      <c r="K1803" s="141" t="n"/>
      <c r="L1803" s="141" t="n"/>
      <c r="M1803" s="141" t="n"/>
      <c r="N1803" s="141" t="n"/>
      <c r="O1803" s="141" t="n"/>
      <c r="P1803" s="141" t="n"/>
      <c r="Q1803" s="141" t="n"/>
      <c r="R1803" s="141" t="n"/>
    </row>
    <row r="1804" ht="14" customHeight="1">
      <c r="A1804" s="81" t="inlineStr">
        <is>
          <t>Gara N.</t>
        </is>
      </c>
      <c r="B1804" s="81" t="inlineStr">
        <is>
          <t>Squadra A</t>
        </is>
      </c>
      <c r="C1804" s="10" t="n"/>
      <c r="D1804" s="81" t="inlineStr">
        <is>
          <t>Squadra B</t>
        </is>
      </c>
      <c r="E1804" s="10" t="n"/>
      <c r="F1804" s="81" t="inlineStr">
        <is>
          <t>Giorno</t>
        </is>
      </c>
      <c r="G1804" s="81" t="inlineStr">
        <is>
          <t>Data</t>
        </is>
      </c>
      <c r="H1804" s="81" t="inlineStr">
        <is>
          <t>Ora</t>
        </is>
      </c>
      <c r="I1804" s="10" t="n"/>
      <c r="J1804" s="81" t="inlineStr">
        <is>
          <t>Risultato</t>
        </is>
      </c>
      <c r="K1804" s="9" t="n"/>
      <c r="L1804" s="10" t="n"/>
      <c r="M1804" s="201" t="inlineStr">
        <is>
          <t>1o Arbitro</t>
        </is>
      </c>
      <c r="N1804" s="201" t="inlineStr">
        <is>
          <t>2o Arbitro</t>
        </is>
      </c>
      <c r="O1804" s="201" t="inlineStr">
        <is>
          <t>3o Arbitro/Tirocinante</t>
        </is>
      </c>
      <c r="P1804" s="201" t="inlineStr">
        <is>
          <t>Referto</t>
        </is>
      </c>
      <c r="Q1804" s="201" t="inlineStr">
        <is>
          <t>Cronometro</t>
        </is>
      </c>
      <c r="R1804" s="201" t="inlineStr">
        <is>
          <t>Foglio Tiri</t>
        </is>
      </c>
    </row>
    <row r="1805" ht="22" customHeight="1">
      <c r="A1805" s="83">
        <f>IF('Calendario C'!A525="","",'Calendario C'!A525)</f>
        <v/>
      </c>
      <c r="B1805" s="61">
        <f>IF('Calendario C'!B525="","",'Calendario C'!B525)</f>
        <v/>
      </c>
      <c r="C1805" s="62">
        <f>IF('Calendario C'!C525="","",'Calendario C'!C525)</f>
        <v/>
      </c>
      <c r="D1805" s="61">
        <f>IF('Calendario C'!D525="","",'Calendario C'!D525)</f>
        <v/>
      </c>
      <c r="E1805" s="62">
        <f>IF('Calendario C'!E525="","",'Calendario C'!E525)</f>
        <v/>
      </c>
      <c r="F1805" s="63">
        <f>IF('Calendario C'!F525="","",'Calendario C'!F525)</f>
        <v/>
      </c>
      <c r="G1805" s="9" t="n"/>
      <c r="H1805" s="9" t="n"/>
      <c r="I1805" s="10" t="n"/>
      <c r="J1805" s="195">
        <f>IF('Calendario C'!J525="","",'Calendario C'!J525)</f>
        <v/>
      </c>
      <c r="K1805" s="64" t="inlineStr">
        <is>
          <t>-</t>
        </is>
      </c>
      <c r="L1805" s="195">
        <f>IF('Calendario C'!L525="","",'Calendario C'!L525)</f>
        <v/>
      </c>
      <c r="M1805" s="196" t="inlineStr">
        <is>
          <t>GALLINI Elena [AAt]</t>
        </is>
      </c>
      <c r="N1805" s="196" t="inlineStr">
        <is>
          <t>BLANCO Sofia [AA]</t>
        </is>
      </c>
      <c r="O1805" s="196" t="inlineStr">
        <is>
          <t>ROSSINI Beatrice [Aest]</t>
        </is>
      </c>
      <c r="P1805" s="196" t="inlineStr">
        <is>
          <t>NOVAK Ilaria</t>
        </is>
      </c>
      <c r="Q1805" s="196" t="inlineStr">
        <is>
          <t>KELLER Pablo</t>
        </is>
      </c>
      <c r="R1805" s="196" t="inlineStr">
        <is>
          <t>KRUGER Giulia</t>
        </is>
      </c>
    </row>
    <row r="1806" ht="15" customHeight="1">
      <c r="A1806" s="141" t="n"/>
      <c r="B1806" s="69">
        <f>IF('Calendario C'!B526="","",'Calendario C'!B526)</f>
        <v/>
      </c>
      <c r="C1806" s="9" t="n"/>
      <c r="D1806" s="9" t="n"/>
      <c r="E1806" s="9" t="n"/>
      <c r="F1806" s="9" t="n"/>
      <c r="G1806" s="9" t="n"/>
      <c r="H1806" s="10" t="n"/>
      <c r="I1806" s="62">
        <f>IF('Calendario C'!I526="","",'Calendario C'!I526)</f>
        <v/>
      </c>
      <c r="J1806" s="141" t="n"/>
      <c r="K1806" s="141" t="n"/>
      <c r="L1806" s="141" t="n"/>
      <c r="M1806" s="141" t="n"/>
      <c r="N1806" s="141" t="n"/>
      <c r="O1806" s="141" t="n"/>
      <c r="P1806" s="141" t="n"/>
      <c r="Q1806" s="141" t="n"/>
      <c r="R1806" s="141" t="n"/>
    </row>
    <row r="1807" ht="14" customHeight="1">
      <c r="A1807" s="81" t="inlineStr">
        <is>
          <t>Gara N.</t>
        </is>
      </c>
      <c r="B1807" s="81" t="inlineStr">
        <is>
          <t>Squadra A</t>
        </is>
      </c>
      <c r="C1807" s="10" t="n"/>
      <c r="D1807" s="81" t="inlineStr">
        <is>
          <t>Squadra B</t>
        </is>
      </c>
      <c r="E1807" s="10" t="n"/>
      <c r="F1807" s="81" t="inlineStr">
        <is>
          <t>Giorno</t>
        </is>
      </c>
      <c r="G1807" s="81" t="inlineStr">
        <is>
          <t>Data</t>
        </is>
      </c>
      <c r="H1807" s="81" t="inlineStr">
        <is>
          <t>Ora</t>
        </is>
      </c>
      <c r="I1807" s="10" t="n"/>
      <c r="J1807" s="81" t="inlineStr">
        <is>
          <t>Risultato</t>
        </is>
      </c>
      <c r="K1807" s="9" t="n"/>
      <c r="L1807" s="10" t="n"/>
      <c r="M1807" s="201" t="inlineStr">
        <is>
          <t>1o Arbitro</t>
        </is>
      </c>
      <c r="N1807" s="201" t="inlineStr">
        <is>
          <t>2o Arbitro</t>
        </is>
      </c>
      <c r="O1807" s="201" t="inlineStr">
        <is>
          <t>3o Arbitro/Tirocinante</t>
        </is>
      </c>
      <c r="P1807" s="201" t="inlineStr">
        <is>
          <t>Referto</t>
        </is>
      </c>
      <c r="Q1807" s="201" t="inlineStr">
        <is>
          <t>Cronometro</t>
        </is>
      </c>
      <c r="R1807" s="201" t="inlineStr">
        <is>
          <t>Foglio Tiri</t>
        </is>
      </c>
    </row>
    <row r="1808" ht="22" customHeight="1">
      <c r="A1808" s="83">
        <f>IF('Calendario C'!A528="","",'Calendario C'!A528)</f>
        <v/>
      </c>
      <c r="B1808" s="61">
        <f>IF('Calendario C'!B528="","",'Calendario C'!B528)</f>
        <v/>
      </c>
      <c r="C1808" s="62">
        <f>IF('Calendario C'!C528="","",'Calendario C'!C528)</f>
        <v/>
      </c>
      <c r="D1808" s="61">
        <f>IF('Calendario C'!D528="","",'Calendario C'!D528)</f>
        <v/>
      </c>
      <c r="E1808" s="62">
        <f>IF('Calendario C'!E528="","",'Calendario C'!E528)</f>
        <v/>
      </c>
      <c r="F1808" s="63">
        <f>IF('Calendario C'!F528="","",'Calendario C'!F528)</f>
        <v/>
      </c>
      <c r="G1808" s="9" t="n"/>
      <c r="H1808" s="9" t="n"/>
      <c r="I1808" s="10" t="n"/>
      <c r="J1808" s="195">
        <f>IF('Calendario C'!J528="","",'Calendario C'!J528)</f>
        <v/>
      </c>
      <c r="K1808" s="64" t="inlineStr">
        <is>
          <t>-</t>
        </is>
      </c>
      <c r="L1808" s="195">
        <f>IF('Calendario C'!L528="","",'Calendario C'!L528)</f>
        <v/>
      </c>
      <c r="M1808" s="196" t="inlineStr">
        <is>
          <t>GALLINI Valerie [AA]</t>
        </is>
      </c>
      <c r="N1808" s="196" t="inlineStr">
        <is>
          <t>KELLER Marta [AAt]</t>
        </is>
      </c>
      <c r="O1808" s="196" t="inlineStr">
        <is>
          <t>LANGER Hugo [AA]</t>
        </is>
      </c>
      <c r="P1808" s="196" t="inlineStr">
        <is>
          <t>WEBER Jonas</t>
        </is>
      </c>
      <c r="Q1808" s="196" t="inlineStr">
        <is>
          <t>NADAUD Mathilde</t>
        </is>
      </c>
      <c r="R1808" s="196" t="inlineStr">
        <is>
          <t>SEVER Ottavia</t>
        </is>
      </c>
    </row>
    <row r="1809" ht="15" customHeight="1">
      <c r="A1809" s="141" t="n"/>
      <c r="B1809" s="69">
        <f>IF('Calendario C'!B529="","",'Calendario C'!B529)</f>
        <v/>
      </c>
      <c r="C1809" s="9" t="n"/>
      <c r="D1809" s="9" t="n"/>
      <c r="E1809" s="9" t="n"/>
      <c r="F1809" s="9" t="n"/>
      <c r="G1809" s="9" t="n"/>
      <c r="H1809" s="10" t="n"/>
      <c r="I1809" s="62">
        <f>IF('Calendario C'!I529="","",'Calendario C'!I529)</f>
        <v/>
      </c>
      <c r="J1809" s="141" t="n"/>
      <c r="K1809" s="141" t="n"/>
      <c r="L1809" s="141" t="n"/>
      <c r="M1809" s="141" t="n"/>
      <c r="N1809" s="141" t="n"/>
      <c r="O1809" s="141" t="n"/>
      <c r="P1809" s="141" t="n"/>
      <c r="Q1809" s="141" t="n"/>
      <c r="R1809" s="141" t="n"/>
    </row>
    <row r="1810" ht="14" customHeight="1">
      <c r="A1810" s="81" t="inlineStr">
        <is>
          <t>Gara N.</t>
        </is>
      </c>
      <c r="B1810" s="81" t="inlineStr">
        <is>
          <t>Squadra A</t>
        </is>
      </c>
      <c r="C1810" s="10" t="n"/>
      <c r="D1810" s="81" t="inlineStr">
        <is>
          <t>Squadra B</t>
        </is>
      </c>
      <c r="E1810" s="10" t="n"/>
      <c r="F1810" s="81" t="inlineStr">
        <is>
          <t>Giorno</t>
        </is>
      </c>
      <c r="G1810" s="81" t="inlineStr">
        <is>
          <t>Data</t>
        </is>
      </c>
      <c r="H1810" s="81" t="inlineStr">
        <is>
          <t>Ora</t>
        </is>
      </c>
      <c r="I1810" s="10" t="n"/>
      <c r="J1810" s="81" t="inlineStr">
        <is>
          <t>Risultato</t>
        </is>
      </c>
      <c r="K1810" s="9" t="n"/>
      <c r="L1810" s="10" t="n"/>
      <c r="M1810" s="201" t="inlineStr">
        <is>
          <t>1o Arbitro</t>
        </is>
      </c>
      <c r="N1810" s="201" t="inlineStr">
        <is>
          <t>2o Arbitro</t>
        </is>
      </c>
      <c r="O1810" s="201" t="inlineStr">
        <is>
          <t>3o Arbitro/Tirocinante</t>
        </is>
      </c>
      <c r="P1810" s="201" t="inlineStr">
        <is>
          <t>Referto</t>
        </is>
      </c>
      <c r="Q1810" s="201" t="inlineStr">
        <is>
          <t>Cronometro</t>
        </is>
      </c>
      <c r="R1810" s="201" t="inlineStr">
        <is>
          <t>Foglio Tiri</t>
        </is>
      </c>
    </row>
    <row r="1811" ht="22" customHeight="1">
      <c r="A1811" s="83">
        <f>IF('Calendario C'!A531="","",'Calendario C'!A531)</f>
        <v/>
      </c>
      <c r="B1811" s="61">
        <f>IF('Calendario C'!B531="","",'Calendario C'!B531)</f>
        <v/>
      </c>
      <c r="C1811" s="62">
        <f>IF('Calendario C'!C531="","",'Calendario C'!C531)</f>
        <v/>
      </c>
      <c r="D1811" s="61">
        <f>IF('Calendario C'!D531="","",'Calendario C'!D531)</f>
        <v/>
      </c>
      <c r="E1811" s="62">
        <f>IF('Calendario C'!E531="","",'Calendario C'!E531)</f>
        <v/>
      </c>
      <c r="F1811" s="63">
        <f>IF('Calendario C'!F531="","",'Calendario C'!F531)</f>
        <v/>
      </c>
      <c r="G1811" s="9" t="n"/>
      <c r="H1811" s="9" t="n"/>
      <c r="I1811" s="10" t="n"/>
      <c r="J1811" s="195">
        <f>IF('Calendario C'!J531="","",'Calendario C'!J531)</f>
        <v/>
      </c>
      <c r="K1811" s="64" t="inlineStr">
        <is>
          <t>-</t>
        </is>
      </c>
      <c r="L1811" s="195">
        <f>IF('Calendario C'!L531="","",'Calendario C'!L531)</f>
        <v/>
      </c>
      <c r="M1811" s="196" t="inlineStr">
        <is>
          <t>NAVARRO Matteo [AA]</t>
        </is>
      </c>
      <c r="N1811" s="196" t="inlineStr">
        <is>
          <t>GALLINI Filippo [A]</t>
        </is>
      </c>
      <c r="O1811" s="196" t="inlineStr">
        <is>
          <t>ENGEL Filippo [A]</t>
        </is>
      </c>
      <c r="P1811" s="196" t="inlineStr">
        <is>
          <t>SANTORI Eva</t>
        </is>
      </c>
      <c r="Q1811" s="196" t="inlineStr">
        <is>
          <t>BLANCO Diego</t>
        </is>
      </c>
      <c r="R1811" s="196" t="inlineStr">
        <is>
          <t>ORTEGA Felix</t>
        </is>
      </c>
    </row>
    <row r="1812" ht="15" customHeight="1">
      <c r="A1812" s="141" t="n"/>
      <c r="B1812" s="69">
        <f>IF('Calendario C'!B532="","",'Calendario C'!B532)</f>
        <v/>
      </c>
      <c r="C1812" s="9" t="n"/>
      <c r="D1812" s="9" t="n"/>
      <c r="E1812" s="9" t="n"/>
      <c r="F1812" s="9" t="n"/>
      <c r="G1812" s="9" t="n"/>
      <c r="H1812" s="10" t="n"/>
      <c r="I1812" s="62">
        <f>IF('Calendario C'!I532="","",'Calendario C'!I532)</f>
        <v/>
      </c>
      <c r="J1812" s="141" t="n"/>
      <c r="K1812" s="141" t="n"/>
      <c r="L1812" s="141" t="n"/>
      <c r="M1812" s="141" t="n"/>
      <c r="N1812" s="141" t="n"/>
      <c r="O1812" s="141" t="n"/>
      <c r="P1812" s="141" t="n"/>
      <c r="Q1812" s="141" t="n"/>
      <c r="R1812" s="141" t="n"/>
    </row>
    <row r="1813" ht="14" customHeight="1">
      <c r="A1813" s="81" t="inlineStr">
        <is>
          <t>Gara N.</t>
        </is>
      </c>
      <c r="B1813" s="81" t="inlineStr">
        <is>
          <t>Squadra A</t>
        </is>
      </c>
      <c r="C1813" s="10" t="n"/>
      <c r="D1813" s="81" t="inlineStr">
        <is>
          <t>Squadra B</t>
        </is>
      </c>
      <c r="E1813" s="10" t="n"/>
      <c r="F1813" s="81" t="inlineStr">
        <is>
          <t>Giorno</t>
        </is>
      </c>
      <c r="G1813" s="81" t="inlineStr">
        <is>
          <t>Data</t>
        </is>
      </c>
      <c r="H1813" s="81" t="inlineStr">
        <is>
          <t>Ora</t>
        </is>
      </c>
      <c r="I1813" s="10" t="n"/>
      <c r="J1813" s="81" t="inlineStr">
        <is>
          <t>Risultato</t>
        </is>
      </c>
      <c r="K1813" s="9" t="n"/>
      <c r="L1813" s="10" t="n"/>
      <c r="M1813" s="201" t="inlineStr">
        <is>
          <t>1o Arbitro</t>
        </is>
      </c>
      <c r="N1813" s="201" t="inlineStr">
        <is>
          <t>2o Arbitro</t>
        </is>
      </c>
      <c r="O1813" s="201" t="inlineStr">
        <is>
          <t>3o Arbitro/Tirocinante</t>
        </is>
      </c>
      <c r="P1813" s="201" t="inlineStr">
        <is>
          <t>Referto</t>
        </is>
      </c>
      <c r="Q1813" s="201" t="inlineStr">
        <is>
          <t>Cronometro</t>
        </is>
      </c>
      <c r="R1813" s="201" t="inlineStr">
        <is>
          <t>Foglio Tiri</t>
        </is>
      </c>
    </row>
    <row r="1814" ht="22" customHeight="1">
      <c r="A1814" s="83">
        <f>IF('Calendario C'!A534="","",'Calendario C'!A534)</f>
        <v/>
      </c>
      <c r="B1814" s="61">
        <f>IF('Calendario C'!B534="","",'Calendario C'!B534)</f>
        <v/>
      </c>
      <c r="C1814" s="62">
        <f>IF('Calendario C'!C534="","",'Calendario C'!C534)</f>
        <v/>
      </c>
      <c r="D1814" s="61">
        <f>IF('Calendario C'!D534="","",'Calendario C'!D534)</f>
        <v/>
      </c>
      <c r="E1814" s="62">
        <f>IF('Calendario C'!E534="","",'Calendario C'!E534)</f>
        <v/>
      </c>
      <c r="F1814" s="63">
        <f>IF('Calendario C'!F534="","",'Calendario C'!F534)</f>
        <v/>
      </c>
      <c r="G1814" s="9" t="n"/>
      <c r="H1814" s="9" t="n"/>
      <c r="I1814" s="10" t="n"/>
      <c r="J1814" s="195">
        <f>IF('Calendario C'!J534="","",'Calendario C'!J534)</f>
        <v/>
      </c>
      <c r="K1814" s="64" t="inlineStr">
        <is>
          <t>-</t>
        </is>
      </c>
      <c r="L1814" s="195">
        <f>IF('Calendario C'!L534="","",'Calendario C'!L534)</f>
        <v/>
      </c>
      <c r="M1814" s="196" t="inlineStr">
        <is>
          <t>VALLET Gaelle [Aest]</t>
        </is>
      </c>
      <c r="N1814" s="196" t="inlineStr">
        <is>
          <t>CONTARDI Tommaso [AA]</t>
        </is>
      </c>
      <c r="O1814" s="196" t="inlineStr">
        <is>
          <t>SANTORI Sofia [AA]</t>
        </is>
      </c>
      <c r="P1814" s="196" t="inlineStr">
        <is>
          <t>BELLANDI Giulia</t>
        </is>
      </c>
      <c r="Q1814" s="196" t="inlineStr">
        <is>
          <t>VIDMAR Ilaria</t>
        </is>
      </c>
      <c r="R1814" s="196" t="inlineStr">
        <is>
          <t>LANGER Andrea</t>
        </is>
      </c>
    </row>
    <row r="1815" ht="15" customHeight="1">
      <c r="A1815" s="141" t="n"/>
      <c r="B1815" s="69">
        <f>IF('Calendario C'!B535="","",'Calendario C'!B535)</f>
        <v/>
      </c>
      <c r="C1815" s="9" t="n"/>
      <c r="D1815" s="9" t="n"/>
      <c r="E1815" s="9" t="n"/>
      <c r="F1815" s="9" t="n"/>
      <c r="G1815" s="9" t="n"/>
      <c r="H1815" s="10" t="n"/>
      <c r="I1815" s="62">
        <f>IF('Calendario C'!I535="","",'Calendario C'!I535)</f>
        <v/>
      </c>
      <c r="J1815" s="141" t="n"/>
      <c r="K1815" s="141" t="n"/>
      <c r="L1815" s="141" t="n"/>
      <c r="M1815" s="141" t="n"/>
      <c r="N1815" s="141" t="n"/>
      <c r="O1815" s="141" t="n"/>
      <c r="P1815" s="141" t="n"/>
      <c r="Q1815" s="141" t="n"/>
      <c r="R1815" s="141" t="n"/>
    </row>
    <row r="1816" ht="14" customHeight="1">
      <c r="A1816" s="81" t="inlineStr">
        <is>
          <t>Gara N.</t>
        </is>
      </c>
      <c r="B1816" s="81" t="inlineStr">
        <is>
          <t>Squadra A</t>
        </is>
      </c>
      <c r="C1816" s="10" t="n"/>
      <c r="D1816" s="81" t="inlineStr">
        <is>
          <t>Squadra B</t>
        </is>
      </c>
      <c r="E1816" s="10" t="n"/>
      <c r="F1816" s="81" t="inlineStr">
        <is>
          <t>Giorno</t>
        </is>
      </c>
      <c r="G1816" s="81" t="inlineStr">
        <is>
          <t>Data</t>
        </is>
      </c>
      <c r="H1816" s="81" t="inlineStr">
        <is>
          <t>Ora</t>
        </is>
      </c>
      <c r="I1816" s="10" t="n"/>
      <c r="J1816" s="81" t="inlineStr">
        <is>
          <t>Risultato</t>
        </is>
      </c>
      <c r="K1816" s="9" t="n"/>
      <c r="L1816" s="10" t="n"/>
      <c r="M1816" s="201" t="inlineStr">
        <is>
          <t>1o Arbitro</t>
        </is>
      </c>
      <c r="N1816" s="201" t="inlineStr">
        <is>
          <t>2o Arbitro</t>
        </is>
      </c>
      <c r="O1816" s="201" t="inlineStr">
        <is>
          <t>3o Arbitro/Tirocinante</t>
        </is>
      </c>
      <c r="P1816" s="201" t="inlineStr">
        <is>
          <t>Referto</t>
        </is>
      </c>
      <c r="Q1816" s="201" t="inlineStr">
        <is>
          <t>Cronometro</t>
        </is>
      </c>
      <c r="R1816" s="201" t="inlineStr">
        <is>
          <t>Foglio Tiri</t>
        </is>
      </c>
    </row>
    <row r="1817" ht="22" customHeight="1">
      <c r="A1817" s="83">
        <f>IF('Calendario C'!A537="","",'Calendario C'!A537)</f>
        <v/>
      </c>
      <c r="B1817" s="61">
        <f>IF('Calendario C'!B537="","",'Calendario C'!B537)</f>
        <v/>
      </c>
      <c r="C1817" s="62">
        <f>IF('Calendario C'!C537="","",'Calendario C'!C537)</f>
        <v/>
      </c>
      <c r="D1817" s="61">
        <f>IF('Calendario C'!D537="","",'Calendario C'!D537)</f>
        <v/>
      </c>
      <c r="E1817" s="62">
        <f>IF('Calendario C'!E537="","",'Calendario C'!E537)</f>
        <v/>
      </c>
      <c r="F1817" s="63">
        <f>IF('Calendario C'!F537="","",'Calendario C'!F537)</f>
        <v/>
      </c>
      <c r="G1817" s="9" t="n"/>
      <c r="H1817" s="9" t="n"/>
      <c r="I1817" s="10" t="n"/>
      <c r="J1817" s="195">
        <f>IF('Calendario C'!J537="","",'Calendario C'!J537)</f>
        <v/>
      </c>
      <c r="K1817" s="64" t="inlineStr">
        <is>
          <t>-</t>
        </is>
      </c>
      <c r="L1817" s="195">
        <f>IF('Calendario C'!L537="","",'Calendario C'!L537)</f>
        <v/>
      </c>
      <c r="M1817" s="196" t="inlineStr">
        <is>
          <t>PETERLIN Mathilde [Aest]</t>
        </is>
      </c>
      <c r="N1817" s="196" t="inlineStr">
        <is>
          <t>ROTH Sofia [A]</t>
        </is>
      </c>
      <c r="O1817" s="196" t="inlineStr">
        <is>
          <t>SEVER Nicola [AA]</t>
        </is>
      </c>
      <c r="P1817" s="196" t="inlineStr">
        <is>
          <t>GAUTHIER Luca</t>
        </is>
      </c>
      <c r="Q1817" s="196" t="inlineStr">
        <is>
          <t>HORVAT Pablo</t>
        </is>
      </c>
      <c r="R1817" s="196" t="inlineStr">
        <is>
          <t>MODIC Jonas</t>
        </is>
      </c>
    </row>
    <row r="1818" ht="15" customHeight="1">
      <c r="A1818" s="141" t="n"/>
      <c r="B1818" s="69">
        <f>IF('Calendario C'!B538="","",'Calendario C'!B538)</f>
        <v/>
      </c>
      <c r="C1818" s="9" t="n"/>
      <c r="D1818" s="9" t="n"/>
      <c r="E1818" s="9" t="n"/>
      <c r="F1818" s="9" t="n"/>
      <c r="G1818" s="9" t="n"/>
      <c r="H1818" s="10" t="n"/>
      <c r="I1818" s="62">
        <f>IF('Calendario C'!I538="","",'Calendario C'!I538)</f>
        <v/>
      </c>
      <c r="J1818" s="141" t="n"/>
      <c r="K1818" s="141" t="n"/>
      <c r="L1818" s="141" t="n"/>
      <c r="M1818" s="141" t="n"/>
      <c r="N1818" s="141" t="n"/>
      <c r="O1818" s="141" t="n"/>
      <c r="P1818" s="141" t="n"/>
      <c r="Q1818" s="141" t="n"/>
      <c r="R1818" s="141" t="n"/>
    </row>
    <row r="1819" ht="14" customHeight="1">
      <c r="A1819" s="81" t="inlineStr">
        <is>
          <t>Gara N.</t>
        </is>
      </c>
      <c r="B1819" s="81" t="inlineStr">
        <is>
          <t>Squadra A</t>
        </is>
      </c>
      <c r="C1819" s="10" t="n"/>
      <c r="D1819" s="81" t="inlineStr">
        <is>
          <t>Squadra B</t>
        </is>
      </c>
      <c r="E1819" s="10" t="n"/>
      <c r="F1819" s="81" t="inlineStr">
        <is>
          <t>Giorno</t>
        </is>
      </c>
      <c r="G1819" s="81" t="inlineStr">
        <is>
          <t>Data</t>
        </is>
      </c>
      <c r="H1819" s="81" t="inlineStr">
        <is>
          <t>Ora</t>
        </is>
      </c>
      <c r="I1819" s="10" t="n"/>
      <c r="J1819" s="81" t="inlineStr">
        <is>
          <t>Risultato</t>
        </is>
      </c>
      <c r="K1819" s="9" t="n"/>
      <c r="L1819" s="10" t="n"/>
      <c r="M1819" s="201" t="inlineStr">
        <is>
          <t>1o Arbitro</t>
        </is>
      </c>
      <c r="N1819" s="201" t="inlineStr">
        <is>
          <t>2o Arbitro</t>
        </is>
      </c>
      <c r="O1819" s="201" t="inlineStr">
        <is>
          <t>3o Arbitro/Tirocinante</t>
        </is>
      </c>
      <c r="P1819" s="201" t="inlineStr">
        <is>
          <t>Referto</t>
        </is>
      </c>
      <c r="Q1819" s="201" t="inlineStr">
        <is>
          <t>Cronometro</t>
        </is>
      </c>
      <c r="R1819" s="201" t="inlineStr">
        <is>
          <t>Foglio Tiri</t>
        </is>
      </c>
    </row>
    <row r="1820" ht="22" customHeight="1">
      <c r="A1820" s="83">
        <f>IF('Calendario C'!A540="","",'Calendario C'!A540)</f>
        <v/>
      </c>
      <c r="B1820" s="61">
        <f>IF('Calendario C'!B540="","",'Calendario C'!B540)</f>
        <v/>
      </c>
      <c r="C1820" s="62">
        <f>IF('Calendario C'!C540="","",'Calendario C'!C540)</f>
        <v/>
      </c>
      <c r="D1820" s="61">
        <f>IF('Calendario C'!D540="","",'Calendario C'!D540)</f>
        <v/>
      </c>
      <c r="E1820" s="62">
        <f>IF('Calendario C'!E540="","",'Calendario C'!E540)</f>
        <v/>
      </c>
      <c r="F1820" s="63">
        <f>IF('Calendario C'!F540="","",'Calendario C'!F540)</f>
        <v/>
      </c>
      <c r="G1820" s="9" t="n"/>
      <c r="H1820" s="9" t="n"/>
      <c r="I1820" s="10" t="n"/>
      <c r="J1820" s="195">
        <f>IF('Calendario C'!J540="","",'Calendario C'!J540)</f>
        <v/>
      </c>
      <c r="K1820" s="64" t="inlineStr">
        <is>
          <t>-</t>
        </is>
      </c>
      <c r="L1820" s="195">
        <f>IF('Calendario C'!L540="","",'Calendario C'!L540)</f>
        <v/>
      </c>
      <c r="M1820" s="196" t="inlineStr">
        <is>
          <t>ROSSINI Irene [AA]</t>
        </is>
      </c>
      <c r="N1820" s="196" t="inlineStr">
        <is>
          <t>FUENTES Lukas [Aest]</t>
        </is>
      </c>
      <c r="O1820" s="196" t="inlineStr">
        <is>
          <t>VOGEL Beatrice [AAt]</t>
        </is>
      </c>
      <c r="P1820" s="196" t="inlineStr">
        <is>
          <t>NAVARRO Pablo</t>
        </is>
      </c>
      <c r="Q1820" s="196" t="inlineStr">
        <is>
          <t>NADAUD Alenka</t>
        </is>
      </c>
      <c r="R1820" s="196" t="inlineStr">
        <is>
          <t>ROMERO Stefano</t>
        </is>
      </c>
    </row>
    <row r="1821" ht="15" customHeight="1">
      <c r="A1821" s="141" t="n"/>
      <c r="B1821" s="69">
        <f>IF('Calendario C'!B541="","",'Calendario C'!B541)</f>
        <v/>
      </c>
      <c r="C1821" s="9" t="n"/>
      <c r="D1821" s="9" t="n"/>
      <c r="E1821" s="9" t="n"/>
      <c r="F1821" s="9" t="n"/>
      <c r="G1821" s="9" t="n"/>
      <c r="H1821" s="10" t="n"/>
      <c r="I1821" s="62">
        <f>IF('Calendario C'!I541="","",'Calendario C'!I541)</f>
        <v/>
      </c>
      <c r="J1821" s="141" t="n"/>
      <c r="K1821" s="141" t="n"/>
      <c r="L1821" s="141" t="n"/>
      <c r="M1821" s="141" t="n"/>
      <c r="N1821" s="141" t="n"/>
      <c r="O1821" s="141" t="n"/>
      <c r="P1821" s="141" t="n"/>
      <c r="Q1821" s="141" t="n"/>
      <c r="R1821" s="141" t="n"/>
    </row>
    <row r="1822" ht="14" customHeight="1">
      <c r="A1822" s="81" t="inlineStr">
        <is>
          <t>Gara N.</t>
        </is>
      </c>
      <c r="B1822" s="81" t="inlineStr">
        <is>
          <t>Squadra A</t>
        </is>
      </c>
      <c r="C1822" s="10" t="n"/>
      <c r="D1822" s="81" t="inlineStr">
        <is>
          <t>Squadra B</t>
        </is>
      </c>
      <c r="E1822" s="10" t="n"/>
      <c r="F1822" s="81" t="inlineStr">
        <is>
          <t>Giorno</t>
        </is>
      </c>
      <c r="G1822" s="81" t="inlineStr">
        <is>
          <t>Data</t>
        </is>
      </c>
      <c r="H1822" s="81" t="inlineStr">
        <is>
          <t>Ora</t>
        </is>
      </c>
      <c r="I1822" s="10" t="n"/>
      <c r="J1822" s="81" t="inlineStr">
        <is>
          <t>Risultato</t>
        </is>
      </c>
      <c r="K1822" s="9" t="n"/>
      <c r="L1822" s="10" t="n"/>
      <c r="M1822" s="201" t="inlineStr">
        <is>
          <t>1o Arbitro</t>
        </is>
      </c>
      <c r="N1822" s="201" t="inlineStr">
        <is>
          <t>2o Arbitro</t>
        </is>
      </c>
      <c r="O1822" s="201" t="inlineStr">
        <is>
          <t>3o Arbitro/Tirocinante</t>
        </is>
      </c>
      <c r="P1822" s="201" t="inlineStr">
        <is>
          <t>Referto</t>
        </is>
      </c>
      <c r="Q1822" s="201" t="inlineStr">
        <is>
          <t>Cronometro</t>
        </is>
      </c>
      <c r="R1822" s="201" t="inlineStr">
        <is>
          <t>Foglio Tiri</t>
        </is>
      </c>
    </row>
    <row r="1823" ht="22" customHeight="1">
      <c r="A1823" s="83">
        <f>IF('Calendario C'!A543="","",'Calendario C'!A543)</f>
        <v/>
      </c>
      <c r="B1823" s="61">
        <f>IF('Calendario C'!B543="","",'Calendario C'!B543)</f>
        <v/>
      </c>
      <c r="C1823" s="62">
        <f>IF('Calendario C'!C543="","",'Calendario C'!C543)</f>
        <v/>
      </c>
      <c r="D1823" s="61">
        <f>IF('Calendario C'!D543="","",'Calendario C'!D543)</f>
        <v/>
      </c>
      <c r="E1823" s="62">
        <f>IF('Calendario C'!E543="","",'Calendario C'!E543)</f>
        <v/>
      </c>
      <c r="F1823" s="63">
        <f>IF('Calendario C'!F543="","",'Calendario C'!F543)</f>
        <v/>
      </c>
      <c r="G1823" s="9" t="n"/>
      <c r="H1823" s="9" t="n"/>
      <c r="I1823" s="10" t="n"/>
      <c r="J1823" s="195">
        <f>IF('Calendario C'!J543="","",'Calendario C'!J543)</f>
        <v/>
      </c>
      <c r="K1823" s="64" t="inlineStr">
        <is>
          <t>-</t>
        </is>
      </c>
      <c r="L1823" s="195">
        <f>IF('Calendario C'!L543="","",'Calendario C'!L543)</f>
        <v/>
      </c>
      <c r="M1823" s="196" t="inlineStr">
        <is>
          <t>IGLESIAS Felix [AAt]</t>
        </is>
      </c>
      <c r="N1823" s="196" t="inlineStr">
        <is>
          <t>MODIC Chiara [AA]</t>
        </is>
      </c>
      <c r="O1823" s="196" t="inlineStr">
        <is>
          <t>SOLER Ottavia [AAt]</t>
        </is>
      </c>
      <c r="P1823" s="196" t="inlineStr">
        <is>
          <t>WEBER Nicola</t>
        </is>
      </c>
      <c r="Q1823" s="196" t="inlineStr">
        <is>
          <t>SEVER Greta</t>
        </is>
      </c>
      <c r="R1823" s="196" t="inlineStr">
        <is>
          <t>BIANCHELLI Mathilde</t>
        </is>
      </c>
    </row>
    <row r="1824" ht="15" customHeight="1">
      <c r="A1824" s="141" t="n"/>
      <c r="B1824" s="69">
        <f>IF('Calendario C'!B544="","",'Calendario C'!B544)</f>
        <v/>
      </c>
      <c r="C1824" s="9" t="n"/>
      <c r="D1824" s="9" t="n"/>
      <c r="E1824" s="9" t="n"/>
      <c r="F1824" s="9" t="n"/>
      <c r="G1824" s="9" t="n"/>
      <c r="H1824" s="10" t="n"/>
      <c r="I1824" s="62">
        <f>IF('Calendario C'!I544="","",'Calendario C'!I544)</f>
        <v/>
      </c>
      <c r="J1824" s="141" t="n"/>
      <c r="K1824" s="141" t="n"/>
      <c r="L1824" s="141" t="n"/>
      <c r="M1824" s="141" t="n"/>
      <c r="N1824" s="141" t="n"/>
      <c r="O1824" s="141" t="n"/>
      <c r="P1824" s="141" t="n"/>
      <c r="Q1824" s="141" t="n"/>
      <c r="R1824" s="141" t="n"/>
    </row>
    <row r="1825" ht="14" customHeight="1">
      <c r="A1825" s="81" t="inlineStr">
        <is>
          <t>Gara N.</t>
        </is>
      </c>
      <c r="B1825" s="81" t="inlineStr">
        <is>
          <t>Squadra A</t>
        </is>
      </c>
      <c r="C1825" s="10" t="n"/>
      <c r="D1825" s="81" t="inlineStr">
        <is>
          <t>Squadra B</t>
        </is>
      </c>
      <c r="E1825" s="10" t="n"/>
      <c r="F1825" s="81" t="inlineStr">
        <is>
          <t>Giorno</t>
        </is>
      </c>
      <c r="G1825" s="81" t="inlineStr">
        <is>
          <t>Data</t>
        </is>
      </c>
      <c r="H1825" s="81" t="inlineStr">
        <is>
          <t>Ora</t>
        </is>
      </c>
      <c r="I1825" s="10" t="n"/>
      <c r="J1825" s="81" t="inlineStr">
        <is>
          <t>Risultato</t>
        </is>
      </c>
      <c r="K1825" s="9" t="n"/>
      <c r="L1825" s="10" t="n"/>
      <c r="M1825" s="201" t="inlineStr">
        <is>
          <t>1o Arbitro</t>
        </is>
      </c>
      <c r="N1825" s="201" t="inlineStr">
        <is>
          <t>2o Arbitro</t>
        </is>
      </c>
      <c r="O1825" s="201" t="inlineStr">
        <is>
          <t>3o Arbitro/Tirocinante</t>
        </is>
      </c>
      <c r="P1825" s="201" t="inlineStr">
        <is>
          <t>Referto</t>
        </is>
      </c>
      <c r="Q1825" s="201" t="inlineStr">
        <is>
          <t>Cronometro</t>
        </is>
      </c>
      <c r="R1825" s="201" t="inlineStr">
        <is>
          <t>Foglio Tiri</t>
        </is>
      </c>
    </row>
    <row r="1826" ht="22" customHeight="1">
      <c r="A1826" s="83">
        <f>IF('Calendario C'!A546="","",'Calendario C'!A546)</f>
        <v/>
      </c>
      <c r="B1826" s="61">
        <f>IF('Calendario C'!B546="","",'Calendario C'!B546)</f>
        <v/>
      </c>
      <c r="C1826" s="62">
        <f>IF('Calendario C'!C546="","",'Calendario C'!C546)</f>
        <v/>
      </c>
      <c r="D1826" s="61">
        <f>IF('Calendario C'!D546="","",'Calendario C'!D546)</f>
        <v/>
      </c>
      <c r="E1826" s="62">
        <f>IF('Calendario C'!E546="","",'Calendario C'!E546)</f>
        <v/>
      </c>
      <c r="F1826" s="63">
        <f>IF('Calendario C'!F546="","",'Calendario C'!F546)</f>
        <v/>
      </c>
      <c r="G1826" s="9" t="n"/>
      <c r="H1826" s="9" t="n"/>
      <c r="I1826" s="10" t="n"/>
      <c r="J1826" s="195">
        <f>IF('Calendario C'!J546="","",'Calendario C'!J546)</f>
        <v/>
      </c>
      <c r="K1826" s="64" t="inlineStr">
        <is>
          <t>-</t>
        </is>
      </c>
      <c r="L1826" s="195">
        <f>IF('Calendario C'!L546="","",'Calendario C'!L546)</f>
        <v/>
      </c>
      <c r="M1826" s="196" t="inlineStr">
        <is>
          <t>HORVAT Ottavia [A]</t>
        </is>
      </c>
      <c r="N1826" s="196" t="inlineStr">
        <is>
          <t>MODIC Gaelle [AA]</t>
        </is>
      </c>
      <c r="O1826" s="196" t="inlineStr">
        <is>
          <t>NOVAK Mathilde [Aest]</t>
        </is>
      </c>
      <c r="P1826" s="196" t="inlineStr">
        <is>
          <t>ROSSINI Mathilde</t>
        </is>
      </c>
      <c r="Q1826" s="196" t="inlineStr">
        <is>
          <t>ZUPAN Miha</t>
        </is>
      </c>
      <c r="R1826" s="196" t="inlineStr">
        <is>
          <t>HORVAT Matteo</t>
        </is>
      </c>
    </row>
    <row r="1827" ht="15" customHeight="1">
      <c r="A1827" s="141" t="n"/>
      <c r="B1827" s="69">
        <f>IF('Calendario C'!B547="","",'Calendario C'!B547)</f>
        <v/>
      </c>
      <c r="C1827" s="9" t="n"/>
      <c r="D1827" s="9" t="n"/>
      <c r="E1827" s="9" t="n"/>
      <c r="F1827" s="9" t="n"/>
      <c r="G1827" s="9" t="n"/>
      <c r="H1827" s="10" t="n"/>
      <c r="I1827" s="62">
        <f>IF('Calendario C'!I547="","",'Calendario C'!I547)</f>
        <v/>
      </c>
      <c r="J1827" s="141" t="n"/>
      <c r="K1827" s="141" t="n"/>
      <c r="L1827" s="141" t="n"/>
      <c r="M1827" s="141" t="n"/>
      <c r="N1827" s="141" t="n"/>
      <c r="O1827" s="141" t="n"/>
      <c r="P1827" s="141" t="n"/>
      <c r="Q1827" s="141" t="n"/>
      <c r="R1827" s="141" t="n"/>
    </row>
    <row r="1828" ht="14" customHeight="1">
      <c r="A1828" s="81" t="inlineStr">
        <is>
          <t>Gara N.</t>
        </is>
      </c>
      <c r="B1828" s="81" t="inlineStr">
        <is>
          <t>Squadra A</t>
        </is>
      </c>
      <c r="C1828" s="10" t="n"/>
      <c r="D1828" s="81" t="inlineStr">
        <is>
          <t>Squadra B</t>
        </is>
      </c>
      <c r="E1828" s="10" t="n"/>
      <c r="F1828" s="81" t="inlineStr">
        <is>
          <t>Giorno</t>
        </is>
      </c>
      <c r="G1828" s="81" t="inlineStr">
        <is>
          <t>Data</t>
        </is>
      </c>
      <c r="H1828" s="81" t="inlineStr">
        <is>
          <t>Ora</t>
        </is>
      </c>
      <c r="I1828" s="10" t="n"/>
      <c r="J1828" s="81" t="inlineStr">
        <is>
          <t>Risultato</t>
        </is>
      </c>
      <c r="K1828" s="9" t="n"/>
      <c r="L1828" s="10" t="n"/>
      <c r="M1828" s="201" t="inlineStr">
        <is>
          <t>1o Arbitro</t>
        </is>
      </c>
      <c r="N1828" s="201" t="inlineStr">
        <is>
          <t>2o Arbitro</t>
        </is>
      </c>
      <c r="O1828" s="201" t="inlineStr">
        <is>
          <t>3o Arbitro/Tirocinante</t>
        </is>
      </c>
      <c r="P1828" s="201" t="inlineStr">
        <is>
          <t>Referto</t>
        </is>
      </c>
      <c r="Q1828" s="201" t="inlineStr">
        <is>
          <t>Cronometro</t>
        </is>
      </c>
      <c r="R1828" s="201" t="inlineStr">
        <is>
          <t>Foglio Tiri</t>
        </is>
      </c>
    </row>
    <row r="1829" ht="22" customHeight="1">
      <c r="A1829" s="83">
        <f>IF('Calendario C'!A549="","",'Calendario C'!A549)</f>
        <v/>
      </c>
      <c r="B1829" s="61">
        <f>IF('Calendario C'!B549="","",'Calendario C'!B549)</f>
        <v/>
      </c>
      <c r="C1829" s="62">
        <f>IF('Calendario C'!C549="","",'Calendario C'!C549)</f>
        <v/>
      </c>
      <c r="D1829" s="61">
        <f>IF('Calendario C'!D549="","",'Calendario C'!D549)</f>
        <v/>
      </c>
      <c r="E1829" s="62">
        <f>IF('Calendario C'!E549="","",'Calendario C'!E549)</f>
        <v/>
      </c>
      <c r="F1829" s="63">
        <f>IF('Calendario C'!F549="","",'Calendario C'!F549)</f>
        <v/>
      </c>
      <c r="G1829" s="9" t="n"/>
      <c r="H1829" s="9" t="n"/>
      <c r="I1829" s="10" t="n"/>
      <c r="J1829" s="195">
        <f>IF('Calendario C'!J549="","",'Calendario C'!J549)</f>
        <v/>
      </c>
      <c r="K1829" s="64" t="inlineStr">
        <is>
          <t>-</t>
        </is>
      </c>
      <c r="L1829" s="195">
        <f>IF('Calendario C'!L549="","",'Calendario C'!L549)</f>
        <v/>
      </c>
      <c r="M1829" s="196" t="inlineStr">
        <is>
          <t>OBLAK Mathilde [A]</t>
        </is>
      </c>
      <c r="N1829" s="196" t="inlineStr">
        <is>
          <t>ROMERO Stefano [Aest]</t>
        </is>
      </c>
      <c r="O1829" s="196" t="inlineStr">
        <is>
          <t>IGLESIAS Felix [AAt]</t>
        </is>
      </c>
      <c r="P1829" s="196" t="inlineStr">
        <is>
          <t>LEROUX Gaelle</t>
        </is>
      </c>
      <c r="Q1829" s="196" t="inlineStr">
        <is>
          <t>LEFEVRE Mathilde</t>
        </is>
      </c>
      <c r="R1829" s="196" t="inlineStr">
        <is>
          <t>FOURNIER Lea</t>
        </is>
      </c>
    </row>
    <row r="1830" ht="15" customHeight="1">
      <c r="A1830" s="141" t="n"/>
      <c r="B1830" s="69">
        <f>IF('Calendario C'!B550="","",'Calendario C'!B550)</f>
        <v/>
      </c>
      <c r="C1830" s="9" t="n"/>
      <c r="D1830" s="9" t="n"/>
      <c r="E1830" s="9" t="n"/>
      <c r="F1830" s="9" t="n"/>
      <c r="G1830" s="9" t="n"/>
      <c r="H1830" s="10" t="n"/>
      <c r="I1830" s="62">
        <f>IF('Calendario C'!I550="","",'Calendario C'!I550)</f>
        <v/>
      </c>
      <c r="J1830" s="141" t="n"/>
      <c r="K1830" s="141" t="n"/>
      <c r="L1830" s="141" t="n"/>
      <c r="M1830" s="141" t="n"/>
      <c r="N1830" s="141" t="n"/>
      <c r="O1830" s="141" t="n"/>
      <c r="P1830" s="141" t="n"/>
      <c r="Q1830" s="141" t="n"/>
      <c r="R1830" s="141" t="n"/>
    </row>
    <row r="1832" ht="20" customHeight="1">
      <c r="A1832" s="78">
        <f>IF('Calendario C'!A552="","",'Calendario C'!A552)</f>
        <v/>
      </c>
      <c r="B1832" s="79">
        <f>IF('Calendario C'!B552="","",'Calendario C'!B552)</f>
        <v/>
      </c>
      <c r="C1832" s="9" t="n"/>
      <c r="D1832" s="9" t="n"/>
      <c r="E1832" s="9" t="n"/>
      <c r="F1832" s="9" t="n"/>
      <c r="G1832" s="9" t="n"/>
      <c r="H1832" s="9" t="n"/>
      <c r="I1832" s="9" t="n"/>
      <c r="J1832" s="9" t="n"/>
      <c r="K1832" s="9" t="n"/>
      <c r="L1832" s="10" t="n"/>
      <c r="M1832" s="200" t="inlineStr">
        <is>
          <t>ARBITRI</t>
        </is>
      </c>
      <c r="N1832" s="9" t="n"/>
      <c r="O1832" s="10" t="n"/>
      <c r="P1832" s="200" t="inlineStr">
        <is>
          <t>UFFICIALI DI CAMPO</t>
        </is>
      </c>
      <c r="Q1832" s="9" t="n"/>
      <c r="R1832" s="10" t="n"/>
    </row>
    <row r="1833" ht="14" customHeight="1">
      <c r="A1833" s="81" t="inlineStr">
        <is>
          <t>Gara N.</t>
        </is>
      </c>
      <c r="B1833" s="81" t="inlineStr">
        <is>
          <t>Squadra A</t>
        </is>
      </c>
      <c r="C1833" s="10" t="n"/>
      <c r="D1833" s="81" t="inlineStr">
        <is>
          <t>Squadra B</t>
        </is>
      </c>
      <c r="E1833" s="10" t="n"/>
      <c r="F1833" s="81" t="inlineStr">
        <is>
          <t>Giorno</t>
        </is>
      </c>
      <c r="G1833" s="81" t="inlineStr">
        <is>
          <t>Data</t>
        </is>
      </c>
      <c r="H1833" s="81" t="inlineStr">
        <is>
          <t>Ora</t>
        </is>
      </c>
      <c r="I1833" s="10" t="n"/>
      <c r="J1833" s="81" t="inlineStr">
        <is>
          <t>Risultato</t>
        </is>
      </c>
      <c r="K1833" s="9" t="n"/>
      <c r="L1833" s="10" t="n"/>
      <c r="M1833" s="201" t="inlineStr">
        <is>
          <t>1o Arbitro</t>
        </is>
      </c>
      <c r="N1833" s="201" t="inlineStr">
        <is>
          <t>2o Arbitro</t>
        </is>
      </c>
      <c r="O1833" s="201" t="inlineStr">
        <is>
          <t>3o Arbitro/Tirocinante</t>
        </is>
      </c>
      <c r="P1833" s="201" t="inlineStr">
        <is>
          <t>Referto</t>
        </is>
      </c>
      <c r="Q1833" s="201" t="inlineStr">
        <is>
          <t>Cronometro</t>
        </is>
      </c>
      <c r="R1833" s="201" t="inlineStr">
        <is>
          <t>Foglio Tiri</t>
        </is>
      </c>
    </row>
    <row r="1834" ht="22" customHeight="1">
      <c r="A1834" s="83">
        <f>IF('Calendario C'!A554="","",'Calendario C'!A554)</f>
        <v/>
      </c>
      <c r="B1834" s="61">
        <f>IF('Calendario C'!B554="","",'Calendario C'!B554)</f>
        <v/>
      </c>
      <c r="C1834" s="62">
        <f>IF('Calendario C'!C554="","",'Calendario C'!C554)</f>
        <v/>
      </c>
      <c r="D1834" s="61">
        <f>IF('Calendario C'!D554="","",'Calendario C'!D554)</f>
        <v/>
      </c>
      <c r="E1834" s="62">
        <f>IF('Calendario C'!E554="","",'Calendario C'!E554)</f>
        <v/>
      </c>
      <c r="F1834" s="63">
        <f>IF('Calendario C'!F554="","",'Calendario C'!F554)</f>
        <v/>
      </c>
      <c r="G1834" s="9" t="n"/>
      <c r="H1834" s="9" t="n"/>
      <c r="I1834" s="10" t="n"/>
      <c r="J1834" s="195">
        <f>IF('Calendario C'!J554="","",'Calendario C'!J554)</f>
        <v/>
      </c>
      <c r="K1834" s="64" t="inlineStr">
        <is>
          <t>-</t>
        </is>
      </c>
      <c r="L1834" s="195">
        <f>IF('Calendario C'!L554="","",'Calendario C'!L554)</f>
        <v/>
      </c>
      <c r="M1834" s="196" t="inlineStr">
        <is>
          <t>KELLER Mathilde [Aest]</t>
        </is>
      </c>
      <c r="N1834" s="196" t="inlineStr">
        <is>
          <t>ENGEL Luca [AA]</t>
        </is>
      </c>
      <c r="O1834" s="196" t="inlineStr">
        <is>
          <t>VOGEL Andrea [A]</t>
        </is>
      </c>
      <c r="P1834" s="196" t="inlineStr">
        <is>
          <t>CASTILLO Elena</t>
        </is>
      </c>
      <c r="Q1834" s="196" t="inlineStr">
        <is>
          <t>AUBERT Giulia</t>
        </is>
      </c>
      <c r="R1834" s="196" t="inlineStr">
        <is>
          <t>NAVARRO Luca</t>
        </is>
      </c>
    </row>
    <row r="1835" ht="15" customHeight="1">
      <c r="A1835" s="141" t="n"/>
      <c r="B1835" s="69">
        <f>IF('Calendario C'!B555="","",'Calendario C'!B555)</f>
        <v/>
      </c>
      <c r="C1835" s="9" t="n"/>
      <c r="D1835" s="9" t="n"/>
      <c r="E1835" s="9" t="n"/>
      <c r="F1835" s="9" t="n"/>
      <c r="G1835" s="9" t="n"/>
      <c r="H1835" s="10" t="n"/>
      <c r="I1835" s="62">
        <f>IF('Calendario C'!I555="","",'Calendario C'!I555)</f>
        <v/>
      </c>
      <c r="J1835" s="141" t="n"/>
      <c r="K1835" s="141" t="n"/>
      <c r="L1835" s="141" t="n"/>
      <c r="M1835" s="141" t="n"/>
      <c r="N1835" s="141" t="n"/>
      <c r="O1835" s="141" t="n"/>
      <c r="P1835" s="141" t="n"/>
      <c r="Q1835" s="141" t="n"/>
      <c r="R1835" s="141" t="n"/>
    </row>
    <row r="1836" ht="14" customHeight="1">
      <c r="A1836" s="81" t="inlineStr">
        <is>
          <t>Gara N.</t>
        </is>
      </c>
      <c r="B1836" s="81" t="inlineStr">
        <is>
          <t>Squadra A</t>
        </is>
      </c>
      <c r="C1836" s="10" t="n"/>
      <c r="D1836" s="81" t="inlineStr">
        <is>
          <t>Squadra B</t>
        </is>
      </c>
      <c r="E1836" s="10" t="n"/>
      <c r="F1836" s="81" t="inlineStr">
        <is>
          <t>Giorno</t>
        </is>
      </c>
      <c r="G1836" s="81" t="inlineStr">
        <is>
          <t>Data</t>
        </is>
      </c>
      <c r="H1836" s="81" t="inlineStr">
        <is>
          <t>Ora</t>
        </is>
      </c>
      <c r="I1836" s="10" t="n"/>
      <c r="J1836" s="81" t="inlineStr">
        <is>
          <t>Risultato</t>
        </is>
      </c>
      <c r="K1836" s="9" t="n"/>
      <c r="L1836" s="10" t="n"/>
      <c r="M1836" s="201" t="inlineStr">
        <is>
          <t>1o Arbitro</t>
        </is>
      </c>
      <c r="N1836" s="201" t="inlineStr">
        <is>
          <t>2o Arbitro</t>
        </is>
      </c>
      <c r="O1836" s="201" t="inlineStr">
        <is>
          <t>3o Arbitro/Tirocinante</t>
        </is>
      </c>
      <c r="P1836" s="201" t="inlineStr">
        <is>
          <t>Referto</t>
        </is>
      </c>
      <c r="Q1836" s="201" t="inlineStr">
        <is>
          <t>Cronometro</t>
        </is>
      </c>
      <c r="R1836" s="201" t="inlineStr">
        <is>
          <t>Foglio Tiri</t>
        </is>
      </c>
    </row>
    <row r="1837" ht="22" customHeight="1">
      <c r="A1837" s="83">
        <f>IF('Calendario C'!A557="","",'Calendario C'!A557)</f>
        <v/>
      </c>
      <c r="B1837" s="61">
        <f>IF('Calendario C'!B557="","",'Calendario C'!B557)</f>
        <v/>
      </c>
      <c r="C1837" s="62">
        <f>IF('Calendario C'!C557="","",'Calendario C'!C557)</f>
        <v/>
      </c>
      <c r="D1837" s="61">
        <f>IF('Calendario C'!D557="","",'Calendario C'!D557)</f>
        <v/>
      </c>
      <c r="E1837" s="62">
        <f>IF('Calendario C'!E557="","",'Calendario C'!E557)</f>
        <v/>
      </c>
      <c r="F1837" s="63">
        <f>IF('Calendario C'!F557="","",'Calendario C'!F557)</f>
        <v/>
      </c>
      <c r="G1837" s="9" t="n"/>
      <c r="H1837" s="9" t="n"/>
      <c r="I1837" s="10" t="n"/>
      <c r="J1837" s="195">
        <f>IF('Calendario C'!J557="","",'Calendario C'!J557)</f>
        <v/>
      </c>
      <c r="K1837" s="64" t="inlineStr">
        <is>
          <t>-</t>
        </is>
      </c>
      <c r="L1837" s="195">
        <f>IF('Calendario C'!L557="","",'Calendario C'!L557)</f>
        <v/>
      </c>
      <c r="M1837" s="196" t="inlineStr">
        <is>
          <t>KOVAC Diego [AAt]</t>
        </is>
      </c>
      <c r="N1837" s="196" t="inlineStr">
        <is>
          <t>MODIC Matteo [AA]</t>
        </is>
      </c>
      <c r="O1837" s="196" t="inlineStr">
        <is>
          <t>ENGEL Marco [AA]</t>
        </is>
      </c>
      <c r="P1837" s="196" t="inlineStr">
        <is>
          <t>VIDMAR Felix</t>
        </is>
      </c>
      <c r="Q1837" s="196" t="inlineStr">
        <is>
          <t>SEVER Nicola</t>
        </is>
      </c>
      <c r="R1837" s="196" t="inlineStr">
        <is>
          <t>ZUPAN Paula</t>
        </is>
      </c>
    </row>
    <row r="1838" ht="15" customHeight="1">
      <c r="A1838" s="141" t="n"/>
      <c r="B1838" s="69">
        <f>IF('Calendario C'!B558="","",'Calendario C'!B558)</f>
        <v/>
      </c>
      <c r="C1838" s="9" t="n"/>
      <c r="D1838" s="9" t="n"/>
      <c r="E1838" s="9" t="n"/>
      <c r="F1838" s="9" t="n"/>
      <c r="G1838" s="9" t="n"/>
      <c r="H1838" s="10" t="n"/>
      <c r="I1838" s="62">
        <f>IF('Calendario C'!I558="","",'Calendario C'!I558)</f>
        <v/>
      </c>
      <c r="J1838" s="141" t="n"/>
      <c r="K1838" s="141" t="n"/>
      <c r="L1838" s="141" t="n"/>
      <c r="M1838" s="141" t="n"/>
      <c r="N1838" s="141" t="n"/>
      <c r="O1838" s="141" t="n"/>
      <c r="P1838" s="141" t="n"/>
      <c r="Q1838" s="141" t="n"/>
      <c r="R1838" s="141" t="n"/>
    </row>
    <row r="1839" ht="14" customHeight="1">
      <c r="A1839" s="81" t="inlineStr">
        <is>
          <t>Gara N.</t>
        </is>
      </c>
      <c r="B1839" s="81" t="inlineStr">
        <is>
          <t>Squadra A</t>
        </is>
      </c>
      <c r="C1839" s="10" t="n"/>
      <c r="D1839" s="81" t="inlineStr">
        <is>
          <t>Squadra B</t>
        </is>
      </c>
      <c r="E1839" s="10" t="n"/>
      <c r="F1839" s="81" t="inlineStr">
        <is>
          <t>Giorno</t>
        </is>
      </c>
      <c r="G1839" s="81" t="inlineStr">
        <is>
          <t>Data</t>
        </is>
      </c>
      <c r="H1839" s="81" t="inlineStr">
        <is>
          <t>Ora</t>
        </is>
      </c>
      <c r="I1839" s="10" t="n"/>
      <c r="J1839" s="81" t="inlineStr">
        <is>
          <t>Risultato</t>
        </is>
      </c>
      <c r="K1839" s="9" t="n"/>
      <c r="L1839" s="10" t="n"/>
      <c r="M1839" s="201" t="inlineStr">
        <is>
          <t>1o Arbitro</t>
        </is>
      </c>
      <c r="N1839" s="201" t="inlineStr">
        <is>
          <t>2o Arbitro</t>
        </is>
      </c>
      <c r="O1839" s="201" t="inlineStr">
        <is>
          <t>3o Arbitro/Tirocinante</t>
        </is>
      </c>
      <c r="P1839" s="201" t="inlineStr">
        <is>
          <t>Referto</t>
        </is>
      </c>
      <c r="Q1839" s="201" t="inlineStr">
        <is>
          <t>Cronometro</t>
        </is>
      </c>
      <c r="R1839" s="201" t="inlineStr">
        <is>
          <t>Foglio Tiri</t>
        </is>
      </c>
    </row>
    <row r="1840" ht="22" customHeight="1">
      <c r="A1840" s="83">
        <f>IF('Calendario C'!A560="","",'Calendario C'!A560)</f>
        <v/>
      </c>
      <c r="B1840" s="61">
        <f>IF('Calendario C'!B560="","",'Calendario C'!B560)</f>
        <v/>
      </c>
      <c r="C1840" s="62">
        <f>IF('Calendario C'!C560="","",'Calendario C'!C560)</f>
        <v/>
      </c>
      <c r="D1840" s="61">
        <f>IF('Calendario C'!D560="","",'Calendario C'!D560)</f>
        <v/>
      </c>
      <c r="E1840" s="62">
        <f>IF('Calendario C'!E560="","",'Calendario C'!E560)</f>
        <v/>
      </c>
      <c r="F1840" s="63">
        <f>IF('Calendario C'!F560="","",'Calendario C'!F560)</f>
        <v/>
      </c>
      <c r="G1840" s="9" t="n"/>
      <c r="H1840" s="9" t="n"/>
      <c r="I1840" s="10" t="n"/>
      <c r="J1840" s="195">
        <f>IF('Calendario C'!J560="","",'Calendario C'!J560)</f>
        <v/>
      </c>
      <c r="K1840" s="64" t="inlineStr">
        <is>
          <t>-</t>
        </is>
      </c>
      <c r="L1840" s="195">
        <f>IF('Calendario C'!L560="","",'Calendario C'!L560)</f>
        <v/>
      </c>
      <c r="M1840" s="196" t="inlineStr">
        <is>
          <t>BELLANDI Matteo [AA]</t>
        </is>
      </c>
      <c r="N1840" s="196" t="inlineStr">
        <is>
          <t>KRAJNC Paolo [Aest]</t>
        </is>
      </c>
      <c r="O1840" s="196" t="inlineStr">
        <is>
          <t>MARCHIONI Paula [Aest]</t>
        </is>
      </c>
      <c r="P1840" s="196" t="inlineStr">
        <is>
          <t>BLANCHET Jonas</t>
        </is>
      </c>
      <c r="Q1840" s="196" t="inlineStr">
        <is>
          <t>KRAJNC Marco</t>
        </is>
      </c>
      <c r="R1840" s="196" t="inlineStr">
        <is>
          <t>NAVARRO Lea</t>
        </is>
      </c>
    </row>
    <row r="1841" ht="15" customHeight="1">
      <c r="A1841" s="141" t="n"/>
      <c r="B1841" s="69">
        <f>IF('Calendario C'!B561="","",'Calendario C'!B561)</f>
        <v/>
      </c>
      <c r="C1841" s="9" t="n"/>
      <c r="D1841" s="9" t="n"/>
      <c r="E1841" s="9" t="n"/>
      <c r="F1841" s="9" t="n"/>
      <c r="G1841" s="9" t="n"/>
      <c r="H1841" s="10" t="n"/>
      <c r="I1841" s="62">
        <f>IF('Calendario C'!I561="","",'Calendario C'!I561)</f>
        <v/>
      </c>
      <c r="J1841" s="141" t="n"/>
      <c r="K1841" s="141" t="n"/>
      <c r="L1841" s="141" t="n"/>
      <c r="M1841" s="141" t="n"/>
      <c r="N1841" s="141" t="n"/>
      <c r="O1841" s="141" t="n"/>
      <c r="P1841" s="141" t="n"/>
      <c r="Q1841" s="141" t="n"/>
      <c r="R1841" s="141" t="n"/>
    </row>
    <row r="1842" ht="14" customHeight="1">
      <c r="A1842" s="81" t="inlineStr">
        <is>
          <t>Gara N.</t>
        </is>
      </c>
      <c r="B1842" s="81" t="inlineStr">
        <is>
          <t>Squadra A</t>
        </is>
      </c>
      <c r="C1842" s="10" t="n"/>
      <c r="D1842" s="81" t="inlineStr">
        <is>
          <t>Squadra B</t>
        </is>
      </c>
      <c r="E1842" s="10" t="n"/>
      <c r="F1842" s="81" t="inlineStr">
        <is>
          <t>Giorno</t>
        </is>
      </c>
      <c r="G1842" s="81" t="inlineStr">
        <is>
          <t>Data</t>
        </is>
      </c>
      <c r="H1842" s="81" t="inlineStr">
        <is>
          <t>Ora</t>
        </is>
      </c>
      <c r="I1842" s="10" t="n"/>
      <c r="J1842" s="81" t="inlineStr">
        <is>
          <t>Risultato</t>
        </is>
      </c>
      <c r="K1842" s="9" t="n"/>
      <c r="L1842" s="10" t="n"/>
      <c r="M1842" s="201" t="inlineStr">
        <is>
          <t>1o Arbitro</t>
        </is>
      </c>
      <c r="N1842" s="201" t="inlineStr">
        <is>
          <t>2o Arbitro</t>
        </is>
      </c>
      <c r="O1842" s="201" t="inlineStr">
        <is>
          <t>3o Arbitro/Tirocinante</t>
        </is>
      </c>
      <c r="P1842" s="201" t="inlineStr">
        <is>
          <t>Referto</t>
        </is>
      </c>
      <c r="Q1842" s="201" t="inlineStr">
        <is>
          <t>Cronometro</t>
        </is>
      </c>
      <c r="R1842" s="201" t="inlineStr">
        <is>
          <t>Foglio Tiri</t>
        </is>
      </c>
    </row>
    <row r="1843" ht="22" customHeight="1">
      <c r="A1843" s="83">
        <f>IF('Calendario C'!A563="","",'Calendario C'!A563)</f>
        <v/>
      </c>
      <c r="B1843" s="61">
        <f>IF('Calendario C'!B563="","",'Calendario C'!B563)</f>
        <v/>
      </c>
      <c r="C1843" s="62">
        <f>IF('Calendario C'!C563="","",'Calendario C'!C563)</f>
        <v/>
      </c>
      <c r="D1843" s="61">
        <f>IF('Calendario C'!D563="","",'Calendario C'!D563)</f>
        <v/>
      </c>
      <c r="E1843" s="62">
        <f>IF('Calendario C'!E563="","",'Calendario C'!E563)</f>
        <v/>
      </c>
      <c r="F1843" s="63">
        <f>IF('Calendario C'!F563="","",'Calendario C'!F563)</f>
        <v/>
      </c>
      <c r="G1843" s="9" t="n"/>
      <c r="H1843" s="9" t="n"/>
      <c r="I1843" s="10" t="n"/>
      <c r="J1843" s="195">
        <f>IF('Calendario C'!J563="","",'Calendario C'!J563)</f>
        <v/>
      </c>
      <c r="K1843" s="64" t="inlineStr">
        <is>
          <t>-</t>
        </is>
      </c>
      <c r="L1843" s="195">
        <f>IF('Calendario C'!L563="","",'Calendario C'!L563)</f>
        <v/>
      </c>
      <c r="M1843" s="196" t="inlineStr">
        <is>
          <t>LEFEVRE Paula [A]</t>
        </is>
      </c>
      <c r="N1843" s="196" t="inlineStr">
        <is>
          <t>ROSSINI Paula [AAt]</t>
        </is>
      </c>
      <c r="O1843" s="196" t="inlineStr">
        <is>
          <t>CARON Alenka [AAt]</t>
        </is>
      </c>
      <c r="P1843" s="196" t="inlineStr">
        <is>
          <t>AUBERT Pablo</t>
        </is>
      </c>
      <c r="Q1843" s="196" t="inlineStr">
        <is>
          <t>VIDMAR Ilaria</t>
        </is>
      </c>
      <c r="R1843" s="196" t="inlineStr">
        <is>
          <t>KELLER Pablo</t>
        </is>
      </c>
    </row>
    <row r="1844" ht="15" customHeight="1">
      <c r="A1844" s="141" t="n"/>
      <c r="B1844" s="69">
        <f>IF('Calendario C'!B564="","",'Calendario C'!B564)</f>
        <v/>
      </c>
      <c r="C1844" s="9" t="n"/>
      <c r="D1844" s="9" t="n"/>
      <c r="E1844" s="9" t="n"/>
      <c r="F1844" s="9" t="n"/>
      <c r="G1844" s="9" t="n"/>
      <c r="H1844" s="10" t="n"/>
      <c r="I1844" s="62">
        <f>IF('Calendario C'!I564="","",'Calendario C'!I564)</f>
        <v/>
      </c>
      <c r="J1844" s="141" t="n"/>
      <c r="K1844" s="141" t="n"/>
      <c r="L1844" s="141" t="n"/>
      <c r="M1844" s="141" t="n"/>
      <c r="N1844" s="141" t="n"/>
      <c r="O1844" s="141" t="n"/>
      <c r="P1844" s="141" t="n"/>
      <c r="Q1844" s="141" t="n"/>
      <c r="R1844" s="141" t="n"/>
    </row>
    <row r="1845" ht="14" customHeight="1">
      <c r="A1845" s="81" t="inlineStr">
        <is>
          <t>Gara N.</t>
        </is>
      </c>
      <c r="B1845" s="81" t="inlineStr">
        <is>
          <t>Squadra A</t>
        </is>
      </c>
      <c r="C1845" s="10" t="n"/>
      <c r="D1845" s="81" t="inlineStr">
        <is>
          <t>Squadra B</t>
        </is>
      </c>
      <c r="E1845" s="10" t="n"/>
      <c r="F1845" s="81" t="inlineStr">
        <is>
          <t>Giorno</t>
        </is>
      </c>
      <c r="G1845" s="81" t="inlineStr">
        <is>
          <t>Data</t>
        </is>
      </c>
      <c r="H1845" s="81" t="inlineStr">
        <is>
          <t>Ora</t>
        </is>
      </c>
      <c r="I1845" s="10" t="n"/>
      <c r="J1845" s="81" t="inlineStr">
        <is>
          <t>Risultato</t>
        </is>
      </c>
      <c r="K1845" s="9" t="n"/>
      <c r="L1845" s="10" t="n"/>
      <c r="M1845" s="201" t="inlineStr">
        <is>
          <t>1o Arbitro</t>
        </is>
      </c>
      <c r="N1845" s="201" t="inlineStr">
        <is>
          <t>2o Arbitro</t>
        </is>
      </c>
      <c r="O1845" s="201" t="inlineStr">
        <is>
          <t>3o Arbitro/Tirocinante</t>
        </is>
      </c>
      <c r="P1845" s="201" t="inlineStr">
        <is>
          <t>Referto</t>
        </is>
      </c>
      <c r="Q1845" s="201" t="inlineStr">
        <is>
          <t>Cronometro</t>
        </is>
      </c>
      <c r="R1845" s="201" t="inlineStr">
        <is>
          <t>Foglio Tiri</t>
        </is>
      </c>
    </row>
    <row r="1846" ht="22" customHeight="1">
      <c r="A1846" s="83">
        <f>IF('Calendario C'!A566="","",'Calendario C'!A566)</f>
        <v/>
      </c>
      <c r="B1846" s="61">
        <f>IF('Calendario C'!B566="","",'Calendario C'!B566)</f>
        <v/>
      </c>
      <c r="C1846" s="62">
        <f>IF('Calendario C'!C566="","",'Calendario C'!C566)</f>
        <v/>
      </c>
      <c r="D1846" s="61">
        <f>IF('Calendario C'!D566="","",'Calendario C'!D566)</f>
        <v/>
      </c>
      <c r="E1846" s="62">
        <f>IF('Calendario C'!E566="","",'Calendario C'!E566)</f>
        <v/>
      </c>
      <c r="F1846" s="63">
        <f>IF('Calendario C'!F566="","",'Calendario C'!F566)</f>
        <v/>
      </c>
      <c r="G1846" s="9" t="n"/>
      <c r="H1846" s="9" t="n"/>
      <c r="I1846" s="10" t="n"/>
      <c r="J1846" s="195">
        <f>IF('Calendario C'!J566="","",'Calendario C'!J566)</f>
        <v/>
      </c>
      <c r="K1846" s="64" t="inlineStr">
        <is>
          <t>-</t>
        </is>
      </c>
      <c r="L1846" s="195">
        <f>IF('Calendario C'!L566="","",'Calendario C'!L566)</f>
        <v/>
      </c>
      <c r="M1846" s="196" t="inlineStr">
        <is>
          <t>HOFFMANN Marco [Aest]</t>
        </is>
      </c>
      <c r="N1846" s="196" t="inlineStr">
        <is>
          <t>AUBERT Lucia [AAt]</t>
        </is>
      </c>
      <c r="O1846" s="196" t="inlineStr">
        <is>
          <t>HORVAT Lea [A]</t>
        </is>
      </c>
      <c r="P1846" s="196" t="inlineStr">
        <is>
          <t>AUBERT Lea</t>
        </is>
      </c>
      <c r="Q1846" s="196" t="inlineStr">
        <is>
          <t>LANGER Valerie</t>
        </is>
      </c>
      <c r="R1846" s="196" t="inlineStr">
        <is>
          <t>SCHAFER Greta</t>
        </is>
      </c>
    </row>
    <row r="1847" ht="15" customHeight="1">
      <c r="A1847" s="141" t="n"/>
      <c r="B1847" s="69">
        <f>IF('Calendario C'!B567="","",'Calendario C'!B567)</f>
        <v/>
      </c>
      <c r="C1847" s="9" t="n"/>
      <c r="D1847" s="9" t="n"/>
      <c r="E1847" s="9" t="n"/>
      <c r="F1847" s="9" t="n"/>
      <c r="G1847" s="9" t="n"/>
      <c r="H1847" s="10" t="n"/>
      <c r="I1847" s="62">
        <f>IF('Calendario C'!I567="","",'Calendario C'!I567)</f>
        <v/>
      </c>
      <c r="J1847" s="141" t="n"/>
      <c r="K1847" s="141" t="n"/>
      <c r="L1847" s="141" t="n"/>
      <c r="M1847" s="141" t="n"/>
      <c r="N1847" s="141" t="n"/>
      <c r="O1847" s="141" t="n"/>
      <c r="P1847" s="141" t="n"/>
      <c r="Q1847" s="141" t="n"/>
      <c r="R1847" s="141" t="n"/>
    </row>
    <row r="1848" ht="14" customHeight="1">
      <c r="A1848" s="81" t="inlineStr">
        <is>
          <t>Gara N.</t>
        </is>
      </c>
      <c r="B1848" s="81" t="inlineStr">
        <is>
          <t>Squadra A</t>
        </is>
      </c>
      <c r="C1848" s="10" t="n"/>
      <c r="D1848" s="81" t="inlineStr">
        <is>
          <t>Squadra B</t>
        </is>
      </c>
      <c r="E1848" s="10" t="n"/>
      <c r="F1848" s="81" t="inlineStr">
        <is>
          <t>Giorno</t>
        </is>
      </c>
      <c r="G1848" s="81" t="inlineStr">
        <is>
          <t>Data</t>
        </is>
      </c>
      <c r="H1848" s="81" t="inlineStr">
        <is>
          <t>Ora</t>
        </is>
      </c>
      <c r="I1848" s="10" t="n"/>
      <c r="J1848" s="81" t="inlineStr">
        <is>
          <t>Risultato</t>
        </is>
      </c>
      <c r="K1848" s="9" t="n"/>
      <c r="L1848" s="10" t="n"/>
      <c r="M1848" s="201" t="inlineStr">
        <is>
          <t>1o Arbitro</t>
        </is>
      </c>
      <c r="N1848" s="201" t="inlineStr">
        <is>
          <t>2o Arbitro</t>
        </is>
      </c>
      <c r="O1848" s="201" t="inlineStr">
        <is>
          <t>3o Arbitro/Tirocinante</t>
        </is>
      </c>
      <c r="P1848" s="201" t="inlineStr">
        <is>
          <t>Referto</t>
        </is>
      </c>
      <c r="Q1848" s="201" t="inlineStr">
        <is>
          <t>Cronometro</t>
        </is>
      </c>
      <c r="R1848" s="201" t="inlineStr">
        <is>
          <t>Foglio Tiri</t>
        </is>
      </c>
    </row>
    <row r="1849" ht="22" customHeight="1">
      <c r="A1849" s="83">
        <f>IF('Calendario C'!A569="","",'Calendario C'!A569)</f>
        <v/>
      </c>
      <c r="B1849" s="61">
        <f>IF('Calendario C'!B569="","",'Calendario C'!B569)</f>
        <v/>
      </c>
      <c r="C1849" s="62">
        <f>IF('Calendario C'!C569="","",'Calendario C'!C569)</f>
        <v/>
      </c>
      <c r="D1849" s="61">
        <f>IF('Calendario C'!D569="","",'Calendario C'!D569)</f>
        <v/>
      </c>
      <c r="E1849" s="62">
        <f>IF('Calendario C'!E569="","",'Calendario C'!E569)</f>
        <v/>
      </c>
      <c r="F1849" s="63">
        <f>IF('Calendario C'!F569="","",'Calendario C'!F569)</f>
        <v/>
      </c>
      <c r="G1849" s="9" t="n"/>
      <c r="H1849" s="9" t="n"/>
      <c r="I1849" s="10" t="n"/>
      <c r="J1849" s="195">
        <f>IF('Calendario C'!J569="","",'Calendario C'!J569)</f>
        <v/>
      </c>
      <c r="K1849" s="64" t="inlineStr">
        <is>
          <t>-</t>
        </is>
      </c>
      <c r="L1849" s="195">
        <f>IF('Calendario C'!L569="","",'Calendario C'!L569)</f>
        <v/>
      </c>
      <c r="M1849" s="196" t="inlineStr">
        <is>
          <t>SCHAFER Eva [AA]</t>
        </is>
      </c>
      <c r="N1849" s="196" t="inlineStr">
        <is>
          <t>SOLER Mathilde [AA]</t>
        </is>
      </c>
      <c r="O1849" s="196" t="inlineStr">
        <is>
          <t>LEFEVRE Vid [A]</t>
        </is>
      </c>
      <c r="P1849" s="196" t="inlineStr">
        <is>
          <t>VALLET Miha</t>
        </is>
      </c>
      <c r="Q1849" s="196" t="inlineStr">
        <is>
          <t>IGLESIAS Greta</t>
        </is>
      </c>
      <c r="R1849" s="196" t="inlineStr">
        <is>
          <t>MOREAU Vid</t>
        </is>
      </c>
    </row>
    <row r="1850" ht="15" customHeight="1">
      <c r="A1850" s="141" t="n"/>
      <c r="B1850" s="69">
        <f>IF('Calendario C'!B570="","",'Calendario C'!B570)</f>
        <v/>
      </c>
      <c r="C1850" s="9" t="n"/>
      <c r="D1850" s="9" t="n"/>
      <c r="E1850" s="9" t="n"/>
      <c r="F1850" s="9" t="n"/>
      <c r="G1850" s="9" t="n"/>
      <c r="H1850" s="10" t="n"/>
      <c r="I1850" s="62">
        <f>IF('Calendario C'!I570="","",'Calendario C'!I570)</f>
        <v/>
      </c>
      <c r="J1850" s="141" t="n"/>
      <c r="K1850" s="141" t="n"/>
      <c r="L1850" s="141" t="n"/>
      <c r="M1850" s="141" t="n"/>
      <c r="N1850" s="141" t="n"/>
      <c r="O1850" s="141" t="n"/>
      <c r="P1850" s="141" t="n"/>
      <c r="Q1850" s="141" t="n"/>
      <c r="R1850" s="141" t="n"/>
    </row>
    <row r="1851" ht="14" customHeight="1">
      <c r="A1851" s="81" t="inlineStr">
        <is>
          <t>Gara N.</t>
        </is>
      </c>
      <c r="B1851" s="81" t="inlineStr">
        <is>
          <t>Squadra A</t>
        </is>
      </c>
      <c r="C1851" s="10" t="n"/>
      <c r="D1851" s="81" t="inlineStr">
        <is>
          <t>Squadra B</t>
        </is>
      </c>
      <c r="E1851" s="10" t="n"/>
      <c r="F1851" s="81" t="inlineStr">
        <is>
          <t>Giorno</t>
        </is>
      </c>
      <c r="G1851" s="81" t="inlineStr">
        <is>
          <t>Data</t>
        </is>
      </c>
      <c r="H1851" s="81" t="inlineStr">
        <is>
          <t>Ora</t>
        </is>
      </c>
      <c r="I1851" s="10" t="n"/>
      <c r="J1851" s="81" t="inlineStr">
        <is>
          <t>Risultato</t>
        </is>
      </c>
      <c r="K1851" s="9" t="n"/>
      <c r="L1851" s="10" t="n"/>
      <c r="M1851" s="201" t="inlineStr">
        <is>
          <t>1o Arbitro</t>
        </is>
      </c>
      <c r="N1851" s="201" t="inlineStr">
        <is>
          <t>2o Arbitro</t>
        </is>
      </c>
      <c r="O1851" s="201" t="inlineStr">
        <is>
          <t>3o Arbitro/Tirocinante</t>
        </is>
      </c>
      <c r="P1851" s="201" t="inlineStr">
        <is>
          <t>Referto</t>
        </is>
      </c>
      <c r="Q1851" s="201" t="inlineStr">
        <is>
          <t>Cronometro</t>
        </is>
      </c>
      <c r="R1851" s="201" t="inlineStr">
        <is>
          <t>Foglio Tiri</t>
        </is>
      </c>
    </row>
    <row r="1852" ht="22" customHeight="1">
      <c r="A1852" s="83">
        <f>IF('Calendario C'!A572="","",'Calendario C'!A572)</f>
        <v/>
      </c>
      <c r="B1852" s="61">
        <f>IF('Calendario C'!B572="","",'Calendario C'!B572)</f>
        <v/>
      </c>
      <c r="C1852" s="62">
        <f>IF('Calendario C'!C572="","",'Calendario C'!C572)</f>
        <v/>
      </c>
      <c r="D1852" s="61">
        <f>IF('Calendario C'!D572="","",'Calendario C'!D572)</f>
        <v/>
      </c>
      <c r="E1852" s="62">
        <f>IF('Calendario C'!E572="","",'Calendario C'!E572)</f>
        <v/>
      </c>
      <c r="F1852" s="63">
        <f>IF('Calendario C'!F572="","",'Calendario C'!F572)</f>
        <v/>
      </c>
      <c r="G1852" s="9" t="n"/>
      <c r="H1852" s="9" t="n"/>
      <c r="I1852" s="10" t="n"/>
      <c r="J1852" s="195">
        <f>IF('Calendario C'!J572="","",'Calendario C'!J572)</f>
        <v/>
      </c>
      <c r="K1852" s="64" t="inlineStr">
        <is>
          <t>-</t>
        </is>
      </c>
      <c r="L1852" s="195">
        <f>IF('Calendario C'!L572="","",'Calendario C'!L572)</f>
        <v/>
      </c>
      <c r="M1852" s="196" t="inlineStr">
        <is>
          <t>CARON Alenka [AAt]</t>
        </is>
      </c>
      <c r="N1852" s="196" t="inlineStr">
        <is>
          <t>ROSSINI Beatrice [Aest]</t>
        </is>
      </c>
      <c r="O1852" s="196" t="inlineStr">
        <is>
          <t>CARON Elena [A]</t>
        </is>
      </c>
      <c r="P1852" s="196" t="inlineStr">
        <is>
          <t>CARON Diego</t>
        </is>
      </c>
      <c r="Q1852" s="196" t="inlineStr">
        <is>
          <t>BELLANDI Hugo</t>
        </is>
      </c>
      <c r="R1852" s="196" t="inlineStr">
        <is>
          <t>ROMERO Elena</t>
        </is>
      </c>
    </row>
    <row r="1853" ht="15" customHeight="1">
      <c r="A1853" s="141" t="n"/>
      <c r="B1853" s="69">
        <f>IF('Calendario C'!B573="","",'Calendario C'!B573)</f>
        <v/>
      </c>
      <c r="C1853" s="9" t="n"/>
      <c r="D1853" s="9" t="n"/>
      <c r="E1853" s="9" t="n"/>
      <c r="F1853" s="9" t="n"/>
      <c r="G1853" s="9" t="n"/>
      <c r="H1853" s="10" t="n"/>
      <c r="I1853" s="62">
        <f>IF('Calendario C'!I573="","",'Calendario C'!I573)</f>
        <v/>
      </c>
      <c r="J1853" s="141" t="n"/>
      <c r="K1853" s="141" t="n"/>
      <c r="L1853" s="141" t="n"/>
      <c r="M1853" s="141" t="n"/>
      <c r="N1853" s="141" t="n"/>
      <c r="O1853" s="141" t="n"/>
      <c r="P1853" s="141" t="n"/>
      <c r="Q1853" s="141" t="n"/>
      <c r="R1853" s="141" t="n"/>
    </row>
    <row r="1854" ht="14" customHeight="1">
      <c r="A1854" s="81" t="inlineStr">
        <is>
          <t>Gara N.</t>
        </is>
      </c>
      <c r="B1854" s="81" t="inlineStr">
        <is>
          <t>Squadra A</t>
        </is>
      </c>
      <c r="C1854" s="10" t="n"/>
      <c r="D1854" s="81" t="inlineStr">
        <is>
          <t>Squadra B</t>
        </is>
      </c>
      <c r="E1854" s="10" t="n"/>
      <c r="F1854" s="81" t="inlineStr">
        <is>
          <t>Giorno</t>
        </is>
      </c>
      <c r="G1854" s="81" t="inlineStr">
        <is>
          <t>Data</t>
        </is>
      </c>
      <c r="H1854" s="81" t="inlineStr">
        <is>
          <t>Ora</t>
        </is>
      </c>
      <c r="I1854" s="10" t="n"/>
      <c r="J1854" s="81" t="inlineStr">
        <is>
          <t>Risultato</t>
        </is>
      </c>
      <c r="K1854" s="9" t="n"/>
      <c r="L1854" s="10" t="n"/>
      <c r="M1854" s="201" t="inlineStr">
        <is>
          <t>1o Arbitro</t>
        </is>
      </c>
      <c r="N1854" s="201" t="inlineStr">
        <is>
          <t>2o Arbitro</t>
        </is>
      </c>
      <c r="O1854" s="201" t="inlineStr">
        <is>
          <t>3o Arbitro/Tirocinante</t>
        </is>
      </c>
      <c r="P1854" s="201" t="inlineStr">
        <is>
          <t>Referto</t>
        </is>
      </c>
      <c r="Q1854" s="201" t="inlineStr">
        <is>
          <t>Cronometro</t>
        </is>
      </c>
      <c r="R1854" s="201" t="inlineStr">
        <is>
          <t>Foglio Tiri</t>
        </is>
      </c>
    </row>
    <row r="1855" ht="22" customHeight="1">
      <c r="A1855" s="83">
        <f>IF('Calendario C'!A575="","",'Calendario C'!A575)</f>
        <v/>
      </c>
      <c r="B1855" s="61">
        <f>IF('Calendario C'!B575="","",'Calendario C'!B575)</f>
        <v/>
      </c>
      <c r="C1855" s="62">
        <f>IF('Calendario C'!C575="","",'Calendario C'!C575)</f>
        <v/>
      </c>
      <c r="D1855" s="61">
        <f>IF('Calendario C'!D575="","",'Calendario C'!D575)</f>
        <v/>
      </c>
      <c r="E1855" s="62">
        <f>IF('Calendario C'!E575="","",'Calendario C'!E575)</f>
        <v/>
      </c>
      <c r="F1855" s="63">
        <f>IF('Calendario C'!F575="","",'Calendario C'!F575)</f>
        <v/>
      </c>
      <c r="G1855" s="9" t="n"/>
      <c r="H1855" s="9" t="n"/>
      <c r="I1855" s="10" t="n"/>
      <c r="J1855" s="195">
        <f>IF('Calendario C'!J575="","",'Calendario C'!J575)</f>
        <v/>
      </c>
      <c r="K1855" s="64" t="inlineStr">
        <is>
          <t>-</t>
        </is>
      </c>
      <c r="L1855" s="195">
        <f>IF('Calendario C'!L575="","",'Calendario C'!L575)</f>
        <v/>
      </c>
      <c r="M1855" s="196" t="inlineStr">
        <is>
          <t>CONTARDI Giulia [AAt]</t>
        </is>
      </c>
      <c r="N1855" s="196" t="inlineStr">
        <is>
          <t>PETERLIN Luca [Aest]</t>
        </is>
      </c>
      <c r="O1855" s="196" t="inlineStr">
        <is>
          <t>BLANCHET Lucia [Aest]</t>
        </is>
      </c>
      <c r="P1855" s="196" t="inlineStr">
        <is>
          <t>BLANCHET Paula</t>
        </is>
      </c>
      <c r="Q1855" s="196" t="inlineStr">
        <is>
          <t>ROSSINI Filippo</t>
        </is>
      </c>
      <c r="R1855" s="196" t="inlineStr">
        <is>
          <t>MARCHIONI Irene</t>
        </is>
      </c>
    </row>
    <row r="1856" ht="15" customHeight="1">
      <c r="A1856" s="141" t="n"/>
      <c r="B1856" s="69">
        <f>IF('Calendario C'!B576="","",'Calendario C'!B576)</f>
        <v/>
      </c>
      <c r="C1856" s="9" t="n"/>
      <c r="D1856" s="9" t="n"/>
      <c r="E1856" s="9" t="n"/>
      <c r="F1856" s="9" t="n"/>
      <c r="G1856" s="9" t="n"/>
      <c r="H1856" s="10" t="n"/>
      <c r="I1856" s="62">
        <f>IF('Calendario C'!I576="","",'Calendario C'!I576)</f>
        <v/>
      </c>
      <c r="J1856" s="141" t="n"/>
      <c r="K1856" s="141" t="n"/>
      <c r="L1856" s="141" t="n"/>
      <c r="M1856" s="141" t="n"/>
      <c r="N1856" s="141" t="n"/>
      <c r="O1856" s="141" t="n"/>
      <c r="P1856" s="141" t="n"/>
      <c r="Q1856" s="141" t="n"/>
      <c r="R1856" s="141" t="n"/>
    </row>
    <row r="1857" ht="14" customHeight="1">
      <c r="A1857" s="81" t="inlineStr">
        <is>
          <t>Gara N.</t>
        </is>
      </c>
      <c r="B1857" s="81" t="inlineStr">
        <is>
          <t>Squadra A</t>
        </is>
      </c>
      <c r="C1857" s="10" t="n"/>
      <c r="D1857" s="81" t="inlineStr">
        <is>
          <t>Squadra B</t>
        </is>
      </c>
      <c r="E1857" s="10" t="n"/>
      <c r="F1857" s="81" t="inlineStr">
        <is>
          <t>Giorno</t>
        </is>
      </c>
      <c r="G1857" s="81" t="inlineStr">
        <is>
          <t>Data</t>
        </is>
      </c>
      <c r="H1857" s="81" t="inlineStr">
        <is>
          <t>Ora</t>
        </is>
      </c>
      <c r="I1857" s="10" t="n"/>
      <c r="J1857" s="81" t="inlineStr">
        <is>
          <t>Risultato</t>
        </is>
      </c>
      <c r="K1857" s="9" t="n"/>
      <c r="L1857" s="10" t="n"/>
      <c r="M1857" s="201" t="inlineStr">
        <is>
          <t>1o Arbitro</t>
        </is>
      </c>
      <c r="N1857" s="201" t="inlineStr">
        <is>
          <t>2o Arbitro</t>
        </is>
      </c>
      <c r="O1857" s="201" t="inlineStr">
        <is>
          <t>3o Arbitro/Tirocinante</t>
        </is>
      </c>
      <c r="P1857" s="201" t="inlineStr">
        <is>
          <t>Referto</t>
        </is>
      </c>
      <c r="Q1857" s="201" t="inlineStr">
        <is>
          <t>Cronometro</t>
        </is>
      </c>
      <c r="R1857" s="201" t="inlineStr">
        <is>
          <t>Foglio Tiri</t>
        </is>
      </c>
    </row>
    <row r="1858" ht="22" customHeight="1">
      <c r="A1858" s="83">
        <f>IF('Calendario C'!A578="","",'Calendario C'!A578)</f>
        <v/>
      </c>
      <c r="B1858" s="61">
        <f>IF('Calendario C'!B578="","",'Calendario C'!B578)</f>
        <v/>
      </c>
      <c r="C1858" s="62">
        <f>IF('Calendario C'!C578="","",'Calendario C'!C578)</f>
        <v/>
      </c>
      <c r="D1858" s="61">
        <f>IF('Calendario C'!D578="","",'Calendario C'!D578)</f>
        <v/>
      </c>
      <c r="E1858" s="62">
        <f>IF('Calendario C'!E578="","",'Calendario C'!E578)</f>
        <v/>
      </c>
      <c r="F1858" s="63">
        <f>IF('Calendario C'!F578="","",'Calendario C'!F578)</f>
        <v/>
      </c>
      <c r="G1858" s="9" t="n"/>
      <c r="H1858" s="9" t="n"/>
      <c r="I1858" s="10" t="n"/>
      <c r="J1858" s="195">
        <f>IF('Calendario C'!J578="","",'Calendario C'!J578)</f>
        <v/>
      </c>
      <c r="K1858" s="64" t="inlineStr">
        <is>
          <t>-</t>
        </is>
      </c>
      <c r="L1858" s="195">
        <f>IF('Calendario C'!L578="","",'Calendario C'!L578)</f>
        <v/>
      </c>
      <c r="M1858" s="196" t="inlineStr">
        <is>
          <t>CAMPOS Vid [AA]</t>
        </is>
      </c>
      <c r="N1858" s="196" t="inlineStr">
        <is>
          <t>LANGER Ilaria [Aest]</t>
        </is>
      </c>
      <c r="O1858" s="196" t="inlineStr">
        <is>
          <t>HOFFMANN Mathilde [AAt]</t>
        </is>
      </c>
      <c r="P1858" s="196" t="inlineStr">
        <is>
          <t>MORETTO Noemi</t>
        </is>
      </c>
      <c r="Q1858" s="196" t="inlineStr">
        <is>
          <t>CONTARDI Miha</t>
        </is>
      </c>
      <c r="R1858" s="196" t="inlineStr">
        <is>
          <t>ORTEGA Alenka</t>
        </is>
      </c>
    </row>
    <row r="1859" ht="15" customHeight="1">
      <c r="A1859" s="141" t="n"/>
      <c r="B1859" s="69">
        <f>IF('Calendario C'!B579="","",'Calendario C'!B579)</f>
        <v/>
      </c>
      <c r="C1859" s="9" t="n"/>
      <c r="D1859" s="9" t="n"/>
      <c r="E1859" s="9" t="n"/>
      <c r="F1859" s="9" t="n"/>
      <c r="G1859" s="9" t="n"/>
      <c r="H1859" s="10" t="n"/>
      <c r="I1859" s="62">
        <f>IF('Calendario C'!I579="","",'Calendario C'!I579)</f>
        <v/>
      </c>
      <c r="J1859" s="141" t="n"/>
      <c r="K1859" s="141" t="n"/>
      <c r="L1859" s="141" t="n"/>
      <c r="M1859" s="141" t="n"/>
      <c r="N1859" s="141" t="n"/>
      <c r="O1859" s="141" t="n"/>
      <c r="P1859" s="141" t="n"/>
      <c r="Q1859" s="141" t="n"/>
      <c r="R1859" s="141" t="n"/>
    </row>
    <row r="1860" ht="14" customHeight="1">
      <c r="A1860" s="81" t="inlineStr">
        <is>
          <t>Gara N.</t>
        </is>
      </c>
      <c r="B1860" s="81" t="inlineStr">
        <is>
          <t>Squadra A</t>
        </is>
      </c>
      <c r="C1860" s="10" t="n"/>
      <c r="D1860" s="81" t="inlineStr">
        <is>
          <t>Squadra B</t>
        </is>
      </c>
      <c r="E1860" s="10" t="n"/>
      <c r="F1860" s="81" t="inlineStr">
        <is>
          <t>Giorno</t>
        </is>
      </c>
      <c r="G1860" s="81" t="inlineStr">
        <is>
          <t>Data</t>
        </is>
      </c>
      <c r="H1860" s="81" t="inlineStr">
        <is>
          <t>Ora</t>
        </is>
      </c>
      <c r="I1860" s="10" t="n"/>
      <c r="J1860" s="81" t="inlineStr">
        <is>
          <t>Risultato</t>
        </is>
      </c>
      <c r="K1860" s="9" t="n"/>
      <c r="L1860" s="10" t="n"/>
      <c r="M1860" s="201" t="inlineStr">
        <is>
          <t>1o Arbitro</t>
        </is>
      </c>
      <c r="N1860" s="201" t="inlineStr">
        <is>
          <t>2o Arbitro</t>
        </is>
      </c>
      <c r="O1860" s="201" t="inlineStr">
        <is>
          <t>3o Arbitro/Tirocinante</t>
        </is>
      </c>
      <c r="P1860" s="201" t="inlineStr">
        <is>
          <t>Referto</t>
        </is>
      </c>
      <c r="Q1860" s="201" t="inlineStr">
        <is>
          <t>Cronometro</t>
        </is>
      </c>
      <c r="R1860" s="201" t="inlineStr">
        <is>
          <t>Foglio Tiri</t>
        </is>
      </c>
    </row>
    <row r="1861" ht="22" customHeight="1">
      <c r="A1861" s="83">
        <f>IF('Calendario C'!A581="","",'Calendario C'!A581)</f>
        <v/>
      </c>
      <c r="B1861" s="61">
        <f>IF('Calendario C'!B581="","",'Calendario C'!B581)</f>
        <v/>
      </c>
      <c r="C1861" s="62">
        <f>IF('Calendario C'!C581="","",'Calendario C'!C581)</f>
        <v/>
      </c>
      <c r="D1861" s="61">
        <f>IF('Calendario C'!D581="","",'Calendario C'!D581)</f>
        <v/>
      </c>
      <c r="E1861" s="62">
        <f>IF('Calendario C'!E581="","",'Calendario C'!E581)</f>
        <v/>
      </c>
      <c r="F1861" s="63">
        <f>IF('Calendario C'!F581="","",'Calendario C'!F581)</f>
        <v/>
      </c>
      <c r="G1861" s="9" t="n"/>
      <c r="H1861" s="9" t="n"/>
      <c r="I1861" s="10" t="n"/>
      <c r="J1861" s="195">
        <f>IF('Calendario C'!J581="","",'Calendario C'!J581)</f>
        <v/>
      </c>
      <c r="K1861" s="64" t="inlineStr">
        <is>
          <t>-</t>
        </is>
      </c>
      <c r="L1861" s="195">
        <f>IF('Calendario C'!L581="","",'Calendario C'!L581)</f>
        <v/>
      </c>
      <c r="M1861" s="196" t="inlineStr">
        <is>
          <t>CARON Paolo [AA]</t>
        </is>
      </c>
      <c r="N1861" s="196" t="inlineStr">
        <is>
          <t>WEBER Martina [A]</t>
        </is>
      </c>
      <c r="O1861" s="196" t="inlineStr">
        <is>
          <t>ENGEL Noemi [Aest]</t>
        </is>
      </c>
      <c r="P1861" s="196" t="inlineStr">
        <is>
          <t>NADAUD Paula</t>
        </is>
      </c>
      <c r="Q1861" s="196" t="inlineStr">
        <is>
          <t>CONTARDI Miha</t>
        </is>
      </c>
      <c r="R1861" s="196" t="inlineStr">
        <is>
          <t>KRUGER Katrin</t>
        </is>
      </c>
    </row>
    <row r="1862" ht="15" customHeight="1">
      <c r="A1862" s="141" t="n"/>
      <c r="B1862" s="69">
        <f>IF('Calendario C'!B582="","",'Calendario C'!B582)</f>
        <v/>
      </c>
      <c r="C1862" s="9" t="n"/>
      <c r="D1862" s="9" t="n"/>
      <c r="E1862" s="9" t="n"/>
      <c r="F1862" s="9" t="n"/>
      <c r="G1862" s="9" t="n"/>
      <c r="H1862" s="10" t="n"/>
      <c r="I1862" s="62">
        <f>IF('Calendario C'!I582="","",'Calendario C'!I582)</f>
        <v/>
      </c>
      <c r="J1862" s="141" t="n"/>
      <c r="K1862" s="141" t="n"/>
      <c r="L1862" s="141" t="n"/>
      <c r="M1862" s="141" t="n"/>
      <c r="N1862" s="141" t="n"/>
      <c r="O1862" s="141" t="n"/>
      <c r="P1862" s="141" t="n"/>
      <c r="Q1862" s="141" t="n"/>
      <c r="R1862" s="141" t="n"/>
    </row>
    <row r="1864" ht="20" customHeight="1">
      <c r="A1864" s="78">
        <f>IF('Calendario C'!A584="","",'Calendario C'!A584)</f>
        <v/>
      </c>
      <c r="B1864" s="79">
        <f>IF('Calendario C'!B584="","",'Calendario C'!B584)</f>
        <v/>
      </c>
      <c r="C1864" s="9" t="n"/>
      <c r="D1864" s="9" t="n"/>
      <c r="E1864" s="9" t="n"/>
      <c r="F1864" s="9" t="n"/>
      <c r="G1864" s="9" t="n"/>
      <c r="H1864" s="9" t="n"/>
      <c r="I1864" s="9" t="n"/>
      <c r="J1864" s="9" t="n"/>
      <c r="K1864" s="9" t="n"/>
      <c r="L1864" s="10" t="n"/>
      <c r="M1864" s="200" t="inlineStr">
        <is>
          <t>ARBITRI</t>
        </is>
      </c>
      <c r="N1864" s="9" t="n"/>
      <c r="O1864" s="10" t="n"/>
      <c r="P1864" s="200" t="inlineStr">
        <is>
          <t>UFFICIALI DI CAMPO</t>
        </is>
      </c>
      <c r="Q1864" s="9" t="n"/>
      <c r="R1864" s="10" t="n"/>
    </row>
    <row r="1865" ht="14" customHeight="1">
      <c r="A1865" s="81" t="inlineStr">
        <is>
          <t>Gara N.</t>
        </is>
      </c>
      <c r="B1865" s="81" t="inlineStr">
        <is>
          <t>Squadra A</t>
        </is>
      </c>
      <c r="C1865" s="10" t="n"/>
      <c r="D1865" s="81" t="inlineStr">
        <is>
          <t>Squadra B</t>
        </is>
      </c>
      <c r="E1865" s="10" t="n"/>
      <c r="F1865" s="81" t="inlineStr">
        <is>
          <t>Giorno</t>
        </is>
      </c>
      <c r="G1865" s="81" t="inlineStr">
        <is>
          <t>Data</t>
        </is>
      </c>
      <c r="H1865" s="81" t="inlineStr">
        <is>
          <t>Ora</t>
        </is>
      </c>
      <c r="I1865" s="10" t="n"/>
      <c r="J1865" s="81" t="inlineStr">
        <is>
          <t>Risultato</t>
        </is>
      </c>
      <c r="K1865" s="9" t="n"/>
      <c r="L1865" s="10" t="n"/>
      <c r="M1865" s="201" t="inlineStr">
        <is>
          <t>1o Arbitro</t>
        </is>
      </c>
      <c r="N1865" s="201" t="inlineStr">
        <is>
          <t>2o Arbitro</t>
        </is>
      </c>
      <c r="O1865" s="201" t="inlineStr">
        <is>
          <t>3o Arbitro/Tirocinante</t>
        </is>
      </c>
      <c r="P1865" s="201" t="inlineStr">
        <is>
          <t>Referto</t>
        </is>
      </c>
      <c r="Q1865" s="201" t="inlineStr">
        <is>
          <t>Cronometro</t>
        </is>
      </c>
      <c r="R1865" s="201" t="inlineStr">
        <is>
          <t>Foglio Tiri</t>
        </is>
      </c>
    </row>
    <row r="1866" ht="22" customHeight="1">
      <c r="A1866" s="83">
        <f>IF('Calendario C'!A586="","",'Calendario C'!A586)</f>
        <v/>
      </c>
      <c r="B1866" s="61">
        <f>IF('Calendario C'!B586="","",'Calendario C'!B586)</f>
        <v/>
      </c>
      <c r="C1866" s="62">
        <f>IF('Calendario C'!C586="","",'Calendario C'!C586)</f>
        <v/>
      </c>
      <c r="D1866" s="61">
        <f>IF('Calendario C'!D586="","",'Calendario C'!D586)</f>
        <v/>
      </c>
      <c r="E1866" s="62">
        <f>IF('Calendario C'!E586="","",'Calendario C'!E586)</f>
        <v/>
      </c>
      <c r="F1866" s="63">
        <f>IF('Calendario C'!F586="","",'Calendario C'!F586)</f>
        <v/>
      </c>
      <c r="G1866" s="9" t="n"/>
      <c r="H1866" s="9" t="n"/>
      <c r="I1866" s="10" t="n"/>
      <c r="J1866" s="195">
        <f>IF('Calendario C'!J586="","",'Calendario C'!J586)</f>
        <v/>
      </c>
      <c r="K1866" s="64" t="inlineStr">
        <is>
          <t>-</t>
        </is>
      </c>
      <c r="L1866" s="195">
        <f>IF('Calendario C'!L586="","",'Calendario C'!L586)</f>
        <v/>
      </c>
      <c r="M1866" s="196" t="inlineStr">
        <is>
          <t>NOVAK Mathilde [Aest]</t>
        </is>
      </c>
      <c r="N1866" s="196" t="inlineStr">
        <is>
          <t>CASTILLO Irene [Aest]</t>
        </is>
      </c>
      <c r="O1866" s="196" t="inlineStr">
        <is>
          <t>GALLINI Gaelle [A]</t>
        </is>
      </c>
      <c r="P1866" s="196" t="inlineStr">
        <is>
          <t>FERRANTE Greta</t>
        </is>
      </c>
      <c r="Q1866" s="196" t="inlineStr">
        <is>
          <t>SEVER Davide</t>
        </is>
      </c>
      <c r="R1866" s="196" t="inlineStr">
        <is>
          <t>ROSSINI Pablo</t>
        </is>
      </c>
    </row>
    <row r="1867" ht="15" customHeight="1">
      <c r="A1867" s="141" t="n"/>
      <c r="B1867" s="69">
        <f>IF('Calendario C'!B587="","",'Calendario C'!B587)</f>
        <v/>
      </c>
      <c r="C1867" s="9" t="n"/>
      <c r="D1867" s="9" t="n"/>
      <c r="E1867" s="9" t="n"/>
      <c r="F1867" s="9" t="n"/>
      <c r="G1867" s="9" t="n"/>
      <c r="H1867" s="10" t="n"/>
      <c r="I1867" s="62">
        <f>IF('Calendario C'!I587="","",'Calendario C'!I587)</f>
        <v/>
      </c>
      <c r="J1867" s="141" t="n"/>
      <c r="K1867" s="141" t="n"/>
      <c r="L1867" s="141" t="n"/>
      <c r="M1867" s="141" t="n"/>
      <c r="N1867" s="141" t="n"/>
      <c r="O1867" s="141" t="n"/>
      <c r="P1867" s="141" t="n"/>
      <c r="Q1867" s="141" t="n"/>
      <c r="R1867" s="141" t="n"/>
    </row>
    <row r="1868" ht="14" customHeight="1">
      <c r="A1868" s="81" t="inlineStr">
        <is>
          <t>Gara N.</t>
        </is>
      </c>
      <c r="B1868" s="81" t="inlineStr">
        <is>
          <t>Squadra A</t>
        </is>
      </c>
      <c r="C1868" s="10" t="n"/>
      <c r="D1868" s="81" t="inlineStr">
        <is>
          <t>Squadra B</t>
        </is>
      </c>
      <c r="E1868" s="10" t="n"/>
      <c r="F1868" s="81" t="inlineStr">
        <is>
          <t>Giorno</t>
        </is>
      </c>
      <c r="G1868" s="81" t="inlineStr">
        <is>
          <t>Data</t>
        </is>
      </c>
      <c r="H1868" s="81" t="inlineStr">
        <is>
          <t>Ora</t>
        </is>
      </c>
      <c r="I1868" s="10" t="n"/>
      <c r="J1868" s="81" t="inlineStr">
        <is>
          <t>Risultato</t>
        </is>
      </c>
      <c r="K1868" s="9" t="n"/>
      <c r="L1868" s="10" t="n"/>
      <c r="M1868" s="201" t="inlineStr">
        <is>
          <t>1o Arbitro</t>
        </is>
      </c>
      <c r="N1868" s="201" t="inlineStr">
        <is>
          <t>2o Arbitro</t>
        </is>
      </c>
      <c r="O1868" s="201" t="inlineStr">
        <is>
          <t>3o Arbitro/Tirocinante</t>
        </is>
      </c>
      <c r="P1868" s="201" t="inlineStr">
        <is>
          <t>Referto</t>
        </is>
      </c>
      <c r="Q1868" s="201" t="inlineStr">
        <is>
          <t>Cronometro</t>
        </is>
      </c>
      <c r="R1868" s="201" t="inlineStr">
        <is>
          <t>Foglio Tiri</t>
        </is>
      </c>
    </row>
    <row r="1869" ht="22" customHeight="1">
      <c r="A1869" s="83">
        <f>IF('Calendario C'!A589="","",'Calendario C'!A589)</f>
        <v/>
      </c>
      <c r="B1869" s="61">
        <f>IF('Calendario C'!B589="","",'Calendario C'!B589)</f>
        <v/>
      </c>
      <c r="C1869" s="62">
        <f>IF('Calendario C'!C589="","",'Calendario C'!C589)</f>
        <v/>
      </c>
      <c r="D1869" s="61">
        <f>IF('Calendario C'!D589="","",'Calendario C'!D589)</f>
        <v/>
      </c>
      <c r="E1869" s="62">
        <f>IF('Calendario C'!E589="","",'Calendario C'!E589)</f>
        <v/>
      </c>
      <c r="F1869" s="63">
        <f>IF('Calendario C'!F589="","",'Calendario C'!F589)</f>
        <v/>
      </c>
      <c r="G1869" s="9" t="n"/>
      <c r="H1869" s="9" t="n"/>
      <c r="I1869" s="10" t="n"/>
      <c r="J1869" s="195">
        <f>IF('Calendario C'!J589="","",'Calendario C'!J589)</f>
        <v/>
      </c>
      <c r="K1869" s="64" t="inlineStr">
        <is>
          <t>-</t>
        </is>
      </c>
      <c r="L1869" s="195">
        <f>IF('Calendario C'!L589="","",'Calendario C'!L589)</f>
        <v/>
      </c>
      <c r="M1869" s="196" t="inlineStr">
        <is>
          <t>FOURNIER Lucia [AA]</t>
        </is>
      </c>
      <c r="N1869" s="196" t="inlineStr">
        <is>
          <t>WEBER Nicola [AAt]</t>
        </is>
      </c>
      <c r="O1869" s="196" t="inlineStr">
        <is>
          <t>MODIC Gaelle [AA]</t>
        </is>
      </c>
      <c r="P1869" s="196" t="inlineStr">
        <is>
          <t>OBLAK Hugo</t>
        </is>
      </c>
      <c r="Q1869" s="196" t="inlineStr">
        <is>
          <t>BELLANDI Giulia</t>
        </is>
      </c>
      <c r="R1869" s="196" t="inlineStr">
        <is>
          <t>BLANCO Diego</t>
        </is>
      </c>
    </row>
    <row r="1870" ht="15" customHeight="1">
      <c r="A1870" s="141" t="n"/>
      <c r="B1870" s="69">
        <f>IF('Calendario C'!B590="","",'Calendario C'!B590)</f>
        <v/>
      </c>
      <c r="C1870" s="9" t="n"/>
      <c r="D1870" s="9" t="n"/>
      <c r="E1870" s="9" t="n"/>
      <c r="F1870" s="9" t="n"/>
      <c r="G1870" s="9" t="n"/>
      <c r="H1870" s="10" t="n"/>
      <c r="I1870" s="62">
        <f>IF('Calendario C'!I590="","",'Calendario C'!I590)</f>
        <v/>
      </c>
      <c r="J1870" s="141" t="n"/>
      <c r="K1870" s="141" t="n"/>
      <c r="L1870" s="141" t="n"/>
      <c r="M1870" s="141" t="n"/>
      <c r="N1870" s="141" t="n"/>
      <c r="O1870" s="141" t="n"/>
      <c r="P1870" s="141" t="n"/>
      <c r="Q1870" s="141" t="n"/>
      <c r="R1870" s="141" t="n"/>
    </row>
    <row r="1871" ht="14" customHeight="1">
      <c r="A1871" s="81" t="inlineStr">
        <is>
          <t>Gara N.</t>
        </is>
      </c>
      <c r="B1871" s="81" t="inlineStr">
        <is>
          <t>Squadra A</t>
        </is>
      </c>
      <c r="C1871" s="10" t="n"/>
      <c r="D1871" s="81" t="inlineStr">
        <is>
          <t>Squadra B</t>
        </is>
      </c>
      <c r="E1871" s="10" t="n"/>
      <c r="F1871" s="81" t="inlineStr">
        <is>
          <t>Giorno</t>
        </is>
      </c>
      <c r="G1871" s="81" t="inlineStr">
        <is>
          <t>Data</t>
        </is>
      </c>
      <c r="H1871" s="81" t="inlineStr">
        <is>
          <t>Ora</t>
        </is>
      </c>
      <c r="I1871" s="10" t="n"/>
      <c r="J1871" s="81" t="inlineStr">
        <is>
          <t>Risultato</t>
        </is>
      </c>
      <c r="K1871" s="9" t="n"/>
      <c r="L1871" s="10" t="n"/>
      <c r="M1871" s="201" t="inlineStr">
        <is>
          <t>1o Arbitro</t>
        </is>
      </c>
      <c r="N1871" s="201" t="inlineStr">
        <is>
          <t>2o Arbitro</t>
        </is>
      </c>
      <c r="O1871" s="201" t="inlineStr">
        <is>
          <t>3o Arbitro/Tirocinante</t>
        </is>
      </c>
      <c r="P1871" s="201" t="inlineStr">
        <is>
          <t>Referto</t>
        </is>
      </c>
      <c r="Q1871" s="201" t="inlineStr">
        <is>
          <t>Cronometro</t>
        </is>
      </c>
      <c r="R1871" s="201" t="inlineStr">
        <is>
          <t>Foglio Tiri</t>
        </is>
      </c>
    </row>
    <row r="1872" ht="22" customHeight="1">
      <c r="A1872" s="83">
        <f>IF('Calendario C'!A592="","",'Calendario C'!A592)</f>
        <v/>
      </c>
      <c r="B1872" s="61">
        <f>IF('Calendario C'!B592="","",'Calendario C'!B592)</f>
        <v/>
      </c>
      <c r="C1872" s="62">
        <f>IF('Calendario C'!C592="","",'Calendario C'!C592)</f>
        <v/>
      </c>
      <c r="D1872" s="61">
        <f>IF('Calendario C'!D592="","",'Calendario C'!D592)</f>
        <v/>
      </c>
      <c r="E1872" s="62">
        <f>IF('Calendario C'!E592="","",'Calendario C'!E592)</f>
        <v/>
      </c>
      <c r="F1872" s="63">
        <f>IF('Calendario C'!F592="","",'Calendario C'!F592)</f>
        <v/>
      </c>
      <c r="G1872" s="9" t="n"/>
      <c r="H1872" s="9" t="n"/>
      <c r="I1872" s="10" t="n"/>
      <c r="J1872" s="195">
        <f>IF('Calendario C'!J592="","",'Calendario C'!J592)</f>
        <v/>
      </c>
      <c r="K1872" s="64" t="inlineStr">
        <is>
          <t>-</t>
        </is>
      </c>
      <c r="L1872" s="195">
        <f>IF('Calendario C'!L592="","",'Calendario C'!L592)</f>
        <v/>
      </c>
      <c r="M1872" s="196" t="inlineStr">
        <is>
          <t>VIDMAR Stefano [AAt]</t>
        </is>
      </c>
      <c r="N1872" s="196" t="inlineStr">
        <is>
          <t>LEFEVRE Mathilde [A]</t>
        </is>
      </c>
      <c r="O1872" s="196" t="inlineStr">
        <is>
          <t>BLANCO Lucia [Aest]</t>
        </is>
      </c>
      <c r="P1872" s="196" t="inlineStr">
        <is>
          <t>PRADO Eva</t>
        </is>
      </c>
      <c r="Q1872" s="196" t="inlineStr">
        <is>
          <t>CASTILLO Noemi</t>
        </is>
      </c>
      <c r="R1872" s="196" t="inlineStr">
        <is>
          <t>ORTEGA Filippo</t>
        </is>
      </c>
    </row>
    <row r="1873" ht="15" customHeight="1">
      <c r="A1873" s="141" t="n"/>
      <c r="B1873" s="69">
        <f>IF('Calendario C'!B593="","",'Calendario C'!B593)</f>
        <v/>
      </c>
      <c r="C1873" s="9" t="n"/>
      <c r="D1873" s="9" t="n"/>
      <c r="E1873" s="9" t="n"/>
      <c r="F1873" s="9" t="n"/>
      <c r="G1873" s="9" t="n"/>
      <c r="H1873" s="10" t="n"/>
      <c r="I1873" s="62">
        <f>IF('Calendario C'!I593="","",'Calendario C'!I593)</f>
        <v/>
      </c>
      <c r="J1873" s="141" t="n"/>
      <c r="K1873" s="141" t="n"/>
      <c r="L1873" s="141" t="n"/>
      <c r="M1873" s="141" t="n"/>
      <c r="N1873" s="141" t="n"/>
      <c r="O1873" s="141" t="n"/>
      <c r="P1873" s="141" t="n"/>
      <c r="Q1873" s="141" t="n"/>
      <c r="R1873" s="141" t="n"/>
    </row>
    <row r="1874" ht="14" customHeight="1">
      <c r="A1874" s="81" t="inlineStr">
        <is>
          <t>Gara N.</t>
        </is>
      </c>
      <c r="B1874" s="81" t="inlineStr">
        <is>
          <t>Squadra A</t>
        </is>
      </c>
      <c r="C1874" s="10" t="n"/>
      <c r="D1874" s="81" t="inlineStr">
        <is>
          <t>Squadra B</t>
        </is>
      </c>
      <c r="E1874" s="10" t="n"/>
      <c r="F1874" s="81" t="inlineStr">
        <is>
          <t>Giorno</t>
        </is>
      </c>
      <c r="G1874" s="81" t="inlineStr">
        <is>
          <t>Data</t>
        </is>
      </c>
      <c r="H1874" s="81" t="inlineStr">
        <is>
          <t>Ora</t>
        </is>
      </c>
      <c r="I1874" s="10" t="n"/>
      <c r="J1874" s="81" t="inlineStr">
        <is>
          <t>Risultato</t>
        </is>
      </c>
      <c r="K1874" s="9" t="n"/>
      <c r="L1874" s="10" t="n"/>
      <c r="M1874" s="201" t="inlineStr">
        <is>
          <t>1o Arbitro</t>
        </is>
      </c>
      <c r="N1874" s="201" t="inlineStr">
        <is>
          <t>2o Arbitro</t>
        </is>
      </c>
      <c r="O1874" s="201" t="inlineStr">
        <is>
          <t>3o Arbitro/Tirocinante</t>
        </is>
      </c>
      <c r="P1874" s="201" t="inlineStr">
        <is>
          <t>Referto</t>
        </is>
      </c>
      <c r="Q1874" s="201" t="inlineStr">
        <is>
          <t>Cronometro</t>
        </is>
      </c>
      <c r="R1874" s="201" t="inlineStr">
        <is>
          <t>Foglio Tiri</t>
        </is>
      </c>
    </row>
    <row r="1875" ht="22" customHeight="1">
      <c r="A1875" s="83">
        <f>IF('Calendario C'!A595="","",'Calendario C'!A595)</f>
        <v/>
      </c>
      <c r="B1875" s="61">
        <f>IF('Calendario C'!B595="","",'Calendario C'!B595)</f>
        <v/>
      </c>
      <c r="C1875" s="62">
        <f>IF('Calendario C'!C595="","",'Calendario C'!C595)</f>
        <v/>
      </c>
      <c r="D1875" s="61">
        <f>IF('Calendario C'!D595="","",'Calendario C'!D595)</f>
        <v/>
      </c>
      <c r="E1875" s="62">
        <f>IF('Calendario C'!E595="","",'Calendario C'!E595)</f>
        <v/>
      </c>
      <c r="F1875" s="63">
        <f>IF('Calendario C'!F595="","",'Calendario C'!F595)</f>
        <v/>
      </c>
      <c r="G1875" s="9" t="n"/>
      <c r="H1875" s="9" t="n"/>
      <c r="I1875" s="10" t="n"/>
      <c r="J1875" s="195">
        <f>IF('Calendario C'!J595="","",'Calendario C'!J595)</f>
        <v/>
      </c>
      <c r="K1875" s="64" t="inlineStr">
        <is>
          <t>-</t>
        </is>
      </c>
      <c r="L1875" s="195">
        <f>IF('Calendario C'!L595="","",'Calendario C'!L595)</f>
        <v/>
      </c>
      <c r="M1875" s="196" t="inlineStr">
        <is>
          <t>AUBERT Martina [AA]</t>
        </is>
      </c>
      <c r="N1875" s="196" t="inlineStr">
        <is>
          <t>ZUPAN Beatrice [AAt]</t>
        </is>
      </c>
      <c r="O1875" s="196" t="inlineStr">
        <is>
          <t>SOLER Alenka [A]</t>
        </is>
      </c>
      <c r="P1875" s="196" t="inlineStr">
        <is>
          <t>ENGEL Lucia</t>
        </is>
      </c>
      <c r="Q1875" s="196" t="inlineStr">
        <is>
          <t>VOGEL Greta</t>
        </is>
      </c>
      <c r="R1875" s="196" t="inlineStr">
        <is>
          <t>CASTILLO Martina</t>
        </is>
      </c>
    </row>
    <row r="1876" ht="15" customHeight="1">
      <c r="A1876" s="141" t="n"/>
      <c r="B1876" s="69">
        <f>IF('Calendario C'!B596="","",'Calendario C'!B596)</f>
        <v/>
      </c>
      <c r="C1876" s="9" t="n"/>
      <c r="D1876" s="9" t="n"/>
      <c r="E1876" s="9" t="n"/>
      <c r="F1876" s="9" t="n"/>
      <c r="G1876" s="9" t="n"/>
      <c r="H1876" s="10" t="n"/>
      <c r="I1876" s="62">
        <f>IF('Calendario C'!I596="","",'Calendario C'!I596)</f>
        <v/>
      </c>
      <c r="J1876" s="141" t="n"/>
      <c r="K1876" s="141" t="n"/>
      <c r="L1876" s="141" t="n"/>
      <c r="M1876" s="141" t="n"/>
      <c r="N1876" s="141" t="n"/>
      <c r="O1876" s="141" t="n"/>
      <c r="P1876" s="141" t="n"/>
      <c r="Q1876" s="141" t="n"/>
      <c r="R1876" s="141" t="n"/>
    </row>
    <row r="1877" ht="14" customHeight="1">
      <c r="A1877" s="81" t="inlineStr">
        <is>
          <t>Gara N.</t>
        </is>
      </c>
      <c r="B1877" s="81" t="inlineStr">
        <is>
          <t>Squadra A</t>
        </is>
      </c>
      <c r="C1877" s="10" t="n"/>
      <c r="D1877" s="81" t="inlineStr">
        <is>
          <t>Squadra B</t>
        </is>
      </c>
      <c r="E1877" s="10" t="n"/>
      <c r="F1877" s="81" t="inlineStr">
        <is>
          <t>Giorno</t>
        </is>
      </c>
      <c r="G1877" s="81" t="inlineStr">
        <is>
          <t>Data</t>
        </is>
      </c>
      <c r="H1877" s="81" t="inlineStr">
        <is>
          <t>Ora</t>
        </is>
      </c>
      <c r="I1877" s="10" t="n"/>
      <c r="J1877" s="81" t="inlineStr">
        <is>
          <t>Risultato</t>
        </is>
      </c>
      <c r="K1877" s="9" t="n"/>
      <c r="L1877" s="10" t="n"/>
      <c r="M1877" s="201" t="inlineStr">
        <is>
          <t>1o Arbitro</t>
        </is>
      </c>
      <c r="N1877" s="201" t="inlineStr">
        <is>
          <t>2o Arbitro</t>
        </is>
      </c>
      <c r="O1877" s="201" t="inlineStr">
        <is>
          <t>3o Arbitro/Tirocinante</t>
        </is>
      </c>
      <c r="P1877" s="201" t="inlineStr">
        <is>
          <t>Referto</t>
        </is>
      </c>
      <c r="Q1877" s="201" t="inlineStr">
        <is>
          <t>Cronometro</t>
        </is>
      </c>
      <c r="R1877" s="201" t="inlineStr">
        <is>
          <t>Foglio Tiri</t>
        </is>
      </c>
    </row>
    <row r="1878" ht="22" customHeight="1">
      <c r="A1878" s="83">
        <f>IF('Calendario C'!A598="","",'Calendario C'!A598)</f>
        <v/>
      </c>
      <c r="B1878" s="61">
        <f>IF('Calendario C'!B598="","",'Calendario C'!B598)</f>
        <v/>
      </c>
      <c r="C1878" s="62">
        <f>IF('Calendario C'!C598="","",'Calendario C'!C598)</f>
        <v/>
      </c>
      <c r="D1878" s="61">
        <f>IF('Calendario C'!D598="","",'Calendario C'!D598)</f>
        <v/>
      </c>
      <c r="E1878" s="62">
        <f>IF('Calendario C'!E598="","",'Calendario C'!E598)</f>
        <v/>
      </c>
      <c r="F1878" s="63">
        <f>IF('Calendario C'!F598="","",'Calendario C'!F598)</f>
        <v/>
      </c>
      <c r="G1878" s="9" t="n"/>
      <c r="H1878" s="9" t="n"/>
      <c r="I1878" s="10" t="n"/>
      <c r="J1878" s="195">
        <f>IF('Calendario C'!J598="","",'Calendario C'!J598)</f>
        <v/>
      </c>
      <c r="K1878" s="64" t="inlineStr">
        <is>
          <t>-</t>
        </is>
      </c>
      <c r="L1878" s="195">
        <f>IF('Calendario C'!L598="","",'Calendario C'!L598)</f>
        <v/>
      </c>
      <c r="M1878" s="196" t="inlineStr">
        <is>
          <t>LEROUX Hugo [Aest]</t>
        </is>
      </c>
      <c r="N1878" s="196" t="inlineStr">
        <is>
          <t>ENGEL Valerie [Aest]</t>
        </is>
      </c>
      <c r="O1878" s="196" t="inlineStr">
        <is>
          <t>MARCHIONI Marco [Aest]</t>
        </is>
      </c>
      <c r="P1878" s="196" t="inlineStr">
        <is>
          <t>PRADO Eva</t>
        </is>
      </c>
      <c r="Q1878" s="196" t="inlineStr">
        <is>
          <t>ORTEGA Stefano</t>
        </is>
      </c>
      <c r="R1878" s="196" t="inlineStr">
        <is>
          <t>AUBERT Paolo</t>
        </is>
      </c>
    </row>
    <row r="1879" ht="15" customHeight="1">
      <c r="A1879" s="141" t="n"/>
      <c r="B1879" s="69">
        <f>IF('Calendario C'!B599="","",'Calendario C'!B599)</f>
        <v/>
      </c>
      <c r="C1879" s="9" t="n"/>
      <c r="D1879" s="9" t="n"/>
      <c r="E1879" s="9" t="n"/>
      <c r="F1879" s="9" t="n"/>
      <c r="G1879" s="9" t="n"/>
      <c r="H1879" s="10" t="n"/>
      <c r="I1879" s="62">
        <f>IF('Calendario C'!I599="","",'Calendario C'!I599)</f>
        <v/>
      </c>
      <c r="J1879" s="141" t="n"/>
      <c r="K1879" s="141" t="n"/>
      <c r="L1879" s="141" t="n"/>
      <c r="M1879" s="141" t="n"/>
      <c r="N1879" s="141" t="n"/>
      <c r="O1879" s="141" t="n"/>
      <c r="P1879" s="141" t="n"/>
      <c r="Q1879" s="141" t="n"/>
      <c r="R1879" s="141" t="n"/>
    </row>
    <row r="1880" ht="14" customHeight="1">
      <c r="A1880" s="81" t="inlineStr">
        <is>
          <t>Gara N.</t>
        </is>
      </c>
      <c r="B1880" s="81" t="inlineStr">
        <is>
          <t>Squadra A</t>
        </is>
      </c>
      <c r="C1880" s="10" t="n"/>
      <c r="D1880" s="81" t="inlineStr">
        <is>
          <t>Squadra B</t>
        </is>
      </c>
      <c r="E1880" s="10" t="n"/>
      <c r="F1880" s="81" t="inlineStr">
        <is>
          <t>Giorno</t>
        </is>
      </c>
      <c r="G1880" s="81" t="inlineStr">
        <is>
          <t>Data</t>
        </is>
      </c>
      <c r="H1880" s="81" t="inlineStr">
        <is>
          <t>Ora</t>
        </is>
      </c>
      <c r="I1880" s="10" t="n"/>
      <c r="J1880" s="81" t="inlineStr">
        <is>
          <t>Risultato</t>
        </is>
      </c>
      <c r="K1880" s="9" t="n"/>
      <c r="L1880" s="10" t="n"/>
      <c r="M1880" s="201" t="inlineStr">
        <is>
          <t>1o Arbitro</t>
        </is>
      </c>
      <c r="N1880" s="201" t="inlineStr">
        <is>
          <t>2o Arbitro</t>
        </is>
      </c>
      <c r="O1880" s="201" t="inlineStr">
        <is>
          <t>3o Arbitro/Tirocinante</t>
        </is>
      </c>
      <c r="P1880" s="201" t="inlineStr">
        <is>
          <t>Referto</t>
        </is>
      </c>
      <c r="Q1880" s="201" t="inlineStr">
        <is>
          <t>Cronometro</t>
        </is>
      </c>
      <c r="R1880" s="201" t="inlineStr">
        <is>
          <t>Foglio Tiri</t>
        </is>
      </c>
    </row>
    <row r="1881" ht="22" customHeight="1">
      <c r="A1881" s="83">
        <f>IF('Calendario C'!A601="","",'Calendario C'!A601)</f>
        <v/>
      </c>
      <c r="B1881" s="61">
        <f>IF('Calendario C'!B601="","",'Calendario C'!B601)</f>
        <v/>
      </c>
      <c r="C1881" s="62">
        <f>IF('Calendario C'!C601="","",'Calendario C'!C601)</f>
        <v/>
      </c>
      <c r="D1881" s="61">
        <f>IF('Calendario C'!D601="","",'Calendario C'!D601)</f>
        <v/>
      </c>
      <c r="E1881" s="62">
        <f>IF('Calendario C'!E601="","",'Calendario C'!E601)</f>
        <v/>
      </c>
      <c r="F1881" s="63">
        <f>IF('Calendario C'!F601="","",'Calendario C'!F601)</f>
        <v/>
      </c>
      <c r="G1881" s="9" t="n"/>
      <c r="H1881" s="9" t="n"/>
      <c r="I1881" s="10" t="n"/>
      <c r="J1881" s="195">
        <f>IF('Calendario C'!J601="","",'Calendario C'!J601)</f>
        <v/>
      </c>
      <c r="K1881" s="64" t="inlineStr">
        <is>
          <t>-</t>
        </is>
      </c>
      <c r="L1881" s="195">
        <f>IF('Calendario C'!L601="","",'Calendario C'!L601)</f>
        <v/>
      </c>
      <c r="M1881" s="196" t="inlineStr">
        <is>
          <t>ROTH Sofia [A]</t>
        </is>
      </c>
      <c r="N1881" s="196" t="inlineStr">
        <is>
          <t>CASTILLO Lucia [AA]</t>
        </is>
      </c>
      <c r="O1881" s="196" t="inlineStr">
        <is>
          <t>BLANCHET Giulia [AA]</t>
        </is>
      </c>
      <c r="P1881" s="196" t="inlineStr">
        <is>
          <t>KRAJNC Stefano</t>
        </is>
      </c>
      <c r="Q1881" s="196" t="inlineStr">
        <is>
          <t>BLANCO Chiara</t>
        </is>
      </c>
      <c r="R1881" s="196" t="inlineStr">
        <is>
          <t>NADAUD Marco</t>
        </is>
      </c>
    </row>
    <row r="1882" ht="15" customHeight="1">
      <c r="A1882" s="141" t="n"/>
      <c r="B1882" s="69">
        <f>IF('Calendario C'!B602="","",'Calendario C'!B602)</f>
        <v/>
      </c>
      <c r="C1882" s="9" t="n"/>
      <c r="D1882" s="9" t="n"/>
      <c r="E1882" s="9" t="n"/>
      <c r="F1882" s="9" t="n"/>
      <c r="G1882" s="9" t="n"/>
      <c r="H1882" s="10" t="n"/>
      <c r="I1882" s="62">
        <f>IF('Calendario C'!I602="","",'Calendario C'!I602)</f>
        <v/>
      </c>
      <c r="J1882" s="141" t="n"/>
      <c r="K1882" s="141" t="n"/>
      <c r="L1882" s="141" t="n"/>
      <c r="M1882" s="141" t="n"/>
      <c r="N1882" s="141" t="n"/>
      <c r="O1882" s="141" t="n"/>
      <c r="P1882" s="141" t="n"/>
      <c r="Q1882" s="141" t="n"/>
      <c r="R1882" s="141" t="n"/>
    </row>
    <row r="1883" ht="14" customHeight="1">
      <c r="A1883" s="81" t="inlineStr">
        <is>
          <t>Gara N.</t>
        </is>
      </c>
      <c r="B1883" s="81" t="inlineStr">
        <is>
          <t>Squadra A</t>
        </is>
      </c>
      <c r="C1883" s="10" t="n"/>
      <c r="D1883" s="81" t="inlineStr">
        <is>
          <t>Squadra B</t>
        </is>
      </c>
      <c r="E1883" s="10" t="n"/>
      <c r="F1883" s="81" t="inlineStr">
        <is>
          <t>Giorno</t>
        </is>
      </c>
      <c r="G1883" s="81" t="inlineStr">
        <is>
          <t>Data</t>
        </is>
      </c>
      <c r="H1883" s="81" t="inlineStr">
        <is>
          <t>Ora</t>
        </is>
      </c>
      <c r="I1883" s="10" t="n"/>
      <c r="J1883" s="81" t="inlineStr">
        <is>
          <t>Risultato</t>
        </is>
      </c>
      <c r="K1883" s="9" t="n"/>
      <c r="L1883" s="10" t="n"/>
      <c r="M1883" s="201" t="inlineStr">
        <is>
          <t>1o Arbitro</t>
        </is>
      </c>
      <c r="N1883" s="201" t="inlineStr">
        <is>
          <t>2o Arbitro</t>
        </is>
      </c>
      <c r="O1883" s="201" t="inlineStr">
        <is>
          <t>3o Arbitro/Tirocinante</t>
        </is>
      </c>
      <c r="P1883" s="201" t="inlineStr">
        <is>
          <t>Referto</t>
        </is>
      </c>
      <c r="Q1883" s="201" t="inlineStr">
        <is>
          <t>Cronometro</t>
        </is>
      </c>
      <c r="R1883" s="201" t="inlineStr">
        <is>
          <t>Foglio Tiri</t>
        </is>
      </c>
    </row>
    <row r="1884" ht="22" customHeight="1">
      <c r="A1884" s="83">
        <f>IF('Calendario C'!A604="","",'Calendario C'!A604)</f>
        <v/>
      </c>
      <c r="B1884" s="61">
        <f>IF('Calendario C'!B604="","",'Calendario C'!B604)</f>
        <v/>
      </c>
      <c r="C1884" s="62">
        <f>IF('Calendario C'!C604="","",'Calendario C'!C604)</f>
        <v/>
      </c>
      <c r="D1884" s="61">
        <f>IF('Calendario C'!D604="","",'Calendario C'!D604)</f>
        <v/>
      </c>
      <c r="E1884" s="62">
        <f>IF('Calendario C'!E604="","",'Calendario C'!E604)</f>
        <v/>
      </c>
      <c r="F1884" s="63">
        <f>IF('Calendario C'!F604="","",'Calendario C'!F604)</f>
        <v/>
      </c>
      <c r="G1884" s="9" t="n"/>
      <c r="H1884" s="9" t="n"/>
      <c r="I1884" s="10" t="n"/>
      <c r="J1884" s="195">
        <f>IF('Calendario C'!J604="","",'Calendario C'!J604)</f>
        <v/>
      </c>
      <c r="K1884" s="64" t="inlineStr">
        <is>
          <t>-</t>
        </is>
      </c>
      <c r="L1884" s="195">
        <f>IF('Calendario C'!L604="","",'Calendario C'!L604)</f>
        <v/>
      </c>
      <c r="M1884" s="196" t="inlineStr">
        <is>
          <t>CASTILLO Paolo [AAt]</t>
        </is>
      </c>
      <c r="N1884" s="196" t="inlineStr">
        <is>
          <t>BLANCHET Lucia [Aest]</t>
        </is>
      </c>
      <c r="O1884" s="196" t="inlineStr">
        <is>
          <t>BELLANDI Matteo [AA]</t>
        </is>
      </c>
      <c r="P1884" s="196" t="inlineStr">
        <is>
          <t>GAUTHIER Davide</t>
        </is>
      </c>
      <c r="Q1884" s="196" t="inlineStr">
        <is>
          <t>ROSSINI Mathilde</t>
        </is>
      </c>
      <c r="R1884" s="196" t="inlineStr">
        <is>
          <t>ORTEGA Marta</t>
        </is>
      </c>
    </row>
    <row r="1885" ht="15" customHeight="1">
      <c r="A1885" s="141" t="n"/>
      <c r="B1885" s="69">
        <f>IF('Calendario C'!B605="","",'Calendario C'!B605)</f>
        <v/>
      </c>
      <c r="C1885" s="9" t="n"/>
      <c r="D1885" s="9" t="n"/>
      <c r="E1885" s="9" t="n"/>
      <c r="F1885" s="9" t="n"/>
      <c r="G1885" s="9" t="n"/>
      <c r="H1885" s="10" t="n"/>
      <c r="I1885" s="62">
        <f>IF('Calendario C'!I605="","",'Calendario C'!I605)</f>
        <v/>
      </c>
      <c r="J1885" s="141" t="n"/>
      <c r="K1885" s="141" t="n"/>
      <c r="L1885" s="141" t="n"/>
      <c r="M1885" s="141" t="n"/>
      <c r="N1885" s="141" t="n"/>
      <c r="O1885" s="141" t="n"/>
      <c r="P1885" s="141" t="n"/>
      <c r="Q1885" s="141" t="n"/>
      <c r="R1885" s="141" t="n"/>
    </row>
    <row r="1886" ht="14" customHeight="1">
      <c r="A1886" s="81" t="inlineStr">
        <is>
          <t>Gara N.</t>
        </is>
      </c>
      <c r="B1886" s="81" t="inlineStr">
        <is>
          <t>Squadra A</t>
        </is>
      </c>
      <c r="C1886" s="10" t="n"/>
      <c r="D1886" s="81" t="inlineStr">
        <is>
          <t>Squadra B</t>
        </is>
      </c>
      <c r="E1886" s="10" t="n"/>
      <c r="F1886" s="81" t="inlineStr">
        <is>
          <t>Giorno</t>
        </is>
      </c>
      <c r="G1886" s="81" t="inlineStr">
        <is>
          <t>Data</t>
        </is>
      </c>
      <c r="H1886" s="81" t="inlineStr">
        <is>
          <t>Ora</t>
        </is>
      </c>
      <c r="I1886" s="10" t="n"/>
      <c r="J1886" s="81" t="inlineStr">
        <is>
          <t>Risultato</t>
        </is>
      </c>
      <c r="K1886" s="9" t="n"/>
      <c r="L1886" s="10" t="n"/>
      <c r="M1886" s="201" t="inlineStr">
        <is>
          <t>1o Arbitro</t>
        </is>
      </c>
      <c r="N1886" s="201" t="inlineStr">
        <is>
          <t>2o Arbitro</t>
        </is>
      </c>
      <c r="O1886" s="201" t="inlineStr">
        <is>
          <t>3o Arbitro/Tirocinante</t>
        </is>
      </c>
      <c r="P1886" s="201" t="inlineStr">
        <is>
          <t>Referto</t>
        </is>
      </c>
      <c r="Q1886" s="201" t="inlineStr">
        <is>
          <t>Cronometro</t>
        </is>
      </c>
      <c r="R1886" s="201" t="inlineStr">
        <is>
          <t>Foglio Tiri</t>
        </is>
      </c>
    </row>
    <row r="1887" ht="22" customHeight="1">
      <c r="A1887" s="83">
        <f>IF('Calendario C'!A607="","",'Calendario C'!A607)</f>
        <v/>
      </c>
      <c r="B1887" s="61">
        <f>IF('Calendario C'!B607="","",'Calendario C'!B607)</f>
        <v/>
      </c>
      <c r="C1887" s="62">
        <f>IF('Calendario C'!C607="","",'Calendario C'!C607)</f>
        <v/>
      </c>
      <c r="D1887" s="61">
        <f>IF('Calendario C'!D607="","",'Calendario C'!D607)</f>
        <v/>
      </c>
      <c r="E1887" s="62">
        <f>IF('Calendario C'!E607="","",'Calendario C'!E607)</f>
        <v/>
      </c>
      <c r="F1887" s="63">
        <f>IF('Calendario C'!F607="","",'Calendario C'!F607)</f>
        <v/>
      </c>
      <c r="G1887" s="9" t="n"/>
      <c r="H1887" s="9" t="n"/>
      <c r="I1887" s="10" t="n"/>
      <c r="J1887" s="195">
        <f>IF('Calendario C'!J607="","",'Calendario C'!J607)</f>
        <v/>
      </c>
      <c r="K1887" s="64" t="inlineStr">
        <is>
          <t>-</t>
        </is>
      </c>
      <c r="L1887" s="195">
        <f>IF('Calendario C'!L607="","",'Calendario C'!L607)</f>
        <v/>
      </c>
      <c r="M1887" s="196" t="inlineStr">
        <is>
          <t>KRUGER Greta [A]</t>
        </is>
      </c>
      <c r="N1887" s="196" t="inlineStr">
        <is>
          <t>FUENTES Katrin [A]</t>
        </is>
      </c>
      <c r="O1887" s="196" t="inlineStr">
        <is>
          <t>IGLESIAS Beatrice [A]</t>
        </is>
      </c>
      <c r="P1887" s="196" t="inlineStr">
        <is>
          <t>BIANCHELLI Katrin</t>
        </is>
      </c>
      <c r="Q1887" s="196" t="inlineStr">
        <is>
          <t>SEVER Greta</t>
        </is>
      </c>
      <c r="R1887" s="196" t="inlineStr">
        <is>
          <t>SEVER Nicola</t>
        </is>
      </c>
    </row>
    <row r="1888" ht="15" customHeight="1">
      <c r="A1888" s="141" t="n"/>
      <c r="B1888" s="69">
        <f>IF('Calendario C'!B608="","",'Calendario C'!B608)</f>
        <v/>
      </c>
      <c r="C1888" s="9" t="n"/>
      <c r="D1888" s="9" t="n"/>
      <c r="E1888" s="9" t="n"/>
      <c r="F1888" s="9" t="n"/>
      <c r="G1888" s="9" t="n"/>
      <c r="H1888" s="10" t="n"/>
      <c r="I1888" s="62">
        <f>IF('Calendario C'!I608="","",'Calendario C'!I608)</f>
        <v/>
      </c>
      <c r="J1888" s="141" t="n"/>
      <c r="K1888" s="141" t="n"/>
      <c r="L1888" s="141" t="n"/>
      <c r="M1888" s="141" t="n"/>
      <c r="N1888" s="141" t="n"/>
      <c r="O1888" s="141" t="n"/>
      <c r="P1888" s="141" t="n"/>
      <c r="Q1888" s="141" t="n"/>
      <c r="R1888" s="141" t="n"/>
    </row>
    <row r="1889" ht="14" customHeight="1">
      <c r="A1889" s="81" t="inlineStr">
        <is>
          <t>Gara N.</t>
        </is>
      </c>
      <c r="B1889" s="81" t="inlineStr">
        <is>
          <t>Squadra A</t>
        </is>
      </c>
      <c r="C1889" s="10" t="n"/>
      <c r="D1889" s="81" t="inlineStr">
        <is>
          <t>Squadra B</t>
        </is>
      </c>
      <c r="E1889" s="10" t="n"/>
      <c r="F1889" s="81" t="inlineStr">
        <is>
          <t>Giorno</t>
        </is>
      </c>
      <c r="G1889" s="81" t="inlineStr">
        <is>
          <t>Data</t>
        </is>
      </c>
      <c r="H1889" s="81" t="inlineStr">
        <is>
          <t>Ora</t>
        </is>
      </c>
      <c r="I1889" s="10" t="n"/>
      <c r="J1889" s="81" t="inlineStr">
        <is>
          <t>Risultato</t>
        </is>
      </c>
      <c r="K1889" s="9" t="n"/>
      <c r="L1889" s="10" t="n"/>
      <c r="M1889" s="201" t="inlineStr">
        <is>
          <t>1o Arbitro</t>
        </is>
      </c>
      <c r="N1889" s="201" t="inlineStr">
        <is>
          <t>2o Arbitro</t>
        </is>
      </c>
      <c r="O1889" s="201" t="inlineStr">
        <is>
          <t>3o Arbitro/Tirocinante</t>
        </is>
      </c>
      <c r="P1889" s="201" t="inlineStr">
        <is>
          <t>Referto</t>
        </is>
      </c>
      <c r="Q1889" s="201" t="inlineStr">
        <is>
          <t>Cronometro</t>
        </is>
      </c>
      <c r="R1889" s="201" t="inlineStr">
        <is>
          <t>Foglio Tiri</t>
        </is>
      </c>
    </row>
    <row r="1890" ht="22" customHeight="1">
      <c r="A1890" s="83">
        <f>IF('Calendario C'!A610="","",'Calendario C'!A610)</f>
        <v/>
      </c>
      <c r="B1890" s="61">
        <f>IF('Calendario C'!B610="","",'Calendario C'!B610)</f>
        <v/>
      </c>
      <c r="C1890" s="62">
        <f>IF('Calendario C'!C610="","",'Calendario C'!C610)</f>
        <v/>
      </c>
      <c r="D1890" s="61">
        <f>IF('Calendario C'!D610="","",'Calendario C'!D610)</f>
        <v/>
      </c>
      <c r="E1890" s="62">
        <f>IF('Calendario C'!E610="","",'Calendario C'!E610)</f>
        <v/>
      </c>
      <c r="F1890" s="63">
        <f>IF('Calendario C'!F610="","",'Calendario C'!F610)</f>
        <v/>
      </c>
      <c r="G1890" s="9" t="n"/>
      <c r="H1890" s="9" t="n"/>
      <c r="I1890" s="10" t="n"/>
      <c r="J1890" s="195">
        <f>IF('Calendario C'!J610="","",'Calendario C'!J610)</f>
        <v/>
      </c>
      <c r="K1890" s="64" t="inlineStr">
        <is>
          <t>-</t>
        </is>
      </c>
      <c r="L1890" s="195">
        <f>IF('Calendario C'!L610="","",'Calendario C'!L610)</f>
        <v/>
      </c>
      <c r="M1890" s="196" t="inlineStr">
        <is>
          <t>SANTORI Chiara [A]</t>
        </is>
      </c>
      <c r="N1890" s="196" t="inlineStr">
        <is>
          <t>HORVAT Davide [Aest]</t>
        </is>
      </c>
      <c r="O1890" s="196" t="inlineStr">
        <is>
          <t>GALLINI Lukas [AA]</t>
        </is>
      </c>
      <c r="P1890" s="196" t="inlineStr">
        <is>
          <t>CASTILLO Giulia</t>
        </is>
      </c>
      <c r="Q1890" s="196" t="inlineStr">
        <is>
          <t>ORTEGA Gaelle</t>
        </is>
      </c>
      <c r="R1890" s="196" t="inlineStr">
        <is>
          <t>BLANCO Lukas</t>
        </is>
      </c>
    </row>
    <row r="1891" ht="15" customHeight="1">
      <c r="A1891" s="141" t="n"/>
      <c r="B1891" s="69">
        <f>IF('Calendario C'!B611="","",'Calendario C'!B611)</f>
        <v/>
      </c>
      <c r="C1891" s="9" t="n"/>
      <c r="D1891" s="9" t="n"/>
      <c r="E1891" s="9" t="n"/>
      <c r="F1891" s="9" t="n"/>
      <c r="G1891" s="9" t="n"/>
      <c r="H1891" s="10" t="n"/>
      <c r="I1891" s="62">
        <f>IF('Calendario C'!I611="","",'Calendario C'!I611)</f>
        <v/>
      </c>
      <c r="J1891" s="141" t="n"/>
      <c r="K1891" s="141" t="n"/>
      <c r="L1891" s="141" t="n"/>
      <c r="M1891" s="141" t="n"/>
      <c r="N1891" s="141" t="n"/>
      <c r="O1891" s="141" t="n"/>
      <c r="P1891" s="141" t="n"/>
      <c r="Q1891" s="141" t="n"/>
      <c r="R1891" s="141" t="n"/>
    </row>
    <row r="1892" ht="14" customHeight="1">
      <c r="A1892" s="81" t="inlineStr">
        <is>
          <t>Gara N.</t>
        </is>
      </c>
      <c r="B1892" s="81" t="inlineStr">
        <is>
          <t>Squadra A</t>
        </is>
      </c>
      <c r="C1892" s="10" t="n"/>
      <c r="D1892" s="81" t="inlineStr">
        <is>
          <t>Squadra B</t>
        </is>
      </c>
      <c r="E1892" s="10" t="n"/>
      <c r="F1892" s="81" t="inlineStr">
        <is>
          <t>Giorno</t>
        </is>
      </c>
      <c r="G1892" s="81" t="inlineStr">
        <is>
          <t>Data</t>
        </is>
      </c>
      <c r="H1892" s="81" t="inlineStr">
        <is>
          <t>Ora</t>
        </is>
      </c>
      <c r="I1892" s="10" t="n"/>
      <c r="J1892" s="81" t="inlineStr">
        <is>
          <t>Risultato</t>
        </is>
      </c>
      <c r="K1892" s="9" t="n"/>
      <c r="L1892" s="10" t="n"/>
      <c r="M1892" s="201" t="inlineStr">
        <is>
          <t>1o Arbitro</t>
        </is>
      </c>
      <c r="N1892" s="201" t="inlineStr">
        <is>
          <t>2o Arbitro</t>
        </is>
      </c>
      <c r="O1892" s="201" t="inlineStr">
        <is>
          <t>3o Arbitro/Tirocinante</t>
        </is>
      </c>
      <c r="P1892" s="201" t="inlineStr">
        <is>
          <t>Referto</t>
        </is>
      </c>
      <c r="Q1892" s="201" t="inlineStr">
        <is>
          <t>Cronometro</t>
        </is>
      </c>
      <c r="R1892" s="201" t="inlineStr">
        <is>
          <t>Foglio Tiri</t>
        </is>
      </c>
    </row>
    <row r="1893" ht="22" customHeight="1">
      <c r="A1893" s="83">
        <f>IF('Calendario C'!A613="","",'Calendario C'!A613)</f>
        <v/>
      </c>
      <c r="B1893" s="61">
        <f>IF('Calendario C'!B613="","",'Calendario C'!B613)</f>
        <v/>
      </c>
      <c r="C1893" s="62">
        <f>IF('Calendario C'!C613="","",'Calendario C'!C613)</f>
        <v/>
      </c>
      <c r="D1893" s="61">
        <f>IF('Calendario C'!D613="","",'Calendario C'!D613)</f>
        <v/>
      </c>
      <c r="E1893" s="62">
        <f>IF('Calendario C'!E613="","",'Calendario C'!E613)</f>
        <v/>
      </c>
      <c r="F1893" s="63">
        <f>IF('Calendario C'!F613="","",'Calendario C'!F613)</f>
        <v/>
      </c>
      <c r="G1893" s="9" t="n"/>
      <c r="H1893" s="9" t="n"/>
      <c r="I1893" s="10" t="n"/>
      <c r="J1893" s="195">
        <f>IF('Calendario C'!J613="","",'Calendario C'!J613)</f>
        <v/>
      </c>
      <c r="K1893" s="64" t="inlineStr">
        <is>
          <t>-</t>
        </is>
      </c>
      <c r="L1893" s="195">
        <f>IF('Calendario C'!L613="","",'Calendario C'!L613)</f>
        <v/>
      </c>
      <c r="M1893" s="196" t="inlineStr">
        <is>
          <t>KOVAC Noemi [Aest]</t>
        </is>
      </c>
      <c r="N1893" s="196" t="inlineStr">
        <is>
          <t>VOGEL Giulia [Aest]</t>
        </is>
      </c>
      <c r="O1893" s="196" t="inlineStr">
        <is>
          <t>CASTILLO Irene [Aest]</t>
        </is>
      </c>
      <c r="P1893" s="196" t="inlineStr">
        <is>
          <t>NAVARRO Luca</t>
        </is>
      </c>
      <c r="Q1893" s="196" t="inlineStr">
        <is>
          <t>NADAUD Paula</t>
        </is>
      </c>
      <c r="R1893" s="196" t="inlineStr">
        <is>
          <t>LEFEVRE Mathilde</t>
        </is>
      </c>
    </row>
    <row r="1894" ht="15" customHeight="1">
      <c r="A1894" s="141" t="n"/>
      <c r="B1894" s="69">
        <f>IF('Calendario C'!B614="","",'Calendario C'!B614)</f>
        <v/>
      </c>
      <c r="C1894" s="9" t="n"/>
      <c r="D1894" s="9" t="n"/>
      <c r="E1894" s="9" t="n"/>
      <c r="F1894" s="9" t="n"/>
      <c r="G1894" s="9" t="n"/>
      <c r="H1894" s="10" t="n"/>
      <c r="I1894" s="62">
        <f>IF('Calendario C'!I614="","",'Calendario C'!I614)</f>
        <v/>
      </c>
      <c r="J1894" s="141" t="n"/>
      <c r="K1894" s="141" t="n"/>
      <c r="L1894" s="141" t="n"/>
      <c r="M1894" s="141" t="n"/>
      <c r="N1894" s="141" t="n"/>
      <c r="O1894" s="141" t="n"/>
      <c r="P1894" s="141" t="n"/>
      <c r="Q1894" s="141" t="n"/>
      <c r="R1894" s="141" t="n"/>
    </row>
    <row r="1928" ht="20" customHeight="1">
      <c r="A1928" s="85">
        <f>IF('Calendario D'!A8="","",'Calendario D'!A8)</f>
        <v/>
      </c>
      <c r="B1928" s="86">
        <f>IF('Calendario D'!B8="","",'Calendario D'!B8)</f>
        <v/>
      </c>
      <c r="C1928" s="9" t="n"/>
      <c r="D1928" s="9" t="n"/>
      <c r="E1928" s="9" t="n"/>
      <c r="F1928" s="9" t="n"/>
      <c r="G1928" s="9" t="n"/>
      <c r="H1928" s="9" t="n"/>
      <c r="I1928" s="9" t="n"/>
      <c r="J1928" s="9" t="n"/>
      <c r="K1928" s="9" t="n"/>
      <c r="L1928" s="10" t="n"/>
      <c r="M1928" s="202" t="inlineStr">
        <is>
          <t>ARBITRI</t>
        </is>
      </c>
      <c r="N1928" s="9" t="n"/>
      <c r="O1928" s="10" t="n"/>
      <c r="P1928" s="202" t="inlineStr">
        <is>
          <t>UFFICIALI DI CAMPO</t>
        </is>
      </c>
      <c r="Q1928" s="9" t="n"/>
      <c r="R1928" s="10" t="n"/>
    </row>
    <row r="1929" ht="14" customHeight="1">
      <c r="A1929" s="88" t="inlineStr">
        <is>
          <t>Gara N.</t>
        </is>
      </c>
      <c r="B1929" s="88" t="inlineStr">
        <is>
          <t>Squadra A</t>
        </is>
      </c>
      <c r="C1929" s="10" t="n"/>
      <c r="D1929" s="88" t="inlineStr">
        <is>
          <t>Squadra B</t>
        </is>
      </c>
      <c r="E1929" s="10" t="n"/>
      <c r="F1929" s="88" t="inlineStr">
        <is>
          <t>Giorno</t>
        </is>
      </c>
      <c r="G1929" s="88" t="inlineStr">
        <is>
          <t>Data</t>
        </is>
      </c>
      <c r="H1929" s="88" t="inlineStr">
        <is>
          <t>Ora</t>
        </is>
      </c>
      <c r="I1929" s="10" t="n"/>
      <c r="J1929" s="88" t="inlineStr">
        <is>
          <t>Risultato</t>
        </is>
      </c>
      <c r="K1929" s="9" t="n"/>
      <c r="L1929" s="10" t="n"/>
      <c r="M1929" s="203" t="inlineStr">
        <is>
          <t>1o Arbitro</t>
        </is>
      </c>
      <c r="N1929" s="203" t="inlineStr">
        <is>
          <t>2o Arbitro</t>
        </is>
      </c>
      <c r="O1929" s="203" t="inlineStr">
        <is>
          <t>3o Arbitro/Tirocinante</t>
        </is>
      </c>
      <c r="P1929" s="203" t="inlineStr">
        <is>
          <t>Referto</t>
        </is>
      </c>
      <c r="Q1929" s="203" t="inlineStr">
        <is>
          <t>Cronometro</t>
        </is>
      </c>
      <c r="R1929" s="203" t="inlineStr">
        <is>
          <t>Foglio Tiri</t>
        </is>
      </c>
    </row>
    <row r="1930" ht="22" customHeight="1">
      <c r="A1930" s="90">
        <f>IF('Calendario D'!A10="","",'Calendario D'!A10)</f>
        <v/>
      </c>
      <c r="B1930" s="61">
        <f>IF('Calendario D'!B10="","",'Calendario D'!B10)</f>
        <v/>
      </c>
      <c r="C1930" s="62">
        <f>IF('Calendario D'!C10="","",'Calendario D'!C10)</f>
        <v/>
      </c>
      <c r="D1930" s="61">
        <f>IF('Calendario D'!D10="","",'Calendario D'!D10)</f>
        <v/>
      </c>
      <c r="E1930" s="62">
        <f>IF('Calendario D'!E10="","",'Calendario D'!E10)</f>
        <v/>
      </c>
      <c r="F1930" s="63">
        <f>IF('Calendario D'!F10="","",'Calendario D'!F10)</f>
        <v/>
      </c>
      <c r="G1930" s="9" t="n"/>
      <c r="H1930" s="9" t="n"/>
      <c r="I1930" s="10" t="n"/>
      <c r="J1930" s="195">
        <f>IF('Calendario D'!J10="","",'Calendario D'!J10)</f>
        <v/>
      </c>
      <c r="K1930" s="64" t="inlineStr">
        <is>
          <t>-</t>
        </is>
      </c>
      <c r="L1930" s="195">
        <f>IF('Calendario D'!L10="","",'Calendario D'!L10)</f>
        <v/>
      </c>
      <c r="M1930" s="196" t="inlineStr">
        <is>
          <t>SANTORI Chiara [A]</t>
        </is>
      </c>
      <c r="N1930" s="196" t="inlineStr">
        <is>
          <t>ROTH Sofia [A]</t>
        </is>
      </c>
      <c r="O1930" s="196" t="inlineStr">
        <is>
          <t>ENGEL Stefano [AAt]</t>
        </is>
      </c>
      <c r="P1930" s="196" t="inlineStr">
        <is>
          <t>SANTORI Gaelle</t>
        </is>
      </c>
      <c r="Q1930" s="196" t="inlineStr">
        <is>
          <t>FUENTES Beatrice</t>
        </is>
      </c>
      <c r="R1930" s="196" t="inlineStr">
        <is>
          <t>NOVAK Tommaso</t>
        </is>
      </c>
    </row>
    <row r="1931" ht="15" customHeight="1">
      <c r="A1931" s="141" t="n"/>
      <c r="B1931" s="69">
        <f>IF('Calendario D'!B11="","",'Calendario D'!B11)</f>
        <v/>
      </c>
      <c r="C1931" s="9" t="n"/>
      <c r="D1931" s="9" t="n"/>
      <c r="E1931" s="9" t="n"/>
      <c r="F1931" s="9" t="n"/>
      <c r="G1931" s="9" t="n"/>
      <c r="H1931" s="10" t="n"/>
      <c r="I1931" s="62">
        <f>IF('Calendario D'!I11="","",'Calendario D'!I11)</f>
        <v/>
      </c>
      <c r="J1931" s="141" t="n"/>
      <c r="K1931" s="141" t="n"/>
      <c r="L1931" s="141" t="n"/>
      <c r="M1931" s="141" t="n"/>
      <c r="N1931" s="141" t="n"/>
      <c r="O1931" s="141" t="n"/>
      <c r="P1931" s="141" t="n"/>
      <c r="Q1931" s="141" t="n"/>
      <c r="R1931" s="141" t="n"/>
    </row>
    <row r="1932" ht="14" customHeight="1">
      <c r="A1932" s="88" t="inlineStr">
        <is>
          <t>Gara N.</t>
        </is>
      </c>
      <c r="B1932" s="88" t="inlineStr">
        <is>
          <t>Squadra A</t>
        </is>
      </c>
      <c r="C1932" s="10" t="n"/>
      <c r="D1932" s="88" t="inlineStr">
        <is>
          <t>Squadra B</t>
        </is>
      </c>
      <c r="E1932" s="10" t="n"/>
      <c r="F1932" s="88" t="inlineStr">
        <is>
          <t>Giorno</t>
        </is>
      </c>
      <c r="G1932" s="88" t="inlineStr">
        <is>
          <t>Data</t>
        </is>
      </c>
      <c r="H1932" s="88" t="inlineStr">
        <is>
          <t>Ora</t>
        </is>
      </c>
      <c r="I1932" s="10" t="n"/>
      <c r="J1932" s="88" t="inlineStr">
        <is>
          <t>Risultato</t>
        </is>
      </c>
      <c r="K1932" s="9" t="n"/>
      <c r="L1932" s="10" t="n"/>
      <c r="M1932" s="203" t="inlineStr">
        <is>
          <t>1o Arbitro</t>
        </is>
      </c>
      <c r="N1932" s="203" t="inlineStr">
        <is>
          <t>2o Arbitro</t>
        </is>
      </c>
      <c r="O1932" s="203" t="inlineStr">
        <is>
          <t>3o Arbitro/Tirocinante</t>
        </is>
      </c>
      <c r="P1932" s="203" t="inlineStr">
        <is>
          <t>Referto</t>
        </is>
      </c>
      <c r="Q1932" s="203" t="inlineStr">
        <is>
          <t>Cronometro</t>
        </is>
      </c>
      <c r="R1932" s="203" t="inlineStr">
        <is>
          <t>Foglio Tiri</t>
        </is>
      </c>
    </row>
    <row r="1933" ht="22" customHeight="1">
      <c r="A1933" s="90">
        <f>IF('Calendario D'!A13="","",'Calendario D'!A13)</f>
        <v/>
      </c>
      <c r="B1933" s="61">
        <f>IF('Calendario D'!B13="","",'Calendario D'!B13)</f>
        <v/>
      </c>
      <c r="C1933" s="62">
        <f>IF('Calendario D'!C13="","",'Calendario D'!C13)</f>
        <v/>
      </c>
      <c r="D1933" s="61">
        <f>IF('Calendario D'!D13="","",'Calendario D'!D13)</f>
        <v/>
      </c>
      <c r="E1933" s="62">
        <f>IF('Calendario D'!E13="","",'Calendario D'!E13)</f>
        <v/>
      </c>
      <c r="F1933" s="63">
        <f>IF('Calendario D'!F13="","",'Calendario D'!F13)</f>
        <v/>
      </c>
      <c r="G1933" s="9" t="n"/>
      <c r="H1933" s="9" t="n"/>
      <c r="I1933" s="10" t="n"/>
      <c r="J1933" s="195">
        <f>IF('Calendario D'!J13="","",'Calendario D'!J13)</f>
        <v/>
      </c>
      <c r="K1933" s="64" t="inlineStr">
        <is>
          <t>-</t>
        </is>
      </c>
      <c r="L1933" s="195">
        <f>IF('Calendario D'!L13="","",'Calendario D'!L13)</f>
        <v/>
      </c>
      <c r="M1933" s="196" t="inlineStr">
        <is>
          <t>HORVAT Marco [AA]</t>
        </is>
      </c>
      <c r="N1933" s="196" t="inlineStr">
        <is>
          <t>WEBER Andrea [AAt]</t>
        </is>
      </c>
      <c r="O1933" s="196" t="inlineStr">
        <is>
          <t>VIDMAR Eva [AA]</t>
        </is>
      </c>
      <c r="P1933" s="196" t="inlineStr">
        <is>
          <t>MARCHIONI Gaelle</t>
        </is>
      </c>
      <c r="Q1933" s="196" t="inlineStr">
        <is>
          <t>ORTEGA Jonas</t>
        </is>
      </c>
      <c r="R1933" s="196" t="inlineStr">
        <is>
          <t>IGLESIAS Jonas</t>
        </is>
      </c>
    </row>
    <row r="1934" ht="15" customHeight="1">
      <c r="A1934" s="141" t="n"/>
      <c r="B1934" s="69">
        <f>IF('Calendario D'!B14="","",'Calendario D'!B14)</f>
        <v/>
      </c>
      <c r="C1934" s="9" t="n"/>
      <c r="D1934" s="9" t="n"/>
      <c r="E1934" s="9" t="n"/>
      <c r="F1934" s="9" t="n"/>
      <c r="G1934" s="9" t="n"/>
      <c r="H1934" s="10" t="n"/>
      <c r="I1934" s="62">
        <f>IF('Calendario D'!I14="","",'Calendario D'!I14)</f>
        <v/>
      </c>
      <c r="J1934" s="141" t="n"/>
      <c r="K1934" s="141" t="n"/>
      <c r="L1934" s="141" t="n"/>
      <c r="M1934" s="141" t="n"/>
      <c r="N1934" s="141" t="n"/>
      <c r="O1934" s="141" t="n"/>
      <c r="P1934" s="141" t="n"/>
      <c r="Q1934" s="141" t="n"/>
      <c r="R1934" s="141" t="n"/>
    </row>
    <row r="1935" ht="14" customHeight="1">
      <c r="A1935" s="88" t="inlineStr">
        <is>
          <t>Gara N.</t>
        </is>
      </c>
      <c r="B1935" s="88" t="inlineStr">
        <is>
          <t>Squadra A</t>
        </is>
      </c>
      <c r="C1935" s="10" t="n"/>
      <c r="D1935" s="88" t="inlineStr">
        <is>
          <t>Squadra B</t>
        </is>
      </c>
      <c r="E1935" s="10" t="n"/>
      <c r="F1935" s="88" t="inlineStr">
        <is>
          <t>Giorno</t>
        </is>
      </c>
      <c r="G1935" s="88" t="inlineStr">
        <is>
          <t>Data</t>
        </is>
      </c>
      <c r="H1935" s="88" t="inlineStr">
        <is>
          <t>Ora</t>
        </is>
      </c>
      <c r="I1935" s="10" t="n"/>
      <c r="J1935" s="88" t="inlineStr">
        <is>
          <t>Risultato</t>
        </is>
      </c>
      <c r="K1935" s="9" t="n"/>
      <c r="L1935" s="10" t="n"/>
      <c r="M1935" s="203" t="inlineStr">
        <is>
          <t>1o Arbitro</t>
        </is>
      </c>
      <c r="N1935" s="203" t="inlineStr">
        <is>
          <t>2o Arbitro</t>
        </is>
      </c>
      <c r="O1935" s="203" t="inlineStr">
        <is>
          <t>3o Arbitro/Tirocinante</t>
        </is>
      </c>
      <c r="P1935" s="203" t="inlineStr">
        <is>
          <t>Referto</t>
        </is>
      </c>
      <c r="Q1935" s="203" t="inlineStr">
        <is>
          <t>Cronometro</t>
        </is>
      </c>
      <c r="R1935" s="203" t="inlineStr">
        <is>
          <t>Foglio Tiri</t>
        </is>
      </c>
    </row>
    <row r="1936" ht="22" customHeight="1">
      <c r="A1936" s="90">
        <f>IF('Calendario D'!A16="","",'Calendario D'!A16)</f>
        <v/>
      </c>
      <c r="B1936" s="61">
        <f>IF('Calendario D'!B16="","",'Calendario D'!B16)</f>
        <v/>
      </c>
      <c r="C1936" s="62">
        <f>IF('Calendario D'!C16="","",'Calendario D'!C16)</f>
        <v/>
      </c>
      <c r="D1936" s="61">
        <f>IF('Calendario D'!D16="","",'Calendario D'!D16)</f>
        <v/>
      </c>
      <c r="E1936" s="62">
        <f>IF('Calendario D'!E16="","",'Calendario D'!E16)</f>
        <v/>
      </c>
      <c r="F1936" s="63">
        <f>IF('Calendario D'!F16="","",'Calendario D'!F16)</f>
        <v/>
      </c>
      <c r="G1936" s="9" t="n"/>
      <c r="H1936" s="9" t="n"/>
      <c r="I1936" s="10" t="n"/>
      <c r="J1936" s="195">
        <f>IF('Calendario D'!J16="","",'Calendario D'!J16)</f>
        <v/>
      </c>
      <c r="K1936" s="64" t="inlineStr">
        <is>
          <t>-</t>
        </is>
      </c>
      <c r="L1936" s="195">
        <f>IF('Calendario D'!L16="","",'Calendario D'!L16)</f>
        <v/>
      </c>
      <c r="M1936" s="196" t="inlineStr">
        <is>
          <t>GALLINI Valerie [AA]</t>
        </is>
      </c>
      <c r="N1936" s="196" t="inlineStr">
        <is>
          <t>AUBERT Lucia [AAt]</t>
        </is>
      </c>
      <c r="O1936" s="196" t="inlineStr">
        <is>
          <t>CAMPOS Felix [Aest]</t>
        </is>
      </c>
      <c r="P1936" s="196" t="inlineStr">
        <is>
          <t>HOFFMANN Andrea</t>
        </is>
      </c>
      <c r="Q1936" s="196" t="inlineStr">
        <is>
          <t>KRUGER Giulia</t>
        </is>
      </c>
      <c r="R1936" s="196" t="inlineStr">
        <is>
          <t>PRADO Marco</t>
        </is>
      </c>
    </row>
    <row r="1937" ht="15" customHeight="1">
      <c r="A1937" s="141" t="n"/>
      <c r="B1937" s="69">
        <f>IF('Calendario D'!B17="","",'Calendario D'!B17)</f>
        <v/>
      </c>
      <c r="C1937" s="9" t="n"/>
      <c r="D1937" s="9" t="n"/>
      <c r="E1937" s="9" t="n"/>
      <c r="F1937" s="9" t="n"/>
      <c r="G1937" s="9" t="n"/>
      <c r="H1937" s="10" t="n"/>
      <c r="I1937" s="62">
        <f>IF('Calendario D'!I17="","",'Calendario D'!I17)</f>
        <v/>
      </c>
      <c r="J1937" s="141" t="n"/>
      <c r="K1937" s="141" t="n"/>
      <c r="L1937" s="141" t="n"/>
      <c r="M1937" s="141" t="n"/>
      <c r="N1937" s="141" t="n"/>
      <c r="O1937" s="141" t="n"/>
      <c r="P1937" s="141" t="n"/>
      <c r="Q1937" s="141" t="n"/>
      <c r="R1937" s="141" t="n"/>
    </row>
    <row r="1938" ht="14" customHeight="1">
      <c r="A1938" s="88" t="inlineStr">
        <is>
          <t>Gara N.</t>
        </is>
      </c>
      <c r="B1938" s="88" t="inlineStr">
        <is>
          <t>Squadra A</t>
        </is>
      </c>
      <c r="C1938" s="10" t="n"/>
      <c r="D1938" s="88" t="inlineStr">
        <is>
          <t>Squadra B</t>
        </is>
      </c>
      <c r="E1938" s="10" t="n"/>
      <c r="F1938" s="88" t="inlineStr">
        <is>
          <t>Giorno</t>
        </is>
      </c>
      <c r="G1938" s="88" t="inlineStr">
        <is>
          <t>Data</t>
        </is>
      </c>
      <c r="H1938" s="88" t="inlineStr">
        <is>
          <t>Ora</t>
        </is>
      </c>
      <c r="I1938" s="10" t="n"/>
      <c r="J1938" s="88" t="inlineStr">
        <is>
          <t>Risultato</t>
        </is>
      </c>
      <c r="K1938" s="9" t="n"/>
      <c r="L1938" s="10" t="n"/>
      <c r="M1938" s="203" t="inlineStr">
        <is>
          <t>1o Arbitro</t>
        </is>
      </c>
      <c r="N1938" s="203" t="inlineStr">
        <is>
          <t>2o Arbitro</t>
        </is>
      </c>
      <c r="O1938" s="203" t="inlineStr">
        <is>
          <t>3o Arbitro/Tirocinante</t>
        </is>
      </c>
      <c r="P1938" s="203" t="inlineStr">
        <is>
          <t>Referto</t>
        </is>
      </c>
      <c r="Q1938" s="203" t="inlineStr">
        <is>
          <t>Cronometro</t>
        </is>
      </c>
      <c r="R1938" s="203" t="inlineStr">
        <is>
          <t>Foglio Tiri</t>
        </is>
      </c>
    </row>
    <row r="1939" ht="22" customHeight="1">
      <c r="A1939" s="90">
        <f>IF('Calendario D'!A19="","",'Calendario D'!A19)</f>
        <v/>
      </c>
      <c r="B1939" s="61">
        <f>IF('Calendario D'!B19="","",'Calendario D'!B19)</f>
        <v/>
      </c>
      <c r="C1939" s="62">
        <f>IF('Calendario D'!C19="","",'Calendario D'!C19)</f>
        <v/>
      </c>
      <c r="D1939" s="61">
        <f>IF('Calendario D'!D19="","",'Calendario D'!D19)</f>
        <v/>
      </c>
      <c r="E1939" s="62">
        <f>IF('Calendario D'!E19="","",'Calendario D'!E19)</f>
        <v/>
      </c>
      <c r="F1939" s="63">
        <f>IF('Calendario D'!F19="","",'Calendario D'!F19)</f>
        <v/>
      </c>
      <c r="G1939" s="9" t="n"/>
      <c r="H1939" s="9" t="n"/>
      <c r="I1939" s="10" t="n"/>
      <c r="J1939" s="195">
        <f>IF('Calendario D'!J19="","",'Calendario D'!J19)</f>
        <v/>
      </c>
      <c r="K1939" s="64" t="inlineStr">
        <is>
          <t>-</t>
        </is>
      </c>
      <c r="L1939" s="195">
        <f>IF('Calendario D'!L19="","",'Calendario D'!L19)</f>
        <v/>
      </c>
      <c r="M1939" s="196" t="inlineStr">
        <is>
          <t>ENGEL Marco [AA]</t>
        </is>
      </c>
      <c r="N1939" s="196" t="inlineStr">
        <is>
          <t>BIANCHELLI Felix [Aest]</t>
        </is>
      </c>
      <c r="O1939" s="196" t="inlineStr">
        <is>
          <t>GALLINI Elena [AAt]</t>
        </is>
      </c>
      <c r="P1939" s="196" t="inlineStr">
        <is>
          <t>VALLET Miha</t>
        </is>
      </c>
      <c r="Q1939" s="196" t="inlineStr">
        <is>
          <t>KRUGER Irene</t>
        </is>
      </c>
      <c r="R1939" s="196" t="inlineStr">
        <is>
          <t>MORETTO Lea</t>
        </is>
      </c>
    </row>
    <row r="1940" ht="15" customHeight="1">
      <c r="A1940" s="141" t="n"/>
      <c r="B1940" s="69">
        <f>IF('Calendario D'!B20="","",'Calendario D'!B20)</f>
        <v/>
      </c>
      <c r="C1940" s="9" t="n"/>
      <c r="D1940" s="9" t="n"/>
      <c r="E1940" s="9" t="n"/>
      <c r="F1940" s="9" t="n"/>
      <c r="G1940" s="9" t="n"/>
      <c r="H1940" s="10" t="n"/>
      <c r="I1940" s="62">
        <f>IF('Calendario D'!I20="","",'Calendario D'!I20)</f>
        <v/>
      </c>
      <c r="J1940" s="141" t="n"/>
      <c r="K1940" s="141" t="n"/>
      <c r="L1940" s="141" t="n"/>
      <c r="M1940" s="141" t="n"/>
      <c r="N1940" s="141" t="n"/>
      <c r="O1940" s="141" t="n"/>
      <c r="P1940" s="141" t="n"/>
      <c r="Q1940" s="141" t="n"/>
      <c r="R1940" s="141" t="n"/>
    </row>
    <row r="1941" ht="14" customHeight="1">
      <c r="A1941" s="88" t="inlineStr">
        <is>
          <t>Gara N.</t>
        </is>
      </c>
      <c r="B1941" s="88" t="inlineStr">
        <is>
          <t>Squadra A</t>
        </is>
      </c>
      <c r="C1941" s="10" t="n"/>
      <c r="D1941" s="88" t="inlineStr">
        <is>
          <t>Squadra B</t>
        </is>
      </c>
      <c r="E1941" s="10" t="n"/>
      <c r="F1941" s="88" t="inlineStr">
        <is>
          <t>Giorno</t>
        </is>
      </c>
      <c r="G1941" s="88" t="inlineStr">
        <is>
          <t>Data</t>
        </is>
      </c>
      <c r="H1941" s="88" t="inlineStr">
        <is>
          <t>Ora</t>
        </is>
      </c>
      <c r="I1941" s="10" t="n"/>
      <c r="J1941" s="88" t="inlineStr">
        <is>
          <t>Risultato</t>
        </is>
      </c>
      <c r="K1941" s="9" t="n"/>
      <c r="L1941" s="10" t="n"/>
      <c r="M1941" s="203" t="inlineStr">
        <is>
          <t>1o Arbitro</t>
        </is>
      </c>
      <c r="N1941" s="203" t="inlineStr">
        <is>
          <t>2o Arbitro</t>
        </is>
      </c>
      <c r="O1941" s="203" t="inlineStr">
        <is>
          <t>3o Arbitro/Tirocinante</t>
        </is>
      </c>
      <c r="P1941" s="203" t="inlineStr">
        <is>
          <t>Referto</t>
        </is>
      </c>
      <c r="Q1941" s="203" t="inlineStr">
        <is>
          <t>Cronometro</t>
        </is>
      </c>
      <c r="R1941" s="203" t="inlineStr">
        <is>
          <t>Foglio Tiri</t>
        </is>
      </c>
    </row>
    <row r="1942" ht="22" customHeight="1">
      <c r="A1942" s="90">
        <f>IF('Calendario D'!A22="","",'Calendario D'!A22)</f>
        <v/>
      </c>
      <c r="B1942" s="61">
        <f>IF('Calendario D'!B22="","",'Calendario D'!B22)</f>
        <v/>
      </c>
      <c r="C1942" s="62">
        <f>IF('Calendario D'!C22="","",'Calendario D'!C22)</f>
        <v/>
      </c>
      <c r="D1942" s="61">
        <f>IF('Calendario D'!D22="","",'Calendario D'!D22)</f>
        <v/>
      </c>
      <c r="E1942" s="62">
        <f>IF('Calendario D'!E22="","",'Calendario D'!E22)</f>
        <v/>
      </c>
      <c r="F1942" s="63">
        <f>IF('Calendario D'!F22="","",'Calendario D'!F22)</f>
        <v/>
      </c>
      <c r="G1942" s="9" t="n"/>
      <c r="H1942" s="9" t="n"/>
      <c r="I1942" s="10" t="n"/>
      <c r="J1942" s="195">
        <f>IF('Calendario D'!J22="","",'Calendario D'!J22)</f>
        <v/>
      </c>
      <c r="K1942" s="64" t="inlineStr">
        <is>
          <t>-</t>
        </is>
      </c>
      <c r="L1942" s="195">
        <f>IF('Calendario D'!L22="","",'Calendario D'!L22)</f>
        <v/>
      </c>
      <c r="M1942" s="196" t="inlineStr">
        <is>
          <t>NADAUD Paula [Aest]</t>
        </is>
      </c>
      <c r="N1942" s="196" t="inlineStr">
        <is>
          <t>SCHAFER Stefano [A]</t>
        </is>
      </c>
      <c r="O1942" s="196" t="inlineStr">
        <is>
          <t>KELLER Marta [AAt]</t>
        </is>
      </c>
      <c r="P1942" s="196" t="inlineStr">
        <is>
          <t>FUENTES Greta</t>
        </is>
      </c>
      <c r="Q1942" s="196" t="inlineStr">
        <is>
          <t>ORTEGA Filippo</t>
        </is>
      </c>
      <c r="R1942" s="196" t="inlineStr">
        <is>
          <t>OBLAK Chiara</t>
        </is>
      </c>
    </row>
    <row r="1943" ht="15" customHeight="1">
      <c r="A1943" s="141" t="n"/>
      <c r="B1943" s="69">
        <f>IF('Calendario D'!B23="","",'Calendario D'!B23)</f>
        <v/>
      </c>
      <c r="C1943" s="9" t="n"/>
      <c r="D1943" s="9" t="n"/>
      <c r="E1943" s="9" t="n"/>
      <c r="F1943" s="9" t="n"/>
      <c r="G1943" s="9" t="n"/>
      <c r="H1943" s="10" t="n"/>
      <c r="I1943" s="62">
        <f>IF('Calendario D'!I23="","",'Calendario D'!I23)</f>
        <v/>
      </c>
      <c r="J1943" s="141" t="n"/>
      <c r="K1943" s="141" t="n"/>
      <c r="L1943" s="141" t="n"/>
      <c r="M1943" s="141" t="n"/>
      <c r="N1943" s="141" t="n"/>
      <c r="O1943" s="141" t="n"/>
      <c r="P1943" s="141" t="n"/>
      <c r="Q1943" s="141" t="n"/>
      <c r="R1943" s="141" t="n"/>
    </row>
    <row r="1944" ht="14" customHeight="1">
      <c r="A1944" s="88" t="inlineStr">
        <is>
          <t>Gara N.</t>
        </is>
      </c>
      <c r="B1944" s="88" t="inlineStr">
        <is>
          <t>Squadra A</t>
        </is>
      </c>
      <c r="C1944" s="10" t="n"/>
      <c r="D1944" s="88" t="inlineStr">
        <is>
          <t>Squadra B</t>
        </is>
      </c>
      <c r="E1944" s="10" t="n"/>
      <c r="F1944" s="88" t="inlineStr">
        <is>
          <t>Giorno</t>
        </is>
      </c>
      <c r="G1944" s="88" t="inlineStr">
        <is>
          <t>Data</t>
        </is>
      </c>
      <c r="H1944" s="88" t="inlineStr">
        <is>
          <t>Ora</t>
        </is>
      </c>
      <c r="I1944" s="10" t="n"/>
      <c r="J1944" s="88" t="inlineStr">
        <is>
          <t>Risultato</t>
        </is>
      </c>
      <c r="K1944" s="9" t="n"/>
      <c r="L1944" s="10" t="n"/>
      <c r="M1944" s="203" t="inlineStr">
        <is>
          <t>1o Arbitro</t>
        </is>
      </c>
      <c r="N1944" s="203" t="inlineStr">
        <is>
          <t>2o Arbitro</t>
        </is>
      </c>
      <c r="O1944" s="203" t="inlineStr">
        <is>
          <t>3o Arbitro/Tirocinante</t>
        </is>
      </c>
      <c r="P1944" s="203" t="inlineStr">
        <is>
          <t>Referto</t>
        </is>
      </c>
      <c r="Q1944" s="203" t="inlineStr">
        <is>
          <t>Cronometro</t>
        </is>
      </c>
      <c r="R1944" s="203" t="inlineStr">
        <is>
          <t>Foglio Tiri</t>
        </is>
      </c>
    </row>
    <row r="1945" ht="22" customHeight="1">
      <c r="A1945" s="90">
        <f>IF('Calendario D'!A25="","",'Calendario D'!A25)</f>
        <v/>
      </c>
      <c r="B1945" s="61">
        <f>IF('Calendario D'!B25="","",'Calendario D'!B25)</f>
        <v/>
      </c>
      <c r="C1945" s="62">
        <f>IF('Calendario D'!C25="","",'Calendario D'!C25)</f>
        <v/>
      </c>
      <c r="D1945" s="61">
        <f>IF('Calendario D'!D25="","",'Calendario D'!D25)</f>
        <v/>
      </c>
      <c r="E1945" s="62">
        <f>IF('Calendario D'!E25="","",'Calendario D'!E25)</f>
        <v/>
      </c>
      <c r="F1945" s="63">
        <f>IF('Calendario D'!F25="","",'Calendario D'!F25)</f>
        <v/>
      </c>
      <c r="G1945" s="9" t="n"/>
      <c r="H1945" s="9" t="n"/>
      <c r="I1945" s="10" t="n"/>
      <c r="J1945" s="195">
        <f>IF('Calendario D'!J25="","",'Calendario D'!J25)</f>
        <v/>
      </c>
      <c r="K1945" s="64" t="inlineStr">
        <is>
          <t>-</t>
        </is>
      </c>
      <c r="L1945" s="195">
        <f>IF('Calendario D'!L25="","",'Calendario D'!L25)</f>
        <v/>
      </c>
      <c r="M1945" s="196" t="inlineStr">
        <is>
          <t>BLANCO Ottavia [AA]</t>
        </is>
      </c>
      <c r="N1945" s="196" t="inlineStr">
        <is>
          <t>HORVAT Vid [A]</t>
        </is>
      </c>
      <c r="O1945" s="196" t="inlineStr">
        <is>
          <t>PETERLIN Filippo [AAt]</t>
        </is>
      </c>
      <c r="P1945" s="196" t="inlineStr">
        <is>
          <t>CASTILLO Davide</t>
        </is>
      </c>
      <c r="Q1945" s="196" t="inlineStr">
        <is>
          <t>BLANCO Giulia</t>
        </is>
      </c>
      <c r="R1945" s="196" t="inlineStr">
        <is>
          <t>MOREAU Felix</t>
        </is>
      </c>
    </row>
    <row r="1946" ht="15" customHeight="1">
      <c r="A1946" s="141" t="n"/>
      <c r="B1946" s="69">
        <f>IF('Calendario D'!B26="","",'Calendario D'!B26)</f>
        <v/>
      </c>
      <c r="C1946" s="9" t="n"/>
      <c r="D1946" s="9" t="n"/>
      <c r="E1946" s="9" t="n"/>
      <c r="F1946" s="9" t="n"/>
      <c r="G1946" s="9" t="n"/>
      <c r="H1946" s="10" t="n"/>
      <c r="I1946" s="62">
        <f>IF('Calendario D'!I26="","",'Calendario D'!I26)</f>
        <v/>
      </c>
      <c r="J1946" s="141" t="n"/>
      <c r="K1946" s="141" t="n"/>
      <c r="L1946" s="141" t="n"/>
      <c r="M1946" s="141" t="n"/>
      <c r="N1946" s="141" t="n"/>
      <c r="O1946" s="141" t="n"/>
      <c r="P1946" s="141" t="n"/>
      <c r="Q1946" s="141" t="n"/>
      <c r="R1946" s="141" t="n"/>
    </row>
    <row r="1947" ht="14" customHeight="1">
      <c r="A1947" s="88" t="inlineStr">
        <is>
          <t>Gara N.</t>
        </is>
      </c>
      <c r="B1947" s="88" t="inlineStr">
        <is>
          <t>Squadra A</t>
        </is>
      </c>
      <c r="C1947" s="10" t="n"/>
      <c r="D1947" s="88" t="inlineStr">
        <is>
          <t>Squadra B</t>
        </is>
      </c>
      <c r="E1947" s="10" t="n"/>
      <c r="F1947" s="88" t="inlineStr">
        <is>
          <t>Giorno</t>
        </is>
      </c>
      <c r="G1947" s="88" t="inlineStr">
        <is>
          <t>Data</t>
        </is>
      </c>
      <c r="H1947" s="88" t="inlineStr">
        <is>
          <t>Ora</t>
        </is>
      </c>
      <c r="I1947" s="10" t="n"/>
      <c r="J1947" s="88" t="inlineStr">
        <is>
          <t>Risultato</t>
        </is>
      </c>
      <c r="K1947" s="9" t="n"/>
      <c r="L1947" s="10" t="n"/>
      <c r="M1947" s="203" t="inlineStr">
        <is>
          <t>1o Arbitro</t>
        </is>
      </c>
      <c r="N1947" s="203" t="inlineStr">
        <is>
          <t>2o Arbitro</t>
        </is>
      </c>
      <c r="O1947" s="203" t="inlineStr">
        <is>
          <t>3o Arbitro/Tirocinante</t>
        </is>
      </c>
      <c r="P1947" s="203" t="inlineStr">
        <is>
          <t>Referto</t>
        </is>
      </c>
      <c r="Q1947" s="203" t="inlineStr">
        <is>
          <t>Cronometro</t>
        </is>
      </c>
      <c r="R1947" s="203" t="inlineStr">
        <is>
          <t>Foglio Tiri</t>
        </is>
      </c>
    </row>
    <row r="1948" ht="22" customHeight="1">
      <c r="A1948" s="90">
        <f>IF('Calendario D'!A28="","",'Calendario D'!A28)</f>
        <v/>
      </c>
      <c r="B1948" s="61">
        <f>IF('Calendario D'!B28="","",'Calendario D'!B28)</f>
        <v/>
      </c>
      <c r="C1948" s="62">
        <f>IF('Calendario D'!C28="","",'Calendario D'!C28)</f>
        <v/>
      </c>
      <c r="D1948" s="61">
        <f>IF('Calendario D'!D28="","",'Calendario D'!D28)</f>
        <v/>
      </c>
      <c r="E1948" s="62">
        <f>IF('Calendario D'!E28="","",'Calendario D'!E28)</f>
        <v/>
      </c>
      <c r="F1948" s="63">
        <f>IF('Calendario D'!F28="","",'Calendario D'!F28)</f>
        <v/>
      </c>
      <c r="G1948" s="9" t="n"/>
      <c r="H1948" s="9" t="n"/>
      <c r="I1948" s="10" t="n"/>
      <c r="J1948" s="195">
        <f>IF('Calendario D'!J28="","",'Calendario D'!J28)</f>
        <v/>
      </c>
      <c r="K1948" s="64" t="inlineStr">
        <is>
          <t>-</t>
        </is>
      </c>
      <c r="L1948" s="195">
        <f>IF('Calendario D'!L28="","",'Calendario D'!L28)</f>
        <v/>
      </c>
      <c r="M1948" s="196" t="inlineStr">
        <is>
          <t>ENGEL Diego [A]</t>
        </is>
      </c>
      <c r="N1948" s="196" t="inlineStr">
        <is>
          <t>HOFFMANN Lea [AAt]</t>
        </is>
      </c>
      <c r="O1948" s="196" t="inlineStr">
        <is>
          <t>HOFFMANN Anja [A]</t>
        </is>
      </c>
      <c r="P1948" s="196" t="inlineStr">
        <is>
          <t>BELLANDI Tommaso</t>
        </is>
      </c>
      <c r="Q1948" s="196" t="inlineStr">
        <is>
          <t>NOVAK Tommaso</t>
        </is>
      </c>
      <c r="R1948" s="196" t="inlineStr">
        <is>
          <t>ENGEL Nicola</t>
        </is>
      </c>
    </row>
    <row r="1949" ht="15" customHeight="1">
      <c r="A1949" s="141" t="n"/>
      <c r="B1949" s="69">
        <f>IF('Calendario D'!B29="","",'Calendario D'!B29)</f>
        <v/>
      </c>
      <c r="C1949" s="9" t="n"/>
      <c r="D1949" s="9" t="n"/>
      <c r="E1949" s="9" t="n"/>
      <c r="F1949" s="9" t="n"/>
      <c r="G1949" s="9" t="n"/>
      <c r="H1949" s="10" t="n"/>
      <c r="I1949" s="62">
        <f>IF('Calendario D'!I29="","",'Calendario D'!I29)</f>
        <v/>
      </c>
      <c r="J1949" s="141" t="n"/>
      <c r="K1949" s="141" t="n"/>
      <c r="L1949" s="141" t="n"/>
      <c r="M1949" s="141" t="n"/>
      <c r="N1949" s="141" t="n"/>
      <c r="O1949" s="141" t="n"/>
      <c r="P1949" s="141" t="n"/>
      <c r="Q1949" s="141" t="n"/>
      <c r="R1949" s="141" t="n"/>
    </row>
    <row r="1950" ht="14" customHeight="1">
      <c r="A1950" s="88" t="inlineStr">
        <is>
          <t>Gara N.</t>
        </is>
      </c>
      <c r="B1950" s="88" t="inlineStr">
        <is>
          <t>Squadra A</t>
        </is>
      </c>
      <c r="C1950" s="10" t="n"/>
      <c r="D1950" s="88" t="inlineStr">
        <is>
          <t>Squadra B</t>
        </is>
      </c>
      <c r="E1950" s="10" t="n"/>
      <c r="F1950" s="88" t="inlineStr">
        <is>
          <t>Giorno</t>
        </is>
      </c>
      <c r="G1950" s="88" t="inlineStr">
        <is>
          <t>Data</t>
        </is>
      </c>
      <c r="H1950" s="88" t="inlineStr">
        <is>
          <t>Ora</t>
        </is>
      </c>
      <c r="I1950" s="10" t="n"/>
      <c r="J1950" s="88" t="inlineStr">
        <is>
          <t>Risultato</t>
        </is>
      </c>
      <c r="K1950" s="9" t="n"/>
      <c r="L1950" s="10" t="n"/>
      <c r="M1950" s="203" t="inlineStr">
        <is>
          <t>1o Arbitro</t>
        </is>
      </c>
      <c r="N1950" s="203" t="inlineStr">
        <is>
          <t>2o Arbitro</t>
        </is>
      </c>
      <c r="O1950" s="203" t="inlineStr">
        <is>
          <t>3o Arbitro/Tirocinante</t>
        </is>
      </c>
      <c r="P1950" s="203" t="inlineStr">
        <is>
          <t>Referto</t>
        </is>
      </c>
      <c r="Q1950" s="203" t="inlineStr">
        <is>
          <t>Cronometro</t>
        </is>
      </c>
      <c r="R1950" s="203" t="inlineStr">
        <is>
          <t>Foglio Tiri</t>
        </is>
      </c>
    </row>
    <row r="1951" ht="22" customHeight="1">
      <c r="A1951" s="90">
        <f>IF('Calendario D'!A31="","",'Calendario D'!A31)</f>
        <v/>
      </c>
      <c r="B1951" s="61">
        <f>IF('Calendario D'!B31="","",'Calendario D'!B31)</f>
        <v/>
      </c>
      <c r="C1951" s="62">
        <f>IF('Calendario D'!C31="","",'Calendario D'!C31)</f>
        <v/>
      </c>
      <c r="D1951" s="61">
        <f>IF('Calendario D'!D31="","",'Calendario D'!D31)</f>
        <v/>
      </c>
      <c r="E1951" s="62">
        <f>IF('Calendario D'!E31="","",'Calendario D'!E31)</f>
        <v/>
      </c>
      <c r="F1951" s="63">
        <f>IF('Calendario D'!F31="","",'Calendario D'!F31)</f>
        <v/>
      </c>
      <c r="G1951" s="9" t="n"/>
      <c r="H1951" s="9" t="n"/>
      <c r="I1951" s="10" t="n"/>
      <c r="J1951" s="195">
        <f>IF('Calendario D'!J31="","",'Calendario D'!J31)</f>
        <v/>
      </c>
      <c r="K1951" s="64" t="inlineStr">
        <is>
          <t>-</t>
        </is>
      </c>
      <c r="L1951" s="195">
        <f>IF('Calendario D'!L31="","",'Calendario D'!L31)</f>
        <v/>
      </c>
      <c r="M1951" s="196" t="inlineStr">
        <is>
          <t>MARCHIONI Lukas [AAt]</t>
        </is>
      </c>
      <c r="N1951" s="196" t="inlineStr">
        <is>
          <t>VALLET Stefano [AAt]</t>
        </is>
      </c>
      <c r="O1951" s="196" t="inlineStr">
        <is>
          <t>LEFEVRE Sofia [AAt]</t>
        </is>
      </c>
      <c r="P1951" s="196" t="inlineStr">
        <is>
          <t>ZUPAN Miha</t>
        </is>
      </c>
      <c r="Q1951" s="196" t="inlineStr">
        <is>
          <t>VOGEL Irene</t>
        </is>
      </c>
      <c r="R1951" s="196" t="inlineStr">
        <is>
          <t>BELLANDI Hugo</t>
        </is>
      </c>
    </row>
    <row r="1952" ht="15" customHeight="1">
      <c r="A1952" s="141" t="n"/>
      <c r="B1952" s="69">
        <f>IF('Calendario D'!B32="","",'Calendario D'!B32)</f>
        <v/>
      </c>
      <c r="C1952" s="9" t="n"/>
      <c r="D1952" s="9" t="n"/>
      <c r="E1952" s="9" t="n"/>
      <c r="F1952" s="9" t="n"/>
      <c r="G1952" s="9" t="n"/>
      <c r="H1952" s="10" t="n"/>
      <c r="I1952" s="62">
        <f>IF('Calendario D'!I32="","",'Calendario D'!I32)</f>
        <v/>
      </c>
      <c r="J1952" s="141" t="n"/>
      <c r="K1952" s="141" t="n"/>
      <c r="L1952" s="141" t="n"/>
      <c r="M1952" s="141" t="n"/>
      <c r="N1952" s="141" t="n"/>
      <c r="O1952" s="141" t="n"/>
      <c r="P1952" s="141" t="n"/>
      <c r="Q1952" s="141" t="n"/>
      <c r="R1952" s="141" t="n"/>
    </row>
    <row r="1953" ht="14" customHeight="1">
      <c r="A1953" s="88" t="inlineStr">
        <is>
          <t>Gara N.</t>
        </is>
      </c>
      <c r="B1953" s="88" t="inlineStr">
        <is>
          <t>Squadra A</t>
        </is>
      </c>
      <c r="C1953" s="10" t="n"/>
      <c r="D1953" s="88" t="inlineStr">
        <is>
          <t>Squadra B</t>
        </is>
      </c>
      <c r="E1953" s="10" t="n"/>
      <c r="F1953" s="88" t="inlineStr">
        <is>
          <t>Giorno</t>
        </is>
      </c>
      <c r="G1953" s="88" t="inlineStr">
        <is>
          <t>Data</t>
        </is>
      </c>
      <c r="H1953" s="88" t="inlineStr">
        <is>
          <t>Ora</t>
        </is>
      </c>
      <c r="I1953" s="10" t="n"/>
      <c r="J1953" s="88" t="inlineStr">
        <is>
          <t>Risultato</t>
        </is>
      </c>
      <c r="K1953" s="9" t="n"/>
      <c r="L1953" s="10" t="n"/>
      <c r="M1953" s="203" t="inlineStr">
        <is>
          <t>1o Arbitro</t>
        </is>
      </c>
      <c r="N1953" s="203" t="inlineStr">
        <is>
          <t>2o Arbitro</t>
        </is>
      </c>
      <c r="O1953" s="203" t="inlineStr">
        <is>
          <t>3o Arbitro/Tirocinante</t>
        </is>
      </c>
      <c r="P1953" s="203" t="inlineStr">
        <is>
          <t>Referto</t>
        </is>
      </c>
      <c r="Q1953" s="203" t="inlineStr">
        <is>
          <t>Cronometro</t>
        </is>
      </c>
      <c r="R1953" s="203" t="inlineStr">
        <is>
          <t>Foglio Tiri</t>
        </is>
      </c>
    </row>
    <row r="1954" ht="22" customHeight="1">
      <c r="A1954" s="90">
        <f>IF('Calendario D'!A34="","",'Calendario D'!A34)</f>
        <v/>
      </c>
      <c r="B1954" s="61">
        <f>IF('Calendario D'!B34="","",'Calendario D'!B34)</f>
        <v/>
      </c>
      <c r="C1954" s="62">
        <f>IF('Calendario D'!C34="","",'Calendario D'!C34)</f>
        <v/>
      </c>
      <c r="D1954" s="61">
        <f>IF('Calendario D'!D34="","",'Calendario D'!D34)</f>
        <v/>
      </c>
      <c r="E1954" s="62">
        <f>IF('Calendario D'!E34="","",'Calendario D'!E34)</f>
        <v/>
      </c>
      <c r="F1954" s="63">
        <f>IF('Calendario D'!F34="","",'Calendario D'!F34)</f>
        <v/>
      </c>
      <c r="G1954" s="9" t="n"/>
      <c r="H1954" s="9" t="n"/>
      <c r="I1954" s="10" t="n"/>
      <c r="J1954" s="195">
        <f>IF('Calendario D'!J34="","",'Calendario D'!J34)</f>
        <v/>
      </c>
      <c r="K1954" s="64" t="inlineStr">
        <is>
          <t>-</t>
        </is>
      </c>
      <c r="L1954" s="195">
        <f>IF('Calendario D'!L34="","",'Calendario D'!L34)</f>
        <v/>
      </c>
      <c r="M1954" s="196" t="inlineStr">
        <is>
          <t>HOFFMANN Ottavia [AA]</t>
        </is>
      </c>
      <c r="N1954" s="196" t="inlineStr">
        <is>
          <t>OBLAK Beatrice [AA]</t>
        </is>
      </c>
      <c r="O1954" s="196" t="inlineStr">
        <is>
          <t>ROMERO Stefano [Aest]</t>
        </is>
      </c>
      <c r="P1954" s="196" t="inlineStr">
        <is>
          <t>SEVER Giulia</t>
        </is>
      </c>
      <c r="Q1954" s="196" t="inlineStr">
        <is>
          <t>CARON Pablo</t>
        </is>
      </c>
      <c r="R1954" s="196" t="inlineStr">
        <is>
          <t>ORTEGA Stefano</t>
        </is>
      </c>
    </row>
    <row r="1955" ht="15" customHeight="1">
      <c r="A1955" s="141" t="n"/>
      <c r="B1955" s="69">
        <f>IF('Calendario D'!B35="","",'Calendario D'!B35)</f>
        <v/>
      </c>
      <c r="C1955" s="9" t="n"/>
      <c r="D1955" s="9" t="n"/>
      <c r="E1955" s="9" t="n"/>
      <c r="F1955" s="9" t="n"/>
      <c r="G1955" s="9" t="n"/>
      <c r="H1955" s="10" t="n"/>
      <c r="I1955" s="62">
        <f>IF('Calendario D'!I35="","",'Calendario D'!I35)</f>
        <v/>
      </c>
      <c r="J1955" s="141" t="n"/>
      <c r="K1955" s="141" t="n"/>
      <c r="L1955" s="141" t="n"/>
      <c r="M1955" s="141" t="n"/>
      <c r="N1955" s="141" t="n"/>
      <c r="O1955" s="141" t="n"/>
      <c r="P1955" s="141" t="n"/>
      <c r="Q1955" s="141" t="n"/>
      <c r="R1955" s="141" t="n"/>
    </row>
    <row r="1956" ht="14" customHeight="1">
      <c r="A1956" s="88" t="inlineStr">
        <is>
          <t>Gara N.</t>
        </is>
      </c>
      <c r="B1956" s="88" t="inlineStr">
        <is>
          <t>Squadra A</t>
        </is>
      </c>
      <c r="C1956" s="10" t="n"/>
      <c r="D1956" s="88" t="inlineStr">
        <is>
          <t>Squadra B</t>
        </is>
      </c>
      <c r="E1956" s="10" t="n"/>
      <c r="F1956" s="88" t="inlineStr">
        <is>
          <t>Giorno</t>
        </is>
      </c>
      <c r="G1956" s="88" t="inlineStr">
        <is>
          <t>Data</t>
        </is>
      </c>
      <c r="H1956" s="88" t="inlineStr">
        <is>
          <t>Ora</t>
        </is>
      </c>
      <c r="I1956" s="10" t="n"/>
      <c r="J1956" s="88" t="inlineStr">
        <is>
          <t>Risultato</t>
        </is>
      </c>
      <c r="K1956" s="9" t="n"/>
      <c r="L1956" s="10" t="n"/>
      <c r="M1956" s="203" t="inlineStr">
        <is>
          <t>1o Arbitro</t>
        </is>
      </c>
      <c r="N1956" s="203" t="inlineStr">
        <is>
          <t>2o Arbitro</t>
        </is>
      </c>
      <c r="O1956" s="203" t="inlineStr">
        <is>
          <t>3o Arbitro/Tirocinante</t>
        </is>
      </c>
      <c r="P1956" s="203" t="inlineStr">
        <is>
          <t>Referto</t>
        </is>
      </c>
      <c r="Q1956" s="203" t="inlineStr">
        <is>
          <t>Cronometro</t>
        </is>
      </c>
      <c r="R1956" s="203" t="inlineStr">
        <is>
          <t>Foglio Tiri</t>
        </is>
      </c>
    </row>
    <row r="1957" ht="22" customHeight="1">
      <c r="A1957" s="90">
        <f>IF('Calendario D'!A37="","",'Calendario D'!A37)</f>
        <v/>
      </c>
      <c r="B1957" s="61">
        <f>IF('Calendario D'!B37="","",'Calendario D'!B37)</f>
        <v/>
      </c>
      <c r="C1957" s="62">
        <f>IF('Calendario D'!C37="","",'Calendario D'!C37)</f>
        <v/>
      </c>
      <c r="D1957" s="61">
        <f>IF('Calendario D'!D37="","",'Calendario D'!D37)</f>
        <v/>
      </c>
      <c r="E1957" s="62">
        <f>IF('Calendario D'!E37="","",'Calendario D'!E37)</f>
        <v/>
      </c>
      <c r="F1957" s="63">
        <f>IF('Calendario D'!F37="","",'Calendario D'!F37)</f>
        <v/>
      </c>
      <c r="G1957" s="9" t="n"/>
      <c r="H1957" s="9" t="n"/>
      <c r="I1957" s="10" t="n"/>
      <c r="J1957" s="195">
        <f>IF('Calendario D'!J37="","",'Calendario D'!J37)</f>
        <v/>
      </c>
      <c r="K1957" s="64" t="inlineStr">
        <is>
          <t>-</t>
        </is>
      </c>
      <c r="L1957" s="195">
        <f>IF('Calendario D'!L37="","",'Calendario D'!L37)</f>
        <v/>
      </c>
      <c r="M1957" s="196" t="inlineStr">
        <is>
          <t>BIANCHELLI Tommaso [A]</t>
        </is>
      </c>
      <c r="N1957" s="196" t="inlineStr">
        <is>
          <t>GALLINI Sofia [AA]</t>
        </is>
      </c>
      <c r="O1957" s="196" t="inlineStr">
        <is>
          <t>MODIC Miha [A]</t>
        </is>
      </c>
      <c r="P1957" s="196" t="inlineStr">
        <is>
          <t>KRUGER Marco</t>
        </is>
      </c>
      <c r="Q1957" s="196" t="inlineStr">
        <is>
          <t>WEBER Andrea</t>
        </is>
      </c>
      <c r="R1957" s="196" t="inlineStr">
        <is>
          <t>IGLESIAS Paula</t>
        </is>
      </c>
    </row>
    <row r="1958" ht="15" customHeight="1">
      <c r="A1958" s="141" t="n"/>
      <c r="B1958" s="69">
        <f>IF('Calendario D'!B38="","",'Calendario D'!B38)</f>
        <v/>
      </c>
      <c r="C1958" s="9" t="n"/>
      <c r="D1958" s="9" t="n"/>
      <c r="E1958" s="9" t="n"/>
      <c r="F1958" s="9" t="n"/>
      <c r="G1958" s="9" t="n"/>
      <c r="H1958" s="10" t="n"/>
      <c r="I1958" s="62">
        <f>IF('Calendario D'!I38="","",'Calendario D'!I38)</f>
        <v/>
      </c>
      <c r="J1958" s="141" t="n"/>
      <c r="K1958" s="141" t="n"/>
      <c r="L1958" s="141" t="n"/>
      <c r="M1958" s="141" t="n"/>
      <c r="N1958" s="141" t="n"/>
      <c r="O1958" s="141" t="n"/>
      <c r="P1958" s="141" t="n"/>
      <c r="Q1958" s="141" t="n"/>
      <c r="R1958" s="141" t="n"/>
    </row>
    <row r="1960" ht="20" customHeight="1">
      <c r="A1960" s="85">
        <f>IF('Calendario D'!A40="","",'Calendario D'!A40)</f>
        <v/>
      </c>
      <c r="B1960" s="86">
        <f>IF('Calendario D'!B40="","",'Calendario D'!B40)</f>
        <v/>
      </c>
      <c r="C1960" s="9" t="n"/>
      <c r="D1960" s="9" t="n"/>
      <c r="E1960" s="9" t="n"/>
      <c r="F1960" s="9" t="n"/>
      <c r="G1960" s="9" t="n"/>
      <c r="H1960" s="9" t="n"/>
      <c r="I1960" s="9" t="n"/>
      <c r="J1960" s="9" t="n"/>
      <c r="K1960" s="9" t="n"/>
      <c r="L1960" s="10" t="n"/>
      <c r="M1960" s="202" t="inlineStr">
        <is>
          <t>ARBITRI</t>
        </is>
      </c>
      <c r="N1960" s="9" t="n"/>
      <c r="O1960" s="10" t="n"/>
      <c r="P1960" s="202" t="inlineStr">
        <is>
          <t>UFFICIALI DI CAMPO</t>
        </is>
      </c>
      <c r="Q1960" s="9" t="n"/>
      <c r="R1960" s="10" t="n"/>
    </row>
    <row r="1961" ht="14" customHeight="1">
      <c r="A1961" s="88" t="inlineStr">
        <is>
          <t>Gara N.</t>
        </is>
      </c>
      <c r="B1961" s="88" t="inlineStr">
        <is>
          <t>Squadra A</t>
        </is>
      </c>
      <c r="C1961" s="10" t="n"/>
      <c r="D1961" s="88" t="inlineStr">
        <is>
          <t>Squadra B</t>
        </is>
      </c>
      <c r="E1961" s="10" t="n"/>
      <c r="F1961" s="88" t="inlineStr">
        <is>
          <t>Giorno</t>
        </is>
      </c>
      <c r="G1961" s="88" t="inlineStr">
        <is>
          <t>Data</t>
        </is>
      </c>
      <c r="H1961" s="88" t="inlineStr">
        <is>
          <t>Ora</t>
        </is>
      </c>
      <c r="I1961" s="10" t="n"/>
      <c r="J1961" s="88" t="inlineStr">
        <is>
          <t>Risultato</t>
        </is>
      </c>
      <c r="K1961" s="9" t="n"/>
      <c r="L1961" s="10" t="n"/>
      <c r="M1961" s="203" t="inlineStr">
        <is>
          <t>1o Arbitro</t>
        </is>
      </c>
      <c r="N1961" s="203" t="inlineStr">
        <is>
          <t>2o Arbitro</t>
        </is>
      </c>
      <c r="O1961" s="203" t="inlineStr">
        <is>
          <t>3o Arbitro/Tirocinante</t>
        </is>
      </c>
      <c r="P1961" s="203" t="inlineStr">
        <is>
          <t>Referto</t>
        </is>
      </c>
      <c r="Q1961" s="203" t="inlineStr">
        <is>
          <t>Cronometro</t>
        </is>
      </c>
      <c r="R1961" s="203" t="inlineStr">
        <is>
          <t>Foglio Tiri</t>
        </is>
      </c>
    </row>
    <row r="1962" ht="22" customHeight="1">
      <c r="A1962" s="90">
        <f>IF('Calendario D'!A42="","",'Calendario D'!A42)</f>
        <v/>
      </c>
      <c r="B1962" s="61">
        <f>IF('Calendario D'!B42="","",'Calendario D'!B42)</f>
        <v/>
      </c>
      <c r="C1962" s="62">
        <f>IF('Calendario D'!C42="","",'Calendario D'!C42)</f>
        <v/>
      </c>
      <c r="D1962" s="61">
        <f>IF('Calendario D'!D42="","",'Calendario D'!D42)</f>
        <v/>
      </c>
      <c r="E1962" s="62">
        <f>IF('Calendario D'!E42="","",'Calendario D'!E42)</f>
        <v/>
      </c>
      <c r="F1962" s="63">
        <f>IF('Calendario D'!F42="","",'Calendario D'!F42)</f>
        <v/>
      </c>
      <c r="G1962" s="9" t="n"/>
      <c r="H1962" s="9" t="n"/>
      <c r="I1962" s="10" t="n"/>
      <c r="J1962" s="195">
        <f>IF('Calendario D'!J42="","",'Calendario D'!J42)</f>
        <v/>
      </c>
      <c r="K1962" s="64" t="inlineStr">
        <is>
          <t>-</t>
        </is>
      </c>
      <c r="L1962" s="195">
        <f>IF('Calendario D'!L42="","",'Calendario D'!L42)</f>
        <v/>
      </c>
      <c r="M1962" s="196" t="inlineStr">
        <is>
          <t>BELLANDI Paula [A]</t>
        </is>
      </c>
      <c r="N1962" s="196" t="inlineStr">
        <is>
          <t>KRAJNC Paolo [Aest]</t>
        </is>
      </c>
      <c r="O1962" s="196" t="inlineStr">
        <is>
          <t>BLANCHET Diego [A]</t>
        </is>
      </c>
      <c r="P1962" s="196" t="inlineStr">
        <is>
          <t>VOGEL Irene</t>
        </is>
      </c>
      <c r="Q1962" s="196" t="inlineStr">
        <is>
          <t>HOFFMANN Matteo</t>
        </is>
      </c>
      <c r="R1962" s="196" t="inlineStr">
        <is>
          <t>CONTARDI Greta</t>
        </is>
      </c>
    </row>
    <row r="1963" ht="15" customHeight="1">
      <c r="A1963" s="141" t="n"/>
      <c r="B1963" s="69">
        <f>IF('Calendario D'!B43="","",'Calendario D'!B43)</f>
        <v/>
      </c>
      <c r="C1963" s="9" t="n"/>
      <c r="D1963" s="9" t="n"/>
      <c r="E1963" s="9" t="n"/>
      <c r="F1963" s="9" t="n"/>
      <c r="G1963" s="9" t="n"/>
      <c r="H1963" s="10" t="n"/>
      <c r="I1963" s="62">
        <f>IF('Calendario D'!I43="","",'Calendario D'!I43)</f>
        <v/>
      </c>
      <c r="J1963" s="141" t="n"/>
      <c r="K1963" s="141" t="n"/>
      <c r="L1963" s="141" t="n"/>
      <c r="M1963" s="141" t="n"/>
      <c r="N1963" s="141" t="n"/>
      <c r="O1963" s="141" t="n"/>
      <c r="P1963" s="141" t="n"/>
      <c r="Q1963" s="141" t="n"/>
      <c r="R1963" s="141" t="n"/>
    </row>
    <row r="1964" ht="14" customHeight="1">
      <c r="A1964" s="88" t="inlineStr">
        <is>
          <t>Gara N.</t>
        </is>
      </c>
      <c r="B1964" s="88" t="inlineStr">
        <is>
          <t>Squadra A</t>
        </is>
      </c>
      <c r="C1964" s="10" t="n"/>
      <c r="D1964" s="88" t="inlineStr">
        <is>
          <t>Squadra B</t>
        </is>
      </c>
      <c r="E1964" s="10" t="n"/>
      <c r="F1964" s="88" t="inlineStr">
        <is>
          <t>Giorno</t>
        </is>
      </c>
      <c r="G1964" s="88" t="inlineStr">
        <is>
          <t>Data</t>
        </is>
      </c>
      <c r="H1964" s="88" t="inlineStr">
        <is>
          <t>Ora</t>
        </is>
      </c>
      <c r="I1964" s="10" t="n"/>
      <c r="J1964" s="88" t="inlineStr">
        <is>
          <t>Risultato</t>
        </is>
      </c>
      <c r="K1964" s="9" t="n"/>
      <c r="L1964" s="10" t="n"/>
      <c r="M1964" s="203" t="inlineStr">
        <is>
          <t>1o Arbitro</t>
        </is>
      </c>
      <c r="N1964" s="203" t="inlineStr">
        <is>
          <t>2o Arbitro</t>
        </is>
      </c>
      <c r="O1964" s="203" t="inlineStr">
        <is>
          <t>3o Arbitro/Tirocinante</t>
        </is>
      </c>
      <c r="P1964" s="203" t="inlineStr">
        <is>
          <t>Referto</t>
        </is>
      </c>
      <c r="Q1964" s="203" t="inlineStr">
        <is>
          <t>Cronometro</t>
        </is>
      </c>
      <c r="R1964" s="203" t="inlineStr">
        <is>
          <t>Foglio Tiri</t>
        </is>
      </c>
    </row>
    <row r="1965" ht="22" customHeight="1">
      <c r="A1965" s="90">
        <f>IF('Calendario D'!A45="","",'Calendario D'!A45)</f>
        <v/>
      </c>
      <c r="B1965" s="61">
        <f>IF('Calendario D'!B45="","",'Calendario D'!B45)</f>
        <v/>
      </c>
      <c r="C1965" s="62">
        <f>IF('Calendario D'!C45="","",'Calendario D'!C45)</f>
        <v/>
      </c>
      <c r="D1965" s="61">
        <f>IF('Calendario D'!D45="","",'Calendario D'!D45)</f>
        <v/>
      </c>
      <c r="E1965" s="62">
        <f>IF('Calendario D'!E45="","",'Calendario D'!E45)</f>
        <v/>
      </c>
      <c r="F1965" s="63">
        <f>IF('Calendario D'!F45="","",'Calendario D'!F45)</f>
        <v/>
      </c>
      <c r="G1965" s="9" t="n"/>
      <c r="H1965" s="9" t="n"/>
      <c r="I1965" s="10" t="n"/>
      <c r="J1965" s="195">
        <f>IF('Calendario D'!J45="","",'Calendario D'!J45)</f>
        <v/>
      </c>
      <c r="K1965" s="64" t="inlineStr">
        <is>
          <t>-</t>
        </is>
      </c>
      <c r="L1965" s="195">
        <f>IF('Calendario D'!L45="","",'Calendario D'!L45)</f>
        <v/>
      </c>
      <c r="M1965" s="196" t="inlineStr">
        <is>
          <t>BRANDT Stefano [AAt]</t>
        </is>
      </c>
      <c r="N1965" s="196" t="inlineStr">
        <is>
          <t>HOFFMANN Lea [AAt]</t>
        </is>
      </c>
      <c r="O1965" s="196" t="inlineStr">
        <is>
          <t>ROMERO Elena [A]</t>
        </is>
      </c>
      <c r="P1965" s="196" t="inlineStr">
        <is>
          <t>BRANDT Paolo</t>
        </is>
      </c>
      <c r="Q1965" s="196" t="inlineStr">
        <is>
          <t>WEBER Lea</t>
        </is>
      </c>
      <c r="R1965" s="196" t="inlineStr">
        <is>
          <t>BELLANDI Giulia</t>
        </is>
      </c>
    </row>
    <row r="1966" ht="15" customHeight="1">
      <c r="A1966" s="141" t="n"/>
      <c r="B1966" s="69">
        <f>IF('Calendario D'!B46="","",'Calendario D'!B46)</f>
        <v/>
      </c>
      <c r="C1966" s="9" t="n"/>
      <c r="D1966" s="9" t="n"/>
      <c r="E1966" s="9" t="n"/>
      <c r="F1966" s="9" t="n"/>
      <c r="G1966" s="9" t="n"/>
      <c r="H1966" s="10" t="n"/>
      <c r="I1966" s="62">
        <f>IF('Calendario D'!I46="","",'Calendario D'!I46)</f>
        <v/>
      </c>
      <c r="J1966" s="141" t="n"/>
      <c r="K1966" s="141" t="n"/>
      <c r="L1966" s="141" t="n"/>
      <c r="M1966" s="141" t="n"/>
      <c r="N1966" s="141" t="n"/>
      <c r="O1966" s="141" t="n"/>
      <c r="P1966" s="141" t="n"/>
      <c r="Q1966" s="141" t="n"/>
      <c r="R1966" s="141" t="n"/>
    </row>
    <row r="1967" ht="14" customHeight="1">
      <c r="A1967" s="88" t="inlineStr">
        <is>
          <t>Gara N.</t>
        </is>
      </c>
      <c r="B1967" s="88" t="inlineStr">
        <is>
          <t>Squadra A</t>
        </is>
      </c>
      <c r="C1967" s="10" t="n"/>
      <c r="D1967" s="88" t="inlineStr">
        <is>
          <t>Squadra B</t>
        </is>
      </c>
      <c r="E1967" s="10" t="n"/>
      <c r="F1967" s="88" t="inlineStr">
        <is>
          <t>Giorno</t>
        </is>
      </c>
      <c r="G1967" s="88" t="inlineStr">
        <is>
          <t>Data</t>
        </is>
      </c>
      <c r="H1967" s="88" t="inlineStr">
        <is>
          <t>Ora</t>
        </is>
      </c>
      <c r="I1967" s="10" t="n"/>
      <c r="J1967" s="88" t="inlineStr">
        <is>
          <t>Risultato</t>
        </is>
      </c>
      <c r="K1967" s="9" t="n"/>
      <c r="L1967" s="10" t="n"/>
      <c r="M1967" s="203" t="inlineStr">
        <is>
          <t>1o Arbitro</t>
        </is>
      </c>
      <c r="N1967" s="203" t="inlineStr">
        <is>
          <t>2o Arbitro</t>
        </is>
      </c>
      <c r="O1967" s="203" t="inlineStr">
        <is>
          <t>3o Arbitro/Tirocinante</t>
        </is>
      </c>
      <c r="P1967" s="203" t="inlineStr">
        <is>
          <t>Referto</t>
        </is>
      </c>
      <c r="Q1967" s="203" t="inlineStr">
        <is>
          <t>Cronometro</t>
        </is>
      </c>
      <c r="R1967" s="203" t="inlineStr">
        <is>
          <t>Foglio Tiri</t>
        </is>
      </c>
    </row>
    <row r="1968" ht="22" customHeight="1">
      <c r="A1968" s="90">
        <f>IF('Calendario D'!A48="","",'Calendario D'!A48)</f>
        <v/>
      </c>
      <c r="B1968" s="61">
        <f>IF('Calendario D'!B48="","",'Calendario D'!B48)</f>
        <v/>
      </c>
      <c r="C1968" s="62">
        <f>IF('Calendario D'!C48="","",'Calendario D'!C48)</f>
        <v/>
      </c>
      <c r="D1968" s="61">
        <f>IF('Calendario D'!D48="","",'Calendario D'!D48)</f>
        <v/>
      </c>
      <c r="E1968" s="62">
        <f>IF('Calendario D'!E48="","",'Calendario D'!E48)</f>
        <v/>
      </c>
      <c r="F1968" s="63">
        <f>IF('Calendario D'!F48="","",'Calendario D'!F48)</f>
        <v/>
      </c>
      <c r="G1968" s="9" t="n"/>
      <c r="H1968" s="9" t="n"/>
      <c r="I1968" s="10" t="n"/>
      <c r="J1968" s="195">
        <f>IF('Calendario D'!J48="","",'Calendario D'!J48)</f>
        <v/>
      </c>
      <c r="K1968" s="64" t="inlineStr">
        <is>
          <t>-</t>
        </is>
      </c>
      <c r="L1968" s="195">
        <f>IF('Calendario D'!L48="","",'Calendario D'!L48)</f>
        <v/>
      </c>
      <c r="M1968" s="196" t="inlineStr">
        <is>
          <t>FUENTES Matteo [Aest]</t>
        </is>
      </c>
      <c r="N1968" s="196" t="inlineStr">
        <is>
          <t>CONTARDI Giulia [AAt]</t>
        </is>
      </c>
      <c r="O1968" s="196" t="inlineStr">
        <is>
          <t>MORETTO Chiara [A]</t>
        </is>
      </c>
      <c r="P1968" s="196" t="inlineStr">
        <is>
          <t>FOURNIER Elena</t>
        </is>
      </c>
      <c r="Q1968" s="196" t="inlineStr">
        <is>
          <t>FUENTES Beatrice</t>
        </is>
      </c>
      <c r="R1968" s="196" t="inlineStr">
        <is>
          <t>ENGEL Tommaso</t>
        </is>
      </c>
    </row>
    <row r="1969" ht="15" customHeight="1">
      <c r="A1969" s="141" t="n"/>
      <c r="B1969" s="69">
        <f>IF('Calendario D'!B49="","",'Calendario D'!B49)</f>
        <v/>
      </c>
      <c r="C1969" s="9" t="n"/>
      <c r="D1969" s="9" t="n"/>
      <c r="E1969" s="9" t="n"/>
      <c r="F1969" s="9" t="n"/>
      <c r="G1969" s="9" t="n"/>
      <c r="H1969" s="10" t="n"/>
      <c r="I1969" s="62">
        <f>IF('Calendario D'!I49="","",'Calendario D'!I49)</f>
        <v/>
      </c>
      <c r="J1969" s="141" t="n"/>
      <c r="K1969" s="141" t="n"/>
      <c r="L1969" s="141" t="n"/>
      <c r="M1969" s="141" t="n"/>
      <c r="N1969" s="141" t="n"/>
      <c r="O1969" s="141" t="n"/>
      <c r="P1969" s="141" t="n"/>
      <c r="Q1969" s="141" t="n"/>
      <c r="R1969" s="141" t="n"/>
    </row>
    <row r="1970" ht="14" customHeight="1">
      <c r="A1970" s="88" t="inlineStr">
        <is>
          <t>Gara N.</t>
        </is>
      </c>
      <c r="B1970" s="88" t="inlineStr">
        <is>
          <t>Squadra A</t>
        </is>
      </c>
      <c r="C1970" s="10" t="n"/>
      <c r="D1970" s="88" t="inlineStr">
        <is>
          <t>Squadra B</t>
        </is>
      </c>
      <c r="E1970" s="10" t="n"/>
      <c r="F1970" s="88" t="inlineStr">
        <is>
          <t>Giorno</t>
        </is>
      </c>
      <c r="G1970" s="88" t="inlineStr">
        <is>
          <t>Data</t>
        </is>
      </c>
      <c r="H1970" s="88" t="inlineStr">
        <is>
          <t>Ora</t>
        </is>
      </c>
      <c r="I1970" s="10" t="n"/>
      <c r="J1970" s="88" t="inlineStr">
        <is>
          <t>Risultato</t>
        </is>
      </c>
      <c r="K1970" s="9" t="n"/>
      <c r="L1970" s="10" t="n"/>
      <c r="M1970" s="203" t="inlineStr">
        <is>
          <t>1o Arbitro</t>
        </is>
      </c>
      <c r="N1970" s="203" t="inlineStr">
        <is>
          <t>2o Arbitro</t>
        </is>
      </c>
      <c r="O1970" s="203" t="inlineStr">
        <is>
          <t>3o Arbitro/Tirocinante</t>
        </is>
      </c>
      <c r="P1970" s="203" t="inlineStr">
        <is>
          <t>Referto</t>
        </is>
      </c>
      <c r="Q1970" s="203" t="inlineStr">
        <is>
          <t>Cronometro</t>
        </is>
      </c>
      <c r="R1970" s="203" t="inlineStr">
        <is>
          <t>Foglio Tiri</t>
        </is>
      </c>
    </row>
    <row r="1971" ht="22" customHeight="1">
      <c r="A1971" s="90">
        <f>IF('Calendario D'!A51="","",'Calendario D'!A51)</f>
        <v/>
      </c>
      <c r="B1971" s="61">
        <f>IF('Calendario D'!B51="","",'Calendario D'!B51)</f>
        <v/>
      </c>
      <c r="C1971" s="62">
        <f>IF('Calendario D'!C51="","",'Calendario D'!C51)</f>
        <v/>
      </c>
      <c r="D1971" s="61">
        <f>IF('Calendario D'!D51="","",'Calendario D'!D51)</f>
        <v/>
      </c>
      <c r="E1971" s="62">
        <f>IF('Calendario D'!E51="","",'Calendario D'!E51)</f>
        <v/>
      </c>
      <c r="F1971" s="63">
        <f>IF('Calendario D'!F51="","",'Calendario D'!F51)</f>
        <v/>
      </c>
      <c r="G1971" s="9" t="n"/>
      <c r="H1971" s="9" t="n"/>
      <c r="I1971" s="10" t="n"/>
      <c r="J1971" s="195">
        <f>IF('Calendario D'!J51="","",'Calendario D'!J51)</f>
        <v/>
      </c>
      <c r="K1971" s="64" t="inlineStr">
        <is>
          <t>-</t>
        </is>
      </c>
      <c r="L1971" s="195">
        <f>IF('Calendario D'!L51="","",'Calendario D'!L51)</f>
        <v/>
      </c>
      <c r="M1971" s="196" t="inlineStr">
        <is>
          <t>ROMERO Stefano [Aest]</t>
        </is>
      </c>
      <c r="N1971" s="196" t="inlineStr">
        <is>
          <t>HOFFMANN Gaelle [AA]</t>
        </is>
      </c>
      <c r="O1971" s="196" t="inlineStr">
        <is>
          <t>CARON Giulia [AAt]</t>
        </is>
      </c>
      <c r="P1971" s="196" t="inlineStr">
        <is>
          <t>LEFEVRE Noemi</t>
        </is>
      </c>
      <c r="Q1971" s="196" t="inlineStr">
        <is>
          <t>MODIC Marco</t>
        </is>
      </c>
      <c r="R1971" s="196" t="inlineStr">
        <is>
          <t>KRAJNC Tommaso</t>
        </is>
      </c>
    </row>
    <row r="1972" ht="15" customHeight="1">
      <c r="A1972" s="141" t="n"/>
      <c r="B1972" s="69">
        <f>IF('Calendario D'!B52="","",'Calendario D'!B52)</f>
        <v/>
      </c>
      <c r="C1972" s="9" t="n"/>
      <c r="D1972" s="9" t="n"/>
      <c r="E1972" s="9" t="n"/>
      <c r="F1972" s="9" t="n"/>
      <c r="G1972" s="9" t="n"/>
      <c r="H1972" s="10" t="n"/>
      <c r="I1972" s="62">
        <f>IF('Calendario D'!I52="","",'Calendario D'!I52)</f>
        <v/>
      </c>
      <c r="J1972" s="141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</row>
    <row r="1973" ht="14" customHeight="1">
      <c r="A1973" s="88" t="inlineStr">
        <is>
          <t>Gara N.</t>
        </is>
      </c>
      <c r="B1973" s="88" t="inlineStr">
        <is>
          <t>Squadra A</t>
        </is>
      </c>
      <c r="C1973" s="10" t="n"/>
      <c r="D1973" s="88" t="inlineStr">
        <is>
          <t>Squadra B</t>
        </is>
      </c>
      <c r="E1973" s="10" t="n"/>
      <c r="F1973" s="88" t="inlineStr">
        <is>
          <t>Giorno</t>
        </is>
      </c>
      <c r="G1973" s="88" t="inlineStr">
        <is>
          <t>Data</t>
        </is>
      </c>
      <c r="H1973" s="88" t="inlineStr">
        <is>
          <t>Ora</t>
        </is>
      </c>
      <c r="I1973" s="10" t="n"/>
      <c r="J1973" s="88" t="inlineStr">
        <is>
          <t>Risultato</t>
        </is>
      </c>
      <c r="K1973" s="9" t="n"/>
      <c r="L1973" s="10" t="n"/>
      <c r="M1973" s="203" t="inlineStr">
        <is>
          <t>1o Arbitro</t>
        </is>
      </c>
      <c r="N1973" s="203" t="inlineStr">
        <is>
          <t>2o Arbitro</t>
        </is>
      </c>
      <c r="O1973" s="203" t="inlineStr">
        <is>
          <t>3o Arbitro/Tirocinante</t>
        </is>
      </c>
      <c r="P1973" s="203" t="inlineStr">
        <is>
          <t>Referto</t>
        </is>
      </c>
      <c r="Q1973" s="203" t="inlineStr">
        <is>
          <t>Cronometro</t>
        </is>
      </c>
      <c r="R1973" s="203" t="inlineStr">
        <is>
          <t>Foglio Tiri</t>
        </is>
      </c>
    </row>
    <row r="1974" ht="22" customHeight="1">
      <c r="A1974" s="90">
        <f>IF('Calendario D'!A54="","",'Calendario D'!A54)</f>
        <v/>
      </c>
      <c r="B1974" s="61">
        <f>IF('Calendario D'!B54="","",'Calendario D'!B54)</f>
        <v/>
      </c>
      <c r="C1974" s="62">
        <f>IF('Calendario D'!C54="","",'Calendario D'!C54)</f>
        <v/>
      </c>
      <c r="D1974" s="61">
        <f>IF('Calendario D'!D54="","",'Calendario D'!D54)</f>
        <v/>
      </c>
      <c r="E1974" s="62">
        <f>IF('Calendario D'!E54="","",'Calendario D'!E54)</f>
        <v/>
      </c>
      <c r="F1974" s="63">
        <f>IF('Calendario D'!F54="","",'Calendario D'!F54)</f>
        <v/>
      </c>
      <c r="G1974" s="9" t="n"/>
      <c r="H1974" s="9" t="n"/>
      <c r="I1974" s="10" t="n"/>
      <c r="J1974" s="195">
        <f>IF('Calendario D'!J54="","",'Calendario D'!J54)</f>
        <v/>
      </c>
      <c r="K1974" s="64" t="inlineStr">
        <is>
          <t>-</t>
        </is>
      </c>
      <c r="L1974" s="195">
        <f>IF('Calendario D'!L54="","",'Calendario D'!L54)</f>
        <v/>
      </c>
      <c r="M1974" s="196" t="inlineStr">
        <is>
          <t>CASTILLO Paolo [AAt]</t>
        </is>
      </c>
      <c r="N1974" s="196" t="inlineStr">
        <is>
          <t>MOREAU Pablo [AAt]</t>
        </is>
      </c>
      <c r="O1974" s="196" t="inlineStr">
        <is>
          <t>KRAJNC Lukas [Aest]</t>
        </is>
      </c>
      <c r="P1974" s="196" t="inlineStr">
        <is>
          <t>KELLER Ottavia</t>
        </is>
      </c>
      <c r="Q1974" s="196" t="inlineStr">
        <is>
          <t>ROMERO Irene</t>
        </is>
      </c>
      <c r="R1974" s="196" t="inlineStr">
        <is>
          <t>ZUPAN Irene</t>
        </is>
      </c>
    </row>
    <row r="1975" ht="15" customHeight="1">
      <c r="A1975" s="141" t="n"/>
      <c r="B1975" s="69">
        <f>IF('Calendario D'!B55="","",'Calendario D'!B55)</f>
        <v/>
      </c>
      <c r="C1975" s="9" t="n"/>
      <c r="D1975" s="9" t="n"/>
      <c r="E1975" s="9" t="n"/>
      <c r="F1975" s="9" t="n"/>
      <c r="G1975" s="9" t="n"/>
      <c r="H1975" s="10" t="n"/>
      <c r="I1975" s="62">
        <f>IF('Calendario D'!I55="","",'Calendario D'!I55)</f>
        <v/>
      </c>
      <c r="J1975" s="141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</row>
    <row r="1976" ht="14" customHeight="1">
      <c r="A1976" s="88" t="inlineStr">
        <is>
          <t>Gara N.</t>
        </is>
      </c>
      <c r="B1976" s="88" t="inlineStr">
        <is>
          <t>Squadra A</t>
        </is>
      </c>
      <c r="C1976" s="10" t="n"/>
      <c r="D1976" s="88" t="inlineStr">
        <is>
          <t>Squadra B</t>
        </is>
      </c>
      <c r="E1976" s="10" t="n"/>
      <c r="F1976" s="88" t="inlineStr">
        <is>
          <t>Giorno</t>
        </is>
      </c>
      <c r="G1976" s="88" t="inlineStr">
        <is>
          <t>Data</t>
        </is>
      </c>
      <c r="H1976" s="88" t="inlineStr">
        <is>
          <t>Ora</t>
        </is>
      </c>
      <c r="I1976" s="10" t="n"/>
      <c r="J1976" s="88" t="inlineStr">
        <is>
          <t>Risultato</t>
        </is>
      </c>
      <c r="K1976" s="9" t="n"/>
      <c r="L1976" s="10" t="n"/>
      <c r="M1976" s="203" t="inlineStr">
        <is>
          <t>1o Arbitro</t>
        </is>
      </c>
      <c r="N1976" s="203" t="inlineStr">
        <is>
          <t>2o Arbitro</t>
        </is>
      </c>
      <c r="O1976" s="203" t="inlineStr">
        <is>
          <t>3o Arbitro/Tirocinante</t>
        </is>
      </c>
      <c r="P1976" s="203" t="inlineStr">
        <is>
          <t>Referto</t>
        </is>
      </c>
      <c r="Q1976" s="203" t="inlineStr">
        <is>
          <t>Cronometro</t>
        </is>
      </c>
      <c r="R1976" s="203" t="inlineStr">
        <is>
          <t>Foglio Tiri</t>
        </is>
      </c>
    </row>
    <row r="1977" ht="22" customHeight="1">
      <c r="A1977" s="90">
        <f>IF('Calendario D'!A57="","",'Calendario D'!A57)</f>
        <v/>
      </c>
      <c r="B1977" s="61">
        <f>IF('Calendario D'!B57="","",'Calendario D'!B57)</f>
        <v/>
      </c>
      <c r="C1977" s="62">
        <f>IF('Calendario D'!C57="","",'Calendario D'!C57)</f>
        <v/>
      </c>
      <c r="D1977" s="61">
        <f>IF('Calendario D'!D57="","",'Calendario D'!D57)</f>
        <v/>
      </c>
      <c r="E1977" s="62">
        <f>IF('Calendario D'!E57="","",'Calendario D'!E57)</f>
        <v/>
      </c>
      <c r="F1977" s="63">
        <f>IF('Calendario D'!F57="","",'Calendario D'!F57)</f>
        <v/>
      </c>
      <c r="G1977" s="9" t="n"/>
      <c r="H1977" s="9" t="n"/>
      <c r="I1977" s="10" t="n"/>
      <c r="J1977" s="195">
        <f>IF('Calendario D'!J57="","",'Calendario D'!J57)</f>
        <v/>
      </c>
      <c r="K1977" s="64" t="inlineStr">
        <is>
          <t>-</t>
        </is>
      </c>
      <c r="L1977" s="195">
        <f>IF('Calendario D'!L57="","",'Calendario D'!L57)</f>
        <v/>
      </c>
      <c r="M1977" s="196" t="inlineStr">
        <is>
          <t>GAUTHIER Davide [AA]</t>
        </is>
      </c>
      <c r="N1977" s="196" t="inlineStr">
        <is>
          <t>PETERLIN Beatrice [Aest]</t>
        </is>
      </c>
      <c r="O1977" s="196" t="inlineStr">
        <is>
          <t>MODIC Matteo [AA]</t>
        </is>
      </c>
      <c r="P1977" s="196" t="inlineStr">
        <is>
          <t>WEBER Lea</t>
        </is>
      </c>
      <c r="Q1977" s="196" t="inlineStr">
        <is>
          <t>MARCHIONI Miha</t>
        </is>
      </c>
      <c r="R1977" s="196" t="inlineStr">
        <is>
          <t>ROMERO Stefano</t>
        </is>
      </c>
    </row>
    <row r="1978" ht="15" customHeight="1">
      <c r="A1978" s="141" t="n"/>
      <c r="B1978" s="69">
        <f>IF('Calendario D'!B58="","",'Calendario D'!B58)</f>
        <v/>
      </c>
      <c r="C1978" s="9" t="n"/>
      <c r="D1978" s="9" t="n"/>
      <c r="E1978" s="9" t="n"/>
      <c r="F1978" s="9" t="n"/>
      <c r="G1978" s="9" t="n"/>
      <c r="H1978" s="10" t="n"/>
      <c r="I1978" s="62">
        <f>IF('Calendario D'!I58="","",'Calendario D'!I58)</f>
        <v/>
      </c>
      <c r="J1978" s="141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</row>
    <row r="1979" ht="14" customHeight="1">
      <c r="A1979" s="88" t="inlineStr">
        <is>
          <t>Gara N.</t>
        </is>
      </c>
      <c r="B1979" s="88" t="inlineStr">
        <is>
          <t>Squadra A</t>
        </is>
      </c>
      <c r="C1979" s="10" t="n"/>
      <c r="D1979" s="88" t="inlineStr">
        <is>
          <t>Squadra B</t>
        </is>
      </c>
      <c r="E1979" s="10" t="n"/>
      <c r="F1979" s="88" t="inlineStr">
        <is>
          <t>Giorno</t>
        </is>
      </c>
      <c r="G1979" s="88" t="inlineStr">
        <is>
          <t>Data</t>
        </is>
      </c>
      <c r="H1979" s="88" t="inlineStr">
        <is>
          <t>Ora</t>
        </is>
      </c>
      <c r="I1979" s="10" t="n"/>
      <c r="J1979" s="88" t="inlineStr">
        <is>
          <t>Risultato</t>
        </is>
      </c>
      <c r="K1979" s="9" t="n"/>
      <c r="L1979" s="10" t="n"/>
      <c r="M1979" s="203" t="inlineStr">
        <is>
          <t>1o Arbitro</t>
        </is>
      </c>
      <c r="N1979" s="203" t="inlineStr">
        <is>
          <t>2o Arbitro</t>
        </is>
      </c>
      <c r="O1979" s="203" t="inlineStr">
        <is>
          <t>3o Arbitro/Tirocinante</t>
        </is>
      </c>
      <c r="P1979" s="203" t="inlineStr">
        <is>
          <t>Referto</t>
        </is>
      </c>
      <c r="Q1979" s="203" t="inlineStr">
        <is>
          <t>Cronometro</t>
        </is>
      </c>
      <c r="R1979" s="203" t="inlineStr">
        <is>
          <t>Foglio Tiri</t>
        </is>
      </c>
    </row>
    <row r="1980" ht="22" customHeight="1">
      <c r="A1980" s="90">
        <f>IF('Calendario D'!A60="","",'Calendario D'!A60)</f>
        <v/>
      </c>
      <c r="B1980" s="61">
        <f>IF('Calendario D'!B60="","",'Calendario D'!B60)</f>
        <v/>
      </c>
      <c r="C1980" s="62">
        <f>IF('Calendario D'!C60="","",'Calendario D'!C60)</f>
        <v/>
      </c>
      <c r="D1980" s="61">
        <f>IF('Calendario D'!D60="","",'Calendario D'!D60)</f>
        <v/>
      </c>
      <c r="E1980" s="62">
        <f>IF('Calendario D'!E60="","",'Calendario D'!E60)</f>
        <v/>
      </c>
      <c r="F1980" s="63">
        <f>IF('Calendario D'!F60="","",'Calendario D'!F60)</f>
        <v/>
      </c>
      <c r="G1980" s="9" t="n"/>
      <c r="H1980" s="9" t="n"/>
      <c r="I1980" s="10" t="n"/>
      <c r="J1980" s="195">
        <f>IF('Calendario D'!J60="","",'Calendario D'!J60)</f>
        <v/>
      </c>
      <c r="K1980" s="64" t="inlineStr">
        <is>
          <t>-</t>
        </is>
      </c>
      <c r="L1980" s="195">
        <f>IF('Calendario D'!L60="","",'Calendario D'!L60)</f>
        <v/>
      </c>
      <c r="M1980" s="196" t="inlineStr">
        <is>
          <t>BELLANDI Vid [Aest]</t>
        </is>
      </c>
      <c r="N1980" s="196" t="inlineStr">
        <is>
          <t>VIDMAR Eva [AA]</t>
        </is>
      </c>
      <c r="O1980" s="196" t="inlineStr">
        <is>
          <t>KRUGER Lea [AA]</t>
        </is>
      </c>
      <c r="P1980" s="196" t="inlineStr">
        <is>
          <t>BLANCO Chiara</t>
        </is>
      </c>
      <c r="Q1980" s="196" t="inlineStr">
        <is>
          <t>ORTEGA Filippo</t>
        </is>
      </c>
      <c r="R1980" s="196" t="inlineStr">
        <is>
          <t>BLANCHET Paula</t>
        </is>
      </c>
    </row>
    <row r="1981" ht="15" customHeight="1">
      <c r="A1981" s="141" t="n"/>
      <c r="B1981" s="69">
        <f>IF('Calendario D'!B61="","",'Calendario D'!B61)</f>
        <v/>
      </c>
      <c r="C1981" s="9" t="n"/>
      <c r="D1981" s="9" t="n"/>
      <c r="E1981" s="9" t="n"/>
      <c r="F1981" s="9" t="n"/>
      <c r="G1981" s="9" t="n"/>
      <c r="H1981" s="10" t="n"/>
      <c r="I1981" s="62">
        <f>IF('Calendario D'!I61="","",'Calendario D'!I61)</f>
        <v/>
      </c>
      <c r="J1981" s="141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</row>
    <row r="1982" ht="14" customHeight="1">
      <c r="A1982" s="88" t="inlineStr">
        <is>
          <t>Gara N.</t>
        </is>
      </c>
      <c r="B1982" s="88" t="inlineStr">
        <is>
          <t>Squadra A</t>
        </is>
      </c>
      <c r="C1982" s="10" t="n"/>
      <c r="D1982" s="88" t="inlineStr">
        <is>
          <t>Squadra B</t>
        </is>
      </c>
      <c r="E1982" s="10" t="n"/>
      <c r="F1982" s="88" t="inlineStr">
        <is>
          <t>Giorno</t>
        </is>
      </c>
      <c r="G1982" s="88" t="inlineStr">
        <is>
          <t>Data</t>
        </is>
      </c>
      <c r="H1982" s="88" t="inlineStr">
        <is>
          <t>Ora</t>
        </is>
      </c>
      <c r="I1982" s="10" t="n"/>
      <c r="J1982" s="88" t="inlineStr">
        <is>
          <t>Risultato</t>
        </is>
      </c>
      <c r="K1982" s="9" t="n"/>
      <c r="L1982" s="10" t="n"/>
      <c r="M1982" s="203" t="inlineStr">
        <is>
          <t>1o Arbitro</t>
        </is>
      </c>
      <c r="N1982" s="203" t="inlineStr">
        <is>
          <t>2o Arbitro</t>
        </is>
      </c>
      <c r="O1982" s="203" t="inlineStr">
        <is>
          <t>3o Arbitro/Tirocinante</t>
        </is>
      </c>
      <c r="P1982" s="203" t="inlineStr">
        <is>
          <t>Referto</t>
        </is>
      </c>
      <c r="Q1982" s="203" t="inlineStr">
        <is>
          <t>Cronometro</t>
        </is>
      </c>
      <c r="R1982" s="203" t="inlineStr">
        <is>
          <t>Foglio Tiri</t>
        </is>
      </c>
    </row>
    <row r="1983" ht="22" customHeight="1">
      <c r="A1983" s="90">
        <f>IF('Calendario D'!A63="","",'Calendario D'!A63)</f>
        <v/>
      </c>
      <c r="B1983" s="61">
        <f>IF('Calendario D'!B63="","",'Calendario D'!B63)</f>
        <v/>
      </c>
      <c r="C1983" s="62">
        <f>IF('Calendario D'!C63="","",'Calendario D'!C63)</f>
        <v/>
      </c>
      <c r="D1983" s="61">
        <f>IF('Calendario D'!D63="","",'Calendario D'!D63)</f>
        <v/>
      </c>
      <c r="E1983" s="62">
        <f>IF('Calendario D'!E63="","",'Calendario D'!E63)</f>
        <v/>
      </c>
      <c r="F1983" s="63">
        <f>IF('Calendario D'!F63="","",'Calendario D'!F63)</f>
        <v/>
      </c>
      <c r="G1983" s="9" t="n"/>
      <c r="H1983" s="9" t="n"/>
      <c r="I1983" s="10" t="n"/>
      <c r="J1983" s="195">
        <f>IF('Calendario D'!J63="","",'Calendario D'!J63)</f>
        <v/>
      </c>
      <c r="K1983" s="64" t="inlineStr">
        <is>
          <t>-</t>
        </is>
      </c>
      <c r="L1983" s="195">
        <f>IF('Calendario D'!L63="","",'Calendario D'!L63)</f>
        <v/>
      </c>
      <c r="M1983" s="196" t="inlineStr">
        <is>
          <t>ORTEGA Katrin [Aest]</t>
        </is>
      </c>
      <c r="N1983" s="196" t="inlineStr">
        <is>
          <t>CAMPOS Noemi [AA]</t>
        </is>
      </c>
      <c r="O1983" s="196" t="inlineStr">
        <is>
          <t>FUENTES Lukas [Aest]</t>
        </is>
      </c>
      <c r="P1983" s="196" t="inlineStr">
        <is>
          <t>SANTORI Pablo</t>
        </is>
      </c>
      <c r="Q1983" s="196" t="inlineStr">
        <is>
          <t>FERRANTE Hugo</t>
        </is>
      </c>
      <c r="R1983" s="196" t="inlineStr">
        <is>
          <t>VIDMAR Felix</t>
        </is>
      </c>
    </row>
    <row r="1984" ht="15" customHeight="1">
      <c r="A1984" s="141" t="n"/>
      <c r="B1984" s="69">
        <f>IF('Calendario D'!B64="","",'Calendario D'!B64)</f>
        <v/>
      </c>
      <c r="C1984" s="9" t="n"/>
      <c r="D1984" s="9" t="n"/>
      <c r="E1984" s="9" t="n"/>
      <c r="F1984" s="9" t="n"/>
      <c r="G1984" s="9" t="n"/>
      <c r="H1984" s="10" t="n"/>
      <c r="I1984" s="62">
        <f>IF('Calendario D'!I64="","",'Calendario D'!I64)</f>
        <v/>
      </c>
      <c r="J1984" s="141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</row>
    <row r="1985" ht="14" customHeight="1">
      <c r="A1985" s="88" t="inlineStr">
        <is>
          <t>Gara N.</t>
        </is>
      </c>
      <c r="B1985" s="88" t="inlineStr">
        <is>
          <t>Squadra A</t>
        </is>
      </c>
      <c r="C1985" s="10" t="n"/>
      <c r="D1985" s="88" t="inlineStr">
        <is>
          <t>Squadra B</t>
        </is>
      </c>
      <c r="E1985" s="10" t="n"/>
      <c r="F1985" s="88" t="inlineStr">
        <is>
          <t>Giorno</t>
        </is>
      </c>
      <c r="G1985" s="88" t="inlineStr">
        <is>
          <t>Data</t>
        </is>
      </c>
      <c r="H1985" s="88" t="inlineStr">
        <is>
          <t>Ora</t>
        </is>
      </c>
      <c r="I1985" s="10" t="n"/>
      <c r="J1985" s="88" t="inlineStr">
        <is>
          <t>Risultato</t>
        </is>
      </c>
      <c r="K1985" s="9" t="n"/>
      <c r="L1985" s="10" t="n"/>
      <c r="M1985" s="203" t="inlineStr">
        <is>
          <t>1o Arbitro</t>
        </is>
      </c>
      <c r="N1985" s="203" t="inlineStr">
        <is>
          <t>2o Arbitro</t>
        </is>
      </c>
      <c r="O1985" s="203" t="inlineStr">
        <is>
          <t>3o Arbitro/Tirocinante</t>
        </is>
      </c>
      <c r="P1985" s="203" t="inlineStr">
        <is>
          <t>Referto</t>
        </is>
      </c>
      <c r="Q1985" s="203" t="inlineStr">
        <is>
          <t>Cronometro</t>
        </is>
      </c>
      <c r="R1985" s="203" t="inlineStr">
        <is>
          <t>Foglio Tiri</t>
        </is>
      </c>
    </row>
    <row r="1986" ht="22" customHeight="1">
      <c r="A1986" s="90">
        <f>IF('Calendario D'!A66="","",'Calendario D'!A66)</f>
        <v/>
      </c>
      <c r="B1986" s="61">
        <f>IF('Calendario D'!B66="","",'Calendario D'!B66)</f>
        <v/>
      </c>
      <c r="C1986" s="62">
        <f>IF('Calendario D'!C66="","",'Calendario D'!C66)</f>
        <v/>
      </c>
      <c r="D1986" s="61">
        <f>IF('Calendario D'!D66="","",'Calendario D'!D66)</f>
        <v/>
      </c>
      <c r="E1986" s="62">
        <f>IF('Calendario D'!E66="","",'Calendario D'!E66)</f>
        <v/>
      </c>
      <c r="F1986" s="63">
        <f>IF('Calendario D'!F66="","",'Calendario D'!F66)</f>
        <v/>
      </c>
      <c r="G1986" s="9" t="n"/>
      <c r="H1986" s="9" t="n"/>
      <c r="I1986" s="10" t="n"/>
      <c r="J1986" s="195">
        <f>IF('Calendario D'!J66="","",'Calendario D'!J66)</f>
        <v/>
      </c>
      <c r="K1986" s="64" t="inlineStr">
        <is>
          <t>-</t>
        </is>
      </c>
      <c r="L1986" s="195">
        <f>IF('Calendario D'!L66="","",'Calendario D'!L66)</f>
        <v/>
      </c>
      <c r="M1986" s="196" t="inlineStr">
        <is>
          <t>BELLANDI Ottavia [Aest]</t>
        </is>
      </c>
      <c r="N1986" s="196" t="inlineStr">
        <is>
          <t>FUENTES Lukas [Aest]</t>
        </is>
      </c>
      <c r="O1986" s="196" t="inlineStr">
        <is>
          <t>LEFEVRE Mathilde [A]</t>
        </is>
      </c>
      <c r="P1986" s="196" t="inlineStr">
        <is>
          <t>WEBER Matteo</t>
        </is>
      </c>
      <c r="Q1986" s="196" t="inlineStr">
        <is>
          <t>PRADO Eva</t>
        </is>
      </c>
      <c r="R1986" s="196" t="inlineStr">
        <is>
          <t>FOURNIER Lea</t>
        </is>
      </c>
    </row>
    <row r="1987" ht="15" customHeight="1">
      <c r="A1987" s="141" t="n"/>
      <c r="B1987" s="69">
        <f>IF('Calendario D'!B67="","",'Calendario D'!B67)</f>
        <v/>
      </c>
      <c r="C1987" s="9" t="n"/>
      <c r="D1987" s="9" t="n"/>
      <c r="E1987" s="9" t="n"/>
      <c r="F1987" s="9" t="n"/>
      <c r="G1987" s="9" t="n"/>
      <c r="H1987" s="10" t="n"/>
      <c r="I1987" s="62">
        <f>IF('Calendario D'!I67="","",'Calendario D'!I67)</f>
        <v/>
      </c>
      <c r="J1987" s="141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</row>
    <row r="1988" ht="14" customHeight="1">
      <c r="A1988" s="88" t="inlineStr">
        <is>
          <t>Gara N.</t>
        </is>
      </c>
      <c r="B1988" s="88" t="inlineStr">
        <is>
          <t>Squadra A</t>
        </is>
      </c>
      <c r="C1988" s="10" t="n"/>
      <c r="D1988" s="88" t="inlineStr">
        <is>
          <t>Squadra B</t>
        </is>
      </c>
      <c r="E1988" s="10" t="n"/>
      <c r="F1988" s="88" t="inlineStr">
        <is>
          <t>Giorno</t>
        </is>
      </c>
      <c r="G1988" s="88" t="inlineStr">
        <is>
          <t>Data</t>
        </is>
      </c>
      <c r="H1988" s="88" t="inlineStr">
        <is>
          <t>Ora</t>
        </is>
      </c>
      <c r="I1988" s="10" t="n"/>
      <c r="J1988" s="88" t="inlineStr">
        <is>
          <t>Risultato</t>
        </is>
      </c>
      <c r="K1988" s="9" t="n"/>
      <c r="L1988" s="10" t="n"/>
      <c r="M1988" s="203" t="inlineStr">
        <is>
          <t>1o Arbitro</t>
        </is>
      </c>
      <c r="N1988" s="203" t="inlineStr">
        <is>
          <t>2o Arbitro</t>
        </is>
      </c>
      <c r="O1988" s="203" t="inlineStr">
        <is>
          <t>3o Arbitro/Tirocinante</t>
        </is>
      </c>
      <c r="P1988" s="203" t="inlineStr">
        <is>
          <t>Referto</t>
        </is>
      </c>
      <c r="Q1988" s="203" t="inlineStr">
        <is>
          <t>Cronometro</t>
        </is>
      </c>
      <c r="R1988" s="203" t="inlineStr">
        <is>
          <t>Foglio Tiri</t>
        </is>
      </c>
    </row>
    <row r="1989" ht="22" customHeight="1">
      <c r="A1989" s="90">
        <f>IF('Calendario D'!A69="","",'Calendario D'!A69)</f>
        <v/>
      </c>
      <c r="B1989" s="61">
        <f>IF('Calendario D'!B69="","",'Calendario D'!B69)</f>
        <v/>
      </c>
      <c r="C1989" s="62">
        <f>IF('Calendario D'!C69="","",'Calendario D'!C69)</f>
        <v/>
      </c>
      <c r="D1989" s="61">
        <f>IF('Calendario D'!D69="","",'Calendario D'!D69)</f>
        <v/>
      </c>
      <c r="E1989" s="62">
        <f>IF('Calendario D'!E69="","",'Calendario D'!E69)</f>
        <v/>
      </c>
      <c r="F1989" s="63">
        <f>IF('Calendario D'!F69="","",'Calendario D'!F69)</f>
        <v/>
      </c>
      <c r="G1989" s="9" t="n"/>
      <c r="H1989" s="9" t="n"/>
      <c r="I1989" s="10" t="n"/>
      <c r="J1989" s="195">
        <f>IF('Calendario D'!J69="","",'Calendario D'!J69)</f>
        <v/>
      </c>
      <c r="K1989" s="64" t="inlineStr">
        <is>
          <t>-</t>
        </is>
      </c>
      <c r="L1989" s="195">
        <f>IF('Calendario D'!L69="","",'Calendario D'!L69)</f>
        <v/>
      </c>
      <c r="M1989" s="196" t="inlineStr">
        <is>
          <t>OBLAK Mathilde [A]</t>
        </is>
      </c>
      <c r="N1989" s="196" t="inlineStr">
        <is>
          <t>ORTEGA Felix [AA]</t>
        </is>
      </c>
      <c r="O1989" s="196" t="inlineStr">
        <is>
          <t>VIDMAR Stefano [AAt]</t>
        </is>
      </c>
      <c r="P1989" s="196" t="inlineStr">
        <is>
          <t>SCHAFER Gaelle</t>
        </is>
      </c>
      <c r="Q1989" s="196" t="inlineStr">
        <is>
          <t>SANTORI Pablo</t>
        </is>
      </c>
      <c r="R1989" s="196" t="inlineStr">
        <is>
          <t>WEBER Irene</t>
        </is>
      </c>
    </row>
    <row r="1990" ht="15" customHeight="1">
      <c r="A1990" s="141" t="n"/>
      <c r="B1990" s="69">
        <f>IF('Calendario D'!B70="","",'Calendario D'!B70)</f>
        <v/>
      </c>
      <c r="C1990" s="9" t="n"/>
      <c r="D1990" s="9" t="n"/>
      <c r="E1990" s="9" t="n"/>
      <c r="F1990" s="9" t="n"/>
      <c r="G1990" s="9" t="n"/>
      <c r="H1990" s="10" t="n"/>
      <c r="I1990" s="62">
        <f>IF('Calendario D'!I70="","",'Calendario D'!I70)</f>
        <v/>
      </c>
      <c r="J1990" s="141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</row>
    <row r="1992" ht="20" customHeight="1">
      <c r="A1992" s="85">
        <f>IF('Calendario D'!A72="","",'Calendario D'!A72)</f>
        <v/>
      </c>
      <c r="B1992" s="86">
        <f>IF('Calendario D'!B72="","",'Calendario D'!B72)</f>
        <v/>
      </c>
      <c r="C1992" s="9" t="n"/>
      <c r="D1992" s="9" t="n"/>
      <c r="E1992" s="9" t="n"/>
      <c r="F1992" s="9" t="n"/>
      <c r="G1992" s="9" t="n"/>
      <c r="H1992" s="9" t="n"/>
      <c r="I1992" s="9" t="n"/>
      <c r="J1992" s="9" t="n"/>
      <c r="K1992" s="9" t="n"/>
      <c r="L1992" s="10" t="n"/>
      <c r="M1992" s="202" t="inlineStr">
        <is>
          <t>ARBITRI</t>
        </is>
      </c>
      <c r="N1992" s="9" t="n"/>
      <c r="O1992" s="10" t="n"/>
      <c r="P1992" s="202" t="inlineStr">
        <is>
          <t>UFFICIALI DI CAMPO</t>
        </is>
      </c>
      <c r="Q1992" s="9" t="n"/>
      <c r="R1992" s="10" t="n"/>
    </row>
    <row r="1993" ht="14" customHeight="1">
      <c r="A1993" s="88" t="inlineStr">
        <is>
          <t>Gara N.</t>
        </is>
      </c>
      <c r="B1993" s="88" t="inlineStr">
        <is>
          <t>Squadra A</t>
        </is>
      </c>
      <c r="C1993" s="10" t="n"/>
      <c r="D1993" s="88" t="inlineStr">
        <is>
          <t>Squadra B</t>
        </is>
      </c>
      <c r="E1993" s="10" t="n"/>
      <c r="F1993" s="88" t="inlineStr">
        <is>
          <t>Giorno</t>
        </is>
      </c>
      <c r="G1993" s="88" t="inlineStr">
        <is>
          <t>Data</t>
        </is>
      </c>
      <c r="H1993" s="88" t="inlineStr">
        <is>
          <t>Ora</t>
        </is>
      </c>
      <c r="I1993" s="10" t="n"/>
      <c r="J1993" s="88" t="inlineStr">
        <is>
          <t>Risultato</t>
        </is>
      </c>
      <c r="K1993" s="9" t="n"/>
      <c r="L1993" s="10" t="n"/>
      <c r="M1993" s="203" t="inlineStr">
        <is>
          <t>1o Arbitro</t>
        </is>
      </c>
      <c r="N1993" s="203" t="inlineStr">
        <is>
          <t>2o Arbitro</t>
        </is>
      </c>
      <c r="O1993" s="203" t="inlineStr">
        <is>
          <t>3o Arbitro/Tirocinante</t>
        </is>
      </c>
      <c r="P1993" s="203" t="inlineStr">
        <is>
          <t>Referto</t>
        </is>
      </c>
      <c r="Q1993" s="203" t="inlineStr">
        <is>
          <t>Cronometro</t>
        </is>
      </c>
      <c r="R1993" s="203" t="inlineStr">
        <is>
          <t>Foglio Tiri</t>
        </is>
      </c>
    </row>
    <row r="1994" ht="22" customHeight="1">
      <c r="A1994" s="90">
        <f>IF('Calendario D'!A74="","",'Calendario D'!A74)</f>
        <v/>
      </c>
      <c r="B1994" s="61">
        <f>IF('Calendario D'!B74="","",'Calendario D'!B74)</f>
        <v/>
      </c>
      <c r="C1994" s="62">
        <f>IF('Calendario D'!C74="","",'Calendario D'!C74)</f>
        <v/>
      </c>
      <c r="D1994" s="61">
        <f>IF('Calendario D'!D74="","",'Calendario D'!D74)</f>
        <v/>
      </c>
      <c r="E1994" s="62">
        <f>IF('Calendario D'!E74="","",'Calendario D'!E74)</f>
        <v/>
      </c>
      <c r="F1994" s="63">
        <f>IF('Calendario D'!F74="","",'Calendario D'!F74)</f>
        <v/>
      </c>
      <c r="G1994" s="9" t="n"/>
      <c r="H1994" s="9" t="n"/>
      <c r="I1994" s="10" t="n"/>
      <c r="J1994" s="195">
        <f>IF('Calendario D'!J74="","",'Calendario D'!J74)</f>
        <v/>
      </c>
      <c r="K1994" s="64" t="inlineStr">
        <is>
          <t>-</t>
        </is>
      </c>
      <c r="L1994" s="195">
        <f>IF('Calendario D'!L74="","",'Calendario D'!L74)</f>
        <v/>
      </c>
      <c r="M1994" s="196" t="inlineStr">
        <is>
          <t>VOGEL Miha [AAt]</t>
        </is>
      </c>
      <c r="N1994" s="196" t="inlineStr">
        <is>
          <t>LEFEVRE Vid [A]</t>
        </is>
      </c>
      <c r="O1994" s="196" t="inlineStr">
        <is>
          <t>BELLANDI Matteo [AA]</t>
        </is>
      </c>
      <c r="P1994" s="196" t="inlineStr">
        <is>
          <t>ROTH Lukas</t>
        </is>
      </c>
      <c r="Q1994" s="196" t="inlineStr">
        <is>
          <t>ORTEGA Alenka</t>
        </is>
      </c>
      <c r="R1994" s="196" t="inlineStr">
        <is>
          <t>NOVAK Tommaso</t>
        </is>
      </c>
    </row>
    <row r="1995" ht="15" customHeight="1">
      <c r="A1995" s="141" t="n"/>
      <c r="B1995" s="69">
        <f>IF('Calendario D'!B75="","",'Calendario D'!B75)</f>
        <v/>
      </c>
      <c r="C1995" s="9" t="n"/>
      <c r="D1995" s="9" t="n"/>
      <c r="E1995" s="9" t="n"/>
      <c r="F1995" s="9" t="n"/>
      <c r="G1995" s="9" t="n"/>
      <c r="H1995" s="10" t="n"/>
      <c r="I1995" s="62">
        <f>IF('Calendario D'!I75="","",'Calendario D'!I75)</f>
        <v/>
      </c>
      <c r="J1995" s="141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</row>
    <row r="1996" ht="14" customHeight="1">
      <c r="A1996" s="88" t="inlineStr">
        <is>
          <t>Gara N.</t>
        </is>
      </c>
      <c r="B1996" s="88" t="inlineStr">
        <is>
          <t>Squadra A</t>
        </is>
      </c>
      <c r="C1996" s="10" t="n"/>
      <c r="D1996" s="88" t="inlineStr">
        <is>
          <t>Squadra B</t>
        </is>
      </c>
      <c r="E1996" s="10" t="n"/>
      <c r="F1996" s="88" t="inlineStr">
        <is>
          <t>Giorno</t>
        </is>
      </c>
      <c r="G1996" s="88" t="inlineStr">
        <is>
          <t>Data</t>
        </is>
      </c>
      <c r="H1996" s="88" t="inlineStr">
        <is>
          <t>Ora</t>
        </is>
      </c>
      <c r="I1996" s="10" t="n"/>
      <c r="J1996" s="88" t="inlineStr">
        <is>
          <t>Risultato</t>
        </is>
      </c>
      <c r="K1996" s="9" t="n"/>
      <c r="L1996" s="10" t="n"/>
      <c r="M1996" s="203" t="inlineStr">
        <is>
          <t>1o Arbitro</t>
        </is>
      </c>
      <c r="N1996" s="203" t="inlineStr">
        <is>
          <t>2o Arbitro</t>
        </is>
      </c>
      <c r="O1996" s="203" t="inlineStr">
        <is>
          <t>3o Arbitro/Tirocinante</t>
        </is>
      </c>
      <c r="P1996" s="203" t="inlineStr">
        <is>
          <t>Referto</t>
        </is>
      </c>
      <c r="Q1996" s="203" t="inlineStr">
        <is>
          <t>Cronometro</t>
        </is>
      </c>
      <c r="R1996" s="203" t="inlineStr">
        <is>
          <t>Foglio Tiri</t>
        </is>
      </c>
    </row>
    <row r="1997" ht="22" customHeight="1">
      <c r="A1997" s="90">
        <f>IF('Calendario D'!A77="","",'Calendario D'!A77)</f>
        <v/>
      </c>
      <c r="B1997" s="61">
        <f>IF('Calendario D'!B77="","",'Calendario D'!B77)</f>
        <v/>
      </c>
      <c r="C1997" s="62">
        <f>IF('Calendario D'!C77="","",'Calendario D'!C77)</f>
        <v/>
      </c>
      <c r="D1997" s="61">
        <f>IF('Calendario D'!D77="","",'Calendario D'!D77)</f>
        <v/>
      </c>
      <c r="E1997" s="62">
        <f>IF('Calendario D'!E77="","",'Calendario D'!E77)</f>
        <v/>
      </c>
      <c r="F1997" s="63">
        <f>IF('Calendario D'!F77="","",'Calendario D'!F77)</f>
        <v/>
      </c>
      <c r="G1997" s="9" t="n"/>
      <c r="H1997" s="9" t="n"/>
      <c r="I1997" s="10" t="n"/>
      <c r="J1997" s="195">
        <f>IF('Calendario D'!J77="","",'Calendario D'!J77)</f>
        <v/>
      </c>
      <c r="K1997" s="64" t="inlineStr">
        <is>
          <t>-</t>
        </is>
      </c>
      <c r="L1997" s="195">
        <f>IF('Calendario D'!L77="","",'Calendario D'!L77)</f>
        <v/>
      </c>
      <c r="M1997" s="196" t="inlineStr">
        <is>
          <t>HORVAT Davide [Aest]</t>
        </is>
      </c>
      <c r="N1997" s="196" t="inlineStr">
        <is>
          <t>KOVAC Noemi [Aest]</t>
        </is>
      </c>
      <c r="O1997" s="196" t="inlineStr">
        <is>
          <t>ROTH Martina [AA]</t>
        </is>
      </c>
      <c r="P1997" s="196" t="inlineStr">
        <is>
          <t>KRUGER Irene</t>
        </is>
      </c>
      <c r="Q1997" s="196" t="inlineStr">
        <is>
          <t>VIDMAR Diego</t>
        </is>
      </c>
      <c r="R1997" s="196" t="inlineStr">
        <is>
          <t>FERRANTE Greta</t>
        </is>
      </c>
    </row>
    <row r="1998" ht="15" customHeight="1">
      <c r="A1998" s="141" t="n"/>
      <c r="B1998" s="69">
        <f>IF('Calendario D'!B78="","",'Calendario D'!B78)</f>
        <v/>
      </c>
      <c r="C1998" s="9" t="n"/>
      <c r="D1998" s="9" t="n"/>
      <c r="E1998" s="9" t="n"/>
      <c r="F1998" s="9" t="n"/>
      <c r="G1998" s="9" t="n"/>
      <c r="H1998" s="10" t="n"/>
      <c r="I1998" s="62">
        <f>IF('Calendario D'!I78="","",'Calendario D'!I78)</f>
        <v/>
      </c>
      <c r="J1998" s="141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</row>
    <row r="1999" ht="14" customHeight="1">
      <c r="A1999" s="88" t="inlineStr">
        <is>
          <t>Gara N.</t>
        </is>
      </c>
      <c r="B1999" s="88" t="inlineStr">
        <is>
          <t>Squadra A</t>
        </is>
      </c>
      <c r="C1999" s="10" t="n"/>
      <c r="D1999" s="88" t="inlineStr">
        <is>
          <t>Squadra B</t>
        </is>
      </c>
      <c r="E1999" s="10" t="n"/>
      <c r="F1999" s="88" t="inlineStr">
        <is>
          <t>Giorno</t>
        </is>
      </c>
      <c r="G1999" s="88" t="inlineStr">
        <is>
          <t>Data</t>
        </is>
      </c>
      <c r="H1999" s="88" t="inlineStr">
        <is>
          <t>Ora</t>
        </is>
      </c>
      <c r="I1999" s="10" t="n"/>
      <c r="J1999" s="88" t="inlineStr">
        <is>
          <t>Risultato</t>
        </is>
      </c>
      <c r="K1999" s="9" t="n"/>
      <c r="L1999" s="10" t="n"/>
      <c r="M1999" s="203" t="inlineStr">
        <is>
          <t>1o Arbitro</t>
        </is>
      </c>
      <c r="N1999" s="203" t="inlineStr">
        <is>
          <t>2o Arbitro</t>
        </is>
      </c>
      <c r="O1999" s="203" t="inlineStr">
        <is>
          <t>3o Arbitro/Tirocinante</t>
        </is>
      </c>
      <c r="P1999" s="203" t="inlineStr">
        <is>
          <t>Referto</t>
        </is>
      </c>
      <c r="Q1999" s="203" t="inlineStr">
        <is>
          <t>Cronometro</t>
        </is>
      </c>
      <c r="R1999" s="203" t="inlineStr">
        <is>
          <t>Foglio Tiri</t>
        </is>
      </c>
    </row>
    <row r="2000" ht="22" customHeight="1">
      <c r="A2000" s="90">
        <f>IF('Calendario D'!A80="","",'Calendario D'!A80)</f>
        <v/>
      </c>
      <c r="B2000" s="61">
        <f>IF('Calendario D'!B80="","",'Calendario D'!B80)</f>
        <v/>
      </c>
      <c r="C2000" s="62">
        <f>IF('Calendario D'!C80="","",'Calendario D'!C80)</f>
        <v/>
      </c>
      <c r="D2000" s="61">
        <f>IF('Calendario D'!D80="","",'Calendario D'!D80)</f>
        <v/>
      </c>
      <c r="E2000" s="62">
        <f>IF('Calendario D'!E80="","",'Calendario D'!E80)</f>
        <v/>
      </c>
      <c r="F2000" s="63">
        <f>IF('Calendario D'!F80="","",'Calendario D'!F80)</f>
        <v/>
      </c>
      <c r="G2000" s="9" t="n"/>
      <c r="H2000" s="9" t="n"/>
      <c r="I2000" s="10" t="n"/>
      <c r="J2000" s="195">
        <f>IF('Calendario D'!J80="","",'Calendario D'!J80)</f>
        <v/>
      </c>
      <c r="K2000" s="64" t="inlineStr">
        <is>
          <t>-</t>
        </is>
      </c>
      <c r="L2000" s="195">
        <f>IF('Calendario D'!L80="","",'Calendario D'!L80)</f>
        <v/>
      </c>
      <c r="M2000" s="196" t="inlineStr">
        <is>
          <t>HORVAT Lea [A]</t>
        </is>
      </c>
      <c r="N2000" s="196" t="inlineStr">
        <is>
          <t>NADAUD Greta [A]</t>
        </is>
      </c>
      <c r="O2000" s="196" t="inlineStr">
        <is>
          <t>CARON Paolo [AA]</t>
        </is>
      </c>
      <c r="P2000" s="196" t="inlineStr">
        <is>
          <t>BLANCHET Paula</t>
        </is>
      </c>
      <c r="Q2000" s="196" t="inlineStr">
        <is>
          <t>BIANCHELLI Davide</t>
        </is>
      </c>
      <c r="R2000" s="196" t="inlineStr">
        <is>
          <t>PRADO Stefano</t>
        </is>
      </c>
    </row>
    <row r="2001" ht="15" customHeight="1">
      <c r="A2001" s="141" t="n"/>
      <c r="B2001" s="69">
        <f>IF('Calendario D'!B81="","",'Calendario D'!B81)</f>
        <v/>
      </c>
      <c r="C2001" s="9" t="n"/>
      <c r="D2001" s="9" t="n"/>
      <c r="E2001" s="9" t="n"/>
      <c r="F2001" s="9" t="n"/>
      <c r="G2001" s="9" t="n"/>
      <c r="H2001" s="10" t="n"/>
      <c r="I2001" s="62">
        <f>IF('Calendario D'!I81="","",'Calendario D'!I81)</f>
        <v/>
      </c>
      <c r="J2001" s="141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</row>
    <row r="2002" ht="14" customHeight="1">
      <c r="A2002" s="88" t="inlineStr">
        <is>
          <t>Gara N.</t>
        </is>
      </c>
      <c r="B2002" s="88" t="inlineStr">
        <is>
          <t>Squadra A</t>
        </is>
      </c>
      <c r="C2002" s="10" t="n"/>
      <c r="D2002" s="88" t="inlineStr">
        <is>
          <t>Squadra B</t>
        </is>
      </c>
      <c r="E2002" s="10" t="n"/>
      <c r="F2002" s="88" t="inlineStr">
        <is>
          <t>Giorno</t>
        </is>
      </c>
      <c r="G2002" s="88" t="inlineStr">
        <is>
          <t>Data</t>
        </is>
      </c>
      <c r="H2002" s="88" t="inlineStr">
        <is>
          <t>Ora</t>
        </is>
      </c>
      <c r="I2002" s="10" t="n"/>
      <c r="J2002" s="88" t="inlineStr">
        <is>
          <t>Risultato</t>
        </is>
      </c>
      <c r="K2002" s="9" t="n"/>
      <c r="L2002" s="10" t="n"/>
      <c r="M2002" s="203" t="inlineStr">
        <is>
          <t>1o Arbitro</t>
        </is>
      </c>
      <c r="N2002" s="203" t="inlineStr">
        <is>
          <t>2o Arbitro</t>
        </is>
      </c>
      <c r="O2002" s="203" t="inlineStr">
        <is>
          <t>3o Arbitro/Tirocinante</t>
        </is>
      </c>
      <c r="P2002" s="203" t="inlineStr">
        <is>
          <t>Referto</t>
        </is>
      </c>
      <c r="Q2002" s="203" t="inlineStr">
        <is>
          <t>Cronometro</t>
        </is>
      </c>
      <c r="R2002" s="203" t="inlineStr">
        <is>
          <t>Foglio Tiri</t>
        </is>
      </c>
    </row>
    <row r="2003" ht="22" customHeight="1">
      <c r="A2003" s="90">
        <f>IF('Calendario D'!A83="","",'Calendario D'!A83)</f>
        <v/>
      </c>
      <c r="B2003" s="61">
        <f>IF('Calendario D'!B83="","",'Calendario D'!B83)</f>
        <v/>
      </c>
      <c r="C2003" s="62">
        <f>IF('Calendario D'!C83="","",'Calendario D'!C83)</f>
        <v/>
      </c>
      <c r="D2003" s="61">
        <f>IF('Calendario D'!D83="","",'Calendario D'!D83)</f>
        <v/>
      </c>
      <c r="E2003" s="62">
        <f>IF('Calendario D'!E83="","",'Calendario D'!E83)</f>
        <v/>
      </c>
      <c r="F2003" s="63">
        <f>IF('Calendario D'!F83="","",'Calendario D'!F83)</f>
        <v/>
      </c>
      <c r="G2003" s="9" t="n"/>
      <c r="H2003" s="9" t="n"/>
      <c r="I2003" s="10" t="n"/>
      <c r="J2003" s="195">
        <f>IF('Calendario D'!J83="","",'Calendario D'!J83)</f>
        <v/>
      </c>
      <c r="K2003" s="64" t="inlineStr">
        <is>
          <t>-</t>
        </is>
      </c>
      <c r="L2003" s="195">
        <f>IF('Calendario D'!L83="","",'Calendario D'!L83)</f>
        <v/>
      </c>
      <c r="M2003" s="196" t="inlineStr">
        <is>
          <t>LANGER Katrin [AAt]</t>
        </is>
      </c>
      <c r="N2003" s="196" t="inlineStr">
        <is>
          <t>SOLER Davide [A]</t>
        </is>
      </c>
      <c r="O2003" s="196" t="inlineStr">
        <is>
          <t>CAMPOS Mathilde [Aest]</t>
        </is>
      </c>
      <c r="P2003" s="196" t="inlineStr">
        <is>
          <t>KRUGER Mathilde</t>
        </is>
      </c>
      <c r="Q2003" s="196" t="inlineStr">
        <is>
          <t>FUENTES Chiara</t>
        </is>
      </c>
      <c r="R2003" s="196" t="inlineStr">
        <is>
          <t>CAMPOS Martina</t>
        </is>
      </c>
    </row>
    <row r="2004" ht="15" customHeight="1">
      <c r="A2004" s="141" t="n"/>
      <c r="B2004" s="69">
        <f>IF('Calendario D'!B84="","",'Calendario D'!B84)</f>
        <v/>
      </c>
      <c r="C2004" s="9" t="n"/>
      <c r="D2004" s="9" t="n"/>
      <c r="E2004" s="9" t="n"/>
      <c r="F2004" s="9" t="n"/>
      <c r="G2004" s="9" t="n"/>
      <c r="H2004" s="10" t="n"/>
      <c r="I2004" s="62">
        <f>IF('Calendario D'!I84="","",'Calendario D'!I84)</f>
        <v/>
      </c>
      <c r="J2004" s="141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</row>
    <row r="2005" ht="14" customHeight="1">
      <c r="A2005" s="88" t="inlineStr">
        <is>
          <t>Gara N.</t>
        </is>
      </c>
      <c r="B2005" s="88" t="inlineStr">
        <is>
          <t>Squadra A</t>
        </is>
      </c>
      <c r="C2005" s="10" t="n"/>
      <c r="D2005" s="88" t="inlineStr">
        <is>
          <t>Squadra B</t>
        </is>
      </c>
      <c r="E2005" s="10" t="n"/>
      <c r="F2005" s="88" t="inlineStr">
        <is>
          <t>Giorno</t>
        </is>
      </c>
      <c r="G2005" s="88" t="inlineStr">
        <is>
          <t>Data</t>
        </is>
      </c>
      <c r="H2005" s="88" t="inlineStr">
        <is>
          <t>Ora</t>
        </is>
      </c>
      <c r="I2005" s="10" t="n"/>
      <c r="J2005" s="88" t="inlineStr">
        <is>
          <t>Risultato</t>
        </is>
      </c>
      <c r="K2005" s="9" t="n"/>
      <c r="L2005" s="10" t="n"/>
      <c r="M2005" s="203" t="inlineStr">
        <is>
          <t>1o Arbitro</t>
        </is>
      </c>
      <c r="N2005" s="203" t="inlineStr">
        <is>
          <t>2o Arbitro</t>
        </is>
      </c>
      <c r="O2005" s="203" t="inlineStr">
        <is>
          <t>3o Arbitro/Tirocinante</t>
        </is>
      </c>
      <c r="P2005" s="203" t="inlineStr">
        <is>
          <t>Referto</t>
        </is>
      </c>
      <c r="Q2005" s="203" t="inlineStr">
        <is>
          <t>Cronometro</t>
        </is>
      </c>
      <c r="R2005" s="203" t="inlineStr">
        <is>
          <t>Foglio Tiri</t>
        </is>
      </c>
    </row>
    <row r="2006" ht="22" customHeight="1">
      <c r="A2006" s="90">
        <f>IF('Calendario D'!A86="","",'Calendario D'!A86)</f>
        <v/>
      </c>
      <c r="B2006" s="61">
        <f>IF('Calendario D'!B86="","",'Calendario D'!B86)</f>
        <v/>
      </c>
      <c r="C2006" s="62">
        <f>IF('Calendario D'!C86="","",'Calendario D'!C86)</f>
        <v/>
      </c>
      <c r="D2006" s="61">
        <f>IF('Calendario D'!D86="","",'Calendario D'!D86)</f>
        <v/>
      </c>
      <c r="E2006" s="62">
        <f>IF('Calendario D'!E86="","",'Calendario D'!E86)</f>
        <v/>
      </c>
      <c r="F2006" s="63">
        <f>IF('Calendario D'!F86="","",'Calendario D'!F86)</f>
        <v/>
      </c>
      <c r="G2006" s="9" t="n"/>
      <c r="H2006" s="9" t="n"/>
      <c r="I2006" s="10" t="n"/>
      <c r="J2006" s="195">
        <f>IF('Calendario D'!J86="","",'Calendario D'!J86)</f>
        <v/>
      </c>
      <c r="K2006" s="64" t="inlineStr">
        <is>
          <t>-</t>
        </is>
      </c>
      <c r="L2006" s="195">
        <f>IF('Calendario D'!L86="","",'Calendario D'!L86)</f>
        <v/>
      </c>
      <c r="M2006" s="196" t="inlineStr">
        <is>
          <t>ROTH Sofia [A]</t>
        </is>
      </c>
      <c r="N2006" s="196" t="inlineStr">
        <is>
          <t>KOVAC Diego [AAt]</t>
        </is>
      </c>
      <c r="O2006" s="196" t="inlineStr">
        <is>
          <t>MOREAU Katrin [A]</t>
        </is>
      </c>
      <c r="P2006" s="196" t="inlineStr">
        <is>
          <t>ORTEGA Felix</t>
        </is>
      </c>
      <c r="Q2006" s="196" t="inlineStr">
        <is>
          <t>IGLESIAS Eva</t>
        </is>
      </c>
      <c r="R2006" s="196" t="inlineStr">
        <is>
          <t>MARCHIONI Irene</t>
        </is>
      </c>
    </row>
    <row r="2007" ht="15" customHeight="1">
      <c r="A2007" s="141" t="n"/>
      <c r="B2007" s="69">
        <f>IF('Calendario D'!B87="","",'Calendario D'!B87)</f>
        <v/>
      </c>
      <c r="C2007" s="9" t="n"/>
      <c r="D2007" s="9" t="n"/>
      <c r="E2007" s="9" t="n"/>
      <c r="F2007" s="9" t="n"/>
      <c r="G2007" s="9" t="n"/>
      <c r="H2007" s="10" t="n"/>
      <c r="I2007" s="62">
        <f>IF('Calendario D'!I87="","",'Calendario D'!I87)</f>
        <v/>
      </c>
      <c r="J2007" s="141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</row>
    <row r="2008" ht="14" customHeight="1">
      <c r="A2008" s="88" t="inlineStr">
        <is>
          <t>Gara N.</t>
        </is>
      </c>
      <c r="B2008" s="88" t="inlineStr">
        <is>
          <t>Squadra A</t>
        </is>
      </c>
      <c r="C2008" s="10" t="n"/>
      <c r="D2008" s="88" t="inlineStr">
        <is>
          <t>Squadra B</t>
        </is>
      </c>
      <c r="E2008" s="10" t="n"/>
      <c r="F2008" s="88" t="inlineStr">
        <is>
          <t>Giorno</t>
        </is>
      </c>
      <c r="G2008" s="88" t="inlineStr">
        <is>
          <t>Data</t>
        </is>
      </c>
      <c r="H2008" s="88" t="inlineStr">
        <is>
          <t>Ora</t>
        </is>
      </c>
      <c r="I2008" s="10" t="n"/>
      <c r="J2008" s="88" t="inlineStr">
        <is>
          <t>Risultato</t>
        </is>
      </c>
      <c r="K2008" s="9" t="n"/>
      <c r="L2008" s="10" t="n"/>
      <c r="M2008" s="203" t="inlineStr">
        <is>
          <t>1o Arbitro</t>
        </is>
      </c>
      <c r="N2008" s="203" t="inlineStr">
        <is>
          <t>2o Arbitro</t>
        </is>
      </c>
      <c r="O2008" s="203" t="inlineStr">
        <is>
          <t>3o Arbitro/Tirocinante</t>
        </is>
      </c>
      <c r="P2008" s="203" t="inlineStr">
        <is>
          <t>Referto</t>
        </is>
      </c>
      <c r="Q2008" s="203" t="inlineStr">
        <is>
          <t>Cronometro</t>
        </is>
      </c>
      <c r="R2008" s="203" t="inlineStr">
        <is>
          <t>Foglio Tiri</t>
        </is>
      </c>
    </row>
    <row r="2009" ht="22" customHeight="1">
      <c r="A2009" s="90">
        <f>IF('Calendario D'!A89="","",'Calendario D'!A89)</f>
        <v/>
      </c>
      <c r="B2009" s="61">
        <f>IF('Calendario D'!B89="","",'Calendario D'!B89)</f>
        <v/>
      </c>
      <c r="C2009" s="62">
        <f>IF('Calendario D'!C89="","",'Calendario D'!C89)</f>
        <v/>
      </c>
      <c r="D2009" s="61">
        <f>IF('Calendario D'!D89="","",'Calendario D'!D89)</f>
        <v/>
      </c>
      <c r="E2009" s="62">
        <f>IF('Calendario D'!E89="","",'Calendario D'!E89)</f>
        <v/>
      </c>
      <c r="F2009" s="63">
        <f>IF('Calendario D'!F89="","",'Calendario D'!F89)</f>
        <v/>
      </c>
      <c r="G2009" s="9" t="n"/>
      <c r="H2009" s="9" t="n"/>
      <c r="I2009" s="10" t="n"/>
      <c r="J2009" s="195">
        <f>IF('Calendario D'!J89="","",'Calendario D'!J89)</f>
        <v/>
      </c>
      <c r="K2009" s="64" t="inlineStr">
        <is>
          <t>-</t>
        </is>
      </c>
      <c r="L2009" s="195">
        <f>IF('Calendario D'!L89="","",'Calendario D'!L89)</f>
        <v/>
      </c>
      <c r="M2009" s="196" t="inlineStr">
        <is>
          <t>VIDMAR Stefano [AAt]</t>
        </is>
      </c>
      <c r="N2009" s="196" t="inlineStr">
        <is>
          <t>LEFEVRE Filippo [AA]</t>
        </is>
      </c>
      <c r="O2009" s="196" t="inlineStr">
        <is>
          <t>VALLET Felix [A]</t>
        </is>
      </c>
      <c r="P2009" s="196" t="inlineStr">
        <is>
          <t>KRAJNC Stefano</t>
        </is>
      </c>
      <c r="Q2009" s="196" t="inlineStr">
        <is>
          <t>HORVAT Irene</t>
        </is>
      </c>
      <c r="R2009" s="196" t="inlineStr">
        <is>
          <t>BELLANDI Lucia</t>
        </is>
      </c>
    </row>
    <row r="2010" ht="15" customHeight="1">
      <c r="A2010" s="141" t="n"/>
      <c r="B2010" s="69">
        <f>IF('Calendario D'!B90="","",'Calendario D'!B90)</f>
        <v/>
      </c>
      <c r="C2010" s="9" t="n"/>
      <c r="D2010" s="9" t="n"/>
      <c r="E2010" s="9" t="n"/>
      <c r="F2010" s="9" t="n"/>
      <c r="G2010" s="9" t="n"/>
      <c r="H2010" s="10" t="n"/>
      <c r="I2010" s="62">
        <f>IF('Calendario D'!I90="","",'Calendario D'!I90)</f>
        <v/>
      </c>
      <c r="J2010" s="141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</row>
    <row r="2011" ht="14" customHeight="1">
      <c r="A2011" s="88" t="inlineStr">
        <is>
          <t>Gara N.</t>
        </is>
      </c>
      <c r="B2011" s="88" t="inlineStr">
        <is>
          <t>Squadra A</t>
        </is>
      </c>
      <c r="C2011" s="10" t="n"/>
      <c r="D2011" s="88" t="inlineStr">
        <is>
          <t>Squadra B</t>
        </is>
      </c>
      <c r="E2011" s="10" t="n"/>
      <c r="F2011" s="88" t="inlineStr">
        <is>
          <t>Giorno</t>
        </is>
      </c>
      <c r="G2011" s="88" t="inlineStr">
        <is>
          <t>Data</t>
        </is>
      </c>
      <c r="H2011" s="88" t="inlineStr">
        <is>
          <t>Ora</t>
        </is>
      </c>
      <c r="I2011" s="10" t="n"/>
      <c r="J2011" s="88" t="inlineStr">
        <is>
          <t>Risultato</t>
        </is>
      </c>
      <c r="K2011" s="9" t="n"/>
      <c r="L2011" s="10" t="n"/>
      <c r="M2011" s="203" t="inlineStr">
        <is>
          <t>1o Arbitro</t>
        </is>
      </c>
      <c r="N2011" s="203" t="inlineStr">
        <is>
          <t>2o Arbitro</t>
        </is>
      </c>
      <c r="O2011" s="203" t="inlineStr">
        <is>
          <t>3o Arbitro/Tirocinante</t>
        </is>
      </c>
      <c r="P2011" s="203" t="inlineStr">
        <is>
          <t>Referto</t>
        </is>
      </c>
      <c r="Q2011" s="203" t="inlineStr">
        <is>
          <t>Cronometro</t>
        </is>
      </c>
      <c r="R2011" s="203" t="inlineStr">
        <is>
          <t>Foglio Tiri</t>
        </is>
      </c>
    </row>
    <row r="2012" ht="22" customHeight="1">
      <c r="A2012" s="90">
        <f>IF('Calendario D'!A92="","",'Calendario D'!A92)</f>
        <v/>
      </c>
      <c r="B2012" s="61">
        <f>IF('Calendario D'!B92="","",'Calendario D'!B92)</f>
        <v/>
      </c>
      <c r="C2012" s="62">
        <f>IF('Calendario D'!C92="","",'Calendario D'!C92)</f>
        <v/>
      </c>
      <c r="D2012" s="61">
        <f>IF('Calendario D'!D92="","",'Calendario D'!D92)</f>
        <v/>
      </c>
      <c r="E2012" s="62">
        <f>IF('Calendario D'!E92="","",'Calendario D'!E92)</f>
        <v/>
      </c>
      <c r="F2012" s="63">
        <f>IF('Calendario D'!F92="","",'Calendario D'!F92)</f>
        <v/>
      </c>
      <c r="G2012" s="9" t="n"/>
      <c r="H2012" s="9" t="n"/>
      <c r="I2012" s="10" t="n"/>
      <c r="J2012" s="195">
        <f>IF('Calendario D'!J92="","",'Calendario D'!J92)</f>
        <v/>
      </c>
      <c r="K2012" s="64" t="inlineStr">
        <is>
          <t>-</t>
        </is>
      </c>
      <c r="L2012" s="195">
        <f>IF('Calendario D'!L92="","",'Calendario D'!L92)</f>
        <v/>
      </c>
      <c r="M2012" s="196" t="inlineStr">
        <is>
          <t>ZUPAN Mathilde [A]</t>
        </is>
      </c>
      <c r="N2012" s="196" t="inlineStr">
        <is>
          <t>PETERLIN Mathilde [Aest]</t>
        </is>
      </c>
      <c r="O2012" s="196" t="inlineStr">
        <is>
          <t>GAUTHIER Elena [AA]</t>
        </is>
      </c>
      <c r="P2012" s="196" t="inlineStr">
        <is>
          <t>VOGEL Irene</t>
        </is>
      </c>
      <c r="Q2012" s="196" t="inlineStr">
        <is>
          <t>NAVARRO Luca</t>
        </is>
      </c>
      <c r="R2012" s="196" t="inlineStr">
        <is>
          <t>BLANCO Irene</t>
        </is>
      </c>
    </row>
    <row r="2013" ht="15" customHeight="1">
      <c r="A2013" s="141" t="n"/>
      <c r="B2013" s="69">
        <f>IF('Calendario D'!B93="","",'Calendario D'!B93)</f>
        <v/>
      </c>
      <c r="C2013" s="9" t="n"/>
      <c r="D2013" s="9" t="n"/>
      <c r="E2013" s="9" t="n"/>
      <c r="F2013" s="9" t="n"/>
      <c r="G2013" s="9" t="n"/>
      <c r="H2013" s="10" t="n"/>
      <c r="I2013" s="62">
        <f>IF('Calendario D'!I93="","",'Calendario D'!I93)</f>
        <v/>
      </c>
      <c r="J2013" s="141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</row>
    <row r="2014" ht="14" customHeight="1">
      <c r="A2014" s="88" t="inlineStr">
        <is>
          <t>Gara N.</t>
        </is>
      </c>
      <c r="B2014" s="88" t="inlineStr">
        <is>
          <t>Squadra A</t>
        </is>
      </c>
      <c r="C2014" s="10" t="n"/>
      <c r="D2014" s="88" t="inlineStr">
        <is>
          <t>Squadra B</t>
        </is>
      </c>
      <c r="E2014" s="10" t="n"/>
      <c r="F2014" s="88" t="inlineStr">
        <is>
          <t>Giorno</t>
        </is>
      </c>
      <c r="G2014" s="88" t="inlineStr">
        <is>
          <t>Data</t>
        </is>
      </c>
      <c r="H2014" s="88" t="inlineStr">
        <is>
          <t>Ora</t>
        </is>
      </c>
      <c r="I2014" s="10" t="n"/>
      <c r="J2014" s="88" t="inlineStr">
        <is>
          <t>Risultato</t>
        </is>
      </c>
      <c r="K2014" s="9" t="n"/>
      <c r="L2014" s="10" t="n"/>
      <c r="M2014" s="203" t="inlineStr">
        <is>
          <t>1o Arbitro</t>
        </is>
      </c>
      <c r="N2014" s="203" t="inlineStr">
        <is>
          <t>2o Arbitro</t>
        </is>
      </c>
      <c r="O2014" s="203" t="inlineStr">
        <is>
          <t>3o Arbitro/Tirocinante</t>
        </is>
      </c>
      <c r="P2014" s="203" t="inlineStr">
        <is>
          <t>Referto</t>
        </is>
      </c>
      <c r="Q2014" s="203" t="inlineStr">
        <is>
          <t>Cronometro</t>
        </is>
      </c>
      <c r="R2014" s="203" t="inlineStr">
        <is>
          <t>Foglio Tiri</t>
        </is>
      </c>
    </row>
    <row r="2015" ht="22" customHeight="1">
      <c r="A2015" s="90">
        <f>IF('Calendario D'!A95="","",'Calendario D'!A95)</f>
        <v/>
      </c>
      <c r="B2015" s="61">
        <f>IF('Calendario D'!B95="","",'Calendario D'!B95)</f>
        <v/>
      </c>
      <c r="C2015" s="62">
        <f>IF('Calendario D'!C95="","",'Calendario D'!C95)</f>
        <v/>
      </c>
      <c r="D2015" s="61">
        <f>IF('Calendario D'!D95="","",'Calendario D'!D95)</f>
        <v/>
      </c>
      <c r="E2015" s="62">
        <f>IF('Calendario D'!E95="","",'Calendario D'!E95)</f>
        <v/>
      </c>
      <c r="F2015" s="63">
        <f>IF('Calendario D'!F95="","",'Calendario D'!F95)</f>
        <v/>
      </c>
      <c r="G2015" s="9" t="n"/>
      <c r="H2015" s="9" t="n"/>
      <c r="I2015" s="10" t="n"/>
      <c r="J2015" s="195">
        <f>IF('Calendario D'!J95="","",'Calendario D'!J95)</f>
        <v/>
      </c>
      <c r="K2015" s="64" t="inlineStr">
        <is>
          <t>-</t>
        </is>
      </c>
      <c r="L2015" s="195">
        <f>IF('Calendario D'!L95="","",'Calendario D'!L95)</f>
        <v/>
      </c>
      <c r="M2015" s="196" t="inlineStr">
        <is>
          <t>NADAUD Elena [AA]</t>
        </is>
      </c>
      <c r="N2015" s="196" t="inlineStr">
        <is>
          <t>ROSSINI Alenka [AAt]</t>
        </is>
      </c>
      <c r="O2015" s="196" t="inlineStr">
        <is>
          <t>WEBER Filippo [AA]</t>
        </is>
      </c>
      <c r="P2015" s="196" t="inlineStr">
        <is>
          <t>GAUTHIER Matteo</t>
        </is>
      </c>
      <c r="Q2015" s="196" t="inlineStr">
        <is>
          <t>SOLER Gaelle</t>
        </is>
      </c>
      <c r="R2015" s="196" t="inlineStr">
        <is>
          <t>KELLER Alenka</t>
        </is>
      </c>
    </row>
    <row r="2016" ht="15" customHeight="1">
      <c r="A2016" s="141" t="n"/>
      <c r="B2016" s="69">
        <f>IF('Calendario D'!B96="","",'Calendario D'!B96)</f>
        <v/>
      </c>
      <c r="C2016" s="9" t="n"/>
      <c r="D2016" s="9" t="n"/>
      <c r="E2016" s="9" t="n"/>
      <c r="F2016" s="9" t="n"/>
      <c r="G2016" s="9" t="n"/>
      <c r="H2016" s="10" t="n"/>
      <c r="I2016" s="62">
        <f>IF('Calendario D'!I96="","",'Calendario D'!I96)</f>
        <v/>
      </c>
      <c r="J2016" s="141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</row>
    <row r="2017" ht="14" customHeight="1">
      <c r="A2017" s="88" t="inlineStr">
        <is>
          <t>Gara N.</t>
        </is>
      </c>
      <c r="B2017" s="88" t="inlineStr">
        <is>
          <t>Squadra A</t>
        </is>
      </c>
      <c r="C2017" s="10" t="n"/>
      <c r="D2017" s="88" t="inlineStr">
        <is>
          <t>Squadra B</t>
        </is>
      </c>
      <c r="E2017" s="10" t="n"/>
      <c r="F2017" s="88" t="inlineStr">
        <is>
          <t>Giorno</t>
        </is>
      </c>
      <c r="G2017" s="88" t="inlineStr">
        <is>
          <t>Data</t>
        </is>
      </c>
      <c r="H2017" s="88" t="inlineStr">
        <is>
          <t>Ora</t>
        </is>
      </c>
      <c r="I2017" s="10" t="n"/>
      <c r="J2017" s="88" t="inlineStr">
        <is>
          <t>Risultato</t>
        </is>
      </c>
      <c r="K2017" s="9" t="n"/>
      <c r="L2017" s="10" t="n"/>
      <c r="M2017" s="203" t="inlineStr">
        <is>
          <t>1o Arbitro</t>
        </is>
      </c>
      <c r="N2017" s="203" t="inlineStr">
        <is>
          <t>2o Arbitro</t>
        </is>
      </c>
      <c r="O2017" s="203" t="inlineStr">
        <is>
          <t>3o Arbitro/Tirocinante</t>
        </is>
      </c>
      <c r="P2017" s="203" t="inlineStr">
        <is>
          <t>Referto</t>
        </is>
      </c>
      <c r="Q2017" s="203" t="inlineStr">
        <is>
          <t>Cronometro</t>
        </is>
      </c>
      <c r="R2017" s="203" t="inlineStr">
        <is>
          <t>Foglio Tiri</t>
        </is>
      </c>
    </row>
    <row r="2018" ht="22" customHeight="1">
      <c r="A2018" s="90">
        <f>IF('Calendario D'!A98="","",'Calendario D'!A98)</f>
        <v/>
      </c>
      <c r="B2018" s="61">
        <f>IF('Calendario D'!B98="","",'Calendario D'!B98)</f>
        <v/>
      </c>
      <c r="C2018" s="62">
        <f>IF('Calendario D'!C98="","",'Calendario D'!C98)</f>
        <v/>
      </c>
      <c r="D2018" s="61">
        <f>IF('Calendario D'!D98="","",'Calendario D'!D98)</f>
        <v/>
      </c>
      <c r="E2018" s="62">
        <f>IF('Calendario D'!E98="","",'Calendario D'!E98)</f>
        <v/>
      </c>
      <c r="F2018" s="63">
        <f>IF('Calendario D'!F98="","",'Calendario D'!F98)</f>
        <v/>
      </c>
      <c r="G2018" s="9" t="n"/>
      <c r="H2018" s="9" t="n"/>
      <c r="I2018" s="10" t="n"/>
      <c r="J2018" s="195">
        <f>IF('Calendario D'!J98="","",'Calendario D'!J98)</f>
        <v/>
      </c>
      <c r="K2018" s="64" t="inlineStr">
        <is>
          <t>-</t>
        </is>
      </c>
      <c r="L2018" s="195">
        <f>IF('Calendario D'!L98="","",'Calendario D'!L98)</f>
        <v/>
      </c>
      <c r="M2018" s="196" t="inlineStr">
        <is>
          <t>CASTILLO Irene [Aest]</t>
        </is>
      </c>
      <c r="N2018" s="196" t="inlineStr">
        <is>
          <t>KOVAC Valerie [AAt]</t>
        </is>
      </c>
      <c r="O2018" s="196" t="inlineStr">
        <is>
          <t>PRADO Marco [AAt]</t>
        </is>
      </c>
      <c r="P2018" s="196" t="inlineStr">
        <is>
          <t>NOVAK Lukas</t>
        </is>
      </c>
      <c r="Q2018" s="196" t="inlineStr">
        <is>
          <t>SCHAFER Katrin</t>
        </is>
      </c>
      <c r="R2018" s="196" t="inlineStr">
        <is>
          <t>ROMERO Alenka</t>
        </is>
      </c>
    </row>
    <row r="2019" ht="15" customHeight="1">
      <c r="A2019" s="141" t="n"/>
      <c r="B2019" s="69">
        <f>IF('Calendario D'!B99="","",'Calendario D'!B99)</f>
        <v/>
      </c>
      <c r="C2019" s="9" t="n"/>
      <c r="D2019" s="9" t="n"/>
      <c r="E2019" s="9" t="n"/>
      <c r="F2019" s="9" t="n"/>
      <c r="G2019" s="9" t="n"/>
      <c r="H2019" s="10" t="n"/>
      <c r="I2019" s="62">
        <f>IF('Calendario D'!I99="","",'Calendario D'!I99)</f>
        <v/>
      </c>
      <c r="J2019" s="141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</row>
    <row r="2020" ht="14" customHeight="1">
      <c r="A2020" s="88" t="inlineStr">
        <is>
          <t>Gara N.</t>
        </is>
      </c>
      <c r="B2020" s="88" t="inlineStr">
        <is>
          <t>Squadra A</t>
        </is>
      </c>
      <c r="C2020" s="10" t="n"/>
      <c r="D2020" s="88" t="inlineStr">
        <is>
          <t>Squadra B</t>
        </is>
      </c>
      <c r="E2020" s="10" t="n"/>
      <c r="F2020" s="88" t="inlineStr">
        <is>
          <t>Giorno</t>
        </is>
      </c>
      <c r="G2020" s="88" t="inlineStr">
        <is>
          <t>Data</t>
        </is>
      </c>
      <c r="H2020" s="88" t="inlineStr">
        <is>
          <t>Ora</t>
        </is>
      </c>
      <c r="I2020" s="10" t="n"/>
      <c r="J2020" s="88" t="inlineStr">
        <is>
          <t>Risultato</t>
        </is>
      </c>
      <c r="K2020" s="9" t="n"/>
      <c r="L2020" s="10" t="n"/>
      <c r="M2020" s="203" t="inlineStr">
        <is>
          <t>1o Arbitro</t>
        </is>
      </c>
      <c r="N2020" s="203" t="inlineStr">
        <is>
          <t>2o Arbitro</t>
        </is>
      </c>
      <c r="O2020" s="203" t="inlineStr">
        <is>
          <t>3o Arbitro/Tirocinante</t>
        </is>
      </c>
      <c r="P2020" s="203" t="inlineStr">
        <is>
          <t>Referto</t>
        </is>
      </c>
      <c r="Q2020" s="203" t="inlineStr">
        <is>
          <t>Cronometro</t>
        </is>
      </c>
      <c r="R2020" s="203" t="inlineStr">
        <is>
          <t>Foglio Tiri</t>
        </is>
      </c>
    </row>
    <row r="2021" ht="22" customHeight="1">
      <c r="A2021" s="90">
        <f>IF('Calendario D'!A101="","",'Calendario D'!A101)</f>
        <v/>
      </c>
      <c r="B2021" s="61">
        <f>IF('Calendario D'!B101="","",'Calendario D'!B101)</f>
        <v/>
      </c>
      <c r="C2021" s="62">
        <f>IF('Calendario D'!C101="","",'Calendario D'!C101)</f>
        <v/>
      </c>
      <c r="D2021" s="61">
        <f>IF('Calendario D'!D101="","",'Calendario D'!D101)</f>
        <v/>
      </c>
      <c r="E2021" s="62">
        <f>IF('Calendario D'!E101="","",'Calendario D'!E101)</f>
        <v/>
      </c>
      <c r="F2021" s="63">
        <f>IF('Calendario D'!F101="","",'Calendario D'!F101)</f>
        <v/>
      </c>
      <c r="G2021" s="9" t="n"/>
      <c r="H2021" s="9" t="n"/>
      <c r="I2021" s="10" t="n"/>
      <c r="J2021" s="195">
        <f>IF('Calendario D'!J101="","",'Calendario D'!J101)</f>
        <v/>
      </c>
      <c r="K2021" s="64" t="inlineStr">
        <is>
          <t>-</t>
        </is>
      </c>
      <c r="L2021" s="195">
        <f>IF('Calendario D'!L101="","",'Calendario D'!L101)</f>
        <v/>
      </c>
      <c r="M2021" s="196" t="inlineStr">
        <is>
          <t>BIANCHELLI Filippo [AAt]</t>
        </is>
      </c>
      <c r="N2021" s="196" t="inlineStr">
        <is>
          <t>LEROUX Filippo [Aest]</t>
        </is>
      </c>
      <c r="O2021" s="196" t="inlineStr">
        <is>
          <t>NOVAK Mathilde [Aest]</t>
        </is>
      </c>
      <c r="P2021" s="196" t="inlineStr">
        <is>
          <t>VOGEL Irene</t>
        </is>
      </c>
      <c r="Q2021" s="196" t="inlineStr">
        <is>
          <t>GAUTHIER Pablo</t>
        </is>
      </c>
      <c r="R2021" s="196" t="inlineStr">
        <is>
          <t>CAMPOS Noemi</t>
        </is>
      </c>
    </row>
    <row r="2022" ht="15" customHeight="1">
      <c r="A2022" s="141" t="n"/>
      <c r="B2022" s="69">
        <f>IF('Calendario D'!B102="","",'Calendario D'!B102)</f>
        <v/>
      </c>
      <c r="C2022" s="9" t="n"/>
      <c r="D2022" s="9" t="n"/>
      <c r="E2022" s="9" t="n"/>
      <c r="F2022" s="9" t="n"/>
      <c r="G2022" s="9" t="n"/>
      <c r="H2022" s="10" t="n"/>
      <c r="I2022" s="62">
        <f>IF('Calendario D'!I102="","",'Calendario D'!I102)</f>
        <v/>
      </c>
      <c r="J2022" s="141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</row>
    <row r="2024" ht="20" customHeight="1">
      <c r="A2024" s="85">
        <f>IF('Calendario D'!A104="","",'Calendario D'!A104)</f>
        <v/>
      </c>
      <c r="B2024" s="86">
        <f>IF('Calendario D'!B104="","",'Calendario D'!B104)</f>
        <v/>
      </c>
      <c r="C2024" s="9" t="n"/>
      <c r="D2024" s="9" t="n"/>
      <c r="E2024" s="9" t="n"/>
      <c r="F2024" s="9" t="n"/>
      <c r="G2024" s="9" t="n"/>
      <c r="H2024" s="9" t="n"/>
      <c r="I2024" s="9" t="n"/>
      <c r="J2024" s="9" t="n"/>
      <c r="K2024" s="9" t="n"/>
      <c r="L2024" s="10" t="n"/>
      <c r="M2024" s="202" t="inlineStr">
        <is>
          <t>ARBITRI</t>
        </is>
      </c>
      <c r="N2024" s="9" t="n"/>
      <c r="O2024" s="10" t="n"/>
      <c r="P2024" s="202" t="inlineStr">
        <is>
          <t>UFFICIALI DI CAMPO</t>
        </is>
      </c>
      <c r="Q2024" s="9" t="n"/>
      <c r="R2024" s="10" t="n"/>
    </row>
    <row r="2025" ht="14" customHeight="1">
      <c r="A2025" s="88" t="inlineStr">
        <is>
          <t>Gara N.</t>
        </is>
      </c>
      <c r="B2025" s="88" t="inlineStr">
        <is>
          <t>Squadra A</t>
        </is>
      </c>
      <c r="C2025" s="10" t="n"/>
      <c r="D2025" s="88" t="inlineStr">
        <is>
          <t>Squadra B</t>
        </is>
      </c>
      <c r="E2025" s="10" t="n"/>
      <c r="F2025" s="88" t="inlineStr">
        <is>
          <t>Giorno</t>
        </is>
      </c>
      <c r="G2025" s="88" t="inlineStr">
        <is>
          <t>Data</t>
        </is>
      </c>
      <c r="H2025" s="88" t="inlineStr">
        <is>
          <t>Ora</t>
        </is>
      </c>
      <c r="I2025" s="10" t="n"/>
      <c r="J2025" s="88" t="inlineStr">
        <is>
          <t>Risultato</t>
        </is>
      </c>
      <c r="K2025" s="9" t="n"/>
      <c r="L2025" s="10" t="n"/>
      <c r="M2025" s="203" t="inlineStr">
        <is>
          <t>1o Arbitro</t>
        </is>
      </c>
      <c r="N2025" s="203" t="inlineStr">
        <is>
          <t>2o Arbitro</t>
        </is>
      </c>
      <c r="O2025" s="203" t="inlineStr">
        <is>
          <t>3o Arbitro/Tirocinante</t>
        </is>
      </c>
      <c r="P2025" s="203" t="inlineStr">
        <is>
          <t>Referto</t>
        </is>
      </c>
      <c r="Q2025" s="203" t="inlineStr">
        <is>
          <t>Cronometro</t>
        </is>
      </c>
      <c r="R2025" s="203" t="inlineStr">
        <is>
          <t>Foglio Tiri</t>
        </is>
      </c>
    </row>
    <row r="2026" ht="22" customHeight="1">
      <c r="A2026" s="90">
        <f>IF('Calendario D'!A106="","",'Calendario D'!A106)</f>
        <v/>
      </c>
      <c r="B2026" s="61">
        <f>IF('Calendario D'!B106="","",'Calendario D'!B106)</f>
        <v/>
      </c>
      <c r="C2026" s="62">
        <f>IF('Calendario D'!C106="","",'Calendario D'!C106)</f>
        <v/>
      </c>
      <c r="D2026" s="61">
        <f>IF('Calendario D'!D106="","",'Calendario D'!D106)</f>
        <v/>
      </c>
      <c r="E2026" s="62">
        <f>IF('Calendario D'!E106="","",'Calendario D'!E106)</f>
        <v/>
      </c>
      <c r="F2026" s="63">
        <f>IF('Calendario D'!F106="","",'Calendario D'!F106)</f>
        <v/>
      </c>
      <c r="G2026" s="9" t="n"/>
      <c r="H2026" s="9" t="n"/>
      <c r="I2026" s="10" t="n"/>
      <c r="J2026" s="195">
        <f>IF('Calendario D'!J106="","",'Calendario D'!J106)</f>
        <v/>
      </c>
      <c r="K2026" s="64" t="inlineStr">
        <is>
          <t>-</t>
        </is>
      </c>
      <c r="L2026" s="195">
        <f>IF('Calendario D'!L106="","",'Calendario D'!L106)</f>
        <v/>
      </c>
      <c r="M2026" s="196" t="inlineStr">
        <is>
          <t>FOURNIER Lucia [AA]</t>
        </is>
      </c>
      <c r="N2026" s="196" t="inlineStr">
        <is>
          <t>BRANDT Filippo [AAt]</t>
        </is>
      </c>
      <c r="O2026" s="196" t="inlineStr">
        <is>
          <t>HOFFMANN Tommaso [A]</t>
        </is>
      </c>
      <c r="P2026" s="196" t="inlineStr">
        <is>
          <t>ROMERO Felix</t>
        </is>
      </c>
      <c r="Q2026" s="196" t="inlineStr">
        <is>
          <t>LEFEVRE Mathilde</t>
        </is>
      </c>
      <c r="R2026" s="196" t="inlineStr">
        <is>
          <t>ZUPAN Katrin</t>
        </is>
      </c>
    </row>
    <row r="2027" ht="15" customHeight="1">
      <c r="A2027" s="141" t="n"/>
      <c r="B2027" s="69">
        <f>IF('Calendario D'!B107="","",'Calendario D'!B107)</f>
        <v/>
      </c>
      <c r="C2027" s="9" t="n"/>
      <c r="D2027" s="9" t="n"/>
      <c r="E2027" s="9" t="n"/>
      <c r="F2027" s="9" t="n"/>
      <c r="G2027" s="9" t="n"/>
      <c r="H2027" s="10" t="n"/>
      <c r="I2027" s="62">
        <f>IF('Calendario D'!I107="","",'Calendario D'!I107)</f>
        <v/>
      </c>
      <c r="J2027" s="141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</row>
    <row r="2028" ht="14" customHeight="1">
      <c r="A2028" s="88" t="inlineStr">
        <is>
          <t>Gara N.</t>
        </is>
      </c>
      <c r="B2028" s="88" t="inlineStr">
        <is>
          <t>Squadra A</t>
        </is>
      </c>
      <c r="C2028" s="10" t="n"/>
      <c r="D2028" s="88" t="inlineStr">
        <is>
          <t>Squadra B</t>
        </is>
      </c>
      <c r="E2028" s="10" t="n"/>
      <c r="F2028" s="88" t="inlineStr">
        <is>
          <t>Giorno</t>
        </is>
      </c>
      <c r="G2028" s="88" t="inlineStr">
        <is>
          <t>Data</t>
        </is>
      </c>
      <c r="H2028" s="88" t="inlineStr">
        <is>
          <t>Ora</t>
        </is>
      </c>
      <c r="I2028" s="10" t="n"/>
      <c r="J2028" s="88" t="inlineStr">
        <is>
          <t>Risultato</t>
        </is>
      </c>
      <c r="K2028" s="9" t="n"/>
      <c r="L2028" s="10" t="n"/>
      <c r="M2028" s="203" t="inlineStr">
        <is>
          <t>1o Arbitro</t>
        </is>
      </c>
      <c r="N2028" s="203" t="inlineStr">
        <is>
          <t>2o Arbitro</t>
        </is>
      </c>
      <c r="O2028" s="203" t="inlineStr">
        <is>
          <t>3o Arbitro/Tirocinante</t>
        </is>
      </c>
      <c r="P2028" s="203" t="inlineStr">
        <is>
          <t>Referto</t>
        </is>
      </c>
      <c r="Q2028" s="203" t="inlineStr">
        <is>
          <t>Cronometro</t>
        </is>
      </c>
      <c r="R2028" s="203" t="inlineStr">
        <is>
          <t>Foglio Tiri</t>
        </is>
      </c>
    </row>
    <row r="2029" ht="22" customHeight="1">
      <c r="A2029" s="90">
        <f>IF('Calendario D'!A109="","",'Calendario D'!A109)</f>
        <v/>
      </c>
      <c r="B2029" s="61">
        <f>IF('Calendario D'!B109="","",'Calendario D'!B109)</f>
        <v/>
      </c>
      <c r="C2029" s="62">
        <f>IF('Calendario D'!C109="","",'Calendario D'!C109)</f>
        <v/>
      </c>
      <c r="D2029" s="61">
        <f>IF('Calendario D'!D109="","",'Calendario D'!D109)</f>
        <v/>
      </c>
      <c r="E2029" s="62">
        <f>IF('Calendario D'!E109="","",'Calendario D'!E109)</f>
        <v/>
      </c>
      <c r="F2029" s="63">
        <f>IF('Calendario D'!F109="","",'Calendario D'!F109)</f>
        <v/>
      </c>
      <c r="G2029" s="9" t="n"/>
      <c r="H2029" s="9" t="n"/>
      <c r="I2029" s="10" t="n"/>
      <c r="J2029" s="195">
        <f>IF('Calendario D'!J109="","",'Calendario D'!J109)</f>
        <v/>
      </c>
      <c r="K2029" s="64" t="inlineStr">
        <is>
          <t>-</t>
        </is>
      </c>
      <c r="L2029" s="195">
        <f>IF('Calendario D'!L109="","",'Calendario D'!L109)</f>
        <v/>
      </c>
      <c r="M2029" s="196" t="inlineStr">
        <is>
          <t>CARON Elena [A]</t>
        </is>
      </c>
      <c r="N2029" s="196" t="inlineStr">
        <is>
          <t>KRAJNC Beatrice [Aest]</t>
        </is>
      </c>
      <c r="O2029" s="196" t="inlineStr">
        <is>
          <t>GALLINI Gaelle [A]</t>
        </is>
      </c>
      <c r="P2029" s="196" t="inlineStr">
        <is>
          <t>BLANCO Irene</t>
        </is>
      </c>
      <c r="Q2029" s="196" t="inlineStr">
        <is>
          <t>VOGEL Irene</t>
        </is>
      </c>
      <c r="R2029" s="196" t="inlineStr">
        <is>
          <t>HOFFMANN Chiara</t>
        </is>
      </c>
    </row>
    <row r="2030" ht="15" customHeight="1">
      <c r="A2030" s="141" t="n"/>
      <c r="B2030" s="69">
        <f>IF('Calendario D'!B110="","",'Calendario D'!B110)</f>
        <v/>
      </c>
      <c r="C2030" s="9" t="n"/>
      <c r="D2030" s="9" t="n"/>
      <c r="E2030" s="9" t="n"/>
      <c r="F2030" s="9" t="n"/>
      <c r="G2030" s="9" t="n"/>
      <c r="H2030" s="10" t="n"/>
      <c r="I2030" s="62">
        <f>IF('Calendario D'!I110="","",'Calendario D'!I110)</f>
        <v/>
      </c>
      <c r="J2030" s="141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</row>
    <row r="2031" ht="14" customHeight="1">
      <c r="A2031" s="88" t="inlineStr">
        <is>
          <t>Gara N.</t>
        </is>
      </c>
      <c r="B2031" s="88" t="inlineStr">
        <is>
          <t>Squadra A</t>
        </is>
      </c>
      <c r="C2031" s="10" t="n"/>
      <c r="D2031" s="88" t="inlineStr">
        <is>
          <t>Squadra B</t>
        </is>
      </c>
      <c r="E2031" s="10" t="n"/>
      <c r="F2031" s="88" t="inlineStr">
        <is>
          <t>Giorno</t>
        </is>
      </c>
      <c r="G2031" s="88" t="inlineStr">
        <is>
          <t>Data</t>
        </is>
      </c>
      <c r="H2031" s="88" t="inlineStr">
        <is>
          <t>Ora</t>
        </is>
      </c>
      <c r="I2031" s="10" t="n"/>
      <c r="J2031" s="88" t="inlineStr">
        <is>
          <t>Risultato</t>
        </is>
      </c>
      <c r="K2031" s="9" t="n"/>
      <c r="L2031" s="10" t="n"/>
      <c r="M2031" s="203" t="inlineStr">
        <is>
          <t>1o Arbitro</t>
        </is>
      </c>
      <c r="N2031" s="203" t="inlineStr">
        <is>
          <t>2o Arbitro</t>
        </is>
      </c>
      <c r="O2031" s="203" t="inlineStr">
        <is>
          <t>3o Arbitro/Tirocinante</t>
        </is>
      </c>
      <c r="P2031" s="203" t="inlineStr">
        <is>
          <t>Referto</t>
        </is>
      </c>
      <c r="Q2031" s="203" t="inlineStr">
        <is>
          <t>Cronometro</t>
        </is>
      </c>
      <c r="R2031" s="203" t="inlineStr">
        <is>
          <t>Foglio Tiri</t>
        </is>
      </c>
    </row>
    <row r="2032" ht="22" customHeight="1">
      <c r="A2032" s="90">
        <f>IF('Calendario D'!A112="","",'Calendario D'!A112)</f>
        <v/>
      </c>
      <c r="B2032" s="61">
        <f>IF('Calendario D'!B112="","",'Calendario D'!B112)</f>
        <v/>
      </c>
      <c r="C2032" s="62">
        <f>IF('Calendario D'!C112="","",'Calendario D'!C112)</f>
        <v/>
      </c>
      <c r="D2032" s="61">
        <f>IF('Calendario D'!D112="","",'Calendario D'!D112)</f>
        <v/>
      </c>
      <c r="E2032" s="62">
        <f>IF('Calendario D'!E112="","",'Calendario D'!E112)</f>
        <v/>
      </c>
      <c r="F2032" s="63">
        <f>IF('Calendario D'!F112="","",'Calendario D'!F112)</f>
        <v/>
      </c>
      <c r="G2032" s="9" t="n"/>
      <c r="H2032" s="9" t="n"/>
      <c r="I2032" s="10" t="n"/>
      <c r="J2032" s="195">
        <f>IF('Calendario D'!J112="","",'Calendario D'!J112)</f>
        <v/>
      </c>
      <c r="K2032" s="64" t="inlineStr">
        <is>
          <t>-</t>
        </is>
      </c>
      <c r="L2032" s="195">
        <f>IF('Calendario D'!L112="","",'Calendario D'!L112)</f>
        <v/>
      </c>
      <c r="M2032" s="196" t="inlineStr">
        <is>
          <t>KRUGER Sofia [A]</t>
        </is>
      </c>
      <c r="N2032" s="196" t="inlineStr">
        <is>
          <t>CARON Elena [A]</t>
        </is>
      </c>
      <c r="O2032" s="196" t="inlineStr">
        <is>
          <t>ORTEGA Elena [Aest]</t>
        </is>
      </c>
      <c r="P2032" s="196" t="inlineStr">
        <is>
          <t>ROTH Andrea</t>
        </is>
      </c>
      <c r="Q2032" s="196" t="inlineStr">
        <is>
          <t>GAUTHIER Pablo</t>
        </is>
      </c>
      <c r="R2032" s="196" t="inlineStr">
        <is>
          <t>MODIC Lucia</t>
        </is>
      </c>
    </row>
    <row r="2033" ht="15" customHeight="1">
      <c r="A2033" s="141" t="n"/>
      <c r="B2033" s="69">
        <f>IF('Calendario D'!B113="","",'Calendario D'!B113)</f>
        <v/>
      </c>
      <c r="C2033" s="9" t="n"/>
      <c r="D2033" s="9" t="n"/>
      <c r="E2033" s="9" t="n"/>
      <c r="F2033" s="9" t="n"/>
      <c r="G2033" s="9" t="n"/>
      <c r="H2033" s="10" t="n"/>
      <c r="I2033" s="62">
        <f>IF('Calendario D'!I113="","",'Calendario D'!I113)</f>
        <v/>
      </c>
      <c r="J2033" s="141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</row>
    <row r="2034" ht="14" customHeight="1">
      <c r="A2034" s="88" t="inlineStr">
        <is>
          <t>Gara N.</t>
        </is>
      </c>
      <c r="B2034" s="88" t="inlineStr">
        <is>
          <t>Squadra A</t>
        </is>
      </c>
      <c r="C2034" s="10" t="n"/>
      <c r="D2034" s="88" t="inlineStr">
        <is>
          <t>Squadra B</t>
        </is>
      </c>
      <c r="E2034" s="10" t="n"/>
      <c r="F2034" s="88" t="inlineStr">
        <is>
          <t>Giorno</t>
        </is>
      </c>
      <c r="G2034" s="88" t="inlineStr">
        <is>
          <t>Data</t>
        </is>
      </c>
      <c r="H2034" s="88" t="inlineStr">
        <is>
          <t>Ora</t>
        </is>
      </c>
      <c r="I2034" s="10" t="n"/>
      <c r="J2034" s="88" t="inlineStr">
        <is>
          <t>Risultato</t>
        </is>
      </c>
      <c r="K2034" s="9" t="n"/>
      <c r="L2034" s="10" t="n"/>
      <c r="M2034" s="203" t="inlineStr">
        <is>
          <t>1o Arbitro</t>
        </is>
      </c>
      <c r="N2034" s="203" t="inlineStr">
        <is>
          <t>2o Arbitro</t>
        </is>
      </c>
      <c r="O2034" s="203" t="inlineStr">
        <is>
          <t>3o Arbitro/Tirocinante</t>
        </is>
      </c>
      <c r="P2034" s="203" t="inlineStr">
        <is>
          <t>Referto</t>
        </is>
      </c>
      <c r="Q2034" s="203" t="inlineStr">
        <is>
          <t>Cronometro</t>
        </is>
      </c>
      <c r="R2034" s="203" t="inlineStr">
        <is>
          <t>Foglio Tiri</t>
        </is>
      </c>
    </row>
    <row r="2035" ht="22" customHeight="1">
      <c r="A2035" s="90">
        <f>IF('Calendario D'!A115="","",'Calendario D'!A115)</f>
        <v/>
      </c>
      <c r="B2035" s="61">
        <f>IF('Calendario D'!B115="","",'Calendario D'!B115)</f>
        <v/>
      </c>
      <c r="C2035" s="62">
        <f>IF('Calendario D'!C115="","",'Calendario D'!C115)</f>
        <v/>
      </c>
      <c r="D2035" s="61">
        <f>IF('Calendario D'!D115="","",'Calendario D'!D115)</f>
        <v/>
      </c>
      <c r="E2035" s="62">
        <f>IF('Calendario D'!E115="","",'Calendario D'!E115)</f>
        <v/>
      </c>
      <c r="F2035" s="63">
        <f>IF('Calendario D'!F115="","",'Calendario D'!F115)</f>
        <v/>
      </c>
      <c r="G2035" s="9" t="n"/>
      <c r="H2035" s="9" t="n"/>
      <c r="I2035" s="10" t="n"/>
      <c r="J2035" s="195">
        <f>IF('Calendario D'!J115="","",'Calendario D'!J115)</f>
        <v/>
      </c>
      <c r="K2035" s="64" t="inlineStr">
        <is>
          <t>-</t>
        </is>
      </c>
      <c r="L2035" s="195">
        <f>IF('Calendario D'!L115="","",'Calendario D'!L115)</f>
        <v/>
      </c>
      <c r="M2035" s="196" t="inlineStr">
        <is>
          <t>SOLER Stefano [A]</t>
        </is>
      </c>
      <c r="N2035" s="196" t="inlineStr">
        <is>
          <t>GALLINI Filippo [A]</t>
        </is>
      </c>
      <c r="O2035" s="196" t="inlineStr">
        <is>
          <t>PRADO Giulia [AAt]</t>
        </is>
      </c>
      <c r="P2035" s="196" t="inlineStr">
        <is>
          <t>BRANDT Beatrice</t>
        </is>
      </c>
      <c r="Q2035" s="196" t="inlineStr">
        <is>
          <t>LEROUX Gaelle</t>
        </is>
      </c>
      <c r="R2035" s="196" t="inlineStr">
        <is>
          <t>CASTILLO Elena</t>
        </is>
      </c>
    </row>
    <row r="2036" ht="15" customHeight="1">
      <c r="A2036" s="141" t="n"/>
      <c r="B2036" s="69">
        <f>IF('Calendario D'!B116="","",'Calendario D'!B116)</f>
        <v/>
      </c>
      <c r="C2036" s="9" t="n"/>
      <c r="D2036" s="9" t="n"/>
      <c r="E2036" s="9" t="n"/>
      <c r="F2036" s="9" t="n"/>
      <c r="G2036" s="9" t="n"/>
      <c r="H2036" s="10" t="n"/>
      <c r="I2036" s="62">
        <f>IF('Calendario D'!I116="","",'Calendario D'!I116)</f>
        <v/>
      </c>
      <c r="J2036" s="141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</row>
    <row r="2037" ht="14" customHeight="1">
      <c r="A2037" s="88" t="inlineStr">
        <is>
          <t>Gara N.</t>
        </is>
      </c>
      <c r="B2037" s="88" t="inlineStr">
        <is>
          <t>Squadra A</t>
        </is>
      </c>
      <c r="C2037" s="10" t="n"/>
      <c r="D2037" s="88" t="inlineStr">
        <is>
          <t>Squadra B</t>
        </is>
      </c>
      <c r="E2037" s="10" t="n"/>
      <c r="F2037" s="88" t="inlineStr">
        <is>
          <t>Giorno</t>
        </is>
      </c>
      <c r="G2037" s="88" t="inlineStr">
        <is>
          <t>Data</t>
        </is>
      </c>
      <c r="H2037" s="88" t="inlineStr">
        <is>
          <t>Ora</t>
        </is>
      </c>
      <c r="I2037" s="10" t="n"/>
      <c r="J2037" s="88" t="inlineStr">
        <is>
          <t>Risultato</t>
        </is>
      </c>
      <c r="K2037" s="9" t="n"/>
      <c r="L2037" s="10" t="n"/>
      <c r="M2037" s="203" t="inlineStr">
        <is>
          <t>1o Arbitro</t>
        </is>
      </c>
      <c r="N2037" s="203" t="inlineStr">
        <is>
          <t>2o Arbitro</t>
        </is>
      </c>
      <c r="O2037" s="203" t="inlineStr">
        <is>
          <t>3o Arbitro/Tirocinante</t>
        </is>
      </c>
      <c r="P2037" s="203" t="inlineStr">
        <is>
          <t>Referto</t>
        </is>
      </c>
      <c r="Q2037" s="203" t="inlineStr">
        <is>
          <t>Cronometro</t>
        </is>
      </c>
      <c r="R2037" s="203" t="inlineStr">
        <is>
          <t>Foglio Tiri</t>
        </is>
      </c>
    </row>
    <row r="2038" ht="22" customHeight="1">
      <c r="A2038" s="90">
        <f>IF('Calendario D'!A118="","",'Calendario D'!A118)</f>
        <v/>
      </c>
      <c r="B2038" s="61">
        <f>IF('Calendario D'!B118="","",'Calendario D'!B118)</f>
        <v/>
      </c>
      <c r="C2038" s="62">
        <f>IF('Calendario D'!C118="","",'Calendario D'!C118)</f>
        <v/>
      </c>
      <c r="D2038" s="61">
        <f>IF('Calendario D'!D118="","",'Calendario D'!D118)</f>
        <v/>
      </c>
      <c r="E2038" s="62">
        <f>IF('Calendario D'!E118="","",'Calendario D'!E118)</f>
        <v/>
      </c>
      <c r="F2038" s="63">
        <f>IF('Calendario D'!F118="","",'Calendario D'!F118)</f>
        <v/>
      </c>
      <c r="G2038" s="9" t="n"/>
      <c r="H2038" s="9" t="n"/>
      <c r="I2038" s="10" t="n"/>
      <c r="J2038" s="195">
        <f>IF('Calendario D'!J118="","",'Calendario D'!J118)</f>
        <v/>
      </c>
      <c r="K2038" s="64" t="inlineStr">
        <is>
          <t>-</t>
        </is>
      </c>
      <c r="L2038" s="195">
        <f>IF('Calendario D'!L118="","",'Calendario D'!L118)</f>
        <v/>
      </c>
      <c r="M2038" s="196" t="inlineStr">
        <is>
          <t>VOGEL Giulia [Aest]</t>
        </is>
      </c>
      <c r="N2038" s="196" t="inlineStr">
        <is>
          <t>SANTORI Chiara [A]</t>
        </is>
      </c>
      <c r="O2038" s="196" t="inlineStr">
        <is>
          <t>ROSSINI Chiara [AAt]</t>
        </is>
      </c>
      <c r="P2038" s="196" t="inlineStr">
        <is>
          <t>VOGEL Sofia</t>
        </is>
      </c>
      <c r="Q2038" s="196" t="inlineStr">
        <is>
          <t>AUBERT Giulia</t>
        </is>
      </c>
      <c r="R2038" s="196" t="inlineStr">
        <is>
          <t>NADAUD Marco</t>
        </is>
      </c>
    </row>
    <row r="2039" ht="15" customHeight="1">
      <c r="A2039" s="141" t="n"/>
      <c r="B2039" s="69">
        <f>IF('Calendario D'!B119="","",'Calendario D'!B119)</f>
        <v/>
      </c>
      <c r="C2039" s="9" t="n"/>
      <c r="D2039" s="9" t="n"/>
      <c r="E2039" s="9" t="n"/>
      <c r="F2039" s="9" t="n"/>
      <c r="G2039" s="9" t="n"/>
      <c r="H2039" s="10" t="n"/>
      <c r="I2039" s="62">
        <f>IF('Calendario D'!I119="","",'Calendario D'!I119)</f>
        <v/>
      </c>
      <c r="J2039" s="141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</row>
    <row r="2040" ht="14" customHeight="1">
      <c r="A2040" s="88" t="inlineStr">
        <is>
          <t>Gara N.</t>
        </is>
      </c>
      <c r="B2040" s="88" t="inlineStr">
        <is>
          <t>Squadra A</t>
        </is>
      </c>
      <c r="C2040" s="10" t="n"/>
      <c r="D2040" s="88" t="inlineStr">
        <is>
          <t>Squadra B</t>
        </is>
      </c>
      <c r="E2040" s="10" t="n"/>
      <c r="F2040" s="88" t="inlineStr">
        <is>
          <t>Giorno</t>
        </is>
      </c>
      <c r="G2040" s="88" t="inlineStr">
        <is>
          <t>Data</t>
        </is>
      </c>
      <c r="H2040" s="88" t="inlineStr">
        <is>
          <t>Ora</t>
        </is>
      </c>
      <c r="I2040" s="10" t="n"/>
      <c r="J2040" s="88" t="inlineStr">
        <is>
          <t>Risultato</t>
        </is>
      </c>
      <c r="K2040" s="9" t="n"/>
      <c r="L2040" s="10" t="n"/>
      <c r="M2040" s="203" t="inlineStr">
        <is>
          <t>1o Arbitro</t>
        </is>
      </c>
      <c r="N2040" s="203" t="inlineStr">
        <is>
          <t>2o Arbitro</t>
        </is>
      </c>
      <c r="O2040" s="203" t="inlineStr">
        <is>
          <t>3o Arbitro/Tirocinante</t>
        </is>
      </c>
      <c r="P2040" s="203" t="inlineStr">
        <is>
          <t>Referto</t>
        </is>
      </c>
      <c r="Q2040" s="203" t="inlineStr">
        <is>
          <t>Cronometro</t>
        </is>
      </c>
      <c r="R2040" s="203" t="inlineStr">
        <is>
          <t>Foglio Tiri</t>
        </is>
      </c>
    </row>
    <row r="2041" ht="22" customHeight="1">
      <c r="A2041" s="90">
        <f>IF('Calendario D'!A121="","",'Calendario D'!A121)</f>
        <v/>
      </c>
      <c r="B2041" s="61">
        <f>IF('Calendario D'!B121="","",'Calendario D'!B121)</f>
        <v/>
      </c>
      <c r="C2041" s="62">
        <f>IF('Calendario D'!C121="","",'Calendario D'!C121)</f>
        <v/>
      </c>
      <c r="D2041" s="61">
        <f>IF('Calendario D'!D121="","",'Calendario D'!D121)</f>
        <v/>
      </c>
      <c r="E2041" s="62">
        <f>IF('Calendario D'!E121="","",'Calendario D'!E121)</f>
        <v/>
      </c>
      <c r="F2041" s="63">
        <f>IF('Calendario D'!F121="","",'Calendario D'!F121)</f>
        <v/>
      </c>
      <c r="G2041" s="9" t="n"/>
      <c r="H2041" s="9" t="n"/>
      <c r="I2041" s="10" t="n"/>
      <c r="J2041" s="195">
        <f>IF('Calendario D'!J121="","",'Calendario D'!J121)</f>
        <v/>
      </c>
      <c r="K2041" s="64" t="inlineStr">
        <is>
          <t>-</t>
        </is>
      </c>
      <c r="L2041" s="195">
        <f>IF('Calendario D'!L121="","",'Calendario D'!L121)</f>
        <v/>
      </c>
      <c r="M2041" s="196" t="inlineStr">
        <is>
          <t>CAMPOS Felix [Aest]</t>
        </is>
      </c>
      <c r="N2041" s="196" t="inlineStr">
        <is>
          <t>LANGER Sofia [A]</t>
        </is>
      </c>
      <c r="O2041" s="196" t="inlineStr">
        <is>
          <t>PELLEGRI Chiara [AAt]</t>
        </is>
      </c>
      <c r="P2041" s="196" t="inlineStr">
        <is>
          <t>NADAUD Mathilde</t>
        </is>
      </c>
      <c r="Q2041" s="196" t="inlineStr">
        <is>
          <t>BELLANDI Irene</t>
        </is>
      </c>
      <c r="R2041" s="196" t="inlineStr">
        <is>
          <t>BELLANDI Tommaso</t>
        </is>
      </c>
    </row>
    <row r="2042" ht="15" customHeight="1">
      <c r="A2042" s="141" t="n"/>
      <c r="B2042" s="69">
        <f>IF('Calendario D'!B122="","",'Calendario D'!B122)</f>
        <v/>
      </c>
      <c r="C2042" s="9" t="n"/>
      <c r="D2042" s="9" t="n"/>
      <c r="E2042" s="9" t="n"/>
      <c r="F2042" s="9" t="n"/>
      <c r="G2042" s="9" t="n"/>
      <c r="H2042" s="10" t="n"/>
      <c r="I2042" s="62">
        <f>IF('Calendario D'!I122="","",'Calendario D'!I122)</f>
        <v/>
      </c>
      <c r="J2042" s="141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</row>
    <row r="2043" ht="14" customHeight="1">
      <c r="A2043" s="88" t="inlineStr">
        <is>
          <t>Gara N.</t>
        </is>
      </c>
      <c r="B2043" s="88" t="inlineStr">
        <is>
          <t>Squadra A</t>
        </is>
      </c>
      <c r="C2043" s="10" t="n"/>
      <c r="D2043" s="88" t="inlineStr">
        <is>
          <t>Squadra B</t>
        </is>
      </c>
      <c r="E2043" s="10" t="n"/>
      <c r="F2043" s="88" t="inlineStr">
        <is>
          <t>Giorno</t>
        </is>
      </c>
      <c r="G2043" s="88" t="inlineStr">
        <is>
          <t>Data</t>
        </is>
      </c>
      <c r="H2043" s="88" t="inlineStr">
        <is>
          <t>Ora</t>
        </is>
      </c>
      <c r="I2043" s="10" t="n"/>
      <c r="J2043" s="88" t="inlineStr">
        <is>
          <t>Risultato</t>
        </is>
      </c>
      <c r="K2043" s="9" t="n"/>
      <c r="L2043" s="10" t="n"/>
      <c r="M2043" s="203" t="inlineStr">
        <is>
          <t>1o Arbitro</t>
        </is>
      </c>
      <c r="N2043" s="203" t="inlineStr">
        <is>
          <t>2o Arbitro</t>
        </is>
      </c>
      <c r="O2043" s="203" t="inlineStr">
        <is>
          <t>3o Arbitro/Tirocinante</t>
        </is>
      </c>
      <c r="P2043" s="203" t="inlineStr">
        <is>
          <t>Referto</t>
        </is>
      </c>
      <c r="Q2043" s="203" t="inlineStr">
        <is>
          <t>Cronometro</t>
        </is>
      </c>
      <c r="R2043" s="203" t="inlineStr">
        <is>
          <t>Foglio Tiri</t>
        </is>
      </c>
    </row>
    <row r="2044" ht="22" customHeight="1">
      <c r="A2044" s="90">
        <f>IF('Calendario D'!A124="","",'Calendario D'!A124)</f>
        <v/>
      </c>
      <c r="B2044" s="61">
        <f>IF('Calendario D'!B124="","",'Calendario D'!B124)</f>
        <v/>
      </c>
      <c r="C2044" s="62">
        <f>IF('Calendario D'!C124="","",'Calendario D'!C124)</f>
        <v/>
      </c>
      <c r="D2044" s="61">
        <f>IF('Calendario D'!D124="","",'Calendario D'!D124)</f>
        <v/>
      </c>
      <c r="E2044" s="62">
        <f>IF('Calendario D'!E124="","",'Calendario D'!E124)</f>
        <v/>
      </c>
      <c r="F2044" s="63">
        <f>IF('Calendario D'!F124="","",'Calendario D'!F124)</f>
        <v/>
      </c>
      <c r="G2044" s="9" t="n"/>
      <c r="H2044" s="9" t="n"/>
      <c r="I2044" s="10" t="n"/>
      <c r="J2044" s="195">
        <f>IF('Calendario D'!J124="","",'Calendario D'!J124)</f>
        <v/>
      </c>
      <c r="K2044" s="64" t="inlineStr">
        <is>
          <t>-</t>
        </is>
      </c>
      <c r="L2044" s="195">
        <f>IF('Calendario D'!L124="","",'Calendario D'!L124)</f>
        <v/>
      </c>
      <c r="M2044" s="196" t="inlineStr">
        <is>
          <t>BLANCHET Diego [A]</t>
        </is>
      </c>
      <c r="N2044" s="196" t="inlineStr">
        <is>
          <t>ROTH Andrea [AAt]</t>
        </is>
      </c>
      <c r="O2044" s="196" t="inlineStr">
        <is>
          <t>HOFFMANN Ottavia [AA]</t>
        </is>
      </c>
      <c r="P2044" s="196" t="inlineStr">
        <is>
          <t>IGLESIAS Irene</t>
        </is>
      </c>
      <c r="Q2044" s="196" t="inlineStr">
        <is>
          <t>HORVAT Matteo</t>
        </is>
      </c>
      <c r="R2044" s="196" t="inlineStr">
        <is>
          <t>MODIC Marco</t>
        </is>
      </c>
    </row>
    <row r="2045" ht="15" customHeight="1">
      <c r="A2045" s="141" t="n"/>
      <c r="B2045" s="69">
        <f>IF('Calendario D'!B125="","",'Calendario D'!B125)</f>
        <v/>
      </c>
      <c r="C2045" s="9" t="n"/>
      <c r="D2045" s="9" t="n"/>
      <c r="E2045" s="9" t="n"/>
      <c r="F2045" s="9" t="n"/>
      <c r="G2045" s="9" t="n"/>
      <c r="H2045" s="10" t="n"/>
      <c r="I2045" s="62">
        <f>IF('Calendario D'!I125="","",'Calendario D'!I125)</f>
        <v/>
      </c>
      <c r="J2045" s="141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</row>
    <row r="2046" ht="14" customHeight="1">
      <c r="A2046" s="88" t="inlineStr">
        <is>
          <t>Gara N.</t>
        </is>
      </c>
      <c r="B2046" s="88" t="inlineStr">
        <is>
          <t>Squadra A</t>
        </is>
      </c>
      <c r="C2046" s="10" t="n"/>
      <c r="D2046" s="88" t="inlineStr">
        <is>
          <t>Squadra B</t>
        </is>
      </c>
      <c r="E2046" s="10" t="n"/>
      <c r="F2046" s="88" t="inlineStr">
        <is>
          <t>Giorno</t>
        </is>
      </c>
      <c r="G2046" s="88" t="inlineStr">
        <is>
          <t>Data</t>
        </is>
      </c>
      <c r="H2046" s="88" t="inlineStr">
        <is>
          <t>Ora</t>
        </is>
      </c>
      <c r="I2046" s="10" t="n"/>
      <c r="J2046" s="88" t="inlineStr">
        <is>
          <t>Risultato</t>
        </is>
      </c>
      <c r="K2046" s="9" t="n"/>
      <c r="L2046" s="10" t="n"/>
      <c r="M2046" s="203" t="inlineStr">
        <is>
          <t>1o Arbitro</t>
        </is>
      </c>
      <c r="N2046" s="203" t="inlineStr">
        <is>
          <t>2o Arbitro</t>
        </is>
      </c>
      <c r="O2046" s="203" t="inlineStr">
        <is>
          <t>3o Arbitro/Tirocinante</t>
        </is>
      </c>
      <c r="P2046" s="203" t="inlineStr">
        <is>
          <t>Referto</t>
        </is>
      </c>
      <c r="Q2046" s="203" t="inlineStr">
        <is>
          <t>Cronometro</t>
        </is>
      </c>
      <c r="R2046" s="203" t="inlineStr">
        <is>
          <t>Foglio Tiri</t>
        </is>
      </c>
    </row>
    <row r="2047" ht="22" customHeight="1">
      <c r="A2047" s="90">
        <f>IF('Calendario D'!A127="","",'Calendario D'!A127)</f>
        <v/>
      </c>
      <c r="B2047" s="61">
        <f>IF('Calendario D'!B127="","",'Calendario D'!B127)</f>
        <v/>
      </c>
      <c r="C2047" s="62">
        <f>IF('Calendario D'!C127="","",'Calendario D'!C127)</f>
        <v/>
      </c>
      <c r="D2047" s="61">
        <f>IF('Calendario D'!D127="","",'Calendario D'!D127)</f>
        <v/>
      </c>
      <c r="E2047" s="62">
        <f>IF('Calendario D'!E127="","",'Calendario D'!E127)</f>
        <v/>
      </c>
      <c r="F2047" s="63">
        <f>IF('Calendario D'!F127="","",'Calendario D'!F127)</f>
        <v/>
      </c>
      <c r="G2047" s="9" t="n"/>
      <c r="H2047" s="9" t="n"/>
      <c r="I2047" s="10" t="n"/>
      <c r="J2047" s="195">
        <f>IF('Calendario D'!J127="","",'Calendario D'!J127)</f>
        <v/>
      </c>
      <c r="K2047" s="64" t="inlineStr">
        <is>
          <t>-</t>
        </is>
      </c>
      <c r="L2047" s="195">
        <f>IF('Calendario D'!L127="","",'Calendario D'!L127)</f>
        <v/>
      </c>
      <c r="M2047" s="196" t="inlineStr">
        <is>
          <t>MARCHIONI Paolo [AAt]</t>
        </is>
      </c>
      <c r="N2047" s="196" t="inlineStr">
        <is>
          <t>MARCHIONI Lukas [AAt]</t>
        </is>
      </c>
      <c r="O2047" s="196" t="inlineStr">
        <is>
          <t>HOFFMANN Anja [A]</t>
        </is>
      </c>
      <c r="P2047" s="196" t="inlineStr">
        <is>
          <t>BLANCHET Marta</t>
        </is>
      </c>
      <c r="Q2047" s="196" t="inlineStr">
        <is>
          <t>CAMPOS Martina</t>
        </is>
      </c>
      <c r="R2047" s="196" t="inlineStr">
        <is>
          <t>SEVER Greta</t>
        </is>
      </c>
    </row>
    <row r="2048" ht="15" customHeight="1">
      <c r="A2048" s="141" t="n"/>
      <c r="B2048" s="69">
        <f>IF('Calendario D'!B128="","",'Calendario D'!B128)</f>
        <v/>
      </c>
      <c r="C2048" s="9" t="n"/>
      <c r="D2048" s="9" t="n"/>
      <c r="E2048" s="9" t="n"/>
      <c r="F2048" s="9" t="n"/>
      <c r="G2048" s="9" t="n"/>
      <c r="H2048" s="10" t="n"/>
      <c r="I2048" s="62">
        <f>IF('Calendario D'!I128="","",'Calendario D'!I128)</f>
        <v/>
      </c>
      <c r="J2048" s="141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</row>
    <row r="2049" ht="14" customHeight="1">
      <c r="A2049" s="88" t="inlineStr">
        <is>
          <t>Gara N.</t>
        </is>
      </c>
      <c r="B2049" s="88" t="inlineStr">
        <is>
          <t>Squadra A</t>
        </is>
      </c>
      <c r="C2049" s="10" t="n"/>
      <c r="D2049" s="88" t="inlineStr">
        <is>
          <t>Squadra B</t>
        </is>
      </c>
      <c r="E2049" s="10" t="n"/>
      <c r="F2049" s="88" t="inlineStr">
        <is>
          <t>Giorno</t>
        </is>
      </c>
      <c r="G2049" s="88" t="inlineStr">
        <is>
          <t>Data</t>
        </is>
      </c>
      <c r="H2049" s="88" t="inlineStr">
        <is>
          <t>Ora</t>
        </is>
      </c>
      <c r="I2049" s="10" t="n"/>
      <c r="J2049" s="88" t="inlineStr">
        <is>
          <t>Risultato</t>
        </is>
      </c>
      <c r="K2049" s="9" t="n"/>
      <c r="L2049" s="10" t="n"/>
      <c r="M2049" s="203" t="inlineStr">
        <is>
          <t>1o Arbitro</t>
        </is>
      </c>
      <c r="N2049" s="203" t="inlineStr">
        <is>
          <t>2o Arbitro</t>
        </is>
      </c>
      <c r="O2049" s="203" t="inlineStr">
        <is>
          <t>3o Arbitro/Tirocinante</t>
        </is>
      </c>
      <c r="P2049" s="203" t="inlineStr">
        <is>
          <t>Referto</t>
        </is>
      </c>
      <c r="Q2049" s="203" t="inlineStr">
        <is>
          <t>Cronometro</t>
        </is>
      </c>
      <c r="R2049" s="203" t="inlineStr">
        <is>
          <t>Foglio Tiri</t>
        </is>
      </c>
    </row>
    <row r="2050" ht="22" customHeight="1">
      <c r="A2050" s="90">
        <f>IF('Calendario D'!A130="","",'Calendario D'!A130)</f>
        <v/>
      </c>
      <c r="B2050" s="61">
        <f>IF('Calendario D'!B130="","",'Calendario D'!B130)</f>
        <v/>
      </c>
      <c r="C2050" s="62">
        <f>IF('Calendario D'!C130="","",'Calendario D'!C130)</f>
        <v/>
      </c>
      <c r="D2050" s="61">
        <f>IF('Calendario D'!D130="","",'Calendario D'!D130)</f>
        <v/>
      </c>
      <c r="E2050" s="62">
        <f>IF('Calendario D'!E130="","",'Calendario D'!E130)</f>
        <v/>
      </c>
      <c r="F2050" s="63">
        <f>IF('Calendario D'!F130="","",'Calendario D'!F130)</f>
        <v/>
      </c>
      <c r="G2050" s="9" t="n"/>
      <c r="H2050" s="9" t="n"/>
      <c r="I2050" s="10" t="n"/>
      <c r="J2050" s="195">
        <f>IF('Calendario D'!J130="","",'Calendario D'!J130)</f>
        <v/>
      </c>
      <c r="K2050" s="64" t="inlineStr">
        <is>
          <t>-</t>
        </is>
      </c>
      <c r="L2050" s="195">
        <f>IF('Calendario D'!L130="","",'Calendario D'!L130)</f>
        <v/>
      </c>
      <c r="M2050" s="196" t="inlineStr">
        <is>
          <t>LEROUX Diego [AAt]</t>
        </is>
      </c>
      <c r="N2050" s="196" t="inlineStr">
        <is>
          <t>WEBER Andrea [AAt]</t>
        </is>
      </c>
      <c r="O2050" s="196" t="inlineStr">
        <is>
          <t>BLANCO Tommaso [AAt]</t>
        </is>
      </c>
      <c r="P2050" s="196" t="inlineStr">
        <is>
          <t>LEFEVRE Noemi</t>
        </is>
      </c>
      <c r="Q2050" s="196" t="inlineStr">
        <is>
          <t>FUENTES Anja</t>
        </is>
      </c>
      <c r="R2050" s="196" t="inlineStr">
        <is>
          <t>ROTH Lucia</t>
        </is>
      </c>
    </row>
    <row r="2051" ht="15" customHeight="1">
      <c r="A2051" s="141" t="n"/>
      <c r="B2051" s="69">
        <f>IF('Calendario D'!B131="","",'Calendario D'!B131)</f>
        <v/>
      </c>
      <c r="C2051" s="9" t="n"/>
      <c r="D2051" s="9" t="n"/>
      <c r="E2051" s="9" t="n"/>
      <c r="F2051" s="9" t="n"/>
      <c r="G2051" s="9" t="n"/>
      <c r="H2051" s="10" t="n"/>
      <c r="I2051" s="62">
        <f>IF('Calendario D'!I131="","",'Calendario D'!I131)</f>
        <v/>
      </c>
      <c r="J2051" s="141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</row>
    <row r="2052" ht="14" customHeight="1">
      <c r="A2052" s="88" t="inlineStr">
        <is>
          <t>Gara N.</t>
        </is>
      </c>
      <c r="B2052" s="88" t="inlineStr">
        <is>
          <t>Squadra A</t>
        </is>
      </c>
      <c r="C2052" s="10" t="n"/>
      <c r="D2052" s="88" t="inlineStr">
        <is>
          <t>Squadra B</t>
        </is>
      </c>
      <c r="E2052" s="10" t="n"/>
      <c r="F2052" s="88" t="inlineStr">
        <is>
          <t>Giorno</t>
        </is>
      </c>
      <c r="G2052" s="88" t="inlineStr">
        <is>
          <t>Data</t>
        </is>
      </c>
      <c r="H2052" s="88" t="inlineStr">
        <is>
          <t>Ora</t>
        </is>
      </c>
      <c r="I2052" s="10" t="n"/>
      <c r="J2052" s="88" t="inlineStr">
        <is>
          <t>Risultato</t>
        </is>
      </c>
      <c r="K2052" s="9" t="n"/>
      <c r="L2052" s="10" t="n"/>
      <c r="M2052" s="203" t="inlineStr">
        <is>
          <t>1o Arbitro</t>
        </is>
      </c>
      <c r="N2052" s="203" t="inlineStr">
        <is>
          <t>2o Arbitro</t>
        </is>
      </c>
      <c r="O2052" s="203" t="inlineStr">
        <is>
          <t>3o Arbitro/Tirocinante</t>
        </is>
      </c>
      <c r="P2052" s="203" t="inlineStr">
        <is>
          <t>Referto</t>
        </is>
      </c>
      <c r="Q2052" s="203" t="inlineStr">
        <is>
          <t>Cronometro</t>
        </is>
      </c>
      <c r="R2052" s="203" t="inlineStr">
        <is>
          <t>Foglio Tiri</t>
        </is>
      </c>
    </row>
    <row r="2053" ht="22" customHeight="1">
      <c r="A2053" s="90">
        <f>IF('Calendario D'!A133="","",'Calendario D'!A133)</f>
        <v/>
      </c>
      <c r="B2053" s="61">
        <f>IF('Calendario D'!B133="","",'Calendario D'!B133)</f>
        <v/>
      </c>
      <c r="C2053" s="62">
        <f>IF('Calendario D'!C133="","",'Calendario D'!C133)</f>
        <v/>
      </c>
      <c r="D2053" s="61">
        <f>IF('Calendario D'!D133="","",'Calendario D'!D133)</f>
        <v/>
      </c>
      <c r="E2053" s="62">
        <f>IF('Calendario D'!E133="","",'Calendario D'!E133)</f>
        <v/>
      </c>
      <c r="F2053" s="63">
        <f>IF('Calendario D'!F133="","",'Calendario D'!F133)</f>
        <v/>
      </c>
      <c r="G2053" s="9" t="n"/>
      <c r="H2053" s="9" t="n"/>
      <c r="I2053" s="10" t="n"/>
      <c r="J2053" s="195">
        <f>IF('Calendario D'!J133="","",'Calendario D'!J133)</f>
        <v/>
      </c>
      <c r="K2053" s="64" t="inlineStr">
        <is>
          <t>-</t>
        </is>
      </c>
      <c r="L2053" s="195">
        <f>IF('Calendario D'!L133="","",'Calendario D'!L133)</f>
        <v/>
      </c>
      <c r="M2053" s="196" t="inlineStr">
        <is>
          <t>KELLER Mathilde [Aest]</t>
        </is>
      </c>
      <c r="N2053" s="196" t="inlineStr">
        <is>
          <t>HOFFMANN Anja [A]</t>
        </is>
      </c>
      <c r="O2053" s="196" t="inlineStr">
        <is>
          <t>OBLAK Jonas [AAt]</t>
        </is>
      </c>
      <c r="P2053" s="196" t="inlineStr">
        <is>
          <t>PRADO Stefano</t>
        </is>
      </c>
      <c r="Q2053" s="196" t="inlineStr">
        <is>
          <t>CARON Anja</t>
        </is>
      </c>
      <c r="R2053" s="196" t="inlineStr">
        <is>
          <t>SOLER Pablo</t>
        </is>
      </c>
    </row>
    <row r="2054" ht="15" customHeight="1">
      <c r="A2054" s="141" t="n"/>
      <c r="B2054" s="69">
        <f>IF('Calendario D'!B134="","",'Calendario D'!B134)</f>
        <v/>
      </c>
      <c r="C2054" s="9" t="n"/>
      <c r="D2054" s="9" t="n"/>
      <c r="E2054" s="9" t="n"/>
      <c r="F2054" s="9" t="n"/>
      <c r="G2054" s="9" t="n"/>
      <c r="H2054" s="10" t="n"/>
      <c r="I2054" s="62">
        <f>IF('Calendario D'!I134="","",'Calendario D'!I134)</f>
        <v/>
      </c>
      <c r="J2054" s="141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</row>
    <row r="2056" ht="20" customHeight="1">
      <c r="A2056" s="85">
        <f>IF('Calendario D'!A136="","",'Calendario D'!A136)</f>
        <v/>
      </c>
      <c r="B2056" s="86">
        <f>IF('Calendario D'!B136="","",'Calendario D'!B136)</f>
        <v/>
      </c>
      <c r="C2056" s="9" t="n"/>
      <c r="D2056" s="9" t="n"/>
      <c r="E2056" s="9" t="n"/>
      <c r="F2056" s="9" t="n"/>
      <c r="G2056" s="9" t="n"/>
      <c r="H2056" s="9" t="n"/>
      <c r="I2056" s="9" t="n"/>
      <c r="J2056" s="9" t="n"/>
      <c r="K2056" s="9" t="n"/>
      <c r="L2056" s="10" t="n"/>
      <c r="M2056" s="202" t="inlineStr">
        <is>
          <t>ARBITRI</t>
        </is>
      </c>
      <c r="N2056" s="9" t="n"/>
      <c r="O2056" s="10" t="n"/>
      <c r="P2056" s="202" t="inlineStr">
        <is>
          <t>UFFICIALI DI CAMPO</t>
        </is>
      </c>
      <c r="Q2056" s="9" t="n"/>
      <c r="R2056" s="10" t="n"/>
    </row>
    <row r="2057" ht="14" customHeight="1">
      <c r="A2057" s="88" t="inlineStr">
        <is>
          <t>Gara N.</t>
        </is>
      </c>
      <c r="B2057" s="88" t="inlineStr">
        <is>
          <t>Squadra A</t>
        </is>
      </c>
      <c r="C2057" s="10" t="n"/>
      <c r="D2057" s="88" t="inlineStr">
        <is>
          <t>Squadra B</t>
        </is>
      </c>
      <c r="E2057" s="10" t="n"/>
      <c r="F2057" s="88" t="inlineStr">
        <is>
          <t>Giorno</t>
        </is>
      </c>
      <c r="G2057" s="88" t="inlineStr">
        <is>
          <t>Data</t>
        </is>
      </c>
      <c r="H2057" s="88" t="inlineStr">
        <is>
          <t>Ora</t>
        </is>
      </c>
      <c r="I2057" s="10" t="n"/>
      <c r="J2057" s="88" t="inlineStr">
        <is>
          <t>Risultato</t>
        </is>
      </c>
      <c r="K2057" s="9" t="n"/>
      <c r="L2057" s="10" t="n"/>
      <c r="M2057" s="203" t="inlineStr">
        <is>
          <t>1o Arbitro</t>
        </is>
      </c>
      <c r="N2057" s="203" t="inlineStr">
        <is>
          <t>2o Arbitro</t>
        </is>
      </c>
      <c r="O2057" s="203" t="inlineStr">
        <is>
          <t>3o Arbitro/Tirocinante</t>
        </is>
      </c>
      <c r="P2057" s="203" t="inlineStr">
        <is>
          <t>Referto</t>
        </is>
      </c>
      <c r="Q2057" s="203" t="inlineStr">
        <is>
          <t>Cronometro</t>
        </is>
      </c>
      <c r="R2057" s="203" t="inlineStr">
        <is>
          <t>Foglio Tiri</t>
        </is>
      </c>
    </row>
    <row r="2058" ht="22" customHeight="1">
      <c r="A2058" s="90">
        <f>IF('Calendario D'!A138="","",'Calendario D'!A138)</f>
        <v/>
      </c>
      <c r="B2058" s="61">
        <f>IF('Calendario D'!B138="","",'Calendario D'!B138)</f>
        <v/>
      </c>
      <c r="C2058" s="62">
        <f>IF('Calendario D'!C138="","",'Calendario D'!C138)</f>
        <v/>
      </c>
      <c r="D2058" s="61">
        <f>IF('Calendario D'!D138="","",'Calendario D'!D138)</f>
        <v/>
      </c>
      <c r="E2058" s="62">
        <f>IF('Calendario D'!E138="","",'Calendario D'!E138)</f>
        <v/>
      </c>
      <c r="F2058" s="63">
        <f>IF('Calendario D'!F138="","",'Calendario D'!F138)</f>
        <v/>
      </c>
      <c r="G2058" s="9" t="n"/>
      <c r="H2058" s="9" t="n"/>
      <c r="I2058" s="10" t="n"/>
      <c r="J2058" s="195">
        <f>IF('Calendario D'!J138="","",'Calendario D'!J138)</f>
        <v/>
      </c>
      <c r="K2058" s="64" t="inlineStr">
        <is>
          <t>-</t>
        </is>
      </c>
      <c r="L2058" s="195">
        <f>IF('Calendario D'!L138="","",'Calendario D'!L138)</f>
        <v/>
      </c>
      <c r="M2058" s="196" t="inlineStr">
        <is>
          <t>KELLER Marta [AAt]</t>
        </is>
      </c>
      <c r="N2058" s="196" t="inlineStr">
        <is>
          <t>CARON Davide [Aest]</t>
        </is>
      </c>
      <c r="O2058" s="196" t="inlineStr">
        <is>
          <t>BELLANDI Matteo [AA]</t>
        </is>
      </c>
      <c r="P2058" s="196" t="inlineStr">
        <is>
          <t>LEROUX Beatrice</t>
        </is>
      </c>
      <c r="Q2058" s="196" t="inlineStr">
        <is>
          <t>SANTORI Filippo</t>
        </is>
      </c>
      <c r="R2058" s="196" t="inlineStr">
        <is>
          <t>IGLESIAS Irene</t>
        </is>
      </c>
    </row>
    <row r="2059" ht="15" customHeight="1">
      <c r="A2059" s="141" t="n"/>
      <c r="B2059" s="69">
        <f>IF('Calendario D'!B139="","",'Calendario D'!B139)</f>
        <v/>
      </c>
      <c r="C2059" s="9" t="n"/>
      <c r="D2059" s="9" t="n"/>
      <c r="E2059" s="9" t="n"/>
      <c r="F2059" s="9" t="n"/>
      <c r="G2059" s="9" t="n"/>
      <c r="H2059" s="10" t="n"/>
      <c r="I2059" s="62">
        <f>IF('Calendario D'!I139="","",'Calendario D'!I139)</f>
        <v/>
      </c>
      <c r="J2059" s="141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</row>
    <row r="2060" ht="14" customHeight="1">
      <c r="A2060" s="88" t="inlineStr">
        <is>
          <t>Gara N.</t>
        </is>
      </c>
      <c r="B2060" s="88" t="inlineStr">
        <is>
          <t>Squadra A</t>
        </is>
      </c>
      <c r="C2060" s="10" t="n"/>
      <c r="D2060" s="88" t="inlineStr">
        <is>
          <t>Squadra B</t>
        </is>
      </c>
      <c r="E2060" s="10" t="n"/>
      <c r="F2060" s="88" t="inlineStr">
        <is>
          <t>Giorno</t>
        </is>
      </c>
      <c r="G2060" s="88" t="inlineStr">
        <is>
          <t>Data</t>
        </is>
      </c>
      <c r="H2060" s="88" t="inlineStr">
        <is>
          <t>Ora</t>
        </is>
      </c>
      <c r="I2060" s="10" t="n"/>
      <c r="J2060" s="88" t="inlineStr">
        <is>
          <t>Risultato</t>
        </is>
      </c>
      <c r="K2060" s="9" t="n"/>
      <c r="L2060" s="10" t="n"/>
      <c r="M2060" s="203" t="inlineStr">
        <is>
          <t>1o Arbitro</t>
        </is>
      </c>
      <c r="N2060" s="203" t="inlineStr">
        <is>
          <t>2o Arbitro</t>
        </is>
      </c>
      <c r="O2060" s="203" t="inlineStr">
        <is>
          <t>3o Arbitro/Tirocinante</t>
        </is>
      </c>
      <c r="P2060" s="203" t="inlineStr">
        <is>
          <t>Referto</t>
        </is>
      </c>
      <c r="Q2060" s="203" t="inlineStr">
        <is>
          <t>Cronometro</t>
        </is>
      </c>
      <c r="R2060" s="203" t="inlineStr">
        <is>
          <t>Foglio Tiri</t>
        </is>
      </c>
    </row>
    <row r="2061" ht="22" customHeight="1">
      <c r="A2061" s="90">
        <f>IF('Calendario D'!A141="","",'Calendario D'!A141)</f>
        <v/>
      </c>
      <c r="B2061" s="61">
        <f>IF('Calendario D'!B141="","",'Calendario D'!B141)</f>
        <v/>
      </c>
      <c r="C2061" s="62">
        <f>IF('Calendario D'!C141="","",'Calendario D'!C141)</f>
        <v/>
      </c>
      <c r="D2061" s="61">
        <f>IF('Calendario D'!D141="","",'Calendario D'!D141)</f>
        <v/>
      </c>
      <c r="E2061" s="62">
        <f>IF('Calendario D'!E141="","",'Calendario D'!E141)</f>
        <v/>
      </c>
      <c r="F2061" s="63">
        <f>IF('Calendario D'!F141="","",'Calendario D'!F141)</f>
        <v/>
      </c>
      <c r="G2061" s="9" t="n"/>
      <c r="H2061" s="9" t="n"/>
      <c r="I2061" s="10" t="n"/>
      <c r="J2061" s="195">
        <f>IF('Calendario D'!J141="","",'Calendario D'!J141)</f>
        <v/>
      </c>
      <c r="K2061" s="64" t="inlineStr">
        <is>
          <t>-</t>
        </is>
      </c>
      <c r="L2061" s="195">
        <f>IF('Calendario D'!L141="","",'Calendario D'!L141)</f>
        <v/>
      </c>
      <c r="M2061" s="196" t="inlineStr">
        <is>
          <t>KELLER Mathilde [Aest]</t>
        </is>
      </c>
      <c r="N2061" s="196" t="inlineStr">
        <is>
          <t>MORETTO Anja [Aest]</t>
        </is>
      </c>
      <c r="O2061" s="196" t="inlineStr">
        <is>
          <t>PELLEGRI Paolo [AAt]</t>
        </is>
      </c>
      <c r="P2061" s="196" t="inlineStr">
        <is>
          <t>VOGEL Greta</t>
        </is>
      </c>
      <c r="Q2061" s="196" t="inlineStr">
        <is>
          <t>KELLER Jonas</t>
        </is>
      </c>
      <c r="R2061" s="196" t="inlineStr">
        <is>
          <t>SANTORI Pablo</t>
        </is>
      </c>
    </row>
    <row r="2062" ht="15" customHeight="1">
      <c r="A2062" s="141" t="n"/>
      <c r="B2062" s="69">
        <f>IF('Calendario D'!B142="","",'Calendario D'!B142)</f>
        <v/>
      </c>
      <c r="C2062" s="9" t="n"/>
      <c r="D2062" s="9" t="n"/>
      <c r="E2062" s="9" t="n"/>
      <c r="F2062" s="9" t="n"/>
      <c r="G2062" s="9" t="n"/>
      <c r="H2062" s="10" t="n"/>
      <c r="I2062" s="62">
        <f>IF('Calendario D'!I142="","",'Calendario D'!I142)</f>
        <v/>
      </c>
      <c r="J2062" s="141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</row>
    <row r="2063" ht="14" customHeight="1">
      <c r="A2063" s="88" t="inlineStr">
        <is>
          <t>Gara N.</t>
        </is>
      </c>
      <c r="B2063" s="88" t="inlineStr">
        <is>
          <t>Squadra A</t>
        </is>
      </c>
      <c r="C2063" s="10" t="n"/>
      <c r="D2063" s="88" t="inlineStr">
        <is>
          <t>Squadra B</t>
        </is>
      </c>
      <c r="E2063" s="10" t="n"/>
      <c r="F2063" s="88" t="inlineStr">
        <is>
          <t>Giorno</t>
        </is>
      </c>
      <c r="G2063" s="88" t="inlineStr">
        <is>
          <t>Data</t>
        </is>
      </c>
      <c r="H2063" s="88" t="inlineStr">
        <is>
          <t>Ora</t>
        </is>
      </c>
      <c r="I2063" s="10" t="n"/>
      <c r="J2063" s="88" t="inlineStr">
        <is>
          <t>Risultato</t>
        </is>
      </c>
      <c r="K2063" s="9" t="n"/>
      <c r="L2063" s="10" t="n"/>
      <c r="M2063" s="203" t="inlineStr">
        <is>
          <t>1o Arbitro</t>
        </is>
      </c>
      <c r="N2063" s="203" t="inlineStr">
        <is>
          <t>2o Arbitro</t>
        </is>
      </c>
      <c r="O2063" s="203" t="inlineStr">
        <is>
          <t>3o Arbitro/Tirocinante</t>
        </is>
      </c>
      <c r="P2063" s="203" t="inlineStr">
        <is>
          <t>Referto</t>
        </is>
      </c>
      <c r="Q2063" s="203" t="inlineStr">
        <is>
          <t>Cronometro</t>
        </is>
      </c>
      <c r="R2063" s="203" t="inlineStr">
        <is>
          <t>Foglio Tiri</t>
        </is>
      </c>
    </row>
    <row r="2064" ht="22" customHeight="1">
      <c r="A2064" s="90">
        <f>IF('Calendario D'!A144="","",'Calendario D'!A144)</f>
        <v/>
      </c>
      <c r="B2064" s="61">
        <f>IF('Calendario D'!B144="","",'Calendario D'!B144)</f>
        <v/>
      </c>
      <c r="C2064" s="62">
        <f>IF('Calendario D'!C144="","",'Calendario D'!C144)</f>
        <v/>
      </c>
      <c r="D2064" s="61">
        <f>IF('Calendario D'!D144="","",'Calendario D'!D144)</f>
        <v/>
      </c>
      <c r="E2064" s="62">
        <f>IF('Calendario D'!E144="","",'Calendario D'!E144)</f>
        <v/>
      </c>
      <c r="F2064" s="63">
        <f>IF('Calendario D'!F144="","",'Calendario D'!F144)</f>
        <v/>
      </c>
      <c r="G2064" s="9" t="n"/>
      <c r="H2064" s="9" t="n"/>
      <c r="I2064" s="10" t="n"/>
      <c r="J2064" s="195">
        <f>IF('Calendario D'!J144="","",'Calendario D'!J144)</f>
        <v/>
      </c>
      <c r="K2064" s="64" t="inlineStr">
        <is>
          <t>-</t>
        </is>
      </c>
      <c r="L2064" s="195">
        <f>IF('Calendario D'!L144="","",'Calendario D'!L144)</f>
        <v/>
      </c>
      <c r="M2064" s="196" t="inlineStr">
        <is>
          <t>MODIC Gaelle [AA]</t>
        </is>
      </c>
      <c r="N2064" s="196" t="inlineStr">
        <is>
          <t>CONTARDI Giulia [AAt]</t>
        </is>
      </c>
      <c r="O2064" s="196" t="inlineStr">
        <is>
          <t>FOURNIER Ottavia [A]</t>
        </is>
      </c>
      <c r="P2064" s="196" t="inlineStr">
        <is>
          <t>GALLINI Irene</t>
        </is>
      </c>
      <c r="Q2064" s="196" t="inlineStr">
        <is>
          <t>KRUGER Vid</t>
        </is>
      </c>
      <c r="R2064" s="196" t="inlineStr">
        <is>
          <t>NADAUD Paula</t>
        </is>
      </c>
    </row>
    <row r="2065" ht="15" customHeight="1">
      <c r="A2065" s="141" t="n"/>
      <c r="B2065" s="69">
        <f>IF('Calendario D'!B145="","",'Calendario D'!B145)</f>
        <v/>
      </c>
      <c r="C2065" s="9" t="n"/>
      <c r="D2065" s="9" t="n"/>
      <c r="E2065" s="9" t="n"/>
      <c r="F2065" s="9" t="n"/>
      <c r="G2065" s="9" t="n"/>
      <c r="H2065" s="10" t="n"/>
      <c r="I2065" s="62">
        <f>IF('Calendario D'!I145="","",'Calendario D'!I145)</f>
        <v/>
      </c>
      <c r="J2065" s="141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</row>
    <row r="2066" ht="14" customHeight="1">
      <c r="A2066" s="88" t="inlineStr">
        <is>
          <t>Gara N.</t>
        </is>
      </c>
      <c r="B2066" s="88" t="inlineStr">
        <is>
          <t>Squadra A</t>
        </is>
      </c>
      <c r="C2066" s="10" t="n"/>
      <c r="D2066" s="88" t="inlineStr">
        <is>
          <t>Squadra B</t>
        </is>
      </c>
      <c r="E2066" s="10" t="n"/>
      <c r="F2066" s="88" t="inlineStr">
        <is>
          <t>Giorno</t>
        </is>
      </c>
      <c r="G2066" s="88" t="inlineStr">
        <is>
          <t>Data</t>
        </is>
      </c>
      <c r="H2066" s="88" t="inlineStr">
        <is>
          <t>Ora</t>
        </is>
      </c>
      <c r="I2066" s="10" t="n"/>
      <c r="J2066" s="88" t="inlineStr">
        <is>
          <t>Risultato</t>
        </is>
      </c>
      <c r="K2066" s="9" t="n"/>
      <c r="L2066" s="10" t="n"/>
      <c r="M2066" s="203" t="inlineStr">
        <is>
          <t>1o Arbitro</t>
        </is>
      </c>
      <c r="N2066" s="203" t="inlineStr">
        <is>
          <t>2o Arbitro</t>
        </is>
      </c>
      <c r="O2066" s="203" t="inlineStr">
        <is>
          <t>3o Arbitro/Tirocinante</t>
        </is>
      </c>
      <c r="P2066" s="203" t="inlineStr">
        <is>
          <t>Referto</t>
        </is>
      </c>
      <c r="Q2066" s="203" t="inlineStr">
        <is>
          <t>Cronometro</t>
        </is>
      </c>
      <c r="R2066" s="203" t="inlineStr">
        <is>
          <t>Foglio Tiri</t>
        </is>
      </c>
    </row>
    <row r="2067" ht="22" customHeight="1">
      <c r="A2067" s="90">
        <f>IF('Calendario D'!A147="","",'Calendario D'!A147)</f>
        <v/>
      </c>
      <c r="B2067" s="61">
        <f>IF('Calendario D'!B147="","",'Calendario D'!B147)</f>
        <v/>
      </c>
      <c r="C2067" s="62">
        <f>IF('Calendario D'!C147="","",'Calendario D'!C147)</f>
        <v/>
      </c>
      <c r="D2067" s="61">
        <f>IF('Calendario D'!D147="","",'Calendario D'!D147)</f>
        <v/>
      </c>
      <c r="E2067" s="62">
        <f>IF('Calendario D'!E147="","",'Calendario D'!E147)</f>
        <v/>
      </c>
      <c r="F2067" s="63">
        <f>IF('Calendario D'!F147="","",'Calendario D'!F147)</f>
        <v/>
      </c>
      <c r="G2067" s="9" t="n"/>
      <c r="H2067" s="9" t="n"/>
      <c r="I2067" s="10" t="n"/>
      <c r="J2067" s="195">
        <f>IF('Calendario D'!J147="","",'Calendario D'!J147)</f>
        <v/>
      </c>
      <c r="K2067" s="64" t="inlineStr">
        <is>
          <t>-</t>
        </is>
      </c>
      <c r="L2067" s="195">
        <f>IF('Calendario D'!L147="","",'Calendario D'!L147)</f>
        <v/>
      </c>
      <c r="M2067" s="196" t="inlineStr">
        <is>
          <t>OBLAK Lucia [AAt]</t>
        </is>
      </c>
      <c r="N2067" s="196" t="inlineStr">
        <is>
          <t>MORETTO Ottavia [A]</t>
        </is>
      </c>
      <c r="O2067" s="196" t="inlineStr">
        <is>
          <t>CASTILLO Ilaria [AAt]</t>
        </is>
      </c>
      <c r="P2067" s="196" t="inlineStr">
        <is>
          <t>VIDMAR Felix</t>
        </is>
      </c>
      <c r="Q2067" s="196" t="inlineStr">
        <is>
          <t>SEVER Ottavia</t>
        </is>
      </c>
      <c r="R2067" s="196" t="inlineStr">
        <is>
          <t>ROSSINI Filippo</t>
        </is>
      </c>
    </row>
    <row r="2068" ht="15" customHeight="1">
      <c r="A2068" s="141" t="n"/>
      <c r="B2068" s="69">
        <f>IF('Calendario D'!B148="","",'Calendario D'!B148)</f>
        <v/>
      </c>
      <c r="C2068" s="9" t="n"/>
      <c r="D2068" s="9" t="n"/>
      <c r="E2068" s="9" t="n"/>
      <c r="F2068" s="9" t="n"/>
      <c r="G2068" s="9" t="n"/>
      <c r="H2068" s="10" t="n"/>
      <c r="I2068" s="62">
        <f>IF('Calendario D'!I148="","",'Calendario D'!I148)</f>
        <v/>
      </c>
      <c r="J2068" s="141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</row>
    <row r="2069" ht="14" customHeight="1">
      <c r="A2069" s="88" t="inlineStr">
        <is>
          <t>Gara N.</t>
        </is>
      </c>
      <c r="B2069" s="88" t="inlineStr">
        <is>
          <t>Squadra A</t>
        </is>
      </c>
      <c r="C2069" s="10" t="n"/>
      <c r="D2069" s="88" t="inlineStr">
        <is>
          <t>Squadra B</t>
        </is>
      </c>
      <c r="E2069" s="10" t="n"/>
      <c r="F2069" s="88" t="inlineStr">
        <is>
          <t>Giorno</t>
        </is>
      </c>
      <c r="G2069" s="88" t="inlineStr">
        <is>
          <t>Data</t>
        </is>
      </c>
      <c r="H2069" s="88" t="inlineStr">
        <is>
          <t>Ora</t>
        </is>
      </c>
      <c r="I2069" s="10" t="n"/>
      <c r="J2069" s="88" t="inlineStr">
        <is>
          <t>Risultato</t>
        </is>
      </c>
      <c r="K2069" s="9" t="n"/>
      <c r="L2069" s="10" t="n"/>
      <c r="M2069" s="203" t="inlineStr">
        <is>
          <t>1o Arbitro</t>
        </is>
      </c>
      <c r="N2069" s="203" t="inlineStr">
        <is>
          <t>2o Arbitro</t>
        </is>
      </c>
      <c r="O2069" s="203" t="inlineStr">
        <is>
          <t>3o Arbitro/Tirocinante</t>
        </is>
      </c>
      <c r="P2069" s="203" t="inlineStr">
        <is>
          <t>Referto</t>
        </is>
      </c>
      <c r="Q2069" s="203" t="inlineStr">
        <is>
          <t>Cronometro</t>
        </is>
      </c>
      <c r="R2069" s="203" t="inlineStr">
        <is>
          <t>Foglio Tiri</t>
        </is>
      </c>
    </row>
    <row r="2070" ht="22" customHeight="1">
      <c r="A2070" s="90">
        <f>IF('Calendario D'!A150="","",'Calendario D'!A150)</f>
        <v/>
      </c>
      <c r="B2070" s="61">
        <f>IF('Calendario D'!B150="","",'Calendario D'!B150)</f>
        <v/>
      </c>
      <c r="C2070" s="62">
        <f>IF('Calendario D'!C150="","",'Calendario D'!C150)</f>
        <v/>
      </c>
      <c r="D2070" s="61">
        <f>IF('Calendario D'!D150="","",'Calendario D'!D150)</f>
        <v/>
      </c>
      <c r="E2070" s="62">
        <f>IF('Calendario D'!E150="","",'Calendario D'!E150)</f>
        <v/>
      </c>
      <c r="F2070" s="63">
        <f>IF('Calendario D'!F150="","",'Calendario D'!F150)</f>
        <v/>
      </c>
      <c r="G2070" s="9" t="n"/>
      <c r="H2070" s="9" t="n"/>
      <c r="I2070" s="10" t="n"/>
      <c r="J2070" s="195">
        <f>IF('Calendario D'!J150="","",'Calendario D'!J150)</f>
        <v/>
      </c>
      <c r="K2070" s="64" t="inlineStr">
        <is>
          <t>-</t>
        </is>
      </c>
      <c r="L2070" s="195">
        <f>IF('Calendario D'!L150="","",'Calendario D'!L150)</f>
        <v/>
      </c>
      <c r="M2070" s="196" t="inlineStr">
        <is>
          <t>CONTARDI Lea [AAt]</t>
        </is>
      </c>
      <c r="N2070" s="196" t="inlineStr">
        <is>
          <t>FOURNIER Matteo [AAt]</t>
        </is>
      </c>
      <c r="O2070" s="196" t="inlineStr">
        <is>
          <t>MORETTO Jonas [AAt]</t>
        </is>
      </c>
      <c r="P2070" s="196" t="inlineStr">
        <is>
          <t>CASTILLO Stefano</t>
        </is>
      </c>
      <c r="Q2070" s="196" t="inlineStr">
        <is>
          <t>BELLANDI Tommaso</t>
        </is>
      </c>
      <c r="R2070" s="196" t="inlineStr">
        <is>
          <t>KRAJNC Tommaso</t>
        </is>
      </c>
    </row>
    <row r="2071" ht="15" customHeight="1">
      <c r="A2071" s="141" t="n"/>
      <c r="B2071" s="69">
        <f>IF('Calendario D'!B151="","",'Calendario D'!B151)</f>
        <v/>
      </c>
      <c r="C2071" s="9" t="n"/>
      <c r="D2071" s="9" t="n"/>
      <c r="E2071" s="9" t="n"/>
      <c r="F2071" s="9" t="n"/>
      <c r="G2071" s="9" t="n"/>
      <c r="H2071" s="10" t="n"/>
      <c r="I2071" s="62">
        <f>IF('Calendario D'!I151="","",'Calendario D'!I151)</f>
        <v/>
      </c>
      <c r="J2071" s="141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</row>
    <row r="2072" ht="14" customHeight="1">
      <c r="A2072" s="88" t="inlineStr">
        <is>
          <t>Gara N.</t>
        </is>
      </c>
      <c r="B2072" s="88" t="inlineStr">
        <is>
          <t>Squadra A</t>
        </is>
      </c>
      <c r="C2072" s="10" t="n"/>
      <c r="D2072" s="88" t="inlineStr">
        <is>
          <t>Squadra B</t>
        </is>
      </c>
      <c r="E2072" s="10" t="n"/>
      <c r="F2072" s="88" t="inlineStr">
        <is>
          <t>Giorno</t>
        </is>
      </c>
      <c r="G2072" s="88" t="inlineStr">
        <is>
          <t>Data</t>
        </is>
      </c>
      <c r="H2072" s="88" t="inlineStr">
        <is>
          <t>Ora</t>
        </is>
      </c>
      <c r="I2072" s="10" t="n"/>
      <c r="J2072" s="88" t="inlineStr">
        <is>
          <t>Risultato</t>
        </is>
      </c>
      <c r="K2072" s="9" t="n"/>
      <c r="L2072" s="10" t="n"/>
      <c r="M2072" s="203" t="inlineStr">
        <is>
          <t>1o Arbitro</t>
        </is>
      </c>
      <c r="N2072" s="203" t="inlineStr">
        <is>
          <t>2o Arbitro</t>
        </is>
      </c>
      <c r="O2072" s="203" t="inlineStr">
        <is>
          <t>3o Arbitro/Tirocinante</t>
        </is>
      </c>
      <c r="P2072" s="203" t="inlineStr">
        <is>
          <t>Referto</t>
        </is>
      </c>
      <c r="Q2072" s="203" t="inlineStr">
        <is>
          <t>Cronometro</t>
        </is>
      </c>
      <c r="R2072" s="203" t="inlineStr">
        <is>
          <t>Foglio Tiri</t>
        </is>
      </c>
    </row>
    <row r="2073" ht="22" customHeight="1">
      <c r="A2073" s="90">
        <f>IF('Calendario D'!A153="","",'Calendario D'!A153)</f>
        <v/>
      </c>
      <c r="B2073" s="61">
        <f>IF('Calendario D'!B153="","",'Calendario D'!B153)</f>
        <v/>
      </c>
      <c r="C2073" s="62">
        <f>IF('Calendario D'!C153="","",'Calendario D'!C153)</f>
        <v/>
      </c>
      <c r="D2073" s="61">
        <f>IF('Calendario D'!D153="","",'Calendario D'!D153)</f>
        <v/>
      </c>
      <c r="E2073" s="62">
        <f>IF('Calendario D'!E153="","",'Calendario D'!E153)</f>
        <v/>
      </c>
      <c r="F2073" s="63">
        <f>IF('Calendario D'!F153="","",'Calendario D'!F153)</f>
        <v/>
      </c>
      <c r="G2073" s="9" t="n"/>
      <c r="H2073" s="9" t="n"/>
      <c r="I2073" s="10" t="n"/>
      <c r="J2073" s="195">
        <f>IF('Calendario D'!J153="","",'Calendario D'!J153)</f>
        <v/>
      </c>
      <c r="K2073" s="64" t="inlineStr">
        <is>
          <t>-</t>
        </is>
      </c>
      <c r="L2073" s="195">
        <f>IF('Calendario D'!L153="","",'Calendario D'!L153)</f>
        <v/>
      </c>
      <c r="M2073" s="196" t="inlineStr">
        <is>
          <t>BLANCO Ottavia [AA]</t>
        </is>
      </c>
      <c r="N2073" s="196" t="inlineStr">
        <is>
          <t>VALLET Felix [A]</t>
        </is>
      </c>
      <c r="O2073" s="196" t="inlineStr">
        <is>
          <t>BELLANDI Chiara [Aest]</t>
        </is>
      </c>
      <c r="P2073" s="196" t="inlineStr">
        <is>
          <t>CONTARDI Felix</t>
        </is>
      </c>
      <c r="Q2073" s="196" t="inlineStr">
        <is>
          <t>GAUTHIER Andrea</t>
        </is>
      </c>
      <c r="R2073" s="196" t="inlineStr">
        <is>
          <t>NOVAK Lukas</t>
        </is>
      </c>
    </row>
    <row r="2074" ht="15" customHeight="1">
      <c r="A2074" s="141" t="n"/>
      <c r="B2074" s="69">
        <f>IF('Calendario D'!B154="","",'Calendario D'!B154)</f>
        <v/>
      </c>
      <c r="C2074" s="9" t="n"/>
      <c r="D2074" s="9" t="n"/>
      <c r="E2074" s="9" t="n"/>
      <c r="F2074" s="9" t="n"/>
      <c r="G2074" s="9" t="n"/>
      <c r="H2074" s="10" t="n"/>
      <c r="I2074" s="62">
        <f>IF('Calendario D'!I154="","",'Calendario D'!I154)</f>
        <v/>
      </c>
      <c r="J2074" s="141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</row>
    <row r="2075" ht="14" customHeight="1">
      <c r="A2075" s="88" t="inlineStr">
        <is>
          <t>Gara N.</t>
        </is>
      </c>
      <c r="B2075" s="88" t="inlineStr">
        <is>
          <t>Squadra A</t>
        </is>
      </c>
      <c r="C2075" s="10" t="n"/>
      <c r="D2075" s="88" t="inlineStr">
        <is>
          <t>Squadra B</t>
        </is>
      </c>
      <c r="E2075" s="10" t="n"/>
      <c r="F2075" s="88" t="inlineStr">
        <is>
          <t>Giorno</t>
        </is>
      </c>
      <c r="G2075" s="88" t="inlineStr">
        <is>
          <t>Data</t>
        </is>
      </c>
      <c r="H2075" s="88" t="inlineStr">
        <is>
          <t>Ora</t>
        </is>
      </c>
      <c r="I2075" s="10" t="n"/>
      <c r="J2075" s="88" t="inlineStr">
        <is>
          <t>Risultato</t>
        </is>
      </c>
      <c r="K2075" s="9" t="n"/>
      <c r="L2075" s="10" t="n"/>
      <c r="M2075" s="203" t="inlineStr">
        <is>
          <t>1o Arbitro</t>
        </is>
      </c>
      <c r="N2075" s="203" t="inlineStr">
        <is>
          <t>2o Arbitro</t>
        </is>
      </c>
      <c r="O2075" s="203" t="inlineStr">
        <is>
          <t>3o Arbitro/Tirocinante</t>
        </is>
      </c>
      <c r="P2075" s="203" t="inlineStr">
        <is>
          <t>Referto</t>
        </is>
      </c>
      <c r="Q2075" s="203" t="inlineStr">
        <is>
          <t>Cronometro</t>
        </is>
      </c>
      <c r="R2075" s="203" t="inlineStr">
        <is>
          <t>Foglio Tiri</t>
        </is>
      </c>
    </row>
    <row r="2076" ht="22" customHeight="1">
      <c r="A2076" s="90">
        <f>IF('Calendario D'!A156="","",'Calendario D'!A156)</f>
        <v/>
      </c>
      <c r="B2076" s="61">
        <f>IF('Calendario D'!B156="","",'Calendario D'!B156)</f>
        <v/>
      </c>
      <c r="C2076" s="62">
        <f>IF('Calendario D'!C156="","",'Calendario D'!C156)</f>
        <v/>
      </c>
      <c r="D2076" s="61">
        <f>IF('Calendario D'!D156="","",'Calendario D'!D156)</f>
        <v/>
      </c>
      <c r="E2076" s="62">
        <f>IF('Calendario D'!E156="","",'Calendario D'!E156)</f>
        <v/>
      </c>
      <c r="F2076" s="63">
        <f>IF('Calendario D'!F156="","",'Calendario D'!F156)</f>
        <v/>
      </c>
      <c r="G2076" s="9" t="n"/>
      <c r="H2076" s="9" t="n"/>
      <c r="I2076" s="10" t="n"/>
      <c r="J2076" s="195">
        <f>IF('Calendario D'!J156="","",'Calendario D'!J156)</f>
        <v/>
      </c>
      <c r="K2076" s="64" t="inlineStr">
        <is>
          <t>-</t>
        </is>
      </c>
      <c r="L2076" s="195">
        <f>IF('Calendario D'!L156="","",'Calendario D'!L156)</f>
        <v/>
      </c>
      <c r="M2076" s="196" t="inlineStr">
        <is>
          <t>BIANCHELLI Tommaso [A]</t>
        </is>
      </c>
      <c r="N2076" s="196" t="inlineStr">
        <is>
          <t>SCHAFER Stefano [A]</t>
        </is>
      </c>
      <c r="O2076" s="196" t="inlineStr">
        <is>
          <t>ROTH Lea [A]</t>
        </is>
      </c>
      <c r="P2076" s="196" t="inlineStr">
        <is>
          <t>VOGEL Martina</t>
        </is>
      </c>
      <c r="Q2076" s="196" t="inlineStr">
        <is>
          <t>ENGEL Lucia</t>
        </is>
      </c>
      <c r="R2076" s="196" t="inlineStr">
        <is>
          <t>IGLESIAS Eva</t>
        </is>
      </c>
    </row>
    <row r="2077" ht="15" customHeight="1">
      <c r="A2077" s="141" t="n"/>
      <c r="B2077" s="69">
        <f>IF('Calendario D'!B157="","",'Calendario D'!B157)</f>
        <v/>
      </c>
      <c r="C2077" s="9" t="n"/>
      <c r="D2077" s="9" t="n"/>
      <c r="E2077" s="9" t="n"/>
      <c r="F2077" s="9" t="n"/>
      <c r="G2077" s="9" t="n"/>
      <c r="H2077" s="10" t="n"/>
      <c r="I2077" s="62">
        <f>IF('Calendario D'!I157="","",'Calendario D'!I157)</f>
        <v/>
      </c>
      <c r="J2077" s="141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</row>
    <row r="2078" ht="14" customHeight="1">
      <c r="A2078" s="88" t="inlineStr">
        <is>
          <t>Gara N.</t>
        </is>
      </c>
      <c r="B2078" s="88" t="inlineStr">
        <is>
          <t>Squadra A</t>
        </is>
      </c>
      <c r="C2078" s="10" t="n"/>
      <c r="D2078" s="88" t="inlineStr">
        <is>
          <t>Squadra B</t>
        </is>
      </c>
      <c r="E2078" s="10" t="n"/>
      <c r="F2078" s="88" t="inlineStr">
        <is>
          <t>Giorno</t>
        </is>
      </c>
      <c r="G2078" s="88" t="inlineStr">
        <is>
          <t>Data</t>
        </is>
      </c>
      <c r="H2078" s="88" t="inlineStr">
        <is>
          <t>Ora</t>
        </is>
      </c>
      <c r="I2078" s="10" t="n"/>
      <c r="J2078" s="88" t="inlineStr">
        <is>
          <t>Risultato</t>
        </is>
      </c>
      <c r="K2078" s="9" t="n"/>
      <c r="L2078" s="10" t="n"/>
      <c r="M2078" s="203" t="inlineStr">
        <is>
          <t>1o Arbitro</t>
        </is>
      </c>
      <c r="N2078" s="203" t="inlineStr">
        <is>
          <t>2o Arbitro</t>
        </is>
      </c>
      <c r="O2078" s="203" t="inlineStr">
        <is>
          <t>3o Arbitro/Tirocinante</t>
        </is>
      </c>
      <c r="P2078" s="203" t="inlineStr">
        <is>
          <t>Referto</t>
        </is>
      </c>
      <c r="Q2078" s="203" t="inlineStr">
        <is>
          <t>Cronometro</t>
        </is>
      </c>
      <c r="R2078" s="203" t="inlineStr">
        <is>
          <t>Foglio Tiri</t>
        </is>
      </c>
    </row>
    <row r="2079" ht="22" customHeight="1">
      <c r="A2079" s="90">
        <f>IF('Calendario D'!A159="","",'Calendario D'!A159)</f>
        <v/>
      </c>
      <c r="B2079" s="61">
        <f>IF('Calendario D'!B159="","",'Calendario D'!B159)</f>
        <v/>
      </c>
      <c r="C2079" s="62">
        <f>IF('Calendario D'!C159="","",'Calendario D'!C159)</f>
        <v/>
      </c>
      <c r="D2079" s="61">
        <f>IF('Calendario D'!D159="","",'Calendario D'!D159)</f>
        <v/>
      </c>
      <c r="E2079" s="62">
        <f>IF('Calendario D'!E159="","",'Calendario D'!E159)</f>
        <v/>
      </c>
      <c r="F2079" s="63">
        <f>IF('Calendario D'!F159="","",'Calendario D'!F159)</f>
        <v/>
      </c>
      <c r="G2079" s="9" t="n"/>
      <c r="H2079" s="9" t="n"/>
      <c r="I2079" s="10" t="n"/>
      <c r="J2079" s="195">
        <f>IF('Calendario D'!J159="","",'Calendario D'!J159)</f>
        <v/>
      </c>
      <c r="K2079" s="64" t="inlineStr">
        <is>
          <t>-</t>
        </is>
      </c>
      <c r="L2079" s="195">
        <f>IF('Calendario D'!L159="","",'Calendario D'!L159)</f>
        <v/>
      </c>
      <c r="M2079" s="196" t="inlineStr">
        <is>
          <t>HOFFMANN Anja [A]</t>
        </is>
      </c>
      <c r="N2079" s="196" t="inlineStr">
        <is>
          <t>CARON Davide [Aest]</t>
        </is>
      </c>
      <c r="O2079" s="196" t="inlineStr">
        <is>
          <t>BRANDT Stefano [AAt]</t>
        </is>
      </c>
      <c r="P2079" s="196" t="inlineStr">
        <is>
          <t>SCHAFER Lea</t>
        </is>
      </c>
      <c r="Q2079" s="196" t="inlineStr">
        <is>
          <t>BRANDT Paolo</t>
        </is>
      </c>
      <c r="R2079" s="196" t="inlineStr">
        <is>
          <t>IGLESIAS Hugo</t>
        </is>
      </c>
    </row>
    <row r="2080" ht="15" customHeight="1">
      <c r="A2080" s="141" t="n"/>
      <c r="B2080" s="69">
        <f>IF('Calendario D'!B160="","",'Calendario D'!B160)</f>
        <v/>
      </c>
      <c r="C2080" s="9" t="n"/>
      <c r="D2080" s="9" t="n"/>
      <c r="E2080" s="9" t="n"/>
      <c r="F2080" s="9" t="n"/>
      <c r="G2080" s="9" t="n"/>
      <c r="H2080" s="10" t="n"/>
      <c r="I2080" s="62">
        <f>IF('Calendario D'!I160="","",'Calendario D'!I160)</f>
        <v/>
      </c>
      <c r="J2080" s="141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</row>
    <row r="2081" ht="14" customHeight="1">
      <c r="A2081" s="88" t="inlineStr">
        <is>
          <t>Gara N.</t>
        </is>
      </c>
      <c r="B2081" s="88" t="inlineStr">
        <is>
          <t>Squadra A</t>
        </is>
      </c>
      <c r="C2081" s="10" t="n"/>
      <c r="D2081" s="88" t="inlineStr">
        <is>
          <t>Squadra B</t>
        </is>
      </c>
      <c r="E2081" s="10" t="n"/>
      <c r="F2081" s="88" t="inlineStr">
        <is>
          <t>Giorno</t>
        </is>
      </c>
      <c r="G2081" s="88" t="inlineStr">
        <is>
          <t>Data</t>
        </is>
      </c>
      <c r="H2081" s="88" t="inlineStr">
        <is>
          <t>Ora</t>
        </is>
      </c>
      <c r="I2081" s="10" t="n"/>
      <c r="J2081" s="88" t="inlineStr">
        <is>
          <t>Risultato</t>
        </is>
      </c>
      <c r="K2081" s="9" t="n"/>
      <c r="L2081" s="10" t="n"/>
      <c r="M2081" s="203" t="inlineStr">
        <is>
          <t>1o Arbitro</t>
        </is>
      </c>
      <c r="N2081" s="203" t="inlineStr">
        <is>
          <t>2o Arbitro</t>
        </is>
      </c>
      <c r="O2081" s="203" t="inlineStr">
        <is>
          <t>3o Arbitro/Tirocinante</t>
        </is>
      </c>
      <c r="P2081" s="203" t="inlineStr">
        <is>
          <t>Referto</t>
        </is>
      </c>
      <c r="Q2081" s="203" t="inlineStr">
        <is>
          <t>Cronometro</t>
        </is>
      </c>
      <c r="R2081" s="203" t="inlineStr">
        <is>
          <t>Foglio Tiri</t>
        </is>
      </c>
    </row>
    <row r="2082" ht="22" customHeight="1">
      <c r="A2082" s="90">
        <f>IF('Calendario D'!A162="","",'Calendario D'!A162)</f>
        <v/>
      </c>
      <c r="B2082" s="61">
        <f>IF('Calendario D'!B162="","",'Calendario D'!B162)</f>
        <v/>
      </c>
      <c r="C2082" s="62">
        <f>IF('Calendario D'!C162="","",'Calendario D'!C162)</f>
        <v/>
      </c>
      <c r="D2082" s="61">
        <f>IF('Calendario D'!D162="","",'Calendario D'!D162)</f>
        <v/>
      </c>
      <c r="E2082" s="62">
        <f>IF('Calendario D'!E162="","",'Calendario D'!E162)</f>
        <v/>
      </c>
      <c r="F2082" s="63">
        <f>IF('Calendario D'!F162="","",'Calendario D'!F162)</f>
        <v/>
      </c>
      <c r="G2082" s="9" t="n"/>
      <c r="H2082" s="9" t="n"/>
      <c r="I2082" s="10" t="n"/>
      <c r="J2082" s="195">
        <f>IF('Calendario D'!J162="","",'Calendario D'!J162)</f>
        <v/>
      </c>
      <c r="K2082" s="64" t="inlineStr">
        <is>
          <t>-</t>
        </is>
      </c>
      <c r="L2082" s="195">
        <f>IF('Calendario D'!L162="","",'Calendario D'!L162)</f>
        <v/>
      </c>
      <c r="M2082" s="196" t="inlineStr">
        <is>
          <t>CAMPOS Miha [Aest]</t>
        </is>
      </c>
      <c r="N2082" s="196" t="inlineStr">
        <is>
          <t>FUENTES Noemi [Aest]</t>
        </is>
      </c>
      <c r="O2082" s="196" t="inlineStr">
        <is>
          <t>FUENTES Marta [Aest]</t>
        </is>
      </c>
      <c r="P2082" s="196" t="inlineStr">
        <is>
          <t>HOFFMANN Davide</t>
        </is>
      </c>
      <c r="Q2082" s="196" t="inlineStr">
        <is>
          <t>ROMERO Irene</t>
        </is>
      </c>
      <c r="R2082" s="196" t="inlineStr">
        <is>
          <t>BLANCHET Marta</t>
        </is>
      </c>
    </row>
    <row r="2083" ht="15" customHeight="1">
      <c r="A2083" s="141" t="n"/>
      <c r="B2083" s="69">
        <f>IF('Calendario D'!B163="","",'Calendario D'!B163)</f>
        <v/>
      </c>
      <c r="C2083" s="9" t="n"/>
      <c r="D2083" s="9" t="n"/>
      <c r="E2083" s="9" t="n"/>
      <c r="F2083" s="9" t="n"/>
      <c r="G2083" s="9" t="n"/>
      <c r="H2083" s="10" t="n"/>
      <c r="I2083" s="62">
        <f>IF('Calendario D'!I163="","",'Calendario D'!I163)</f>
        <v/>
      </c>
      <c r="J2083" s="141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</row>
    <row r="2084" ht="14" customHeight="1">
      <c r="A2084" s="88" t="inlineStr">
        <is>
          <t>Gara N.</t>
        </is>
      </c>
      <c r="B2084" s="88" t="inlineStr">
        <is>
          <t>Squadra A</t>
        </is>
      </c>
      <c r="C2084" s="10" t="n"/>
      <c r="D2084" s="88" t="inlineStr">
        <is>
          <t>Squadra B</t>
        </is>
      </c>
      <c r="E2084" s="10" t="n"/>
      <c r="F2084" s="88" t="inlineStr">
        <is>
          <t>Giorno</t>
        </is>
      </c>
      <c r="G2084" s="88" t="inlineStr">
        <is>
          <t>Data</t>
        </is>
      </c>
      <c r="H2084" s="88" t="inlineStr">
        <is>
          <t>Ora</t>
        </is>
      </c>
      <c r="I2084" s="10" t="n"/>
      <c r="J2084" s="88" t="inlineStr">
        <is>
          <t>Risultato</t>
        </is>
      </c>
      <c r="K2084" s="9" t="n"/>
      <c r="L2084" s="10" t="n"/>
      <c r="M2084" s="203" t="inlineStr">
        <is>
          <t>1o Arbitro</t>
        </is>
      </c>
      <c r="N2084" s="203" t="inlineStr">
        <is>
          <t>2o Arbitro</t>
        </is>
      </c>
      <c r="O2084" s="203" t="inlineStr">
        <is>
          <t>3o Arbitro/Tirocinante</t>
        </is>
      </c>
      <c r="P2084" s="203" t="inlineStr">
        <is>
          <t>Referto</t>
        </is>
      </c>
      <c r="Q2084" s="203" t="inlineStr">
        <is>
          <t>Cronometro</t>
        </is>
      </c>
      <c r="R2084" s="203" t="inlineStr">
        <is>
          <t>Foglio Tiri</t>
        </is>
      </c>
    </row>
    <row r="2085" ht="22" customHeight="1">
      <c r="A2085" s="90">
        <f>IF('Calendario D'!A165="","",'Calendario D'!A165)</f>
        <v/>
      </c>
      <c r="B2085" s="61">
        <f>IF('Calendario D'!B165="","",'Calendario D'!B165)</f>
        <v/>
      </c>
      <c r="C2085" s="62">
        <f>IF('Calendario D'!C165="","",'Calendario D'!C165)</f>
        <v/>
      </c>
      <c r="D2085" s="61">
        <f>IF('Calendario D'!D165="","",'Calendario D'!D165)</f>
        <v/>
      </c>
      <c r="E2085" s="62">
        <f>IF('Calendario D'!E165="","",'Calendario D'!E165)</f>
        <v/>
      </c>
      <c r="F2085" s="63">
        <f>IF('Calendario D'!F165="","",'Calendario D'!F165)</f>
        <v/>
      </c>
      <c r="G2085" s="9" t="n"/>
      <c r="H2085" s="9" t="n"/>
      <c r="I2085" s="10" t="n"/>
      <c r="J2085" s="195">
        <f>IF('Calendario D'!J165="","",'Calendario D'!J165)</f>
        <v/>
      </c>
      <c r="K2085" s="64" t="inlineStr">
        <is>
          <t>-</t>
        </is>
      </c>
      <c r="L2085" s="195">
        <f>IF('Calendario D'!L165="","",'Calendario D'!L165)</f>
        <v/>
      </c>
      <c r="M2085" s="196" t="inlineStr">
        <is>
          <t>FUENTES Lukas [Aest]</t>
        </is>
      </c>
      <c r="N2085" s="196" t="inlineStr">
        <is>
          <t>FUENTES Marta [Aest]</t>
        </is>
      </c>
      <c r="O2085" s="196" t="inlineStr">
        <is>
          <t>ROSSINI Alenka [AAt]</t>
        </is>
      </c>
      <c r="P2085" s="196" t="inlineStr">
        <is>
          <t>MORETTO Lea</t>
        </is>
      </c>
      <c r="Q2085" s="196" t="inlineStr">
        <is>
          <t>HORVAT Irene</t>
        </is>
      </c>
      <c r="R2085" s="196" t="inlineStr">
        <is>
          <t>MARCHIONI Gaelle</t>
        </is>
      </c>
    </row>
    <row r="2086" ht="15" customHeight="1">
      <c r="A2086" s="141" t="n"/>
      <c r="B2086" s="69">
        <f>IF('Calendario D'!B166="","",'Calendario D'!B166)</f>
        <v/>
      </c>
      <c r="C2086" s="9" t="n"/>
      <c r="D2086" s="9" t="n"/>
      <c r="E2086" s="9" t="n"/>
      <c r="F2086" s="9" t="n"/>
      <c r="G2086" s="9" t="n"/>
      <c r="H2086" s="10" t="n"/>
      <c r="I2086" s="62">
        <f>IF('Calendario D'!I166="","",'Calendario D'!I166)</f>
        <v/>
      </c>
      <c r="J2086" s="141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</row>
    <row r="2088" ht="20" customHeight="1">
      <c r="A2088" s="85">
        <f>IF('Calendario D'!A168="","",'Calendario D'!A168)</f>
        <v/>
      </c>
      <c r="B2088" s="86">
        <f>IF('Calendario D'!B168="","",'Calendario D'!B168)</f>
        <v/>
      </c>
      <c r="C2088" s="9" t="n"/>
      <c r="D2088" s="9" t="n"/>
      <c r="E2088" s="9" t="n"/>
      <c r="F2088" s="9" t="n"/>
      <c r="G2088" s="9" t="n"/>
      <c r="H2088" s="9" t="n"/>
      <c r="I2088" s="9" t="n"/>
      <c r="J2088" s="9" t="n"/>
      <c r="K2088" s="9" t="n"/>
      <c r="L2088" s="10" t="n"/>
      <c r="M2088" s="202" t="inlineStr">
        <is>
          <t>ARBITRI</t>
        </is>
      </c>
      <c r="N2088" s="9" t="n"/>
      <c r="O2088" s="10" t="n"/>
      <c r="P2088" s="202" t="inlineStr">
        <is>
          <t>UFFICIALI DI CAMPO</t>
        </is>
      </c>
      <c r="Q2088" s="9" t="n"/>
      <c r="R2088" s="10" t="n"/>
    </row>
    <row r="2089" ht="14" customHeight="1">
      <c r="A2089" s="88" t="inlineStr">
        <is>
          <t>Gara N.</t>
        </is>
      </c>
      <c r="B2089" s="88" t="inlineStr">
        <is>
          <t>Squadra A</t>
        </is>
      </c>
      <c r="C2089" s="10" t="n"/>
      <c r="D2089" s="88" t="inlineStr">
        <is>
          <t>Squadra B</t>
        </is>
      </c>
      <c r="E2089" s="10" t="n"/>
      <c r="F2089" s="88" t="inlineStr">
        <is>
          <t>Giorno</t>
        </is>
      </c>
      <c r="G2089" s="88" t="inlineStr">
        <is>
          <t>Data</t>
        </is>
      </c>
      <c r="H2089" s="88" t="inlineStr">
        <is>
          <t>Ora</t>
        </is>
      </c>
      <c r="I2089" s="10" t="n"/>
      <c r="J2089" s="88" t="inlineStr">
        <is>
          <t>Risultato</t>
        </is>
      </c>
      <c r="K2089" s="9" t="n"/>
      <c r="L2089" s="10" t="n"/>
      <c r="M2089" s="203" t="inlineStr">
        <is>
          <t>1o Arbitro</t>
        </is>
      </c>
      <c r="N2089" s="203" t="inlineStr">
        <is>
          <t>2o Arbitro</t>
        </is>
      </c>
      <c r="O2089" s="203" t="inlineStr">
        <is>
          <t>3o Arbitro/Tirocinante</t>
        </is>
      </c>
      <c r="P2089" s="203" t="inlineStr">
        <is>
          <t>Referto</t>
        </is>
      </c>
      <c r="Q2089" s="203" t="inlineStr">
        <is>
          <t>Cronometro</t>
        </is>
      </c>
      <c r="R2089" s="203" t="inlineStr">
        <is>
          <t>Foglio Tiri</t>
        </is>
      </c>
    </row>
    <row r="2090" ht="22" customHeight="1">
      <c r="A2090" s="90">
        <f>IF('Calendario D'!A170="","",'Calendario D'!A170)</f>
        <v/>
      </c>
      <c r="B2090" s="61">
        <f>IF('Calendario D'!B170="","",'Calendario D'!B170)</f>
        <v/>
      </c>
      <c r="C2090" s="62">
        <f>IF('Calendario D'!C170="","",'Calendario D'!C170)</f>
        <v/>
      </c>
      <c r="D2090" s="61">
        <f>IF('Calendario D'!D170="","",'Calendario D'!D170)</f>
        <v/>
      </c>
      <c r="E2090" s="62">
        <f>IF('Calendario D'!E170="","",'Calendario D'!E170)</f>
        <v/>
      </c>
      <c r="F2090" s="63">
        <f>IF('Calendario D'!F170="","",'Calendario D'!F170)</f>
        <v/>
      </c>
      <c r="G2090" s="9" t="n"/>
      <c r="H2090" s="9" t="n"/>
      <c r="I2090" s="10" t="n"/>
      <c r="J2090" s="195">
        <f>IF('Calendario D'!J170="","",'Calendario D'!J170)</f>
        <v/>
      </c>
      <c r="K2090" s="64" t="inlineStr">
        <is>
          <t>-</t>
        </is>
      </c>
      <c r="L2090" s="195">
        <f>IF('Calendario D'!L170="","",'Calendario D'!L170)</f>
        <v/>
      </c>
      <c r="M2090" s="196" t="inlineStr">
        <is>
          <t>LEROUX Lea [Aest]</t>
        </is>
      </c>
      <c r="N2090" s="196" t="inlineStr">
        <is>
          <t>KRUGER Sofia [A]</t>
        </is>
      </c>
      <c r="O2090" s="196" t="inlineStr">
        <is>
          <t>ENGEL Noemi [Aest]</t>
        </is>
      </c>
      <c r="P2090" s="196" t="inlineStr">
        <is>
          <t>SANTORI Filippo</t>
        </is>
      </c>
      <c r="Q2090" s="196" t="inlineStr">
        <is>
          <t>SOLER Irene</t>
        </is>
      </c>
      <c r="R2090" s="196" t="inlineStr">
        <is>
          <t>CAMPOS Anja</t>
        </is>
      </c>
    </row>
    <row r="2091" ht="15" customHeight="1">
      <c r="A2091" s="141" t="n"/>
      <c r="B2091" s="69">
        <f>IF('Calendario D'!B171="","",'Calendario D'!B171)</f>
        <v/>
      </c>
      <c r="C2091" s="9" t="n"/>
      <c r="D2091" s="9" t="n"/>
      <c r="E2091" s="9" t="n"/>
      <c r="F2091" s="9" t="n"/>
      <c r="G2091" s="9" t="n"/>
      <c r="H2091" s="10" t="n"/>
      <c r="I2091" s="62">
        <f>IF('Calendario D'!I171="","",'Calendario D'!I171)</f>
        <v/>
      </c>
      <c r="J2091" s="141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</row>
    <row r="2092" ht="14" customHeight="1">
      <c r="A2092" s="88" t="inlineStr">
        <is>
          <t>Gara N.</t>
        </is>
      </c>
      <c r="B2092" s="88" t="inlineStr">
        <is>
          <t>Squadra A</t>
        </is>
      </c>
      <c r="C2092" s="10" t="n"/>
      <c r="D2092" s="88" t="inlineStr">
        <is>
          <t>Squadra B</t>
        </is>
      </c>
      <c r="E2092" s="10" t="n"/>
      <c r="F2092" s="88" t="inlineStr">
        <is>
          <t>Giorno</t>
        </is>
      </c>
      <c r="G2092" s="88" t="inlineStr">
        <is>
          <t>Data</t>
        </is>
      </c>
      <c r="H2092" s="88" t="inlineStr">
        <is>
          <t>Ora</t>
        </is>
      </c>
      <c r="I2092" s="10" t="n"/>
      <c r="J2092" s="88" t="inlineStr">
        <is>
          <t>Risultato</t>
        </is>
      </c>
      <c r="K2092" s="9" t="n"/>
      <c r="L2092" s="10" t="n"/>
      <c r="M2092" s="203" t="inlineStr">
        <is>
          <t>1o Arbitro</t>
        </is>
      </c>
      <c r="N2092" s="203" t="inlineStr">
        <is>
          <t>2o Arbitro</t>
        </is>
      </c>
      <c r="O2092" s="203" t="inlineStr">
        <is>
          <t>3o Arbitro/Tirocinante</t>
        </is>
      </c>
      <c r="P2092" s="203" t="inlineStr">
        <is>
          <t>Referto</t>
        </is>
      </c>
      <c r="Q2092" s="203" t="inlineStr">
        <is>
          <t>Cronometro</t>
        </is>
      </c>
      <c r="R2092" s="203" t="inlineStr">
        <is>
          <t>Foglio Tiri</t>
        </is>
      </c>
    </row>
    <row r="2093" ht="22" customHeight="1">
      <c r="A2093" s="90">
        <f>IF('Calendario D'!A173="","",'Calendario D'!A173)</f>
        <v/>
      </c>
      <c r="B2093" s="61">
        <f>IF('Calendario D'!B173="","",'Calendario D'!B173)</f>
        <v/>
      </c>
      <c r="C2093" s="62">
        <f>IF('Calendario D'!C173="","",'Calendario D'!C173)</f>
        <v/>
      </c>
      <c r="D2093" s="61">
        <f>IF('Calendario D'!D173="","",'Calendario D'!D173)</f>
        <v/>
      </c>
      <c r="E2093" s="62">
        <f>IF('Calendario D'!E173="","",'Calendario D'!E173)</f>
        <v/>
      </c>
      <c r="F2093" s="63">
        <f>IF('Calendario D'!F173="","",'Calendario D'!F173)</f>
        <v/>
      </c>
      <c r="G2093" s="9" t="n"/>
      <c r="H2093" s="9" t="n"/>
      <c r="I2093" s="10" t="n"/>
      <c r="J2093" s="195">
        <f>IF('Calendario D'!J173="","",'Calendario D'!J173)</f>
        <v/>
      </c>
      <c r="K2093" s="64" t="inlineStr">
        <is>
          <t>-</t>
        </is>
      </c>
      <c r="L2093" s="195">
        <f>IF('Calendario D'!L173="","",'Calendario D'!L173)</f>
        <v/>
      </c>
      <c r="M2093" s="196" t="inlineStr">
        <is>
          <t>PETERLIN Filippo [AAt]</t>
        </is>
      </c>
      <c r="N2093" s="196" t="inlineStr">
        <is>
          <t>KELLER Marta [AAt]</t>
        </is>
      </c>
      <c r="O2093" s="196" t="inlineStr">
        <is>
          <t>GALLINI Sofia [AA]</t>
        </is>
      </c>
      <c r="P2093" s="196" t="inlineStr">
        <is>
          <t>KELLER Pablo</t>
        </is>
      </c>
      <c r="Q2093" s="196" t="inlineStr">
        <is>
          <t>VOGEL Greta</t>
        </is>
      </c>
      <c r="R2093" s="196" t="inlineStr">
        <is>
          <t>NADAUD Jonas</t>
        </is>
      </c>
    </row>
    <row r="2094" ht="15" customHeight="1">
      <c r="A2094" s="141" t="n"/>
      <c r="B2094" s="69">
        <f>IF('Calendario D'!B174="","",'Calendario D'!B174)</f>
        <v/>
      </c>
      <c r="C2094" s="9" t="n"/>
      <c r="D2094" s="9" t="n"/>
      <c r="E2094" s="9" t="n"/>
      <c r="F2094" s="9" t="n"/>
      <c r="G2094" s="9" t="n"/>
      <c r="H2094" s="10" t="n"/>
      <c r="I2094" s="62">
        <f>IF('Calendario D'!I174="","",'Calendario D'!I174)</f>
        <v/>
      </c>
      <c r="J2094" s="141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</row>
    <row r="2095" ht="14" customHeight="1">
      <c r="A2095" s="88" t="inlineStr">
        <is>
          <t>Gara N.</t>
        </is>
      </c>
      <c r="B2095" s="88" t="inlineStr">
        <is>
          <t>Squadra A</t>
        </is>
      </c>
      <c r="C2095" s="10" t="n"/>
      <c r="D2095" s="88" t="inlineStr">
        <is>
          <t>Squadra B</t>
        </is>
      </c>
      <c r="E2095" s="10" t="n"/>
      <c r="F2095" s="88" t="inlineStr">
        <is>
          <t>Giorno</t>
        </is>
      </c>
      <c r="G2095" s="88" t="inlineStr">
        <is>
          <t>Data</t>
        </is>
      </c>
      <c r="H2095" s="88" t="inlineStr">
        <is>
          <t>Ora</t>
        </is>
      </c>
      <c r="I2095" s="10" t="n"/>
      <c r="J2095" s="88" t="inlineStr">
        <is>
          <t>Risultato</t>
        </is>
      </c>
      <c r="K2095" s="9" t="n"/>
      <c r="L2095" s="10" t="n"/>
      <c r="M2095" s="203" t="inlineStr">
        <is>
          <t>1o Arbitro</t>
        </is>
      </c>
      <c r="N2095" s="203" t="inlineStr">
        <is>
          <t>2o Arbitro</t>
        </is>
      </c>
      <c r="O2095" s="203" t="inlineStr">
        <is>
          <t>3o Arbitro/Tirocinante</t>
        </is>
      </c>
      <c r="P2095" s="203" t="inlineStr">
        <is>
          <t>Referto</t>
        </is>
      </c>
      <c r="Q2095" s="203" t="inlineStr">
        <is>
          <t>Cronometro</t>
        </is>
      </c>
      <c r="R2095" s="203" t="inlineStr">
        <is>
          <t>Foglio Tiri</t>
        </is>
      </c>
    </row>
    <row r="2096" ht="22" customHeight="1">
      <c r="A2096" s="90">
        <f>IF('Calendario D'!A176="","",'Calendario D'!A176)</f>
        <v/>
      </c>
      <c r="B2096" s="61">
        <f>IF('Calendario D'!B176="","",'Calendario D'!B176)</f>
        <v/>
      </c>
      <c r="C2096" s="62">
        <f>IF('Calendario D'!C176="","",'Calendario D'!C176)</f>
        <v/>
      </c>
      <c r="D2096" s="61">
        <f>IF('Calendario D'!D176="","",'Calendario D'!D176)</f>
        <v/>
      </c>
      <c r="E2096" s="62">
        <f>IF('Calendario D'!E176="","",'Calendario D'!E176)</f>
        <v/>
      </c>
      <c r="F2096" s="63">
        <f>IF('Calendario D'!F176="","",'Calendario D'!F176)</f>
        <v/>
      </c>
      <c r="G2096" s="9" t="n"/>
      <c r="H2096" s="9" t="n"/>
      <c r="I2096" s="10" t="n"/>
      <c r="J2096" s="195">
        <f>IF('Calendario D'!J176="","",'Calendario D'!J176)</f>
        <v/>
      </c>
      <c r="K2096" s="64" t="inlineStr">
        <is>
          <t>-</t>
        </is>
      </c>
      <c r="L2096" s="195">
        <f>IF('Calendario D'!L176="","",'Calendario D'!L176)</f>
        <v/>
      </c>
      <c r="M2096" s="196" t="inlineStr">
        <is>
          <t>SCHAFER Eva [AA]</t>
        </is>
      </c>
      <c r="N2096" s="196" t="inlineStr">
        <is>
          <t>LANGER Marta [A]</t>
        </is>
      </c>
      <c r="O2096" s="196" t="inlineStr">
        <is>
          <t>AUBERT Gaelle [AAt]</t>
        </is>
      </c>
      <c r="P2096" s="196" t="inlineStr">
        <is>
          <t>FERRANTE Nicola</t>
        </is>
      </c>
      <c r="Q2096" s="196" t="inlineStr">
        <is>
          <t>VOGEL Martina</t>
        </is>
      </c>
      <c r="R2096" s="196" t="inlineStr">
        <is>
          <t>MORETTO Noemi</t>
        </is>
      </c>
    </row>
    <row r="2097" ht="15" customHeight="1">
      <c r="A2097" s="141" t="n"/>
      <c r="B2097" s="69">
        <f>IF('Calendario D'!B177="","",'Calendario D'!B177)</f>
        <v/>
      </c>
      <c r="C2097" s="9" t="n"/>
      <c r="D2097" s="9" t="n"/>
      <c r="E2097" s="9" t="n"/>
      <c r="F2097" s="9" t="n"/>
      <c r="G2097" s="9" t="n"/>
      <c r="H2097" s="10" t="n"/>
      <c r="I2097" s="62">
        <f>IF('Calendario D'!I177="","",'Calendario D'!I177)</f>
        <v/>
      </c>
      <c r="J2097" s="141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</row>
    <row r="2098" ht="14" customHeight="1">
      <c r="A2098" s="88" t="inlineStr">
        <is>
          <t>Gara N.</t>
        </is>
      </c>
      <c r="B2098" s="88" t="inlineStr">
        <is>
          <t>Squadra A</t>
        </is>
      </c>
      <c r="C2098" s="10" t="n"/>
      <c r="D2098" s="88" t="inlineStr">
        <is>
          <t>Squadra B</t>
        </is>
      </c>
      <c r="E2098" s="10" t="n"/>
      <c r="F2098" s="88" t="inlineStr">
        <is>
          <t>Giorno</t>
        </is>
      </c>
      <c r="G2098" s="88" t="inlineStr">
        <is>
          <t>Data</t>
        </is>
      </c>
      <c r="H2098" s="88" t="inlineStr">
        <is>
          <t>Ora</t>
        </is>
      </c>
      <c r="I2098" s="10" t="n"/>
      <c r="J2098" s="88" t="inlineStr">
        <is>
          <t>Risultato</t>
        </is>
      </c>
      <c r="K2098" s="9" t="n"/>
      <c r="L2098" s="10" t="n"/>
      <c r="M2098" s="203" t="inlineStr">
        <is>
          <t>1o Arbitro</t>
        </is>
      </c>
      <c r="N2098" s="203" t="inlineStr">
        <is>
          <t>2o Arbitro</t>
        </is>
      </c>
      <c r="O2098" s="203" t="inlineStr">
        <is>
          <t>3o Arbitro/Tirocinante</t>
        </is>
      </c>
      <c r="P2098" s="203" t="inlineStr">
        <is>
          <t>Referto</t>
        </is>
      </c>
      <c r="Q2098" s="203" t="inlineStr">
        <is>
          <t>Cronometro</t>
        </is>
      </c>
      <c r="R2098" s="203" t="inlineStr">
        <is>
          <t>Foglio Tiri</t>
        </is>
      </c>
    </row>
    <row r="2099" ht="22" customHeight="1">
      <c r="A2099" s="90">
        <f>IF('Calendario D'!A179="","",'Calendario D'!A179)</f>
        <v/>
      </c>
      <c r="B2099" s="61">
        <f>IF('Calendario D'!B179="","",'Calendario D'!B179)</f>
        <v/>
      </c>
      <c r="C2099" s="62">
        <f>IF('Calendario D'!C179="","",'Calendario D'!C179)</f>
        <v/>
      </c>
      <c r="D2099" s="61">
        <f>IF('Calendario D'!D179="","",'Calendario D'!D179)</f>
        <v/>
      </c>
      <c r="E2099" s="62">
        <f>IF('Calendario D'!E179="","",'Calendario D'!E179)</f>
        <v/>
      </c>
      <c r="F2099" s="63">
        <f>IF('Calendario D'!F179="","",'Calendario D'!F179)</f>
        <v/>
      </c>
      <c r="G2099" s="9" t="n"/>
      <c r="H2099" s="9" t="n"/>
      <c r="I2099" s="10" t="n"/>
      <c r="J2099" s="195">
        <f>IF('Calendario D'!J179="","",'Calendario D'!J179)</f>
        <v/>
      </c>
      <c r="K2099" s="64" t="inlineStr">
        <is>
          <t>-</t>
        </is>
      </c>
      <c r="L2099" s="195">
        <f>IF('Calendario D'!L179="","",'Calendario D'!L179)</f>
        <v/>
      </c>
      <c r="M2099" s="196" t="inlineStr">
        <is>
          <t>BLANCHET Diego [A]</t>
        </is>
      </c>
      <c r="N2099" s="196" t="inlineStr">
        <is>
          <t>OBLAK Mathilde [A]</t>
        </is>
      </c>
      <c r="O2099" s="196" t="inlineStr">
        <is>
          <t>AUBERT Beatrice [AA]</t>
        </is>
      </c>
      <c r="P2099" s="196" t="inlineStr">
        <is>
          <t>KRUGER Vid</t>
        </is>
      </c>
      <c r="Q2099" s="196" t="inlineStr">
        <is>
          <t>ROTH Lukas</t>
        </is>
      </c>
      <c r="R2099" s="196" t="inlineStr">
        <is>
          <t>FUENTES Greta</t>
        </is>
      </c>
    </row>
    <row r="2100" ht="15" customHeight="1">
      <c r="A2100" s="141" t="n"/>
      <c r="B2100" s="69">
        <f>IF('Calendario D'!B180="","",'Calendario D'!B180)</f>
        <v/>
      </c>
      <c r="C2100" s="9" t="n"/>
      <c r="D2100" s="9" t="n"/>
      <c r="E2100" s="9" t="n"/>
      <c r="F2100" s="9" t="n"/>
      <c r="G2100" s="9" t="n"/>
      <c r="H2100" s="10" t="n"/>
      <c r="I2100" s="62">
        <f>IF('Calendario D'!I180="","",'Calendario D'!I180)</f>
        <v/>
      </c>
      <c r="J2100" s="141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</row>
    <row r="2101" ht="14" customHeight="1">
      <c r="A2101" s="88" t="inlineStr">
        <is>
          <t>Gara N.</t>
        </is>
      </c>
      <c r="B2101" s="88" t="inlineStr">
        <is>
          <t>Squadra A</t>
        </is>
      </c>
      <c r="C2101" s="10" t="n"/>
      <c r="D2101" s="88" t="inlineStr">
        <is>
          <t>Squadra B</t>
        </is>
      </c>
      <c r="E2101" s="10" t="n"/>
      <c r="F2101" s="88" t="inlineStr">
        <is>
          <t>Giorno</t>
        </is>
      </c>
      <c r="G2101" s="88" t="inlineStr">
        <is>
          <t>Data</t>
        </is>
      </c>
      <c r="H2101" s="88" t="inlineStr">
        <is>
          <t>Ora</t>
        </is>
      </c>
      <c r="I2101" s="10" t="n"/>
      <c r="J2101" s="88" t="inlineStr">
        <is>
          <t>Risultato</t>
        </is>
      </c>
      <c r="K2101" s="9" t="n"/>
      <c r="L2101" s="10" t="n"/>
      <c r="M2101" s="203" t="inlineStr">
        <is>
          <t>1o Arbitro</t>
        </is>
      </c>
      <c r="N2101" s="203" t="inlineStr">
        <is>
          <t>2o Arbitro</t>
        </is>
      </c>
      <c r="O2101" s="203" t="inlineStr">
        <is>
          <t>3o Arbitro/Tirocinante</t>
        </is>
      </c>
      <c r="P2101" s="203" t="inlineStr">
        <is>
          <t>Referto</t>
        </is>
      </c>
      <c r="Q2101" s="203" t="inlineStr">
        <is>
          <t>Cronometro</t>
        </is>
      </c>
      <c r="R2101" s="203" t="inlineStr">
        <is>
          <t>Foglio Tiri</t>
        </is>
      </c>
    </row>
    <row r="2102" ht="22" customHeight="1">
      <c r="A2102" s="90">
        <f>IF('Calendario D'!A182="","",'Calendario D'!A182)</f>
        <v/>
      </c>
      <c r="B2102" s="61">
        <f>IF('Calendario D'!B182="","",'Calendario D'!B182)</f>
        <v/>
      </c>
      <c r="C2102" s="62">
        <f>IF('Calendario D'!C182="","",'Calendario D'!C182)</f>
        <v/>
      </c>
      <c r="D2102" s="61">
        <f>IF('Calendario D'!D182="","",'Calendario D'!D182)</f>
        <v/>
      </c>
      <c r="E2102" s="62">
        <f>IF('Calendario D'!E182="","",'Calendario D'!E182)</f>
        <v/>
      </c>
      <c r="F2102" s="63">
        <f>IF('Calendario D'!F182="","",'Calendario D'!F182)</f>
        <v/>
      </c>
      <c r="G2102" s="9" t="n"/>
      <c r="H2102" s="9" t="n"/>
      <c r="I2102" s="10" t="n"/>
      <c r="J2102" s="195">
        <f>IF('Calendario D'!J182="","",'Calendario D'!J182)</f>
        <v/>
      </c>
      <c r="K2102" s="64" t="inlineStr">
        <is>
          <t>-</t>
        </is>
      </c>
      <c r="L2102" s="195">
        <f>IF('Calendario D'!L182="","",'Calendario D'!L182)</f>
        <v/>
      </c>
      <c r="M2102" s="196" t="inlineStr">
        <is>
          <t>PRADO Luca [AA]</t>
        </is>
      </c>
      <c r="N2102" s="196" t="inlineStr">
        <is>
          <t>SCHAFER Eva [AA]</t>
        </is>
      </c>
      <c r="O2102" s="196" t="inlineStr">
        <is>
          <t>GALLINI Gaelle [A]</t>
        </is>
      </c>
      <c r="P2102" s="196" t="inlineStr">
        <is>
          <t>BIANCHELLI Katrin</t>
        </is>
      </c>
      <c r="Q2102" s="196" t="inlineStr">
        <is>
          <t>ROTH Andrea</t>
        </is>
      </c>
      <c r="R2102" s="196" t="inlineStr">
        <is>
          <t>ZUPAN Alenka</t>
        </is>
      </c>
    </row>
    <row r="2103" ht="15" customHeight="1">
      <c r="A2103" s="141" t="n"/>
      <c r="B2103" s="69">
        <f>IF('Calendario D'!B183="","",'Calendario D'!B183)</f>
        <v/>
      </c>
      <c r="C2103" s="9" t="n"/>
      <c r="D2103" s="9" t="n"/>
      <c r="E2103" s="9" t="n"/>
      <c r="F2103" s="9" t="n"/>
      <c r="G2103" s="9" t="n"/>
      <c r="H2103" s="10" t="n"/>
      <c r="I2103" s="62">
        <f>IF('Calendario D'!I183="","",'Calendario D'!I183)</f>
        <v/>
      </c>
      <c r="J2103" s="141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</row>
    <row r="2104" ht="14" customHeight="1">
      <c r="A2104" s="88" t="inlineStr">
        <is>
          <t>Gara N.</t>
        </is>
      </c>
      <c r="B2104" s="88" t="inlineStr">
        <is>
          <t>Squadra A</t>
        </is>
      </c>
      <c r="C2104" s="10" t="n"/>
      <c r="D2104" s="88" t="inlineStr">
        <is>
          <t>Squadra B</t>
        </is>
      </c>
      <c r="E2104" s="10" t="n"/>
      <c r="F2104" s="88" t="inlineStr">
        <is>
          <t>Giorno</t>
        </is>
      </c>
      <c r="G2104" s="88" t="inlineStr">
        <is>
          <t>Data</t>
        </is>
      </c>
      <c r="H2104" s="88" t="inlineStr">
        <is>
          <t>Ora</t>
        </is>
      </c>
      <c r="I2104" s="10" t="n"/>
      <c r="J2104" s="88" t="inlineStr">
        <is>
          <t>Risultato</t>
        </is>
      </c>
      <c r="K2104" s="9" t="n"/>
      <c r="L2104" s="10" t="n"/>
      <c r="M2104" s="203" t="inlineStr">
        <is>
          <t>1o Arbitro</t>
        </is>
      </c>
      <c r="N2104" s="203" t="inlineStr">
        <is>
          <t>2o Arbitro</t>
        </is>
      </c>
      <c r="O2104" s="203" t="inlineStr">
        <is>
          <t>3o Arbitro/Tirocinante</t>
        </is>
      </c>
      <c r="P2104" s="203" t="inlineStr">
        <is>
          <t>Referto</t>
        </is>
      </c>
      <c r="Q2104" s="203" t="inlineStr">
        <is>
          <t>Cronometro</t>
        </is>
      </c>
      <c r="R2104" s="203" t="inlineStr">
        <is>
          <t>Foglio Tiri</t>
        </is>
      </c>
    </row>
    <row r="2105" ht="22" customHeight="1">
      <c r="A2105" s="90">
        <f>IF('Calendario D'!A185="","",'Calendario D'!A185)</f>
        <v/>
      </c>
      <c r="B2105" s="61">
        <f>IF('Calendario D'!B185="","",'Calendario D'!B185)</f>
        <v/>
      </c>
      <c r="C2105" s="62">
        <f>IF('Calendario D'!C185="","",'Calendario D'!C185)</f>
        <v/>
      </c>
      <c r="D2105" s="61">
        <f>IF('Calendario D'!D185="","",'Calendario D'!D185)</f>
        <v/>
      </c>
      <c r="E2105" s="62">
        <f>IF('Calendario D'!E185="","",'Calendario D'!E185)</f>
        <v/>
      </c>
      <c r="F2105" s="63">
        <f>IF('Calendario D'!F185="","",'Calendario D'!F185)</f>
        <v/>
      </c>
      <c r="G2105" s="9" t="n"/>
      <c r="H2105" s="9" t="n"/>
      <c r="I2105" s="10" t="n"/>
      <c r="J2105" s="195">
        <f>IF('Calendario D'!J185="","",'Calendario D'!J185)</f>
        <v/>
      </c>
      <c r="K2105" s="64" t="inlineStr">
        <is>
          <t>-</t>
        </is>
      </c>
      <c r="L2105" s="195">
        <f>IF('Calendario D'!L185="","",'Calendario D'!L185)</f>
        <v/>
      </c>
      <c r="M2105" s="196" t="inlineStr">
        <is>
          <t>ZUPAN Mathilde [A]</t>
        </is>
      </c>
      <c r="N2105" s="196" t="inlineStr">
        <is>
          <t>NAVARRO Gaelle [A]</t>
        </is>
      </c>
      <c r="O2105" s="196" t="inlineStr">
        <is>
          <t>BELLANDI Paula [A]</t>
        </is>
      </c>
      <c r="P2105" s="196" t="inlineStr">
        <is>
          <t>VOGEL Lea</t>
        </is>
      </c>
      <c r="Q2105" s="196" t="inlineStr">
        <is>
          <t>ORTEGA Alenka</t>
        </is>
      </c>
      <c r="R2105" s="196" t="inlineStr">
        <is>
          <t>SCHAFER Gaelle</t>
        </is>
      </c>
    </row>
    <row r="2106" ht="15" customHeight="1">
      <c r="A2106" s="141" t="n"/>
      <c r="B2106" s="69">
        <f>IF('Calendario D'!B186="","",'Calendario D'!B186)</f>
        <v/>
      </c>
      <c r="C2106" s="9" t="n"/>
      <c r="D2106" s="9" t="n"/>
      <c r="E2106" s="9" t="n"/>
      <c r="F2106" s="9" t="n"/>
      <c r="G2106" s="9" t="n"/>
      <c r="H2106" s="10" t="n"/>
      <c r="I2106" s="62">
        <f>IF('Calendario D'!I186="","",'Calendario D'!I186)</f>
        <v/>
      </c>
      <c r="J2106" s="141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</row>
    <row r="2107" ht="14" customHeight="1">
      <c r="A2107" s="88" t="inlineStr">
        <is>
          <t>Gara N.</t>
        </is>
      </c>
      <c r="B2107" s="88" t="inlineStr">
        <is>
          <t>Squadra A</t>
        </is>
      </c>
      <c r="C2107" s="10" t="n"/>
      <c r="D2107" s="88" t="inlineStr">
        <is>
          <t>Squadra B</t>
        </is>
      </c>
      <c r="E2107" s="10" t="n"/>
      <c r="F2107" s="88" t="inlineStr">
        <is>
          <t>Giorno</t>
        </is>
      </c>
      <c r="G2107" s="88" t="inlineStr">
        <is>
          <t>Data</t>
        </is>
      </c>
      <c r="H2107" s="88" t="inlineStr">
        <is>
          <t>Ora</t>
        </is>
      </c>
      <c r="I2107" s="10" t="n"/>
      <c r="J2107" s="88" t="inlineStr">
        <is>
          <t>Risultato</t>
        </is>
      </c>
      <c r="K2107" s="9" t="n"/>
      <c r="L2107" s="10" t="n"/>
      <c r="M2107" s="203" t="inlineStr">
        <is>
          <t>1o Arbitro</t>
        </is>
      </c>
      <c r="N2107" s="203" t="inlineStr">
        <is>
          <t>2o Arbitro</t>
        </is>
      </c>
      <c r="O2107" s="203" t="inlineStr">
        <is>
          <t>3o Arbitro/Tirocinante</t>
        </is>
      </c>
      <c r="P2107" s="203" t="inlineStr">
        <is>
          <t>Referto</t>
        </is>
      </c>
      <c r="Q2107" s="203" t="inlineStr">
        <is>
          <t>Cronometro</t>
        </is>
      </c>
      <c r="R2107" s="203" t="inlineStr">
        <is>
          <t>Foglio Tiri</t>
        </is>
      </c>
    </row>
    <row r="2108" ht="22" customHeight="1">
      <c r="A2108" s="90">
        <f>IF('Calendario D'!A188="","",'Calendario D'!A188)</f>
        <v/>
      </c>
      <c r="B2108" s="61">
        <f>IF('Calendario D'!B188="","",'Calendario D'!B188)</f>
        <v/>
      </c>
      <c r="C2108" s="62">
        <f>IF('Calendario D'!C188="","",'Calendario D'!C188)</f>
        <v/>
      </c>
      <c r="D2108" s="61">
        <f>IF('Calendario D'!D188="","",'Calendario D'!D188)</f>
        <v/>
      </c>
      <c r="E2108" s="62">
        <f>IF('Calendario D'!E188="","",'Calendario D'!E188)</f>
        <v/>
      </c>
      <c r="F2108" s="63">
        <f>IF('Calendario D'!F188="","",'Calendario D'!F188)</f>
        <v/>
      </c>
      <c r="G2108" s="9" t="n"/>
      <c r="H2108" s="9" t="n"/>
      <c r="I2108" s="10" t="n"/>
      <c r="J2108" s="195">
        <f>IF('Calendario D'!J188="","",'Calendario D'!J188)</f>
        <v/>
      </c>
      <c r="K2108" s="64" t="inlineStr">
        <is>
          <t>-</t>
        </is>
      </c>
      <c r="L2108" s="195">
        <f>IF('Calendario D'!L188="","",'Calendario D'!L188)</f>
        <v/>
      </c>
      <c r="M2108" s="196" t="inlineStr">
        <is>
          <t>FUENTES Noemi [Aest]</t>
        </is>
      </c>
      <c r="N2108" s="196" t="inlineStr">
        <is>
          <t>VALLET Tommaso [AAt]</t>
        </is>
      </c>
      <c r="O2108" s="196" t="inlineStr">
        <is>
          <t>SANTORI Sofia [AA]</t>
        </is>
      </c>
      <c r="P2108" s="196" t="inlineStr">
        <is>
          <t>KRAJNC Davide</t>
        </is>
      </c>
      <c r="Q2108" s="196" t="inlineStr">
        <is>
          <t>ZUPAN Greta</t>
        </is>
      </c>
      <c r="R2108" s="196" t="inlineStr">
        <is>
          <t>SCHAFER Katrin</t>
        </is>
      </c>
    </row>
    <row r="2109" ht="15" customHeight="1">
      <c r="A2109" s="141" t="n"/>
      <c r="B2109" s="69">
        <f>IF('Calendario D'!B189="","",'Calendario D'!B189)</f>
        <v/>
      </c>
      <c r="C2109" s="9" t="n"/>
      <c r="D2109" s="9" t="n"/>
      <c r="E2109" s="9" t="n"/>
      <c r="F2109" s="9" t="n"/>
      <c r="G2109" s="9" t="n"/>
      <c r="H2109" s="10" t="n"/>
      <c r="I2109" s="62">
        <f>IF('Calendario D'!I189="","",'Calendario D'!I189)</f>
        <v/>
      </c>
      <c r="J2109" s="141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</row>
    <row r="2110" ht="14" customHeight="1">
      <c r="A2110" s="88" t="inlineStr">
        <is>
          <t>Gara N.</t>
        </is>
      </c>
      <c r="B2110" s="88" t="inlineStr">
        <is>
          <t>Squadra A</t>
        </is>
      </c>
      <c r="C2110" s="10" t="n"/>
      <c r="D2110" s="88" t="inlineStr">
        <is>
          <t>Squadra B</t>
        </is>
      </c>
      <c r="E2110" s="10" t="n"/>
      <c r="F2110" s="88" t="inlineStr">
        <is>
          <t>Giorno</t>
        </is>
      </c>
      <c r="G2110" s="88" t="inlineStr">
        <is>
          <t>Data</t>
        </is>
      </c>
      <c r="H2110" s="88" t="inlineStr">
        <is>
          <t>Ora</t>
        </is>
      </c>
      <c r="I2110" s="10" t="n"/>
      <c r="J2110" s="88" t="inlineStr">
        <is>
          <t>Risultato</t>
        </is>
      </c>
      <c r="K2110" s="9" t="n"/>
      <c r="L2110" s="10" t="n"/>
      <c r="M2110" s="203" t="inlineStr">
        <is>
          <t>1o Arbitro</t>
        </is>
      </c>
      <c r="N2110" s="203" t="inlineStr">
        <is>
          <t>2o Arbitro</t>
        </is>
      </c>
      <c r="O2110" s="203" t="inlineStr">
        <is>
          <t>3o Arbitro/Tirocinante</t>
        </is>
      </c>
      <c r="P2110" s="203" t="inlineStr">
        <is>
          <t>Referto</t>
        </is>
      </c>
      <c r="Q2110" s="203" t="inlineStr">
        <is>
          <t>Cronometro</t>
        </is>
      </c>
      <c r="R2110" s="203" t="inlineStr">
        <is>
          <t>Foglio Tiri</t>
        </is>
      </c>
    </row>
    <row r="2111" ht="22" customHeight="1">
      <c r="A2111" s="90">
        <f>IF('Calendario D'!A191="","",'Calendario D'!A191)</f>
        <v/>
      </c>
      <c r="B2111" s="61">
        <f>IF('Calendario D'!B191="","",'Calendario D'!B191)</f>
        <v/>
      </c>
      <c r="C2111" s="62">
        <f>IF('Calendario D'!C191="","",'Calendario D'!C191)</f>
        <v/>
      </c>
      <c r="D2111" s="61">
        <f>IF('Calendario D'!D191="","",'Calendario D'!D191)</f>
        <v/>
      </c>
      <c r="E2111" s="62">
        <f>IF('Calendario D'!E191="","",'Calendario D'!E191)</f>
        <v/>
      </c>
      <c r="F2111" s="63">
        <f>IF('Calendario D'!F191="","",'Calendario D'!F191)</f>
        <v/>
      </c>
      <c r="G2111" s="9" t="n"/>
      <c r="H2111" s="9" t="n"/>
      <c r="I2111" s="10" t="n"/>
      <c r="J2111" s="195">
        <f>IF('Calendario D'!J191="","",'Calendario D'!J191)</f>
        <v/>
      </c>
      <c r="K2111" s="64" t="inlineStr">
        <is>
          <t>-</t>
        </is>
      </c>
      <c r="L2111" s="195">
        <f>IF('Calendario D'!L191="","",'Calendario D'!L191)</f>
        <v/>
      </c>
      <c r="M2111" s="196" t="inlineStr">
        <is>
          <t>SOLER Alenka [A]</t>
        </is>
      </c>
      <c r="N2111" s="196" t="inlineStr">
        <is>
          <t>LANGER Sofia [A]</t>
        </is>
      </c>
      <c r="O2111" s="196" t="inlineStr">
        <is>
          <t>SOLER Davide [A]</t>
        </is>
      </c>
      <c r="P2111" s="196" t="inlineStr">
        <is>
          <t>ZUPAN Noemi</t>
        </is>
      </c>
      <c r="Q2111" s="196" t="inlineStr">
        <is>
          <t>HOFFMANN Andrea</t>
        </is>
      </c>
      <c r="R2111" s="196" t="inlineStr">
        <is>
          <t>CASTILLO Noemi</t>
        </is>
      </c>
    </row>
    <row r="2112" ht="15" customHeight="1">
      <c r="A2112" s="141" t="n"/>
      <c r="B2112" s="69">
        <f>IF('Calendario D'!B192="","",'Calendario D'!B192)</f>
        <v/>
      </c>
      <c r="C2112" s="9" t="n"/>
      <c r="D2112" s="9" t="n"/>
      <c r="E2112" s="9" t="n"/>
      <c r="F2112" s="9" t="n"/>
      <c r="G2112" s="9" t="n"/>
      <c r="H2112" s="10" t="n"/>
      <c r="I2112" s="62">
        <f>IF('Calendario D'!I192="","",'Calendario D'!I192)</f>
        <v/>
      </c>
      <c r="J2112" s="141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</row>
    <row r="2113" ht="14" customHeight="1">
      <c r="A2113" s="88" t="inlineStr">
        <is>
          <t>Gara N.</t>
        </is>
      </c>
      <c r="B2113" s="88" t="inlineStr">
        <is>
          <t>Squadra A</t>
        </is>
      </c>
      <c r="C2113" s="10" t="n"/>
      <c r="D2113" s="88" t="inlineStr">
        <is>
          <t>Squadra B</t>
        </is>
      </c>
      <c r="E2113" s="10" t="n"/>
      <c r="F2113" s="88" t="inlineStr">
        <is>
          <t>Giorno</t>
        </is>
      </c>
      <c r="G2113" s="88" t="inlineStr">
        <is>
          <t>Data</t>
        </is>
      </c>
      <c r="H2113" s="88" t="inlineStr">
        <is>
          <t>Ora</t>
        </is>
      </c>
      <c r="I2113" s="10" t="n"/>
      <c r="J2113" s="88" t="inlineStr">
        <is>
          <t>Risultato</t>
        </is>
      </c>
      <c r="K2113" s="9" t="n"/>
      <c r="L2113" s="10" t="n"/>
      <c r="M2113" s="203" t="inlineStr">
        <is>
          <t>1o Arbitro</t>
        </is>
      </c>
      <c r="N2113" s="203" t="inlineStr">
        <is>
          <t>2o Arbitro</t>
        </is>
      </c>
      <c r="O2113" s="203" t="inlineStr">
        <is>
          <t>3o Arbitro/Tirocinante</t>
        </is>
      </c>
      <c r="P2113" s="203" t="inlineStr">
        <is>
          <t>Referto</t>
        </is>
      </c>
      <c r="Q2113" s="203" t="inlineStr">
        <is>
          <t>Cronometro</t>
        </is>
      </c>
      <c r="R2113" s="203" t="inlineStr">
        <is>
          <t>Foglio Tiri</t>
        </is>
      </c>
    </row>
    <row r="2114" ht="22" customHeight="1">
      <c r="A2114" s="90">
        <f>IF('Calendario D'!A194="","",'Calendario D'!A194)</f>
        <v/>
      </c>
      <c r="B2114" s="61">
        <f>IF('Calendario D'!B194="","",'Calendario D'!B194)</f>
        <v/>
      </c>
      <c r="C2114" s="62">
        <f>IF('Calendario D'!C194="","",'Calendario D'!C194)</f>
        <v/>
      </c>
      <c r="D2114" s="61">
        <f>IF('Calendario D'!D194="","",'Calendario D'!D194)</f>
        <v/>
      </c>
      <c r="E2114" s="62">
        <f>IF('Calendario D'!E194="","",'Calendario D'!E194)</f>
        <v/>
      </c>
      <c r="F2114" s="63">
        <f>IF('Calendario D'!F194="","",'Calendario D'!F194)</f>
        <v/>
      </c>
      <c r="G2114" s="9" t="n"/>
      <c r="H2114" s="9" t="n"/>
      <c r="I2114" s="10" t="n"/>
      <c r="J2114" s="195">
        <f>IF('Calendario D'!J194="","",'Calendario D'!J194)</f>
        <v/>
      </c>
      <c r="K2114" s="64" t="inlineStr">
        <is>
          <t>-</t>
        </is>
      </c>
      <c r="L2114" s="195">
        <f>IF('Calendario D'!L194="","",'Calendario D'!L194)</f>
        <v/>
      </c>
      <c r="M2114" s="196" t="inlineStr">
        <is>
          <t>LEFEVRE Sofia [AAt]</t>
        </is>
      </c>
      <c r="N2114" s="196" t="inlineStr">
        <is>
          <t>PELLEGRI Chiara [AAt]</t>
        </is>
      </c>
      <c r="O2114" s="196" t="inlineStr">
        <is>
          <t>SOLER Mathilde [AA]</t>
        </is>
      </c>
      <c r="P2114" s="196" t="inlineStr">
        <is>
          <t>CASTILLO Giulia</t>
        </is>
      </c>
      <c r="Q2114" s="196" t="inlineStr">
        <is>
          <t>ORTEGA Marta</t>
        </is>
      </c>
      <c r="R2114" s="196" t="inlineStr">
        <is>
          <t>ENGEL Ottavia</t>
        </is>
      </c>
    </row>
    <row r="2115" ht="15" customHeight="1">
      <c r="A2115" s="141" t="n"/>
      <c r="B2115" s="69">
        <f>IF('Calendario D'!B195="","",'Calendario D'!B195)</f>
        <v/>
      </c>
      <c r="C2115" s="9" t="n"/>
      <c r="D2115" s="9" t="n"/>
      <c r="E2115" s="9" t="n"/>
      <c r="F2115" s="9" t="n"/>
      <c r="G2115" s="9" t="n"/>
      <c r="H2115" s="10" t="n"/>
      <c r="I2115" s="62">
        <f>IF('Calendario D'!I195="","",'Calendario D'!I195)</f>
        <v/>
      </c>
      <c r="J2115" s="141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</row>
    <row r="2116" ht="14" customHeight="1">
      <c r="A2116" s="88" t="inlineStr">
        <is>
          <t>Gara N.</t>
        </is>
      </c>
      <c r="B2116" s="88" t="inlineStr">
        <is>
          <t>Squadra A</t>
        </is>
      </c>
      <c r="C2116" s="10" t="n"/>
      <c r="D2116" s="88" t="inlineStr">
        <is>
          <t>Squadra B</t>
        </is>
      </c>
      <c r="E2116" s="10" t="n"/>
      <c r="F2116" s="88" t="inlineStr">
        <is>
          <t>Giorno</t>
        </is>
      </c>
      <c r="G2116" s="88" t="inlineStr">
        <is>
          <t>Data</t>
        </is>
      </c>
      <c r="H2116" s="88" t="inlineStr">
        <is>
          <t>Ora</t>
        </is>
      </c>
      <c r="I2116" s="10" t="n"/>
      <c r="J2116" s="88" t="inlineStr">
        <is>
          <t>Risultato</t>
        </is>
      </c>
      <c r="K2116" s="9" t="n"/>
      <c r="L2116" s="10" t="n"/>
      <c r="M2116" s="203" t="inlineStr">
        <is>
          <t>1o Arbitro</t>
        </is>
      </c>
      <c r="N2116" s="203" t="inlineStr">
        <is>
          <t>2o Arbitro</t>
        </is>
      </c>
      <c r="O2116" s="203" t="inlineStr">
        <is>
          <t>3o Arbitro/Tirocinante</t>
        </is>
      </c>
      <c r="P2116" s="203" t="inlineStr">
        <is>
          <t>Referto</t>
        </is>
      </c>
      <c r="Q2116" s="203" t="inlineStr">
        <is>
          <t>Cronometro</t>
        </is>
      </c>
      <c r="R2116" s="203" t="inlineStr">
        <is>
          <t>Foglio Tiri</t>
        </is>
      </c>
    </row>
    <row r="2117" ht="22" customHeight="1">
      <c r="A2117" s="90">
        <f>IF('Calendario D'!A197="","",'Calendario D'!A197)</f>
        <v/>
      </c>
      <c r="B2117" s="61">
        <f>IF('Calendario D'!B197="","",'Calendario D'!B197)</f>
        <v/>
      </c>
      <c r="C2117" s="62">
        <f>IF('Calendario D'!C197="","",'Calendario D'!C197)</f>
        <v/>
      </c>
      <c r="D2117" s="61">
        <f>IF('Calendario D'!D197="","",'Calendario D'!D197)</f>
        <v/>
      </c>
      <c r="E2117" s="62">
        <f>IF('Calendario D'!E197="","",'Calendario D'!E197)</f>
        <v/>
      </c>
      <c r="F2117" s="63">
        <f>IF('Calendario D'!F197="","",'Calendario D'!F197)</f>
        <v/>
      </c>
      <c r="G2117" s="9" t="n"/>
      <c r="H2117" s="9" t="n"/>
      <c r="I2117" s="10" t="n"/>
      <c r="J2117" s="195">
        <f>IF('Calendario D'!J197="","",'Calendario D'!J197)</f>
        <v/>
      </c>
      <c r="K2117" s="64" t="inlineStr">
        <is>
          <t>-</t>
        </is>
      </c>
      <c r="L2117" s="195">
        <f>IF('Calendario D'!L197="","",'Calendario D'!L197)</f>
        <v/>
      </c>
      <c r="M2117" s="196" t="inlineStr">
        <is>
          <t>MARCHIONI Paolo [AAt]</t>
        </is>
      </c>
      <c r="N2117" s="196" t="inlineStr">
        <is>
          <t>HOFFMANN Valerie [A]</t>
        </is>
      </c>
      <c r="O2117" s="196" t="inlineStr">
        <is>
          <t>KRUGER Nicola [Aest]</t>
        </is>
      </c>
      <c r="P2117" s="196" t="inlineStr">
        <is>
          <t>NADAUD Andrea</t>
        </is>
      </c>
      <c r="Q2117" s="196" t="inlineStr">
        <is>
          <t>NOVAK Lukas</t>
        </is>
      </c>
      <c r="R2117" s="196" t="inlineStr">
        <is>
          <t>ORTEGA Luca</t>
        </is>
      </c>
    </row>
    <row r="2118" ht="15" customHeight="1">
      <c r="A2118" s="141" t="n"/>
      <c r="B2118" s="69">
        <f>IF('Calendario D'!B198="","",'Calendario D'!B198)</f>
        <v/>
      </c>
      <c r="C2118" s="9" t="n"/>
      <c r="D2118" s="9" t="n"/>
      <c r="E2118" s="9" t="n"/>
      <c r="F2118" s="9" t="n"/>
      <c r="G2118" s="9" t="n"/>
      <c r="H2118" s="10" t="n"/>
      <c r="I2118" s="62">
        <f>IF('Calendario D'!I198="","",'Calendario D'!I198)</f>
        <v/>
      </c>
      <c r="J2118" s="141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</row>
    <row r="2120" ht="20" customHeight="1">
      <c r="A2120" s="85">
        <f>IF('Calendario D'!A200="","",'Calendario D'!A200)</f>
        <v/>
      </c>
      <c r="B2120" s="86">
        <f>IF('Calendario D'!B200="","",'Calendario D'!B200)</f>
        <v/>
      </c>
      <c r="C2120" s="9" t="n"/>
      <c r="D2120" s="9" t="n"/>
      <c r="E2120" s="9" t="n"/>
      <c r="F2120" s="9" t="n"/>
      <c r="G2120" s="9" t="n"/>
      <c r="H2120" s="9" t="n"/>
      <c r="I2120" s="9" t="n"/>
      <c r="J2120" s="9" t="n"/>
      <c r="K2120" s="9" t="n"/>
      <c r="L2120" s="10" t="n"/>
      <c r="M2120" s="202" t="inlineStr">
        <is>
          <t>ARBITRI</t>
        </is>
      </c>
      <c r="N2120" s="9" t="n"/>
      <c r="O2120" s="10" t="n"/>
      <c r="P2120" s="202" t="inlineStr">
        <is>
          <t>UFFICIALI DI CAMPO</t>
        </is>
      </c>
      <c r="Q2120" s="9" t="n"/>
      <c r="R2120" s="10" t="n"/>
    </row>
    <row r="2121" ht="14" customHeight="1">
      <c r="A2121" s="88" t="inlineStr">
        <is>
          <t>Gara N.</t>
        </is>
      </c>
      <c r="B2121" s="88" t="inlineStr">
        <is>
          <t>Squadra A</t>
        </is>
      </c>
      <c r="C2121" s="10" t="n"/>
      <c r="D2121" s="88" t="inlineStr">
        <is>
          <t>Squadra B</t>
        </is>
      </c>
      <c r="E2121" s="10" t="n"/>
      <c r="F2121" s="88" t="inlineStr">
        <is>
          <t>Giorno</t>
        </is>
      </c>
      <c r="G2121" s="88" t="inlineStr">
        <is>
          <t>Data</t>
        </is>
      </c>
      <c r="H2121" s="88" t="inlineStr">
        <is>
          <t>Ora</t>
        </is>
      </c>
      <c r="I2121" s="10" t="n"/>
      <c r="J2121" s="88" t="inlineStr">
        <is>
          <t>Risultato</t>
        </is>
      </c>
      <c r="K2121" s="9" t="n"/>
      <c r="L2121" s="10" t="n"/>
      <c r="M2121" s="203" t="inlineStr">
        <is>
          <t>1o Arbitro</t>
        </is>
      </c>
      <c r="N2121" s="203" t="inlineStr">
        <is>
          <t>2o Arbitro</t>
        </is>
      </c>
      <c r="O2121" s="203" t="inlineStr">
        <is>
          <t>3o Arbitro/Tirocinante</t>
        </is>
      </c>
      <c r="P2121" s="203" t="inlineStr">
        <is>
          <t>Referto</t>
        </is>
      </c>
      <c r="Q2121" s="203" t="inlineStr">
        <is>
          <t>Cronometro</t>
        </is>
      </c>
      <c r="R2121" s="203" t="inlineStr">
        <is>
          <t>Foglio Tiri</t>
        </is>
      </c>
    </row>
    <row r="2122" ht="22" customHeight="1">
      <c r="A2122" s="90">
        <f>IF('Calendario D'!A202="","",'Calendario D'!A202)</f>
        <v/>
      </c>
      <c r="B2122" s="61">
        <f>IF('Calendario D'!B202="","",'Calendario D'!B202)</f>
        <v/>
      </c>
      <c r="C2122" s="62">
        <f>IF('Calendario D'!C202="","",'Calendario D'!C202)</f>
        <v/>
      </c>
      <c r="D2122" s="61">
        <f>IF('Calendario D'!D202="","",'Calendario D'!D202)</f>
        <v/>
      </c>
      <c r="E2122" s="62">
        <f>IF('Calendario D'!E202="","",'Calendario D'!E202)</f>
        <v/>
      </c>
      <c r="F2122" s="63">
        <f>IF('Calendario D'!F202="","",'Calendario D'!F202)</f>
        <v/>
      </c>
      <c r="G2122" s="9" t="n"/>
      <c r="H2122" s="9" t="n"/>
      <c r="I2122" s="10" t="n"/>
      <c r="J2122" s="195">
        <f>IF('Calendario D'!J202="","",'Calendario D'!J202)</f>
        <v/>
      </c>
      <c r="K2122" s="64" t="inlineStr">
        <is>
          <t>-</t>
        </is>
      </c>
      <c r="L2122" s="195">
        <f>IF('Calendario D'!L202="","",'Calendario D'!L202)</f>
        <v/>
      </c>
      <c r="M2122" s="196" t="inlineStr">
        <is>
          <t>GAUTHIER Lukas [AA]</t>
        </is>
      </c>
      <c r="N2122" s="196" t="inlineStr">
        <is>
          <t>WEBER Marco [AAt]</t>
        </is>
      </c>
      <c r="O2122" s="196" t="inlineStr">
        <is>
          <t>FUENTES Matteo [Aest]</t>
        </is>
      </c>
      <c r="P2122" s="196" t="inlineStr">
        <is>
          <t>FERRANTE Stefano</t>
        </is>
      </c>
      <c r="Q2122" s="196" t="inlineStr">
        <is>
          <t>VALLET Miha</t>
        </is>
      </c>
      <c r="R2122" s="196" t="inlineStr">
        <is>
          <t>HOFFMANN Tommaso</t>
        </is>
      </c>
    </row>
    <row r="2123" ht="15" customHeight="1">
      <c r="A2123" s="141" t="n"/>
      <c r="B2123" s="69">
        <f>IF('Calendario D'!B203="","",'Calendario D'!B203)</f>
        <v/>
      </c>
      <c r="C2123" s="9" t="n"/>
      <c r="D2123" s="9" t="n"/>
      <c r="E2123" s="9" t="n"/>
      <c r="F2123" s="9" t="n"/>
      <c r="G2123" s="9" t="n"/>
      <c r="H2123" s="10" t="n"/>
      <c r="I2123" s="62">
        <f>IF('Calendario D'!I203="","",'Calendario D'!I203)</f>
        <v/>
      </c>
      <c r="J2123" s="141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</row>
    <row r="2124" ht="14" customHeight="1">
      <c r="A2124" s="88" t="inlineStr">
        <is>
          <t>Gara N.</t>
        </is>
      </c>
      <c r="B2124" s="88" t="inlineStr">
        <is>
          <t>Squadra A</t>
        </is>
      </c>
      <c r="C2124" s="10" t="n"/>
      <c r="D2124" s="88" t="inlineStr">
        <is>
          <t>Squadra B</t>
        </is>
      </c>
      <c r="E2124" s="10" t="n"/>
      <c r="F2124" s="88" t="inlineStr">
        <is>
          <t>Giorno</t>
        </is>
      </c>
      <c r="G2124" s="88" t="inlineStr">
        <is>
          <t>Data</t>
        </is>
      </c>
      <c r="H2124" s="88" t="inlineStr">
        <is>
          <t>Ora</t>
        </is>
      </c>
      <c r="I2124" s="10" t="n"/>
      <c r="J2124" s="88" t="inlineStr">
        <is>
          <t>Risultato</t>
        </is>
      </c>
      <c r="K2124" s="9" t="n"/>
      <c r="L2124" s="10" t="n"/>
      <c r="M2124" s="203" t="inlineStr">
        <is>
          <t>1o Arbitro</t>
        </is>
      </c>
      <c r="N2124" s="203" t="inlineStr">
        <is>
          <t>2o Arbitro</t>
        </is>
      </c>
      <c r="O2124" s="203" t="inlineStr">
        <is>
          <t>3o Arbitro/Tirocinante</t>
        </is>
      </c>
      <c r="P2124" s="203" t="inlineStr">
        <is>
          <t>Referto</t>
        </is>
      </c>
      <c r="Q2124" s="203" t="inlineStr">
        <is>
          <t>Cronometro</t>
        </is>
      </c>
      <c r="R2124" s="203" t="inlineStr">
        <is>
          <t>Foglio Tiri</t>
        </is>
      </c>
    </row>
    <row r="2125" ht="22" customHeight="1">
      <c r="A2125" s="90">
        <f>IF('Calendario D'!A205="","",'Calendario D'!A205)</f>
        <v/>
      </c>
      <c r="B2125" s="61">
        <f>IF('Calendario D'!B205="","",'Calendario D'!B205)</f>
        <v/>
      </c>
      <c r="C2125" s="62">
        <f>IF('Calendario D'!C205="","",'Calendario D'!C205)</f>
        <v/>
      </c>
      <c r="D2125" s="61">
        <f>IF('Calendario D'!D205="","",'Calendario D'!D205)</f>
        <v/>
      </c>
      <c r="E2125" s="62">
        <f>IF('Calendario D'!E205="","",'Calendario D'!E205)</f>
        <v/>
      </c>
      <c r="F2125" s="63">
        <f>IF('Calendario D'!F205="","",'Calendario D'!F205)</f>
        <v/>
      </c>
      <c r="G2125" s="9" t="n"/>
      <c r="H2125" s="9" t="n"/>
      <c r="I2125" s="10" t="n"/>
      <c r="J2125" s="195">
        <f>IF('Calendario D'!J205="","",'Calendario D'!J205)</f>
        <v/>
      </c>
      <c r="K2125" s="64" t="inlineStr">
        <is>
          <t>-</t>
        </is>
      </c>
      <c r="L2125" s="195">
        <f>IF('Calendario D'!L205="","",'Calendario D'!L205)</f>
        <v/>
      </c>
      <c r="M2125" s="196" t="inlineStr">
        <is>
          <t>CAMPOS Vid [AA]</t>
        </is>
      </c>
      <c r="N2125" s="196" t="inlineStr">
        <is>
          <t>BLANCHET Giulia [AA]</t>
        </is>
      </c>
      <c r="O2125" s="196" t="inlineStr">
        <is>
          <t>NAVARRO Matteo [AA]</t>
        </is>
      </c>
      <c r="P2125" s="196" t="inlineStr">
        <is>
          <t>CONTARDI Felix</t>
        </is>
      </c>
      <c r="Q2125" s="196" t="inlineStr">
        <is>
          <t>HOFFMANN Andrea</t>
        </is>
      </c>
      <c r="R2125" s="196" t="inlineStr">
        <is>
          <t>ROTH Hugo</t>
        </is>
      </c>
    </row>
    <row r="2126" ht="15" customHeight="1">
      <c r="A2126" s="141" t="n"/>
      <c r="B2126" s="69">
        <f>IF('Calendario D'!B206="","",'Calendario D'!B206)</f>
        <v/>
      </c>
      <c r="C2126" s="9" t="n"/>
      <c r="D2126" s="9" t="n"/>
      <c r="E2126" s="9" t="n"/>
      <c r="F2126" s="9" t="n"/>
      <c r="G2126" s="9" t="n"/>
      <c r="H2126" s="10" t="n"/>
      <c r="I2126" s="62">
        <f>IF('Calendario D'!I206="","",'Calendario D'!I206)</f>
        <v/>
      </c>
      <c r="J2126" s="141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</row>
    <row r="2127" ht="14" customHeight="1">
      <c r="A2127" s="88" t="inlineStr">
        <is>
          <t>Gara N.</t>
        </is>
      </c>
      <c r="B2127" s="88" t="inlineStr">
        <is>
          <t>Squadra A</t>
        </is>
      </c>
      <c r="C2127" s="10" t="n"/>
      <c r="D2127" s="88" t="inlineStr">
        <is>
          <t>Squadra B</t>
        </is>
      </c>
      <c r="E2127" s="10" t="n"/>
      <c r="F2127" s="88" t="inlineStr">
        <is>
          <t>Giorno</t>
        </is>
      </c>
      <c r="G2127" s="88" t="inlineStr">
        <is>
          <t>Data</t>
        </is>
      </c>
      <c r="H2127" s="88" t="inlineStr">
        <is>
          <t>Ora</t>
        </is>
      </c>
      <c r="I2127" s="10" t="n"/>
      <c r="J2127" s="88" t="inlineStr">
        <is>
          <t>Risultato</t>
        </is>
      </c>
      <c r="K2127" s="9" t="n"/>
      <c r="L2127" s="10" t="n"/>
      <c r="M2127" s="203" t="inlineStr">
        <is>
          <t>1o Arbitro</t>
        </is>
      </c>
      <c r="N2127" s="203" t="inlineStr">
        <is>
          <t>2o Arbitro</t>
        </is>
      </c>
      <c r="O2127" s="203" t="inlineStr">
        <is>
          <t>3o Arbitro/Tirocinante</t>
        </is>
      </c>
      <c r="P2127" s="203" t="inlineStr">
        <is>
          <t>Referto</t>
        </is>
      </c>
      <c r="Q2127" s="203" t="inlineStr">
        <is>
          <t>Cronometro</t>
        </is>
      </c>
      <c r="R2127" s="203" t="inlineStr">
        <is>
          <t>Foglio Tiri</t>
        </is>
      </c>
    </row>
    <row r="2128" ht="22" customHeight="1">
      <c r="A2128" s="90">
        <f>IF('Calendario D'!A208="","",'Calendario D'!A208)</f>
        <v/>
      </c>
      <c r="B2128" s="61">
        <f>IF('Calendario D'!B208="","",'Calendario D'!B208)</f>
        <v/>
      </c>
      <c r="C2128" s="62">
        <f>IF('Calendario D'!C208="","",'Calendario D'!C208)</f>
        <v/>
      </c>
      <c r="D2128" s="61">
        <f>IF('Calendario D'!D208="","",'Calendario D'!D208)</f>
        <v/>
      </c>
      <c r="E2128" s="62">
        <f>IF('Calendario D'!E208="","",'Calendario D'!E208)</f>
        <v/>
      </c>
      <c r="F2128" s="63">
        <f>IF('Calendario D'!F208="","",'Calendario D'!F208)</f>
        <v/>
      </c>
      <c r="G2128" s="9" t="n"/>
      <c r="H2128" s="9" t="n"/>
      <c r="I2128" s="10" t="n"/>
      <c r="J2128" s="195">
        <f>IF('Calendario D'!J208="","",'Calendario D'!J208)</f>
        <v/>
      </c>
      <c r="K2128" s="64" t="inlineStr">
        <is>
          <t>-</t>
        </is>
      </c>
      <c r="L2128" s="195">
        <f>IF('Calendario D'!L208="","",'Calendario D'!L208)</f>
        <v/>
      </c>
      <c r="M2128" s="196" t="inlineStr">
        <is>
          <t>KOVAC Noemi [Aest]</t>
        </is>
      </c>
      <c r="N2128" s="196" t="inlineStr">
        <is>
          <t>SOLER Alenka [A]</t>
        </is>
      </c>
      <c r="O2128" s="196" t="inlineStr">
        <is>
          <t>LANGER Katrin [AAt]</t>
        </is>
      </c>
      <c r="P2128" s="196" t="inlineStr">
        <is>
          <t>NOVAK Ilaria</t>
        </is>
      </c>
      <c r="Q2128" s="196" t="inlineStr">
        <is>
          <t>CARON Anja</t>
        </is>
      </c>
      <c r="R2128" s="196" t="inlineStr">
        <is>
          <t>PETERLIN Martina</t>
        </is>
      </c>
    </row>
    <row r="2129" ht="15" customHeight="1">
      <c r="A2129" s="141" t="n"/>
      <c r="B2129" s="69">
        <f>IF('Calendario D'!B209="","",'Calendario D'!B209)</f>
        <v/>
      </c>
      <c r="C2129" s="9" t="n"/>
      <c r="D2129" s="9" t="n"/>
      <c r="E2129" s="9" t="n"/>
      <c r="F2129" s="9" t="n"/>
      <c r="G2129" s="9" t="n"/>
      <c r="H2129" s="10" t="n"/>
      <c r="I2129" s="62">
        <f>IF('Calendario D'!I209="","",'Calendario D'!I209)</f>
        <v/>
      </c>
      <c r="J2129" s="141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</row>
    <row r="2130" ht="14" customHeight="1">
      <c r="A2130" s="88" t="inlineStr">
        <is>
          <t>Gara N.</t>
        </is>
      </c>
      <c r="B2130" s="88" t="inlineStr">
        <is>
          <t>Squadra A</t>
        </is>
      </c>
      <c r="C2130" s="10" t="n"/>
      <c r="D2130" s="88" t="inlineStr">
        <is>
          <t>Squadra B</t>
        </is>
      </c>
      <c r="E2130" s="10" t="n"/>
      <c r="F2130" s="88" t="inlineStr">
        <is>
          <t>Giorno</t>
        </is>
      </c>
      <c r="G2130" s="88" t="inlineStr">
        <is>
          <t>Data</t>
        </is>
      </c>
      <c r="H2130" s="88" t="inlineStr">
        <is>
          <t>Ora</t>
        </is>
      </c>
      <c r="I2130" s="10" t="n"/>
      <c r="J2130" s="88" t="inlineStr">
        <is>
          <t>Risultato</t>
        </is>
      </c>
      <c r="K2130" s="9" t="n"/>
      <c r="L2130" s="10" t="n"/>
      <c r="M2130" s="203" t="inlineStr">
        <is>
          <t>1o Arbitro</t>
        </is>
      </c>
      <c r="N2130" s="203" t="inlineStr">
        <is>
          <t>2o Arbitro</t>
        </is>
      </c>
      <c r="O2130" s="203" t="inlineStr">
        <is>
          <t>3o Arbitro/Tirocinante</t>
        </is>
      </c>
      <c r="P2130" s="203" t="inlineStr">
        <is>
          <t>Referto</t>
        </is>
      </c>
      <c r="Q2130" s="203" t="inlineStr">
        <is>
          <t>Cronometro</t>
        </is>
      </c>
      <c r="R2130" s="203" t="inlineStr">
        <is>
          <t>Foglio Tiri</t>
        </is>
      </c>
    </row>
    <row r="2131" ht="22" customHeight="1">
      <c r="A2131" s="90">
        <f>IF('Calendario D'!A211="","",'Calendario D'!A211)</f>
        <v/>
      </c>
      <c r="B2131" s="61">
        <f>IF('Calendario D'!B211="","",'Calendario D'!B211)</f>
        <v/>
      </c>
      <c r="C2131" s="62">
        <f>IF('Calendario D'!C211="","",'Calendario D'!C211)</f>
        <v/>
      </c>
      <c r="D2131" s="61">
        <f>IF('Calendario D'!D211="","",'Calendario D'!D211)</f>
        <v/>
      </c>
      <c r="E2131" s="62">
        <f>IF('Calendario D'!E211="","",'Calendario D'!E211)</f>
        <v/>
      </c>
      <c r="F2131" s="63">
        <f>IF('Calendario D'!F211="","",'Calendario D'!F211)</f>
        <v/>
      </c>
      <c r="G2131" s="9" t="n"/>
      <c r="H2131" s="9" t="n"/>
      <c r="I2131" s="10" t="n"/>
      <c r="J2131" s="195">
        <f>IF('Calendario D'!J211="","",'Calendario D'!J211)</f>
        <v/>
      </c>
      <c r="K2131" s="64" t="inlineStr">
        <is>
          <t>-</t>
        </is>
      </c>
      <c r="L2131" s="195">
        <f>IF('Calendario D'!L211="","",'Calendario D'!L211)</f>
        <v/>
      </c>
      <c r="M2131" s="196" t="inlineStr">
        <is>
          <t>KELLER Felix [AAt]</t>
        </is>
      </c>
      <c r="N2131" s="196" t="inlineStr">
        <is>
          <t>WEBER Matteo [A]</t>
        </is>
      </c>
      <c r="O2131" s="196" t="inlineStr">
        <is>
          <t>MOREAU Martina [Aest]</t>
        </is>
      </c>
      <c r="P2131" s="196" t="inlineStr">
        <is>
          <t>IGLESIAS Paula</t>
        </is>
      </c>
      <c r="Q2131" s="196" t="inlineStr">
        <is>
          <t>CASTILLO Elena</t>
        </is>
      </c>
      <c r="R2131" s="196" t="inlineStr">
        <is>
          <t>ROTH Hugo</t>
        </is>
      </c>
    </row>
    <row r="2132" ht="15" customHeight="1">
      <c r="A2132" s="141" t="n"/>
      <c r="B2132" s="69">
        <f>IF('Calendario D'!B212="","",'Calendario D'!B212)</f>
        <v/>
      </c>
      <c r="C2132" s="9" t="n"/>
      <c r="D2132" s="9" t="n"/>
      <c r="E2132" s="9" t="n"/>
      <c r="F2132" s="9" t="n"/>
      <c r="G2132" s="9" t="n"/>
      <c r="H2132" s="10" t="n"/>
      <c r="I2132" s="62">
        <f>IF('Calendario D'!I212="","",'Calendario D'!I212)</f>
        <v/>
      </c>
      <c r="J2132" s="141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</row>
    <row r="2133" ht="14" customHeight="1">
      <c r="A2133" s="88" t="inlineStr">
        <is>
          <t>Gara N.</t>
        </is>
      </c>
      <c r="B2133" s="88" t="inlineStr">
        <is>
          <t>Squadra A</t>
        </is>
      </c>
      <c r="C2133" s="10" t="n"/>
      <c r="D2133" s="88" t="inlineStr">
        <is>
          <t>Squadra B</t>
        </is>
      </c>
      <c r="E2133" s="10" t="n"/>
      <c r="F2133" s="88" t="inlineStr">
        <is>
          <t>Giorno</t>
        </is>
      </c>
      <c r="G2133" s="88" t="inlineStr">
        <is>
          <t>Data</t>
        </is>
      </c>
      <c r="H2133" s="88" t="inlineStr">
        <is>
          <t>Ora</t>
        </is>
      </c>
      <c r="I2133" s="10" t="n"/>
      <c r="J2133" s="88" t="inlineStr">
        <is>
          <t>Risultato</t>
        </is>
      </c>
      <c r="K2133" s="9" t="n"/>
      <c r="L2133" s="10" t="n"/>
      <c r="M2133" s="203" t="inlineStr">
        <is>
          <t>1o Arbitro</t>
        </is>
      </c>
      <c r="N2133" s="203" t="inlineStr">
        <is>
          <t>2o Arbitro</t>
        </is>
      </c>
      <c r="O2133" s="203" t="inlineStr">
        <is>
          <t>3o Arbitro/Tirocinante</t>
        </is>
      </c>
      <c r="P2133" s="203" t="inlineStr">
        <is>
          <t>Referto</t>
        </is>
      </c>
      <c r="Q2133" s="203" t="inlineStr">
        <is>
          <t>Cronometro</t>
        </is>
      </c>
      <c r="R2133" s="203" t="inlineStr">
        <is>
          <t>Foglio Tiri</t>
        </is>
      </c>
    </row>
    <row r="2134" ht="22" customHeight="1">
      <c r="A2134" s="90">
        <f>IF('Calendario D'!A214="","",'Calendario D'!A214)</f>
        <v/>
      </c>
      <c r="B2134" s="61">
        <f>IF('Calendario D'!B214="","",'Calendario D'!B214)</f>
        <v/>
      </c>
      <c r="C2134" s="62">
        <f>IF('Calendario D'!C214="","",'Calendario D'!C214)</f>
        <v/>
      </c>
      <c r="D2134" s="61">
        <f>IF('Calendario D'!D214="","",'Calendario D'!D214)</f>
        <v/>
      </c>
      <c r="E2134" s="62">
        <f>IF('Calendario D'!E214="","",'Calendario D'!E214)</f>
        <v/>
      </c>
      <c r="F2134" s="63">
        <f>IF('Calendario D'!F214="","",'Calendario D'!F214)</f>
        <v/>
      </c>
      <c r="G2134" s="9" t="n"/>
      <c r="H2134" s="9" t="n"/>
      <c r="I2134" s="10" t="n"/>
      <c r="J2134" s="195">
        <f>IF('Calendario D'!J214="","",'Calendario D'!J214)</f>
        <v/>
      </c>
      <c r="K2134" s="64" t="inlineStr">
        <is>
          <t>-</t>
        </is>
      </c>
      <c r="L2134" s="195">
        <f>IF('Calendario D'!L214="","",'Calendario D'!L214)</f>
        <v/>
      </c>
      <c r="M2134" s="196" t="inlineStr">
        <is>
          <t>VOGEL Andrea [A]</t>
        </is>
      </c>
      <c r="N2134" s="196" t="inlineStr">
        <is>
          <t>MODIC Gaelle [AA]</t>
        </is>
      </c>
      <c r="O2134" s="196" t="inlineStr">
        <is>
          <t>ROMERO Stefano [Aest]</t>
        </is>
      </c>
      <c r="P2134" s="196" t="inlineStr">
        <is>
          <t>ROSSINI Pablo</t>
        </is>
      </c>
      <c r="Q2134" s="196" t="inlineStr">
        <is>
          <t>BLANCHET Matteo</t>
        </is>
      </c>
      <c r="R2134" s="196" t="inlineStr">
        <is>
          <t>NAVARRO Luca</t>
        </is>
      </c>
    </row>
    <row r="2135" ht="15" customHeight="1">
      <c r="A2135" s="141" t="n"/>
      <c r="B2135" s="69">
        <f>IF('Calendario D'!B215="","",'Calendario D'!B215)</f>
        <v/>
      </c>
      <c r="C2135" s="9" t="n"/>
      <c r="D2135" s="9" t="n"/>
      <c r="E2135" s="9" t="n"/>
      <c r="F2135" s="9" t="n"/>
      <c r="G2135" s="9" t="n"/>
      <c r="H2135" s="10" t="n"/>
      <c r="I2135" s="62">
        <f>IF('Calendario D'!I215="","",'Calendario D'!I215)</f>
        <v/>
      </c>
      <c r="J2135" s="141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</row>
    <row r="2136" ht="14" customHeight="1">
      <c r="A2136" s="88" t="inlineStr">
        <is>
          <t>Gara N.</t>
        </is>
      </c>
      <c r="B2136" s="88" t="inlineStr">
        <is>
          <t>Squadra A</t>
        </is>
      </c>
      <c r="C2136" s="10" t="n"/>
      <c r="D2136" s="88" t="inlineStr">
        <is>
          <t>Squadra B</t>
        </is>
      </c>
      <c r="E2136" s="10" t="n"/>
      <c r="F2136" s="88" t="inlineStr">
        <is>
          <t>Giorno</t>
        </is>
      </c>
      <c r="G2136" s="88" t="inlineStr">
        <is>
          <t>Data</t>
        </is>
      </c>
      <c r="H2136" s="88" t="inlineStr">
        <is>
          <t>Ora</t>
        </is>
      </c>
      <c r="I2136" s="10" t="n"/>
      <c r="J2136" s="88" t="inlineStr">
        <is>
          <t>Risultato</t>
        </is>
      </c>
      <c r="K2136" s="9" t="n"/>
      <c r="L2136" s="10" t="n"/>
      <c r="M2136" s="203" t="inlineStr">
        <is>
          <t>1o Arbitro</t>
        </is>
      </c>
      <c r="N2136" s="203" t="inlineStr">
        <is>
          <t>2o Arbitro</t>
        </is>
      </c>
      <c r="O2136" s="203" t="inlineStr">
        <is>
          <t>3o Arbitro/Tirocinante</t>
        </is>
      </c>
      <c r="P2136" s="203" t="inlineStr">
        <is>
          <t>Referto</t>
        </is>
      </c>
      <c r="Q2136" s="203" t="inlineStr">
        <is>
          <t>Cronometro</t>
        </is>
      </c>
      <c r="R2136" s="203" t="inlineStr">
        <is>
          <t>Foglio Tiri</t>
        </is>
      </c>
    </row>
    <row r="2137" ht="22" customHeight="1">
      <c r="A2137" s="90">
        <f>IF('Calendario D'!A217="","",'Calendario D'!A217)</f>
        <v/>
      </c>
      <c r="B2137" s="61">
        <f>IF('Calendario D'!B217="","",'Calendario D'!B217)</f>
        <v/>
      </c>
      <c r="C2137" s="62">
        <f>IF('Calendario D'!C217="","",'Calendario D'!C217)</f>
        <v/>
      </c>
      <c r="D2137" s="61">
        <f>IF('Calendario D'!D217="","",'Calendario D'!D217)</f>
        <v/>
      </c>
      <c r="E2137" s="62">
        <f>IF('Calendario D'!E217="","",'Calendario D'!E217)</f>
        <v/>
      </c>
      <c r="F2137" s="63">
        <f>IF('Calendario D'!F217="","",'Calendario D'!F217)</f>
        <v/>
      </c>
      <c r="G2137" s="9" t="n"/>
      <c r="H2137" s="9" t="n"/>
      <c r="I2137" s="10" t="n"/>
      <c r="J2137" s="195">
        <f>IF('Calendario D'!J217="","",'Calendario D'!J217)</f>
        <v/>
      </c>
      <c r="K2137" s="64" t="inlineStr">
        <is>
          <t>-</t>
        </is>
      </c>
      <c r="L2137" s="195">
        <f>IF('Calendario D'!L217="","",'Calendario D'!L217)</f>
        <v/>
      </c>
      <c r="M2137" s="196" t="inlineStr">
        <is>
          <t>BELLANDI Chiara [Aest]</t>
        </is>
      </c>
      <c r="N2137" s="196" t="inlineStr">
        <is>
          <t>ROTH Lea [A]</t>
        </is>
      </c>
      <c r="O2137" s="196" t="inlineStr">
        <is>
          <t>PELLEGRI Paolo [AAt]</t>
        </is>
      </c>
      <c r="P2137" s="196" t="inlineStr">
        <is>
          <t>PRADO Marco</t>
        </is>
      </c>
      <c r="Q2137" s="196" t="inlineStr">
        <is>
          <t>BLANCO Giulia</t>
        </is>
      </c>
      <c r="R2137" s="196" t="inlineStr">
        <is>
          <t>KOVAC Felix</t>
        </is>
      </c>
    </row>
    <row r="2138" ht="15" customHeight="1">
      <c r="A2138" s="141" t="n"/>
      <c r="B2138" s="69">
        <f>IF('Calendario D'!B218="","",'Calendario D'!B218)</f>
        <v/>
      </c>
      <c r="C2138" s="9" t="n"/>
      <c r="D2138" s="9" t="n"/>
      <c r="E2138" s="9" t="n"/>
      <c r="F2138" s="9" t="n"/>
      <c r="G2138" s="9" t="n"/>
      <c r="H2138" s="10" t="n"/>
      <c r="I2138" s="62">
        <f>IF('Calendario D'!I218="","",'Calendario D'!I218)</f>
        <v/>
      </c>
      <c r="J2138" s="141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</row>
    <row r="2139" ht="14" customHeight="1">
      <c r="A2139" s="88" t="inlineStr">
        <is>
          <t>Gara N.</t>
        </is>
      </c>
      <c r="B2139" s="88" t="inlineStr">
        <is>
          <t>Squadra A</t>
        </is>
      </c>
      <c r="C2139" s="10" t="n"/>
      <c r="D2139" s="88" t="inlineStr">
        <is>
          <t>Squadra B</t>
        </is>
      </c>
      <c r="E2139" s="10" t="n"/>
      <c r="F2139" s="88" t="inlineStr">
        <is>
          <t>Giorno</t>
        </is>
      </c>
      <c r="G2139" s="88" t="inlineStr">
        <is>
          <t>Data</t>
        </is>
      </c>
      <c r="H2139" s="88" t="inlineStr">
        <is>
          <t>Ora</t>
        </is>
      </c>
      <c r="I2139" s="10" t="n"/>
      <c r="J2139" s="88" t="inlineStr">
        <is>
          <t>Risultato</t>
        </is>
      </c>
      <c r="K2139" s="9" t="n"/>
      <c r="L2139" s="10" t="n"/>
      <c r="M2139" s="203" t="inlineStr">
        <is>
          <t>1o Arbitro</t>
        </is>
      </c>
      <c r="N2139" s="203" t="inlineStr">
        <is>
          <t>2o Arbitro</t>
        </is>
      </c>
      <c r="O2139" s="203" t="inlineStr">
        <is>
          <t>3o Arbitro/Tirocinante</t>
        </is>
      </c>
      <c r="P2139" s="203" t="inlineStr">
        <is>
          <t>Referto</t>
        </is>
      </c>
      <c r="Q2139" s="203" t="inlineStr">
        <is>
          <t>Cronometro</t>
        </is>
      </c>
      <c r="R2139" s="203" t="inlineStr">
        <is>
          <t>Foglio Tiri</t>
        </is>
      </c>
    </row>
    <row r="2140" ht="22" customHeight="1">
      <c r="A2140" s="90">
        <f>IF('Calendario D'!A220="","",'Calendario D'!A220)</f>
        <v/>
      </c>
      <c r="B2140" s="61">
        <f>IF('Calendario D'!B220="","",'Calendario D'!B220)</f>
        <v/>
      </c>
      <c r="C2140" s="62">
        <f>IF('Calendario D'!C220="","",'Calendario D'!C220)</f>
        <v/>
      </c>
      <c r="D2140" s="61">
        <f>IF('Calendario D'!D220="","",'Calendario D'!D220)</f>
        <v/>
      </c>
      <c r="E2140" s="62">
        <f>IF('Calendario D'!E220="","",'Calendario D'!E220)</f>
        <v/>
      </c>
      <c r="F2140" s="63">
        <f>IF('Calendario D'!F220="","",'Calendario D'!F220)</f>
        <v/>
      </c>
      <c r="G2140" s="9" t="n"/>
      <c r="H2140" s="9" t="n"/>
      <c r="I2140" s="10" t="n"/>
      <c r="J2140" s="195">
        <f>IF('Calendario D'!J220="","",'Calendario D'!J220)</f>
        <v/>
      </c>
      <c r="K2140" s="64" t="inlineStr">
        <is>
          <t>-</t>
        </is>
      </c>
      <c r="L2140" s="195">
        <f>IF('Calendario D'!L220="","",'Calendario D'!L220)</f>
        <v/>
      </c>
      <c r="M2140" s="196" t="inlineStr">
        <is>
          <t>VALLET Felix [A]</t>
        </is>
      </c>
      <c r="N2140" s="196" t="inlineStr">
        <is>
          <t>BRANDT Felix [A]</t>
        </is>
      </c>
      <c r="O2140" s="196" t="inlineStr">
        <is>
          <t>BELLANDI Andrea [AA]</t>
        </is>
      </c>
      <c r="P2140" s="196" t="inlineStr">
        <is>
          <t>LEFEVRE Tommaso</t>
        </is>
      </c>
      <c r="Q2140" s="196" t="inlineStr">
        <is>
          <t>CASTILLO Alenka</t>
        </is>
      </c>
      <c r="R2140" s="196" t="inlineStr">
        <is>
          <t>SCHAFER Gaelle</t>
        </is>
      </c>
    </row>
    <row r="2141" ht="15" customHeight="1">
      <c r="A2141" s="141" t="n"/>
      <c r="B2141" s="69">
        <f>IF('Calendario D'!B221="","",'Calendario D'!B221)</f>
        <v/>
      </c>
      <c r="C2141" s="9" t="n"/>
      <c r="D2141" s="9" t="n"/>
      <c r="E2141" s="9" t="n"/>
      <c r="F2141" s="9" t="n"/>
      <c r="G2141" s="9" t="n"/>
      <c r="H2141" s="10" t="n"/>
      <c r="I2141" s="62">
        <f>IF('Calendario D'!I221="","",'Calendario D'!I221)</f>
        <v/>
      </c>
      <c r="J2141" s="141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</row>
    <row r="2142" ht="14" customHeight="1">
      <c r="A2142" s="88" t="inlineStr">
        <is>
          <t>Gara N.</t>
        </is>
      </c>
      <c r="B2142" s="88" t="inlineStr">
        <is>
          <t>Squadra A</t>
        </is>
      </c>
      <c r="C2142" s="10" t="n"/>
      <c r="D2142" s="88" t="inlineStr">
        <is>
          <t>Squadra B</t>
        </is>
      </c>
      <c r="E2142" s="10" t="n"/>
      <c r="F2142" s="88" t="inlineStr">
        <is>
          <t>Giorno</t>
        </is>
      </c>
      <c r="G2142" s="88" t="inlineStr">
        <is>
          <t>Data</t>
        </is>
      </c>
      <c r="H2142" s="88" t="inlineStr">
        <is>
          <t>Ora</t>
        </is>
      </c>
      <c r="I2142" s="10" t="n"/>
      <c r="J2142" s="88" t="inlineStr">
        <is>
          <t>Risultato</t>
        </is>
      </c>
      <c r="K2142" s="9" t="n"/>
      <c r="L2142" s="10" t="n"/>
      <c r="M2142" s="203" t="inlineStr">
        <is>
          <t>1o Arbitro</t>
        </is>
      </c>
      <c r="N2142" s="203" t="inlineStr">
        <is>
          <t>2o Arbitro</t>
        </is>
      </c>
      <c r="O2142" s="203" t="inlineStr">
        <is>
          <t>3o Arbitro/Tirocinante</t>
        </is>
      </c>
      <c r="P2142" s="203" t="inlineStr">
        <is>
          <t>Referto</t>
        </is>
      </c>
      <c r="Q2142" s="203" t="inlineStr">
        <is>
          <t>Cronometro</t>
        </is>
      </c>
      <c r="R2142" s="203" t="inlineStr">
        <is>
          <t>Foglio Tiri</t>
        </is>
      </c>
    </row>
    <row r="2143" ht="22" customHeight="1">
      <c r="A2143" s="90">
        <f>IF('Calendario D'!A223="","",'Calendario D'!A223)</f>
        <v/>
      </c>
      <c r="B2143" s="61">
        <f>IF('Calendario D'!B223="","",'Calendario D'!B223)</f>
        <v/>
      </c>
      <c r="C2143" s="62">
        <f>IF('Calendario D'!C223="","",'Calendario D'!C223)</f>
        <v/>
      </c>
      <c r="D2143" s="61">
        <f>IF('Calendario D'!D223="","",'Calendario D'!D223)</f>
        <v/>
      </c>
      <c r="E2143" s="62">
        <f>IF('Calendario D'!E223="","",'Calendario D'!E223)</f>
        <v/>
      </c>
      <c r="F2143" s="63">
        <f>IF('Calendario D'!F223="","",'Calendario D'!F223)</f>
        <v/>
      </c>
      <c r="G2143" s="9" t="n"/>
      <c r="H2143" s="9" t="n"/>
      <c r="I2143" s="10" t="n"/>
      <c r="J2143" s="195">
        <f>IF('Calendario D'!J223="","",'Calendario D'!J223)</f>
        <v/>
      </c>
      <c r="K2143" s="64" t="inlineStr">
        <is>
          <t>-</t>
        </is>
      </c>
      <c r="L2143" s="195">
        <f>IF('Calendario D'!L223="","",'Calendario D'!L223)</f>
        <v/>
      </c>
      <c r="M2143" s="196" t="inlineStr">
        <is>
          <t>MARCHIONI Matteo [AAt]</t>
        </is>
      </c>
      <c r="N2143" s="196" t="inlineStr">
        <is>
          <t>ROTH Lea [A]</t>
        </is>
      </c>
      <c r="O2143" s="196" t="inlineStr">
        <is>
          <t>ROTH Sofia [A]</t>
        </is>
      </c>
      <c r="P2143" s="196" t="inlineStr">
        <is>
          <t>FERRANTE Mathilde</t>
        </is>
      </c>
      <c r="Q2143" s="196" t="inlineStr">
        <is>
          <t>NOVAK Filippo</t>
        </is>
      </c>
      <c r="R2143" s="196" t="inlineStr">
        <is>
          <t>SEVER Davide</t>
        </is>
      </c>
    </row>
    <row r="2144" ht="15" customHeight="1">
      <c r="A2144" s="141" t="n"/>
      <c r="B2144" s="69">
        <f>IF('Calendario D'!B224="","",'Calendario D'!B224)</f>
        <v/>
      </c>
      <c r="C2144" s="9" t="n"/>
      <c r="D2144" s="9" t="n"/>
      <c r="E2144" s="9" t="n"/>
      <c r="F2144" s="9" t="n"/>
      <c r="G2144" s="9" t="n"/>
      <c r="H2144" s="10" t="n"/>
      <c r="I2144" s="62">
        <f>IF('Calendario D'!I224="","",'Calendario D'!I224)</f>
        <v/>
      </c>
      <c r="J2144" s="141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</row>
    <row r="2145" ht="14" customHeight="1">
      <c r="A2145" s="88" t="inlineStr">
        <is>
          <t>Gara N.</t>
        </is>
      </c>
      <c r="B2145" s="88" t="inlineStr">
        <is>
          <t>Squadra A</t>
        </is>
      </c>
      <c r="C2145" s="10" t="n"/>
      <c r="D2145" s="88" t="inlineStr">
        <is>
          <t>Squadra B</t>
        </is>
      </c>
      <c r="E2145" s="10" t="n"/>
      <c r="F2145" s="88" t="inlineStr">
        <is>
          <t>Giorno</t>
        </is>
      </c>
      <c r="G2145" s="88" t="inlineStr">
        <is>
          <t>Data</t>
        </is>
      </c>
      <c r="H2145" s="88" t="inlineStr">
        <is>
          <t>Ora</t>
        </is>
      </c>
      <c r="I2145" s="10" t="n"/>
      <c r="J2145" s="88" t="inlineStr">
        <is>
          <t>Risultato</t>
        </is>
      </c>
      <c r="K2145" s="9" t="n"/>
      <c r="L2145" s="10" t="n"/>
      <c r="M2145" s="203" t="inlineStr">
        <is>
          <t>1o Arbitro</t>
        </is>
      </c>
      <c r="N2145" s="203" t="inlineStr">
        <is>
          <t>2o Arbitro</t>
        </is>
      </c>
      <c r="O2145" s="203" t="inlineStr">
        <is>
          <t>3o Arbitro/Tirocinante</t>
        </is>
      </c>
      <c r="P2145" s="203" t="inlineStr">
        <is>
          <t>Referto</t>
        </is>
      </c>
      <c r="Q2145" s="203" t="inlineStr">
        <is>
          <t>Cronometro</t>
        </is>
      </c>
      <c r="R2145" s="203" t="inlineStr">
        <is>
          <t>Foglio Tiri</t>
        </is>
      </c>
    </row>
    <row r="2146" ht="22" customHeight="1">
      <c r="A2146" s="90">
        <f>IF('Calendario D'!A226="","",'Calendario D'!A226)</f>
        <v/>
      </c>
      <c r="B2146" s="61">
        <f>IF('Calendario D'!B226="","",'Calendario D'!B226)</f>
        <v/>
      </c>
      <c r="C2146" s="62">
        <f>IF('Calendario D'!C226="","",'Calendario D'!C226)</f>
        <v/>
      </c>
      <c r="D2146" s="61">
        <f>IF('Calendario D'!D226="","",'Calendario D'!D226)</f>
        <v/>
      </c>
      <c r="E2146" s="62">
        <f>IF('Calendario D'!E226="","",'Calendario D'!E226)</f>
        <v/>
      </c>
      <c r="F2146" s="63">
        <f>IF('Calendario D'!F226="","",'Calendario D'!F226)</f>
        <v/>
      </c>
      <c r="G2146" s="9" t="n"/>
      <c r="H2146" s="9" t="n"/>
      <c r="I2146" s="10" t="n"/>
      <c r="J2146" s="195">
        <f>IF('Calendario D'!J226="","",'Calendario D'!J226)</f>
        <v/>
      </c>
      <c r="K2146" s="64" t="inlineStr">
        <is>
          <t>-</t>
        </is>
      </c>
      <c r="L2146" s="195">
        <f>IF('Calendario D'!L226="","",'Calendario D'!L226)</f>
        <v/>
      </c>
      <c r="M2146" s="196" t="inlineStr">
        <is>
          <t>ZUPAN Diego [AA]</t>
        </is>
      </c>
      <c r="N2146" s="196" t="inlineStr">
        <is>
          <t>PETERLIN Tommaso [AAt]</t>
        </is>
      </c>
      <c r="O2146" s="196" t="inlineStr">
        <is>
          <t>CAMPOS Ottavia [A]</t>
        </is>
      </c>
      <c r="P2146" s="196" t="inlineStr">
        <is>
          <t>WEBER Jonas</t>
        </is>
      </c>
      <c r="Q2146" s="196" t="inlineStr">
        <is>
          <t>PRADO Lea</t>
        </is>
      </c>
      <c r="R2146" s="196" t="inlineStr">
        <is>
          <t>FUENTES Chiara</t>
        </is>
      </c>
    </row>
    <row r="2147" ht="15" customHeight="1">
      <c r="A2147" s="141" t="n"/>
      <c r="B2147" s="69">
        <f>IF('Calendario D'!B227="","",'Calendario D'!B227)</f>
        <v/>
      </c>
      <c r="C2147" s="9" t="n"/>
      <c r="D2147" s="9" t="n"/>
      <c r="E2147" s="9" t="n"/>
      <c r="F2147" s="9" t="n"/>
      <c r="G2147" s="9" t="n"/>
      <c r="H2147" s="10" t="n"/>
      <c r="I2147" s="62">
        <f>IF('Calendario D'!I227="","",'Calendario D'!I227)</f>
        <v/>
      </c>
      <c r="J2147" s="141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</row>
    <row r="2148" ht="14" customHeight="1">
      <c r="A2148" s="88" t="inlineStr">
        <is>
          <t>Gara N.</t>
        </is>
      </c>
      <c r="B2148" s="88" t="inlineStr">
        <is>
          <t>Squadra A</t>
        </is>
      </c>
      <c r="C2148" s="10" t="n"/>
      <c r="D2148" s="88" t="inlineStr">
        <is>
          <t>Squadra B</t>
        </is>
      </c>
      <c r="E2148" s="10" t="n"/>
      <c r="F2148" s="88" t="inlineStr">
        <is>
          <t>Giorno</t>
        </is>
      </c>
      <c r="G2148" s="88" t="inlineStr">
        <is>
          <t>Data</t>
        </is>
      </c>
      <c r="H2148" s="88" t="inlineStr">
        <is>
          <t>Ora</t>
        </is>
      </c>
      <c r="I2148" s="10" t="n"/>
      <c r="J2148" s="88" t="inlineStr">
        <is>
          <t>Risultato</t>
        </is>
      </c>
      <c r="K2148" s="9" t="n"/>
      <c r="L2148" s="10" t="n"/>
      <c r="M2148" s="203" t="inlineStr">
        <is>
          <t>1o Arbitro</t>
        </is>
      </c>
      <c r="N2148" s="203" t="inlineStr">
        <is>
          <t>2o Arbitro</t>
        </is>
      </c>
      <c r="O2148" s="203" t="inlineStr">
        <is>
          <t>3o Arbitro/Tirocinante</t>
        </is>
      </c>
      <c r="P2148" s="203" t="inlineStr">
        <is>
          <t>Referto</t>
        </is>
      </c>
      <c r="Q2148" s="203" t="inlineStr">
        <is>
          <t>Cronometro</t>
        </is>
      </c>
      <c r="R2148" s="203" t="inlineStr">
        <is>
          <t>Foglio Tiri</t>
        </is>
      </c>
    </row>
    <row r="2149" ht="22" customHeight="1">
      <c r="A2149" s="90">
        <f>IF('Calendario D'!A229="","",'Calendario D'!A229)</f>
        <v/>
      </c>
      <c r="B2149" s="61">
        <f>IF('Calendario D'!B229="","",'Calendario D'!B229)</f>
        <v/>
      </c>
      <c r="C2149" s="62">
        <f>IF('Calendario D'!C229="","",'Calendario D'!C229)</f>
        <v/>
      </c>
      <c r="D2149" s="61">
        <f>IF('Calendario D'!D229="","",'Calendario D'!D229)</f>
        <v/>
      </c>
      <c r="E2149" s="62">
        <f>IF('Calendario D'!E229="","",'Calendario D'!E229)</f>
        <v/>
      </c>
      <c r="F2149" s="63">
        <f>IF('Calendario D'!F229="","",'Calendario D'!F229)</f>
        <v/>
      </c>
      <c r="G2149" s="9" t="n"/>
      <c r="H2149" s="9" t="n"/>
      <c r="I2149" s="10" t="n"/>
      <c r="J2149" s="195">
        <f>IF('Calendario D'!J229="","",'Calendario D'!J229)</f>
        <v/>
      </c>
      <c r="K2149" s="64" t="inlineStr">
        <is>
          <t>-</t>
        </is>
      </c>
      <c r="L2149" s="195">
        <f>IF('Calendario D'!L229="","",'Calendario D'!L229)</f>
        <v/>
      </c>
      <c r="M2149" s="196" t="inlineStr">
        <is>
          <t>CAMPOS Ottavia [A]</t>
        </is>
      </c>
      <c r="N2149" s="196" t="inlineStr">
        <is>
          <t>LEROUX Hugo [Aest]</t>
        </is>
      </c>
      <c r="O2149" s="196" t="inlineStr">
        <is>
          <t>NAVARRO Miha [A]</t>
        </is>
      </c>
      <c r="P2149" s="196" t="inlineStr">
        <is>
          <t>KOVAC Lea</t>
        </is>
      </c>
      <c r="Q2149" s="196" t="inlineStr">
        <is>
          <t>GAUTHIER Sofia</t>
        </is>
      </c>
      <c r="R2149" s="196" t="inlineStr">
        <is>
          <t>MORETTO Jonas</t>
        </is>
      </c>
    </row>
    <row r="2150" ht="15" customHeight="1">
      <c r="A2150" s="141" t="n"/>
      <c r="B2150" s="69">
        <f>IF('Calendario D'!B230="","",'Calendario D'!B230)</f>
        <v/>
      </c>
      <c r="C2150" s="9" t="n"/>
      <c r="D2150" s="9" t="n"/>
      <c r="E2150" s="9" t="n"/>
      <c r="F2150" s="9" t="n"/>
      <c r="G2150" s="9" t="n"/>
      <c r="H2150" s="10" t="n"/>
      <c r="I2150" s="62">
        <f>IF('Calendario D'!I230="","",'Calendario D'!I230)</f>
        <v/>
      </c>
      <c r="J2150" s="141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</row>
    <row r="2152" ht="20" customHeight="1">
      <c r="A2152" s="85">
        <f>IF('Calendario D'!A232="","",'Calendario D'!A232)</f>
        <v/>
      </c>
      <c r="B2152" s="86">
        <f>IF('Calendario D'!B232="","",'Calendario D'!B232)</f>
        <v/>
      </c>
      <c r="C2152" s="9" t="n"/>
      <c r="D2152" s="9" t="n"/>
      <c r="E2152" s="9" t="n"/>
      <c r="F2152" s="9" t="n"/>
      <c r="G2152" s="9" t="n"/>
      <c r="H2152" s="9" t="n"/>
      <c r="I2152" s="9" t="n"/>
      <c r="J2152" s="9" t="n"/>
      <c r="K2152" s="9" t="n"/>
      <c r="L2152" s="10" t="n"/>
      <c r="M2152" s="202" t="inlineStr">
        <is>
          <t>ARBITRI</t>
        </is>
      </c>
      <c r="N2152" s="9" t="n"/>
      <c r="O2152" s="10" t="n"/>
      <c r="P2152" s="202" t="inlineStr">
        <is>
          <t>UFFICIALI DI CAMPO</t>
        </is>
      </c>
      <c r="Q2152" s="9" t="n"/>
      <c r="R2152" s="10" t="n"/>
    </row>
    <row r="2153" ht="14" customHeight="1">
      <c r="A2153" s="88" t="inlineStr">
        <is>
          <t>Gara N.</t>
        </is>
      </c>
      <c r="B2153" s="88" t="inlineStr">
        <is>
          <t>Squadra A</t>
        </is>
      </c>
      <c r="C2153" s="10" t="n"/>
      <c r="D2153" s="88" t="inlineStr">
        <is>
          <t>Squadra B</t>
        </is>
      </c>
      <c r="E2153" s="10" t="n"/>
      <c r="F2153" s="88" t="inlineStr">
        <is>
          <t>Giorno</t>
        </is>
      </c>
      <c r="G2153" s="88" t="inlineStr">
        <is>
          <t>Data</t>
        </is>
      </c>
      <c r="H2153" s="88" t="inlineStr">
        <is>
          <t>Ora</t>
        </is>
      </c>
      <c r="I2153" s="10" t="n"/>
      <c r="J2153" s="88" t="inlineStr">
        <is>
          <t>Risultato</t>
        </is>
      </c>
      <c r="K2153" s="9" t="n"/>
      <c r="L2153" s="10" t="n"/>
      <c r="M2153" s="203" t="inlineStr">
        <is>
          <t>1o Arbitro</t>
        </is>
      </c>
      <c r="N2153" s="203" t="inlineStr">
        <is>
          <t>2o Arbitro</t>
        </is>
      </c>
      <c r="O2153" s="203" t="inlineStr">
        <is>
          <t>3o Arbitro/Tirocinante</t>
        </is>
      </c>
      <c r="P2153" s="203" t="inlineStr">
        <is>
          <t>Referto</t>
        </is>
      </c>
      <c r="Q2153" s="203" t="inlineStr">
        <is>
          <t>Cronometro</t>
        </is>
      </c>
      <c r="R2153" s="203" t="inlineStr">
        <is>
          <t>Foglio Tiri</t>
        </is>
      </c>
    </row>
    <row r="2154" ht="22" customHeight="1">
      <c r="A2154" s="90">
        <f>IF('Calendario D'!A234="","",'Calendario D'!A234)</f>
        <v/>
      </c>
      <c r="B2154" s="61">
        <f>IF('Calendario D'!B234="","",'Calendario D'!B234)</f>
        <v/>
      </c>
      <c r="C2154" s="62">
        <f>IF('Calendario D'!C234="","",'Calendario D'!C234)</f>
        <v/>
      </c>
      <c r="D2154" s="61">
        <f>IF('Calendario D'!D234="","",'Calendario D'!D234)</f>
        <v/>
      </c>
      <c r="E2154" s="62">
        <f>IF('Calendario D'!E234="","",'Calendario D'!E234)</f>
        <v/>
      </c>
      <c r="F2154" s="63">
        <f>IF('Calendario D'!F234="","",'Calendario D'!F234)</f>
        <v/>
      </c>
      <c r="G2154" s="9" t="n"/>
      <c r="H2154" s="9" t="n"/>
      <c r="I2154" s="10" t="n"/>
      <c r="J2154" s="195">
        <f>IF('Calendario D'!J234="","",'Calendario D'!J234)</f>
        <v/>
      </c>
      <c r="K2154" s="64" t="inlineStr">
        <is>
          <t>-</t>
        </is>
      </c>
      <c r="L2154" s="195">
        <f>IF('Calendario D'!L234="","",'Calendario D'!L234)</f>
        <v/>
      </c>
      <c r="M2154" s="196" t="inlineStr">
        <is>
          <t>SEVER Tommaso [AAt]</t>
        </is>
      </c>
      <c r="N2154" s="196" t="inlineStr">
        <is>
          <t>KRUGER Nicola [Aest]</t>
        </is>
      </c>
      <c r="O2154" s="196" t="inlineStr">
        <is>
          <t>GAUTHIER Elena [AA]</t>
        </is>
      </c>
      <c r="P2154" s="196" t="inlineStr">
        <is>
          <t>FUENTES Greta</t>
        </is>
      </c>
      <c r="Q2154" s="196" t="inlineStr">
        <is>
          <t>NADAUD Nicola</t>
        </is>
      </c>
      <c r="R2154" s="196" t="inlineStr">
        <is>
          <t>PRADO Eva</t>
        </is>
      </c>
    </row>
    <row r="2155" ht="15" customHeight="1">
      <c r="A2155" s="141" t="n"/>
      <c r="B2155" s="69">
        <f>IF('Calendario D'!B235="","",'Calendario D'!B235)</f>
        <v/>
      </c>
      <c r="C2155" s="9" t="n"/>
      <c r="D2155" s="9" t="n"/>
      <c r="E2155" s="9" t="n"/>
      <c r="F2155" s="9" t="n"/>
      <c r="G2155" s="9" t="n"/>
      <c r="H2155" s="10" t="n"/>
      <c r="I2155" s="62">
        <f>IF('Calendario D'!I235="","",'Calendario D'!I235)</f>
        <v/>
      </c>
      <c r="J2155" s="141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</row>
    <row r="2156" ht="14" customHeight="1">
      <c r="A2156" s="88" t="inlineStr">
        <is>
          <t>Gara N.</t>
        </is>
      </c>
      <c r="B2156" s="88" t="inlineStr">
        <is>
          <t>Squadra A</t>
        </is>
      </c>
      <c r="C2156" s="10" t="n"/>
      <c r="D2156" s="88" t="inlineStr">
        <is>
          <t>Squadra B</t>
        </is>
      </c>
      <c r="E2156" s="10" t="n"/>
      <c r="F2156" s="88" t="inlineStr">
        <is>
          <t>Giorno</t>
        </is>
      </c>
      <c r="G2156" s="88" t="inlineStr">
        <is>
          <t>Data</t>
        </is>
      </c>
      <c r="H2156" s="88" t="inlineStr">
        <is>
          <t>Ora</t>
        </is>
      </c>
      <c r="I2156" s="10" t="n"/>
      <c r="J2156" s="88" t="inlineStr">
        <is>
          <t>Risultato</t>
        </is>
      </c>
      <c r="K2156" s="9" t="n"/>
      <c r="L2156" s="10" t="n"/>
      <c r="M2156" s="203" t="inlineStr">
        <is>
          <t>1o Arbitro</t>
        </is>
      </c>
      <c r="N2156" s="203" t="inlineStr">
        <is>
          <t>2o Arbitro</t>
        </is>
      </c>
      <c r="O2156" s="203" t="inlineStr">
        <is>
          <t>3o Arbitro/Tirocinante</t>
        </is>
      </c>
      <c r="P2156" s="203" t="inlineStr">
        <is>
          <t>Referto</t>
        </is>
      </c>
      <c r="Q2156" s="203" t="inlineStr">
        <is>
          <t>Cronometro</t>
        </is>
      </c>
      <c r="R2156" s="203" t="inlineStr">
        <is>
          <t>Foglio Tiri</t>
        </is>
      </c>
    </row>
    <row r="2157" ht="22" customHeight="1">
      <c r="A2157" s="90">
        <f>IF('Calendario D'!A237="","",'Calendario D'!A237)</f>
        <v/>
      </c>
      <c r="B2157" s="61">
        <f>IF('Calendario D'!B237="","",'Calendario D'!B237)</f>
        <v/>
      </c>
      <c r="C2157" s="62">
        <f>IF('Calendario D'!C237="","",'Calendario D'!C237)</f>
        <v/>
      </c>
      <c r="D2157" s="61">
        <f>IF('Calendario D'!D237="","",'Calendario D'!D237)</f>
        <v/>
      </c>
      <c r="E2157" s="62">
        <f>IF('Calendario D'!E237="","",'Calendario D'!E237)</f>
        <v/>
      </c>
      <c r="F2157" s="63">
        <f>IF('Calendario D'!F237="","",'Calendario D'!F237)</f>
        <v/>
      </c>
      <c r="G2157" s="9" t="n"/>
      <c r="H2157" s="9" t="n"/>
      <c r="I2157" s="10" t="n"/>
      <c r="J2157" s="195">
        <f>IF('Calendario D'!J237="","",'Calendario D'!J237)</f>
        <v/>
      </c>
      <c r="K2157" s="64" t="inlineStr">
        <is>
          <t>-</t>
        </is>
      </c>
      <c r="L2157" s="195">
        <f>IF('Calendario D'!L237="","",'Calendario D'!L237)</f>
        <v/>
      </c>
      <c r="M2157" s="196" t="inlineStr">
        <is>
          <t>KRUGER Nicola [Aest]</t>
        </is>
      </c>
      <c r="N2157" s="196" t="inlineStr">
        <is>
          <t>HORVAT Vid [A]</t>
        </is>
      </c>
      <c r="O2157" s="196" t="inlineStr">
        <is>
          <t>MARCHIONI Miha [Aest]</t>
        </is>
      </c>
      <c r="P2157" s="196" t="inlineStr">
        <is>
          <t>NADAUD Alenka</t>
        </is>
      </c>
      <c r="Q2157" s="196" t="inlineStr">
        <is>
          <t>ORTEGA Stefano</t>
        </is>
      </c>
      <c r="R2157" s="196" t="inlineStr">
        <is>
          <t>OBLAK Anja</t>
        </is>
      </c>
    </row>
    <row r="2158" ht="15" customHeight="1">
      <c r="A2158" s="141" t="n"/>
      <c r="B2158" s="69">
        <f>IF('Calendario D'!B238="","",'Calendario D'!B238)</f>
        <v/>
      </c>
      <c r="C2158" s="9" t="n"/>
      <c r="D2158" s="9" t="n"/>
      <c r="E2158" s="9" t="n"/>
      <c r="F2158" s="9" t="n"/>
      <c r="G2158" s="9" t="n"/>
      <c r="H2158" s="10" t="n"/>
      <c r="I2158" s="62">
        <f>IF('Calendario D'!I238="","",'Calendario D'!I238)</f>
        <v/>
      </c>
      <c r="J2158" s="141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</row>
    <row r="2159" ht="14" customHeight="1">
      <c r="A2159" s="88" t="inlineStr">
        <is>
          <t>Gara N.</t>
        </is>
      </c>
      <c r="B2159" s="88" t="inlineStr">
        <is>
          <t>Squadra A</t>
        </is>
      </c>
      <c r="C2159" s="10" t="n"/>
      <c r="D2159" s="88" t="inlineStr">
        <is>
          <t>Squadra B</t>
        </is>
      </c>
      <c r="E2159" s="10" t="n"/>
      <c r="F2159" s="88" t="inlineStr">
        <is>
          <t>Giorno</t>
        </is>
      </c>
      <c r="G2159" s="88" t="inlineStr">
        <is>
          <t>Data</t>
        </is>
      </c>
      <c r="H2159" s="88" t="inlineStr">
        <is>
          <t>Ora</t>
        </is>
      </c>
      <c r="I2159" s="10" t="n"/>
      <c r="J2159" s="88" t="inlineStr">
        <is>
          <t>Risultato</t>
        </is>
      </c>
      <c r="K2159" s="9" t="n"/>
      <c r="L2159" s="10" t="n"/>
      <c r="M2159" s="203" t="inlineStr">
        <is>
          <t>1o Arbitro</t>
        </is>
      </c>
      <c r="N2159" s="203" t="inlineStr">
        <is>
          <t>2o Arbitro</t>
        </is>
      </c>
      <c r="O2159" s="203" t="inlineStr">
        <is>
          <t>3o Arbitro/Tirocinante</t>
        </is>
      </c>
      <c r="P2159" s="203" t="inlineStr">
        <is>
          <t>Referto</t>
        </is>
      </c>
      <c r="Q2159" s="203" t="inlineStr">
        <is>
          <t>Cronometro</t>
        </is>
      </c>
      <c r="R2159" s="203" t="inlineStr">
        <is>
          <t>Foglio Tiri</t>
        </is>
      </c>
    </row>
    <row r="2160" ht="22" customHeight="1">
      <c r="A2160" s="90">
        <f>IF('Calendario D'!A240="","",'Calendario D'!A240)</f>
        <v/>
      </c>
      <c r="B2160" s="61">
        <f>IF('Calendario D'!B240="","",'Calendario D'!B240)</f>
        <v/>
      </c>
      <c r="C2160" s="62">
        <f>IF('Calendario D'!C240="","",'Calendario D'!C240)</f>
        <v/>
      </c>
      <c r="D2160" s="61">
        <f>IF('Calendario D'!D240="","",'Calendario D'!D240)</f>
        <v/>
      </c>
      <c r="E2160" s="62">
        <f>IF('Calendario D'!E240="","",'Calendario D'!E240)</f>
        <v/>
      </c>
      <c r="F2160" s="63">
        <f>IF('Calendario D'!F240="","",'Calendario D'!F240)</f>
        <v/>
      </c>
      <c r="G2160" s="9" t="n"/>
      <c r="H2160" s="9" t="n"/>
      <c r="I2160" s="10" t="n"/>
      <c r="J2160" s="195">
        <f>IF('Calendario D'!J240="","",'Calendario D'!J240)</f>
        <v/>
      </c>
      <c r="K2160" s="64" t="inlineStr">
        <is>
          <t>-</t>
        </is>
      </c>
      <c r="L2160" s="195">
        <f>IF('Calendario D'!L240="","",'Calendario D'!L240)</f>
        <v/>
      </c>
      <c r="M2160" s="196" t="inlineStr">
        <is>
          <t>BELLANDI Paula [A]</t>
        </is>
      </c>
      <c r="N2160" s="196" t="inlineStr">
        <is>
          <t>SOLER Davide [A]</t>
        </is>
      </c>
      <c r="O2160" s="196" t="inlineStr">
        <is>
          <t>WEBER Nicola [AAt]</t>
        </is>
      </c>
      <c r="P2160" s="196" t="inlineStr">
        <is>
          <t>SEVER Davide</t>
        </is>
      </c>
      <c r="Q2160" s="196" t="inlineStr">
        <is>
          <t>PRADO Alenka</t>
        </is>
      </c>
      <c r="R2160" s="196" t="inlineStr">
        <is>
          <t>LEFEVRE Alenka</t>
        </is>
      </c>
    </row>
    <row r="2161" ht="15" customHeight="1">
      <c r="A2161" s="141" t="n"/>
      <c r="B2161" s="69">
        <f>IF('Calendario D'!B241="","",'Calendario D'!B241)</f>
        <v/>
      </c>
      <c r="C2161" s="9" t="n"/>
      <c r="D2161" s="9" t="n"/>
      <c r="E2161" s="9" t="n"/>
      <c r="F2161" s="9" t="n"/>
      <c r="G2161" s="9" t="n"/>
      <c r="H2161" s="10" t="n"/>
      <c r="I2161" s="62">
        <f>IF('Calendario D'!I241="","",'Calendario D'!I241)</f>
        <v/>
      </c>
      <c r="J2161" s="141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</row>
    <row r="2162" ht="14" customHeight="1">
      <c r="A2162" s="88" t="inlineStr">
        <is>
          <t>Gara N.</t>
        </is>
      </c>
      <c r="B2162" s="88" t="inlineStr">
        <is>
          <t>Squadra A</t>
        </is>
      </c>
      <c r="C2162" s="10" t="n"/>
      <c r="D2162" s="88" t="inlineStr">
        <is>
          <t>Squadra B</t>
        </is>
      </c>
      <c r="E2162" s="10" t="n"/>
      <c r="F2162" s="88" t="inlineStr">
        <is>
          <t>Giorno</t>
        </is>
      </c>
      <c r="G2162" s="88" t="inlineStr">
        <is>
          <t>Data</t>
        </is>
      </c>
      <c r="H2162" s="88" t="inlineStr">
        <is>
          <t>Ora</t>
        </is>
      </c>
      <c r="I2162" s="10" t="n"/>
      <c r="J2162" s="88" t="inlineStr">
        <is>
          <t>Risultato</t>
        </is>
      </c>
      <c r="K2162" s="9" t="n"/>
      <c r="L2162" s="10" t="n"/>
      <c r="M2162" s="203" t="inlineStr">
        <is>
          <t>1o Arbitro</t>
        </is>
      </c>
      <c r="N2162" s="203" t="inlineStr">
        <is>
          <t>2o Arbitro</t>
        </is>
      </c>
      <c r="O2162" s="203" t="inlineStr">
        <is>
          <t>3o Arbitro/Tirocinante</t>
        </is>
      </c>
      <c r="P2162" s="203" t="inlineStr">
        <is>
          <t>Referto</t>
        </is>
      </c>
      <c r="Q2162" s="203" t="inlineStr">
        <is>
          <t>Cronometro</t>
        </is>
      </c>
      <c r="R2162" s="203" t="inlineStr">
        <is>
          <t>Foglio Tiri</t>
        </is>
      </c>
    </row>
    <row r="2163" ht="22" customHeight="1">
      <c r="A2163" s="90">
        <f>IF('Calendario D'!A243="","",'Calendario D'!A243)</f>
        <v/>
      </c>
      <c r="B2163" s="61">
        <f>IF('Calendario D'!B243="","",'Calendario D'!B243)</f>
        <v/>
      </c>
      <c r="C2163" s="62">
        <f>IF('Calendario D'!C243="","",'Calendario D'!C243)</f>
        <v/>
      </c>
      <c r="D2163" s="61">
        <f>IF('Calendario D'!D243="","",'Calendario D'!D243)</f>
        <v/>
      </c>
      <c r="E2163" s="62">
        <f>IF('Calendario D'!E243="","",'Calendario D'!E243)</f>
        <v/>
      </c>
      <c r="F2163" s="63">
        <f>IF('Calendario D'!F243="","",'Calendario D'!F243)</f>
        <v/>
      </c>
      <c r="G2163" s="9" t="n"/>
      <c r="H2163" s="9" t="n"/>
      <c r="I2163" s="10" t="n"/>
      <c r="J2163" s="195">
        <f>IF('Calendario D'!J243="","",'Calendario D'!J243)</f>
        <v/>
      </c>
      <c r="K2163" s="64" t="inlineStr">
        <is>
          <t>-</t>
        </is>
      </c>
      <c r="L2163" s="195">
        <f>IF('Calendario D'!L243="","",'Calendario D'!L243)</f>
        <v/>
      </c>
      <c r="M2163" s="196" t="inlineStr">
        <is>
          <t>WEBER Andrea [AAt]</t>
        </is>
      </c>
      <c r="N2163" s="196" t="inlineStr">
        <is>
          <t>ROSSINI Sofia [AA]</t>
        </is>
      </c>
      <c r="O2163" s="196" t="inlineStr">
        <is>
          <t>AUBERT Filippo [AA]</t>
        </is>
      </c>
      <c r="P2163" s="196" t="inlineStr">
        <is>
          <t>BELLANDI Giulia</t>
        </is>
      </c>
      <c r="Q2163" s="196" t="inlineStr">
        <is>
          <t>FUENTES Beatrice</t>
        </is>
      </c>
      <c r="R2163" s="196" t="inlineStr">
        <is>
          <t>LEFEVRE Filippo</t>
        </is>
      </c>
    </row>
    <row r="2164" ht="15" customHeight="1">
      <c r="A2164" s="141" t="n"/>
      <c r="B2164" s="69">
        <f>IF('Calendario D'!B244="","",'Calendario D'!B244)</f>
        <v/>
      </c>
      <c r="C2164" s="9" t="n"/>
      <c r="D2164" s="9" t="n"/>
      <c r="E2164" s="9" t="n"/>
      <c r="F2164" s="9" t="n"/>
      <c r="G2164" s="9" t="n"/>
      <c r="H2164" s="10" t="n"/>
      <c r="I2164" s="62">
        <f>IF('Calendario D'!I244="","",'Calendario D'!I244)</f>
        <v/>
      </c>
      <c r="J2164" s="141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</row>
    <row r="2165" ht="14" customHeight="1">
      <c r="A2165" s="88" t="inlineStr">
        <is>
          <t>Gara N.</t>
        </is>
      </c>
      <c r="B2165" s="88" t="inlineStr">
        <is>
          <t>Squadra A</t>
        </is>
      </c>
      <c r="C2165" s="10" t="n"/>
      <c r="D2165" s="88" t="inlineStr">
        <is>
          <t>Squadra B</t>
        </is>
      </c>
      <c r="E2165" s="10" t="n"/>
      <c r="F2165" s="88" t="inlineStr">
        <is>
          <t>Giorno</t>
        </is>
      </c>
      <c r="G2165" s="88" t="inlineStr">
        <is>
          <t>Data</t>
        </is>
      </c>
      <c r="H2165" s="88" t="inlineStr">
        <is>
          <t>Ora</t>
        </is>
      </c>
      <c r="I2165" s="10" t="n"/>
      <c r="J2165" s="88" t="inlineStr">
        <is>
          <t>Risultato</t>
        </is>
      </c>
      <c r="K2165" s="9" t="n"/>
      <c r="L2165" s="10" t="n"/>
      <c r="M2165" s="203" t="inlineStr">
        <is>
          <t>1o Arbitro</t>
        </is>
      </c>
      <c r="N2165" s="203" t="inlineStr">
        <is>
          <t>2o Arbitro</t>
        </is>
      </c>
      <c r="O2165" s="203" t="inlineStr">
        <is>
          <t>3o Arbitro/Tirocinante</t>
        </is>
      </c>
      <c r="P2165" s="203" t="inlineStr">
        <is>
          <t>Referto</t>
        </is>
      </c>
      <c r="Q2165" s="203" t="inlineStr">
        <is>
          <t>Cronometro</t>
        </is>
      </c>
      <c r="R2165" s="203" t="inlineStr">
        <is>
          <t>Foglio Tiri</t>
        </is>
      </c>
    </row>
    <row r="2166" ht="22" customHeight="1">
      <c r="A2166" s="90">
        <f>IF('Calendario D'!A246="","",'Calendario D'!A246)</f>
        <v/>
      </c>
      <c r="B2166" s="61">
        <f>IF('Calendario D'!B246="","",'Calendario D'!B246)</f>
        <v/>
      </c>
      <c r="C2166" s="62">
        <f>IF('Calendario D'!C246="","",'Calendario D'!C246)</f>
        <v/>
      </c>
      <c r="D2166" s="61">
        <f>IF('Calendario D'!D246="","",'Calendario D'!D246)</f>
        <v/>
      </c>
      <c r="E2166" s="62">
        <f>IF('Calendario D'!E246="","",'Calendario D'!E246)</f>
        <v/>
      </c>
      <c r="F2166" s="63">
        <f>IF('Calendario D'!F246="","",'Calendario D'!F246)</f>
        <v/>
      </c>
      <c r="G2166" s="9" t="n"/>
      <c r="H2166" s="9" t="n"/>
      <c r="I2166" s="10" t="n"/>
      <c r="J2166" s="195">
        <f>IF('Calendario D'!J246="","",'Calendario D'!J246)</f>
        <v/>
      </c>
      <c r="K2166" s="64" t="inlineStr">
        <is>
          <t>-</t>
        </is>
      </c>
      <c r="L2166" s="195">
        <f>IF('Calendario D'!L246="","",'Calendario D'!L246)</f>
        <v/>
      </c>
      <c r="M2166" s="196" t="inlineStr">
        <is>
          <t>BIANCHELLI Felix [Aest]</t>
        </is>
      </c>
      <c r="N2166" s="196" t="inlineStr">
        <is>
          <t>HOFFMANN Gaelle [AA]</t>
        </is>
      </c>
      <c r="O2166" s="196" t="inlineStr">
        <is>
          <t>FOURNIER Tommaso [AA]</t>
        </is>
      </c>
      <c r="P2166" s="196" t="inlineStr">
        <is>
          <t>NADAUD Mathilde</t>
        </is>
      </c>
      <c r="Q2166" s="196" t="inlineStr">
        <is>
          <t>NADAUD Paula</t>
        </is>
      </c>
      <c r="R2166" s="196" t="inlineStr">
        <is>
          <t>PRADO Marco</t>
        </is>
      </c>
    </row>
    <row r="2167" ht="15" customHeight="1">
      <c r="A2167" s="141" t="n"/>
      <c r="B2167" s="69">
        <f>IF('Calendario D'!B247="","",'Calendario D'!B247)</f>
        <v/>
      </c>
      <c r="C2167" s="9" t="n"/>
      <c r="D2167" s="9" t="n"/>
      <c r="E2167" s="9" t="n"/>
      <c r="F2167" s="9" t="n"/>
      <c r="G2167" s="9" t="n"/>
      <c r="H2167" s="10" t="n"/>
      <c r="I2167" s="62">
        <f>IF('Calendario D'!I247="","",'Calendario D'!I247)</f>
        <v/>
      </c>
      <c r="J2167" s="141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</row>
    <row r="2168" ht="14" customHeight="1">
      <c r="A2168" s="88" t="inlineStr">
        <is>
          <t>Gara N.</t>
        </is>
      </c>
      <c r="B2168" s="88" t="inlineStr">
        <is>
          <t>Squadra A</t>
        </is>
      </c>
      <c r="C2168" s="10" t="n"/>
      <c r="D2168" s="88" t="inlineStr">
        <is>
          <t>Squadra B</t>
        </is>
      </c>
      <c r="E2168" s="10" t="n"/>
      <c r="F2168" s="88" t="inlineStr">
        <is>
          <t>Giorno</t>
        </is>
      </c>
      <c r="G2168" s="88" t="inlineStr">
        <is>
          <t>Data</t>
        </is>
      </c>
      <c r="H2168" s="88" t="inlineStr">
        <is>
          <t>Ora</t>
        </is>
      </c>
      <c r="I2168" s="10" t="n"/>
      <c r="J2168" s="88" t="inlineStr">
        <is>
          <t>Risultato</t>
        </is>
      </c>
      <c r="K2168" s="9" t="n"/>
      <c r="L2168" s="10" t="n"/>
      <c r="M2168" s="203" t="inlineStr">
        <is>
          <t>1o Arbitro</t>
        </is>
      </c>
      <c r="N2168" s="203" t="inlineStr">
        <is>
          <t>2o Arbitro</t>
        </is>
      </c>
      <c r="O2168" s="203" t="inlineStr">
        <is>
          <t>3o Arbitro/Tirocinante</t>
        </is>
      </c>
      <c r="P2168" s="203" t="inlineStr">
        <is>
          <t>Referto</t>
        </is>
      </c>
      <c r="Q2168" s="203" t="inlineStr">
        <is>
          <t>Cronometro</t>
        </is>
      </c>
      <c r="R2168" s="203" t="inlineStr">
        <is>
          <t>Foglio Tiri</t>
        </is>
      </c>
    </row>
    <row r="2169" ht="22" customHeight="1">
      <c r="A2169" s="90">
        <f>IF('Calendario D'!A249="","",'Calendario D'!A249)</f>
        <v/>
      </c>
      <c r="B2169" s="61">
        <f>IF('Calendario D'!B249="","",'Calendario D'!B249)</f>
        <v/>
      </c>
      <c r="C2169" s="62">
        <f>IF('Calendario D'!C249="","",'Calendario D'!C249)</f>
        <v/>
      </c>
      <c r="D2169" s="61">
        <f>IF('Calendario D'!D249="","",'Calendario D'!D249)</f>
        <v/>
      </c>
      <c r="E2169" s="62">
        <f>IF('Calendario D'!E249="","",'Calendario D'!E249)</f>
        <v/>
      </c>
      <c r="F2169" s="63">
        <f>IF('Calendario D'!F249="","",'Calendario D'!F249)</f>
        <v/>
      </c>
      <c r="G2169" s="9" t="n"/>
      <c r="H2169" s="9" t="n"/>
      <c r="I2169" s="10" t="n"/>
      <c r="J2169" s="195">
        <f>IF('Calendario D'!J249="","",'Calendario D'!J249)</f>
        <v/>
      </c>
      <c r="K2169" s="64" t="inlineStr">
        <is>
          <t>-</t>
        </is>
      </c>
      <c r="L2169" s="195">
        <f>IF('Calendario D'!L249="","",'Calendario D'!L249)</f>
        <v/>
      </c>
      <c r="M2169" s="196" t="inlineStr">
        <is>
          <t>VOGEL Miha [AAt]</t>
        </is>
      </c>
      <c r="N2169" s="196" t="inlineStr">
        <is>
          <t>CAMPOS Jonas [AAt]</t>
        </is>
      </c>
      <c r="O2169" s="196" t="inlineStr">
        <is>
          <t>IGLESIAS Felix [AAt]</t>
        </is>
      </c>
      <c r="P2169" s="196" t="inlineStr">
        <is>
          <t>VIDMAR Paula</t>
        </is>
      </c>
      <c r="Q2169" s="196" t="inlineStr">
        <is>
          <t>CASTILLO Elena</t>
        </is>
      </c>
      <c r="R2169" s="196" t="inlineStr">
        <is>
          <t>MODIC Lea</t>
        </is>
      </c>
    </row>
    <row r="2170" ht="15" customHeight="1">
      <c r="A2170" s="141" t="n"/>
      <c r="B2170" s="69">
        <f>IF('Calendario D'!B250="","",'Calendario D'!B250)</f>
        <v/>
      </c>
      <c r="C2170" s="9" t="n"/>
      <c r="D2170" s="9" t="n"/>
      <c r="E2170" s="9" t="n"/>
      <c r="F2170" s="9" t="n"/>
      <c r="G2170" s="9" t="n"/>
      <c r="H2170" s="10" t="n"/>
      <c r="I2170" s="62">
        <f>IF('Calendario D'!I250="","",'Calendario D'!I250)</f>
        <v/>
      </c>
      <c r="J2170" s="141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</row>
    <row r="2171" ht="14" customHeight="1">
      <c r="A2171" s="88" t="inlineStr">
        <is>
          <t>Gara N.</t>
        </is>
      </c>
      <c r="B2171" s="88" t="inlineStr">
        <is>
          <t>Squadra A</t>
        </is>
      </c>
      <c r="C2171" s="10" t="n"/>
      <c r="D2171" s="88" t="inlineStr">
        <is>
          <t>Squadra B</t>
        </is>
      </c>
      <c r="E2171" s="10" t="n"/>
      <c r="F2171" s="88" t="inlineStr">
        <is>
          <t>Giorno</t>
        </is>
      </c>
      <c r="G2171" s="88" t="inlineStr">
        <is>
          <t>Data</t>
        </is>
      </c>
      <c r="H2171" s="88" t="inlineStr">
        <is>
          <t>Ora</t>
        </is>
      </c>
      <c r="I2171" s="10" t="n"/>
      <c r="J2171" s="88" t="inlineStr">
        <is>
          <t>Risultato</t>
        </is>
      </c>
      <c r="K2171" s="9" t="n"/>
      <c r="L2171" s="10" t="n"/>
      <c r="M2171" s="203" t="inlineStr">
        <is>
          <t>1o Arbitro</t>
        </is>
      </c>
      <c r="N2171" s="203" t="inlineStr">
        <is>
          <t>2o Arbitro</t>
        </is>
      </c>
      <c r="O2171" s="203" t="inlineStr">
        <is>
          <t>3o Arbitro/Tirocinante</t>
        </is>
      </c>
      <c r="P2171" s="203" t="inlineStr">
        <is>
          <t>Referto</t>
        </is>
      </c>
      <c r="Q2171" s="203" t="inlineStr">
        <is>
          <t>Cronometro</t>
        </is>
      </c>
      <c r="R2171" s="203" t="inlineStr">
        <is>
          <t>Foglio Tiri</t>
        </is>
      </c>
    </row>
    <row r="2172" ht="22" customHeight="1">
      <c r="A2172" s="90">
        <f>IF('Calendario D'!A252="","",'Calendario D'!A252)</f>
        <v/>
      </c>
      <c r="B2172" s="61">
        <f>IF('Calendario D'!B252="","",'Calendario D'!B252)</f>
        <v/>
      </c>
      <c r="C2172" s="62">
        <f>IF('Calendario D'!C252="","",'Calendario D'!C252)</f>
        <v/>
      </c>
      <c r="D2172" s="61">
        <f>IF('Calendario D'!D252="","",'Calendario D'!D252)</f>
        <v/>
      </c>
      <c r="E2172" s="62">
        <f>IF('Calendario D'!E252="","",'Calendario D'!E252)</f>
        <v/>
      </c>
      <c r="F2172" s="63">
        <f>IF('Calendario D'!F252="","",'Calendario D'!F252)</f>
        <v/>
      </c>
      <c r="G2172" s="9" t="n"/>
      <c r="H2172" s="9" t="n"/>
      <c r="I2172" s="10" t="n"/>
      <c r="J2172" s="195">
        <f>IF('Calendario D'!J252="","",'Calendario D'!J252)</f>
        <v/>
      </c>
      <c r="K2172" s="64" t="inlineStr">
        <is>
          <t>-</t>
        </is>
      </c>
      <c r="L2172" s="195">
        <f>IF('Calendario D'!L252="","",'Calendario D'!L252)</f>
        <v/>
      </c>
      <c r="M2172" s="196" t="inlineStr">
        <is>
          <t>VOGEL Stefano [AAt]</t>
        </is>
      </c>
      <c r="N2172" s="196" t="inlineStr">
        <is>
          <t>MODIC Katrin [A]</t>
        </is>
      </c>
      <c r="O2172" s="196" t="inlineStr">
        <is>
          <t>BLANCO Sofia [AA]</t>
        </is>
      </c>
      <c r="P2172" s="196" t="inlineStr">
        <is>
          <t>VALLET Miha</t>
        </is>
      </c>
      <c r="Q2172" s="196" t="inlineStr">
        <is>
          <t>GAUTHIER Pablo</t>
        </is>
      </c>
      <c r="R2172" s="196" t="inlineStr">
        <is>
          <t>SOLER Pablo</t>
        </is>
      </c>
    </row>
    <row r="2173" ht="15" customHeight="1">
      <c r="A2173" s="141" t="n"/>
      <c r="B2173" s="69">
        <f>IF('Calendario D'!B253="","",'Calendario D'!B253)</f>
        <v/>
      </c>
      <c r="C2173" s="9" t="n"/>
      <c r="D2173" s="9" t="n"/>
      <c r="E2173" s="9" t="n"/>
      <c r="F2173" s="9" t="n"/>
      <c r="G2173" s="9" t="n"/>
      <c r="H2173" s="10" t="n"/>
      <c r="I2173" s="62">
        <f>IF('Calendario D'!I253="","",'Calendario D'!I253)</f>
        <v/>
      </c>
      <c r="J2173" s="141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</row>
    <row r="2174" ht="14" customHeight="1">
      <c r="A2174" s="88" t="inlineStr">
        <is>
          <t>Gara N.</t>
        </is>
      </c>
      <c r="B2174" s="88" t="inlineStr">
        <is>
          <t>Squadra A</t>
        </is>
      </c>
      <c r="C2174" s="10" t="n"/>
      <c r="D2174" s="88" t="inlineStr">
        <is>
          <t>Squadra B</t>
        </is>
      </c>
      <c r="E2174" s="10" t="n"/>
      <c r="F2174" s="88" t="inlineStr">
        <is>
          <t>Giorno</t>
        </is>
      </c>
      <c r="G2174" s="88" t="inlineStr">
        <is>
          <t>Data</t>
        </is>
      </c>
      <c r="H2174" s="88" t="inlineStr">
        <is>
          <t>Ora</t>
        </is>
      </c>
      <c r="I2174" s="10" t="n"/>
      <c r="J2174" s="88" t="inlineStr">
        <is>
          <t>Risultato</t>
        </is>
      </c>
      <c r="K2174" s="9" t="n"/>
      <c r="L2174" s="10" t="n"/>
      <c r="M2174" s="203" t="inlineStr">
        <is>
          <t>1o Arbitro</t>
        </is>
      </c>
      <c r="N2174" s="203" t="inlineStr">
        <is>
          <t>2o Arbitro</t>
        </is>
      </c>
      <c r="O2174" s="203" t="inlineStr">
        <is>
          <t>3o Arbitro/Tirocinante</t>
        </is>
      </c>
      <c r="P2174" s="203" t="inlineStr">
        <is>
          <t>Referto</t>
        </is>
      </c>
      <c r="Q2174" s="203" t="inlineStr">
        <is>
          <t>Cronometro</t>
        </is>
      </c>
      <c r="R2174" s="203" t="inlineStr">
        <is>
          <t>Foglio Tiri</t>
        </is>
      </c>
    </row>
    <row r="2175" ht="22" customHeight="1">
      <c r="A2175" s="90">
        <f>IF('Calendario D'!A255="","",'Calendario D'!A255)</f>
        <v/>
      </c>
      <c r="B2175" s="61">
        <f>IF('Calendario D'!B255="","",'Calendario D'!B255)</f>
        <v/>
      </c>
      <c r="C2175" s="62">
        <f>IF('Calendario D'!C255="","",'Calendario D'!C255)</f>
        <v/>
      </c>
      <c r="D2175" s="61">
        <f>IF('Calendario D'!D255="","",'Calendario D'!D255)</f>
        <v/>
      </c>
      <c r="E2175" s="62">
        <f>IF('Calendario D'!E255="","",'Calendario D'!E255)</f>
        <v/>
      </c>
      <c r="F2175" s="63">
        <f>IF('Calendario D'!F255="","",'Calendario D'!F255)</f>
        <v/>
      </c>
      <c r="G2175" s="9" t="n"/>
      <c r="H2175" s="9" t="n"/>
      <c r="I2175" s="10" t="n"/>
      <c r="J2175" s="195">
        <f>IF('Calendario D'!J255="","",'Calendario D'!J255)</f>
        <v/>
      </c>
      <c r="K2175" s="64" t="inlineStr">
        <is>
          <t>-</t>
        </is>
      </c>
      <c r="L2175" s="195">
        <f>IF('Calendario D'!L255="","",'Calendario D'!L255)</f>
        <v/>
      </c>
      <c r="M2175" s="196" t="inlineStr">
        <is>
          <t>LEROUX Hugo [Aest]</t>
        </is>
      </c>
      <c r="N2175" s="196" t="inlineStr">
        <is>
          <t>NAVARRO Irene [Aest]</t>
        </is>
      </c>
      <c r="O2175" s="196" t="inlineStr">
        <is>
          <t>VALLET Felix [A]</t>
        </is>
      </c>
      <c r="P2175" s="196" t="inlineStr">
        <is>
          <t>BELLANDI Tommaso</t>
        </is>
      </c>
      <c r="Q2175" s="196" t="inlineStr">
        <is>
          <t>SOLER Irene</t>
        </is>
      </c>
      <c r="R2175" s="196" t="inlineStr">
        <is>
          <t>KELLER Alenka</t>
        </is>
      </c>
    </row>
    <row r="2176" ht="15" customHeight="1">
      <c r="A2176" s="141" t="n"/>
      <c r="B2176" s="69">
        <f>IF('Calendario D'!B256="","",'Calendario D'!B256)</f>
        <v/>
      </c>
      <c r="C2176" s="9" t="n"/>
      <c r="D2176" s="9" t="n"/>
      <c r="E2176" s="9" t="n"/>
      <c r="F2176" s="9" t="n"/>
      <c r="G2176" s="9" t="n"/>
      <c r="H2176" s="10" t="n"/>
      <c r="I2176" s="62">
        <f>IF('Calendario D'!I256="","",'Calendario D'!I256)</f>
        <v/>
      </c>
      <c r="J2176" s="141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</row>
    <row r="2177" ht="14" customHeight="1">
      <c r="A2177" s="88" t="inlineStr">
        <is>
          <t>Gara N.</t>
        </is>
      </c>
      <c r="B2177" s="88" t="inlineStr">
        <is>
          <t>Squadra A</t>
        </is>
      </c>
      <c r="C2177" s="10" t="n"/>
      <c r="D2177" s="88" t="inlineStr">
        <is>
          <t>Squadra B</t>
        </is>
      </c>
      <c r="E2177" s="10" t="n"/>
      <c r="F2177" s="88" t="inlineStr">
        <is>
          <t>Giorno</t>
        </is>
      </c>
      <c r="G2177" s="88" t="inlineStr">
        <is>
          <t>Data</t>
        </is>
      </c>
      <c r="H2177" s="88" t="inlineStr">
        <is>
          <t>Ora</t>
        </is>
      </c>
      <c r="I2177" s="10" t="n"/>
      <c r="J2177" s="88" t="inlineStr">
        <is>
          <t>Risultato</t>
        </is>
      </c>
      <c r="K2177" s="9" t="n"/>
      <c r="L2177" s="10" t="n"/>
      <c r="M2177" s="203" t="inlineStr">
        <is>
          <t>1o Arbitro</t>
        </is>
      </c>
      <c r="N2177" s="203" t="inlineStr">
        <is>
          <t>2o Arbitro</t>
        </is>
      </c>
      <c r="O2177" s="203" t="inlineStr">
        <is>
          <t>3o Arbitro/Tirocinante</t>
        </is>
      </c>
      <c r="P2177" s="203" t="inlineStr">
        <is>
          <t>Referto</t>
        </is>
      </c>
      <c r="Q2177" s="203" t="inlineStr">
        <is>
          <t>Cronometro</t>
        </is>
      </c>
      <c r="R2177" s="203" t="inlineStr">
        <is>
          <t>Foglio Tiri</t>
        </is>
      </c>
    </row>
    <row r="2178" ht="22" customHeight="1">
      <c r="A2178" s="90">
        <f>IF('Calendario D'!A258="","",'Calendario D'!A258)</f>
        <v/>
      </c>
      <c r="B2178" s="61">
        <f>IF('Calendario D'!B258="","",'Calendario D'!B258)</f>
        <v/>
      </c>
      <c r="C2178" s="62">
        <f>IF('Calendario D'!C258="","",'Calendario D'!C258)</f>
        <v/>
      </c>
      <c r="D2178" s="61">
        <f>IF('Calendario D'!D258="","",'Calendario D'!D258)</f>
        <v/>
      </c>
      <c r="E2178" s="62">
        <f>IF('Calendario D'!E258="","",'Calendario D'!E258)</f>
        <v/>
      </c>
      <c r="F2178" s="63">
        <f>IF('Calendario D'!F258="","",'Calendario D'!F258)</f>
        <v/>
      </c>
      <c r="G2178" s="9" t="n"/>
      <c r="H2178" s="9" t="n"/>
      <c r="I2178" s="10" t="n"/>
      <c r="J2178" s="195">
        <f>IF('Calendario D'!J258="","",'Calendario D'!J258)</f>
        <v/>
      </c>
      <c r="K2178" s="64" t="inlineStr">
        <is>
          <t>-</t>
        </is>
      </c>
      <c r="L2178" s="195">
        <f>IF('Calendario D'!L258="","",'Calendario D'!L258)</f>
        <v/>
      </c>
      <c r="M2178" s="196" t="inlineStr">
        <is>
          <t>KRAJNC Nicola [A]</t>
        </is>
      </c>
      <c r="N2178" s="196" t="inlineStr">
        <is>
          <t>MARCHIONI Miha [Aest]</t>
        </is>
      </c>
      <c r="O2178" s="196" t="inlineStr">
        <is>
          <t>KRAJNC Marta [Aest]</t>
        </is>
      </c>
      <c r="P2178" s="196" t="inlineStr">
        <is>
          <t>PRADO Alenka</t>
        </is>
      </c>
      <c r="Q2178" s="196" t="inlineStr">
        <is>
          <t>BLANCO Chiara</t>
        </is>
      </c>
      <c r="R2178" s="196" t="inlineStr">
        <is>
          <t>VOGEL Martina</t>
        </is>
      </c>
    </row>
    <row r="2179" ht="15" customHeight="1">
      <c r="A2179" s="141" t="n"/>
      <c r="B2179" s="69">
        <f>IF('Calendario D'!B259="","",'Calendario D'!B259)</f>
        <v/>
      </c>
      <c r="C2179" s="9" t="n"/>
      <c r="D2179" s="9" t="n"/>
      <c r="E2179" s="9" t="n"/>
      <c r="F2179" s="9" t="n"/>
      <c r="G2179" s="9" t="n"/>
      <c r="H2179" s="10" t="n"/>
      <c r="I2179" s="62">
        <f>IF('Calendario D'!I259="","",'Calendario D'!I259)</f>
        <v/>
      </c>
      <c r="J2179" s="141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</row>
    <row r="2180" ht="14" customHeight="1">
      <c r="A2180" s="88" t="inlineStr">
        <is>
          <t>Gara N.</t>
        </is>
      </c>
      <c r="B2180" s="88" t="inlineStr">
        <is>
          <t>Squadra A</t>
        </is>
      </c>
      <c r="C2180" s="10" t="n"/>
      <c r="D2180" s="88" t="inlineStr">
        <is>
          <t>Squadra B</t>
        </is>
      </c>
      <c r="E2180" s="10" t="n"/>
      <c r="F2180" s="88" t="inlineStr">
        <is>
          <t>Giorno</t>
        </is>
      </c>
      <c r="G2180" s="88" t="inlineStr">
        <is>
          <t>Data</t>
        </is>
      </c>
      <c r="H2180" s="88" t="inlineStr">
        <is>
          <t>Ora</t>
        </is>
      </c>
      <c r="I2180" s="10" t="n"/>
      <c r="J2180" s="88" t="inlineStr">
        <is>
          <t>Risultato</t>
        </is>
      </c>
      <c r="K2180" s="9" t="n"/>
      <c r="L2180" s="10" t="n"/>
      <c r="M2180" s="203" t="inlineStr">
        <is>
          <t>1o Arbitro</t>
        </is>
      </c>
      <c r="N2180" s="203" t="inlineStr">
        <is>
          <t>2o Arbitro</t>
        </is>
      </c>
      <c r="O2180" s="203" t="inlineStr">
        <is>
          <t>3o Arbitro/Tirocinante</t>
        </is>
      </c>
      <c r="P2180" s="203" t="inlineStr">
        <is>
          <t>Referto</t>
        </is>
      </c>
      <c r="Q2180" s="203" t="inlineStr">
        <is>
          <t>Cronometro</t>
        </is>
      </c>
      <c r="R2180" s="203" t="inlineStr">
        <is>
          <t>Foglio Tiri</t>
        </is>
      </c>
    </row>
    <row r="2181" ht="22" customHeight="1">
      <c r="A2181" s="90">
        <f>IF('Calendario D'!A261="","",'Calendario D'!A261)</f>
        <v/>
      </c>
      <c r="B2181" s="61">
        <f>IF('Calendario D'!B261="","",'Calendario D'!B261)</f>
        <v/>
      </c>
      <c r="C2181" s="62">
        <f>IF('Calendario D'!C261="","",'Calendario D'!C261)</f>
        <v/>
      </c>
      <c r="D2181" s="61">
        <f>IF('Calendario D'!D261="","",'Calendario D'!D261)</f>
        <v/>
      </c>
      <c r="E2181" s="62">
        <f>IF('Calendario D'!E261="","",'Calendario D'!E261)</f>
        <v/>
      </c>
      <c r="F2181" s="63">
        <f>IF('Calendario D'!F261="","",'Calendario D'!F261)</f>
        <v/>
      </c>
      <c r="G2181" s="9" t="n"/>
      <c r="H2181" s="9" t="n"/>
      <c r="I2181" s="10" t="n"/>
      <c r="J2181" s="195">
        <f>IF('Calendario D'!J261="","",'Calendario D'!J261)</f>
        <v/>
      </c>
      <c r="K2181" s="64" t="inlineStr">
        <is>
          <t>-</t>
        </is>
      </c>
      <c r="L2181" s="195">
        <f>IF('Calendario D'!L261="","",'Calendario D'!L261)</f>
        <v/>
      </c>
      <c r="M2181" s="196" t="inlineStr">
        <is>
          <t>BLANCHET Nicola [AA]</t>
        </is>
      </c>
      <c r="N2181" s="196" t="inlineStr">
        <is>
          <t>HOFFMANN Filippo [AA]</t>
        </is>
      </c>
      <c r="O2181" s="196" t="inlineStr">
        <is>
          <t>PRADO Luca [AA]</t>
        </is>
      </c>
      <c r="P2181" s="196" t="inlineStr">
        <is>
          <t>PRADO Lea</t>
        </is>
      </c>
      <c r="Q2181" s="196" t="inlineStr">
        <is>
          <t>VOGEL Pablo</t>
        </is>
      </c>
      <c r="R2181" s="196" t="inlineStr">
        <is>
          <t>KRAJNC Marco</t>
        </is>
      </c>
    </row>
    <row r="2182" ht="15" customHeight="1">
      <c r="A2182" s="141" t="n"/>
      <c r="B2182" s="69">
        <f>IF('Calendario D'!B262="","",'Calendario D'!B262)</f>
        <v/>
      </c>
      <c r="C2182" s="9" t="n"/>
      <c r="D2182" s="9" t="n"/>
      <c r="E2182" s="9" t="n"/>
      <c r="F2182" s="9" t="n"/>
      <c r="G2182" s="9" t="n"/>
      <c r="H2182" s="10" t="n"/>
      <c r="I2182" s="62">
        <f>IF('Calendario D'!I262="","",'Calendario D'!I262)</f>
        <v/>
      </c>
      <c r="J2182" s="141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</row>
    <row r="2184" ht="20" customHeight="1">
      <c r="A2184" s="85">
        <f>IF('Calendario D'!A264="","",'Calendario D'!A264)</f>
        <v/>
      </c>
      <c r="B2184" s="86">
        <f>IF('Calendario D'!B264="","",'Calendario D'!B264)</f>
        <v/>
      </c>
      <c r="C2184" s="9" t="n"/>
      <c r="D2184" s="9" t="n"/>
      <c r="E2184" s="9" t="n"/>
      <c r="F2184" s="9" t="n"/>
      <c r="G2184" s="9" t="n"/>
      <c r="H2184" s="9" t="n"/>
      <c r="I2184" s="9" t="n"/>
      <c r="J2184" s="9" t="n"/>
      <c r="K2184" s="9" t="n"/>
      <c r="L2184" s="10" t="n"/>
      <c r="M2184" s="202" t="inlineStr">
        <is>
          <t>ARBITRI</t>
        </is>
      </c>
      <c r="N2184" s="9" t="n"/>
      <c r="O2184" s="10" t="n"/>
      <c r="P2184" s="202" t="inlineStr">
        <is>
          <t>UFFICIALI DI CAMPO</t>
        </is>
      </c>
      <c r="Q2184" s="9" t="n"/>
      <c r="R2184" s="10" t="n"/>
    </row>
    <row r="2185" ht="14" customHeight="1">
      <c r="A2185" s="88" t="inlineStr">
        <is>
          <t>Gara N.</t>
        </is>
      </c>
      <c r="B2185" s="88" t="inlineStr">
        <is>
          <t>Squadra A</t>
        </is>
      </c>
      <c r="C2185" s="10" t="n"/>
      <c r="D2185" s="88" t="inlineStr">
        <is>
          <t>Squadra B</t>
        </is>
      </c>
      <c r="E2185" s="10" t="n"/>
      <c r="F2185" s="88" t="inlineStr">
        <is>
          <t>Giorno</t>
        </is>
      </c>
      <c r="G2185" s="88" t="inlineStr">
        <is>
          <t>Data</t>
        </is>
      </c>
      <c r="H2185" s="88" t="inlineStr">
        <is>
          <t>Ora</t>
        </is>
      </c>
      <c r="I2185" s="10" t="n"/>
      <c r="J2185" s="88" t="inlineStr">
        <is>
          <t>Risultato</t>
        </is>
      </c>
      <c r="K2185" s="9" t="n"/>
      <c r="L2185" s="10" t="n"/>
      <c r="M2185" s="203" t="inlineStr">
        <is>
          <t>1o Arbitro</t>
        </is>
      </c>
      <c r="N2185" s="203" t="inlineStr">
        <is>
          <t>2o Arbitro</t>
        </is>
      </c>
      <c r="O2185" s="203" t="inlineStr">
        <is>
          <t>3o Arbitro/Tirocinante</t>
        </is>
      </c>
      <c r="P2185" s="203" t="inlineStr">
        <is>
          <t>Referto</t>
        </is>
      </c>
      <c r="Q2185" s="203" t="inlineStr">
        <is>
          <t>Cronometro</t>
        </is>
      </c>
      <c r="R2185" s="203" t="inlineStr">
        <is>
          <t>Foglio Tiri</t>
        </is>
      </c>
    </row>
    <row r="2186" ht="22" customHeight="1">
      <c r="A2186" s="90">
        <f>IF('Calendario D'!A266="","",'Calendario D'!A266)</f>
        <v/>
      </c>
      <c r="B2186" s="61">
        <f>IF('Calendario D'!B266="","",'Calendario D'!B266)</f>
        <v/>
      </c>
      <c r="C2186" s="62">
        <f>IF('Calendario D'!C266="","",'Calendario D'!C266)</f>
        <v/>
      </c>
      <c r="D2186" s="61">
        <f>IF('Calendario D'!D266="","",'Calendario D'!D266)</f>
        <v/>
      </c>
      <c r="E2186" s="62">
        <f>IF('Calendario D'!E266="","",'Calendario D'!E266)</f>
        <v/>
      </c>
      <c r="F2186" s="63">
        <f>IF('Calendario D'!F266="","",'Calendario D'!F266)</f>
        <v/>
      </c>
      <c r="G2186" s="9" t="n"/>
      <c r="H2186" s="9" t="n"/>
      <c r="I2186" s="10" t="n"/>
      <c r="J2186" s="195">
        <f>IF('Calendario D'!J266="","",'Calendario D'!J266)</f>
        <v/>
      </c>
      <c r="K2186" s="64" t="inlineStr">
        <is>
          <t>-</t>
        </is>
      </c>
      <c r="L2186" s="195">
        <f>IF('Calendario D'!L266="","",'Calendario D'!L266)</f>
        <v/>
      </c>
      <c r="M2186" s="196" t="inlineStr">
        <is>
          <t>AUBERT Gaelle [AAt]</t>
        </is>
      </c>
      <c r="N2186" s="196" t="inlineStr">
        <is>
          <t>FOURNIER Matteo [AAt]</t>
        </is>
      </c>
      <c r="O2186" s="196" t="inlineStr">
        <is>
          <t>SOLER Davide [A]</t>
        </is>
      </c>
      <c r="P2186" s="196" t="inlineStr">
        <is>
          <t>BIANCHELLI Mathilde</t>
        </is>
      </c>
      <c r="Q2186" s="196" t="inlineStr">
        <is>
          <t>NOVAK Filippo</t>
        </is>
      </c>
      <c r="R2186" s="196" t="inlineStr">
        <is>
          <t>PRADO Marco</t>
        </is>
      </c>
    </row>
    <row r="2187" ht="15" customHeight="1">
      <c r="A2187" s="141" t="n"/>
      <c r="B2187" s="69">
        <f>IF('Calendario D'!B267="","",'Calendario D'!B267)</f>
        <v/>
      </c>
      <c r="C2187" s="9" t="n"/>
      <c r="D2187" s="9" t="n"/>
      <c r="E2187" s="9" t="n"/>
      <c r="F2187" s="9" t="n"/>
      <c r="G2187" s="9" t="n"/>
      <c r="H2187" s="10" t="n"/>
      <c r="I2187" s="62">
        <f>IF('Calendario D'!I267="","",'Calendario D'!I267)</f>
        <v/>
      </c>
      <c r="J2187" s="141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</row>
    <row r="2188" ht="14" customHeight="1">
      <c r="A2188" s="88" t="inlineStr">
        <is>
          <t>Gara N.</t>
        </is>
      </c>
      <c r="B2188" s="88" t="inlineStr">
        <is>
          <t>Squadra A</t>
        </is>
      </c>
      <c r="C2188" s="10" t="n"/>
      <c r="D2188" s="88" t="inlineStr">
        <is>
          <t>Squadra B</t>
        </is>
      </c>
      <c r="E2188" s="10" t="n"/>
      <c r="F2188" s="88" t="inlineStr">
        <is>
          <t>Giorno</t>
        </is>
      </c>
      <c r="G2188" s="88" t="inlineStr">
        <is>
          <t>Data</t>
        </is>
      </c>
      <c r="H2188" s="88" t="inlineStr">
        <is>
          <t>Ora</t>
        </is>
      </c>
      <c r="I2188" s="10" t="n"/>
      <c r="J2188" s="88" t="inlineStr">
        <is>
          <t>Risultato</t>
        </is>
      </c>
      <c r="K2188" s="9" t="n"/>
      <c r="L2188" s="10" t="n"/>
      <c r="M2188" s="203" t="inlineStr">
        <is>
          <t>1o Arbitro</t>
        </is>
      </c>
      <c r="N2188" s="203" t="inlineStr">
        <is>
          <t>2o Arbitro</t>
        </is>
      </c>
      <c r="O2188" s="203" t="inlineStr">
        <is>
          <t>3o Arbitro/Tirocinante</t>
        </is>
      </c>
      <c r="P2188" s="203" t="inlineStr">
        <is>
          <t>Referto</t>
        </is>
      </c>
      <c r="Q2188" s="203" t="inlineStr">
        <is>
          <t>Cronometro</t>
        </is>
      </c>
      <c r="R2188" s="203" t="inlineStr">
        <is>
          <t>Foglio Tiri</t>
        </is>
      </c>
    </row>
    <row r="2189" ht="22" customHeight="1">
      <c r="A2189" s="90">
        <f>IF('Calendario D'!A269="","",'Calendario D'!A269)</f>
        <v/>
      </c>
      <c r="B2189" s="61">
        <f>IF('Calendario D'!B269="","",'Calendario D'!B269)</f>
        <v/>
      </c>
      <c r="C2189" s="62">
        <f>IF('Calendario D'!C269="","",'Calendario D'!C269)</f>
        <v/>
      </c>
      <c r="D2189" s="61">
        <f>IF('Calendario D'!D269="","",'Calendario D'!D269)</f>
        <v/>
      </c>
      <c r="E2189" s="62">
        <f>IF('Calendario D'!E269="","",'Calendario D'!E269)</f>
        <v/>
      </c>
      <c r="F2189" s="63">
        <f>IF('Calendario D'!F269="","",'Calendario D'!F269)</f>
        <v/>
      </c>
      <c r="G2189" s="9" t="n"/>
      <c r="H2189" s="9" t="n"/>
      <c r="I2189" s="10" t="n"/>
      <c r="J2189" s="195">
        <f>IF('Calendario D'!J269="","",'Calendario D'!J269)</f>
        <v/>
      </c>
      <c r="K2189" s="64" t="inlineStr">
        <is>
          <t>-</t>
        </is>
      </c>
      <c r="L2189" s="195">
        <f>IF('Calendario D'!L269="","",'Calendario D'!L269)</f>
        <v/>
      </c>
      <c r="M2189" s="196" t="inlineStr">
        <is>
          <t>HOFFMANN Gaelle [AA]</t>
        </is>
      </c>
      <c r="N2189" s="196" t="inlineStr">
        <is>
          <t>MARCHIONI Matteo [AAt]</t>
        </is>
      </c>
      <c r="O2189" s="196" t="inlineStr">
        <is>
          <t>PETERLIN Mathilde [Aest]</t>
        </is>
      </c>
      <c r="P2189" s="196" t="inlineStr">
        <is>
          <t>GAUTHIER Davide</t>
        </is>
      </c>
      <c r="Q2189" s="196" t="inlineStr">
        <is>
          <t>PRADO Elena</t>
        </is>
      </c>
      <c r="R2189" s="196" t="inlineStr">
        <is>
          <t>KOVAC Chiara</t>
        </is>
      </c>
    </row>
    <row r="2190" ht="15" customHeight="1">
      <c r="A2190" s="141" t="n"/>
      <c r="B2190" s="69">
        <f>IF('Calendario D'!B270="","",'Calendario D'!B270)</f>
        <v/>
      </c>
      <c r="C2190" s="9" t="n"/>
      <c r="D2190" s="9" t="n"/>
      <c r="E2190" s="9" t="n"/>
      <c r="F2190" s="9" t="n"/>
      <c r="G2190" s="9" t="n"/>
      <c r="H2190" s="10" t="n"/>
      <c r="I2190" s="62">
        <f>IF('Calendario D'!I270="","",'Calendario D'!I270)</f>
        <v/>
      </c>
      <c r="J2190" s="141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</row>
    <row r="2191" ht="14" customHeight="1">
      <c r="A2191" s="88" t="inlineStr">
        <is>
          <t>Gara N.</t>
        </is>
      </c>
      <c r="B2191" s="88" t="inlineStr">
        <is>
          <t>Squadra A</t>
        </is>
      </c>
      <c r="C2191" s="10" t="n"/>
      <c r="D2191" s="88" t="inlineStr">
        <is>
          <t>Squadra B</t>
        </is>
      </c>
      <c r="E2191" s="10" t="n"/>
      <c r="F2191" s="88" t="inlineStr">
        <is>
          <t>Giorno</t>
        </is>
      </c>
      <c r="G2191" s="88" t="inlineStr">
        <is>
          <t>Data</t>
        </is>
      </c>
      <c r="H2191" s="88" t="inlineStr">
        <is>
          <t>Ora</t>
        </is>
      </c>
      <c r="I2191" s="10" t="n"/>
      <c r="J2191" s="88" t="inlineStr">
        <is>
          <t>Risultato</t>
        </is>
      </c>
      <c r="K2191" s="9" t="n"/>
      <c r="L2191" s="10" t="n"/>
      <c r="M2191" s="203" t="inlineStr">
        <is>
          <t>1o Arbitro</t>
        </is>
      </c>
      <c r="N2191" s="203" t="inlineStr">
        <is>
          <t>2o Arbitro</t>
        </is>
      </c>
      <c r="O2191" s="203" t="inlineStr">
        <is>
          <t>3o Arbitro/Tirocinante</t>
        </is>
      </c>
      <c r="P2191" s="203" t="inlineStr">
        <is>
          <t>Referto</t>
        </is>
      </c>
      <c r="Q2191" s="203" t="inlineStr">
        <is>
          <t>Cronometro</t>
        </is>
      </c>
      <c r="R2191" s="203" t="inlineStr">
        <is>
          <t>Foglio Tiri</t>
        </is>
      </c>
    </row>
    <row r="2192" ht="22" customHeight="1">
      <c r="A2192" s="90">
        <f>IF('Calendario D'!A272="","",'Calendario D'!A272)</f>
        <v/>
      </c>
      <c r="B2192" s="61">
        <f>IF('Calendario D'!B272="","",'Calendario D'!B272)</f>
        <v/>
      </c>
      <c r="C2192" s="62">
        <f>IF('Calendario D'!C272="","",'Calendario D'!C272)</f>
        <v/>
      </c>
      <c r="D2192" s="61">
        <f>IF('Calendario D'!D272="","",'Calendario D'!D272)</f>
        <v/>
      </c>
      <c r="E2192" s="62">
        <f>IF('Calendario D'!E272="","",'Calendario D'!E272)</f>
        <v/>
      </c>
      <c r="F2192" s="63">
        <f>IF('Calendario D'!F272="","",'Calendario D'!F272)</f>
        <v/>
      </c>
      <c r="G2192" s="9" t="n"/>
      <c r="H2192" s="9" t="n"/>
      <c r="I2192" s="10" t="n"/>
      <c r="J2192" s="195">
        <f>IF('Calendario D'!J272="","",'Calendario D'!J272)</f>
        <v/>
      </c>
      <c r="K2192" s="64" t="inlineStr">
        <is>
          <t>-</t>
        </is>
      </c>
      <c r="L2192" s="195">
        <f>IF('Calendario D'!L272="","",'Calendario D'!L272)</f>
        <v/>
      </c>
      <c r="M2192" s="196" t="inlineStr">
        <is>
          <t>KRUGER Nicola [Aest]</t>
        </is>
      </c>
      <c r="N2192" s="196" t="inlineStr">
        <is>
          <t>GAUTHIER Noemi [AA]</t>
        </is>
      </c>
      <c r="O2192" s="196" t="inlineStr">
        <is>
          <t>VIDMAR Hugo [AAt]</t>
        </is>
      </c>
      <c r="P2192" s="196" t="inlineStr">
        <is>
          <t>PRADO Stefano</t>
        </is>
      </c>
      <c r="Q2192" s="196" t="inlineStr">
        <is>
          <t>CARON Pablo</t>
        </is>
      </c>
      <c r="R2192" s="196" t="inlineStr">
        <is>
          <t>BLANCHET Marta</t>
        </is>
      </c>
    </row>
    <row r="2193" ht="15" customHeight="1">
      <c r="A2193" s="141" t="n"/>
      <c r="B2193" s="69">
        <f>IF('Calendario D'!B273="","",'Calendario D'!B273)</f>
        <v/>
      </c>
      <c r="C2193" s="9" t="n"/>
      <c r="D2193" s="9" t="n"/>
      <c r="E2193" s="9" t="n"/>
      <c r="F2193" s="9" t="n"/>
      <c r="G2193" s="9" t="n"/>
      <c r="H2193" s="10" t="n"/>
      <c r="I2193" s="62">
        <f>IF('Calendario D'!I273="","",'Calendario D'!I273)</f>
        <v/>
      </c>
      <c r="J2193" s="141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</row>
    <row r="2194" ht="14" customHeight="1">
      <c r="A2194" s="88" t="inlineStr">
        <is>
          <t>Gara N.</t>
        </is>
      </c>
      <c r="B2194" s="88" t="inlineStr">
        <is>
          <t>Squadra A</t>
        </is>
      </c>
      <c r="C2194" s="10" t="n"/>
      <c r="D2194" s="88" t="inlineStr">
        <is>
          <t>Squadra B</t>
        </is>
      </c>
      <c r="E2194" s="10" t="n"/>
      <c r="F2194" s="88" t="inlineStr">
        <is>
          <t>Giorno</t>
        </is>
      </c>
      <c r="G2194" s="88" t="inlineStr">
        <is>
          <t>Data</t>
        </is>
      </c>
      <c r="H2194" s="88" t="inlineStr">
        <is>
          <t>Ora</t>
        </is>
      </c>
      <c r="I2194" s="10" t="n"/>
      <c r="J2194" s="88" t="inlineStr">
        <is>
          <t>Risultato</t>
        </is>
      </c>
      <c r="K2194" s="9" t="n"/>
      <c r="L2194" s="10" t="n"/>
      <c r="M2194" s="203" t="inlineStr">
        <is>
          <t>1o Arbitro</t>
        </is>
      </c>
      <c r="N2194" s="203" t="inlineStr">
        <is>
          <t>2o Arbitro</t>
        </is>
      </c>
      <c r="O2194" s="203" t="inlineStr">
        <is>
          <t>3o Arbitro/Tirocinante</t>
        </is>
      </c>
      <c r="P2194" s="203" t="inlineStr">
        <is>
          <t>Referto</t>
        </is>
      </c>
      <c r="Q2194" s="203" t="inlineStr">
        <is>
          <t>Cronometro</t>
        </is>
      </c>
      <c r="R2194" s="203" t="inlineStr">
        <is>
          <t>Foglio Tiri</t>
        </is>
      </c>
    </row>
    <row r="2195" ht="22" customHeight="1">
      <c r="A2195" s="90">
        <f>IF('Calendario D'!A275="","",'Calendario D'!A275)</f>
        <v/>
      </c>
      <c r="B2195" s="61">
        <f>IF('Calendario D'!B275="","",'Calendario D'!B275)</f>
        <v/>
      </c>
      <c r="C2195" s="62">
        <f>IF('Calendario D'!C275="","",'Calendario D'!C275)</f>
        <v/>
      </c>
      <c r="D2195" s="61">
        <f>IF('Calendario D'!D275="","",'Calendario D'!D275)</f>
        <v/>
      </c>
      <c r="E2195" s="62">
        <f>IF('Calendario D'!E275="","",'Calendario D'!E275)</f>
        <v/>
      </c>
      <c r="F2195" s="63">
        <f>IF('Calendario D'!F275="","",'Calendario D'!F275)</f>
        <v/>
      </c>
      <c r="G2195" s="9" t="n"/>
      <c r="H2195" s="9" t="n"/>
      <c r="I2195" s="10" t="n"/>
      <c r="J2195" s="195">
        <f>IF('Calendario D'!J275="","",'Calendario D'!J275)</f>
        <v/>
      </c>
      <c r="K2195" s="64" t="inlineStr">
        <is>
          <t>-</t>
        </is>
      </c>
      <c r="L2195" s="195">
        <f>IF('Calendario D'!L275="","",'Calendario D'!L275)</f>
        <v/>
      </c>
      <c r="M2195" s="196" t="inlineStr">
        <is>
          <t>MARCHIONI Marco [Aest]</t>
        </is>
      </c>
      <c r="N2195" s="196" t="inlineStr">
        <is>
          <t>BIANCHELLI Vid [AAt]</t>
        </is>
      </c>
      <c r="O2195" s="196" t="inlineStr">
        <is>
          <t>ROMERO Matteo [Aest]</t>
        </is>
      </c>
      <c r="P2195" s="196" t="inlineStr">
        <is>
          <t>GALLINI Irene</t>
        </is>
      </c>
      <c r="Q2195" s="196" t="inlineStr">
        <is>
          <t>BELLANDI Giulia</t>
        </is>
      </c>
      <c r="R2195" s="196" t="inlineStr">
        <is>
          <t>SEVER Hugo</t>
        </is>
      </c>
    </row>
    <row r="2196" ht="15" customHeight="1">
      <c r="A2196" s="141" t="n"/>
      <c r="B2196" s="69">
        <f>IF('Calendario D'!B276="","",'Calendario D'!B276)</f>
        <v/>
      </c>
      <c r="C2196" s="9" t="n"/>
      <c r="D2196" s="9" t="n"/>
      <c r="E2196" s="9" t="n"/>
      <c r="F2196" s="9" t="n"/>
      <c r="G2196" s="9" t="n"/>
      <c r="H2196" s="10" t="n"/>
      <c r="I2196" s="62">
        <f>IF('Calendario D'!I276="","",'Calendario D'!I276)</f>
        <v/>
      </c>
      <c r="J2196" s="141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</row>
    <row r="2197" ht="14" customHeight="1">
      <c r="A2197" s="88" t="inlineStr">
        <is>
          <t>Gara N.</t>
        </is>
      </c>
      <c r="B2197" s="88" t="inlineStr">
        <is>
          <t>Squadra A</t>
        </is>
      </c>
      <c r="C2197" s="10" t="n"/>
      <c r="D2197" s="88" t="inlineStr">
        <is>
          <t>Squadra B</t>
        </is>
      </c>
      <c r="E2197" s="10" t="n"/>
      <c r="F2197" s="88" t="inlineStr">
        <is>
          <t>Giorno</t>
        </is>
      </c>
      <c r="G2197" s="88" t="inlineStr">
        <is>
          <t>Data</t>
        </is>
      </c>
      <c r="H2197" s="88" t="inlineStr">
        <is>
          <t>Ora</t>
        </is>
      </c>
      <c r="I2197" s="10" t="n"/>
      <c r="J2197" s="88" t="inlineStr">
        <is>
          <t>Risultato</t>
        </is>
      </c>
      <c r="K2197" s="9" t="n"/>
      <c r="L2197" s="10" t="n"/>
      <c r="M2197" s="203" t="inlineStr">
        <is>
          <t>1o Arbitro</t>
        </is>
      </c>
      <c r="N2197" s="203" t="inlineStr">
        <is>
          <t>2o Arbitro</t>
        </is>
      </c>
      <c r="O2197" s="203" t="inlineStr">
        <is>
          <t>3o Arbitro/Tirocinante</t>
        </is>
      </c>
      <c r="P2197" s="203" t="inlineStr">
        <is>
          <t>Referto</t>
        </is>
      </c>
      <c r="Q2197" s="203" t="inlineStr">
        <is>
          <t>Cronometro</t>
        </is>
      </c>
      <c r="R2197" s="203" t="inlineStr">
        <is>
          <t>Foglio Tiri</t>
        </is>
      </c>
    </row>
    <row r="2198" ht="22" customHeight="1">
      <c r="A2198" s="90">
        <f>IF('Calendario D'!A278="","",'Calendario D'!A278)</f>
        <v/>
      </c>
      <c r="B2198" s="61">
        <f>IF('Calendario D'!B278="","",'Calendario D'!B278)</f>
        <v/>
      </c>
      <c r="C2198" s="62">
        <f>IF('Calendario D'!C278="","",'Calendario D'!C278)</f>
        <v/>
      </c>
      <c r="D2198" s="61">
        <f>IF('Calendario D'!D278="","",'Calendario D'!D278)</f>
        <v/>
      </c>
      <c r="E2198" s="62">
        <f>IF('Calendario D'!E278="","",'Calendario D'!E278)</f>
        <v/>
      </c>
      <c r="F2198" s="63">
        <f>IF('Calendario D'!F278="","",'Calendario D'!F278)</f>
        <v/>
      </c>
      <c r="G2198" s="9" t="n"/>
      <c r="H2198" s="9" t="n"/>
      <c r="I2198" s="10" t="n"/>
      <c r="J2198" s="195">
        <f>IF('Calendario D'!J278="","",'Calendario D'!J278)</f>
        <v/>
      </c>
      <c r="K2198" s="64" t="inlineStr">
        <is>
          <t>-</t>
        </is>
      </c>
      <c r="L2198" s="195">
        <f>IF('Calendario D'!L278="","",'Calendario D'!L278)</f>
        <v/>
      </c>
      <c r="M2198" s="196" t="inlineStr">
        <is>
          <t>CASTILLO Lucia [AA]</t>
        </is>
      </c>
      <c r="N2198" s="196" t="inlineStr">
        <is>
          <t>LEFEVRE Filippo [AA]</t>
        </is>
      </c>
      <c r="O2198" s="196" t="inlineStr">
        <is>
          <t>PELLEGRI Valerie [AA]</t>
        </is>
      </c>
      <c r="P2198" s="196" t="inlineStr">
        <is>
          <t>AUBERT Paolo</t>
        </is>
      </c>
      <c r="Q2198" s="196" t="inlineStr">
        <is>
          <t>SEVER Marco</t>
        </is>
      </c>
      <c r="R2198" s="196" t="inlineStr">
        <is>
          <t>ROSSINI Filippo</t>
        </is>
      </c>
    </row>
    <row r="2199" ht="15" customHeight="1">
      <c r="A2199" s="141" t="n"/>
      <c r="B2199" s="69">
        <f>IF('Calendario D'!B279="","",'Calendario D'!B279)</f>
        <v/>
      </c>
      <c r="C2199" s="9" t="n"/>
      <c r="D2199" s="9" t="n"/>
      <c r="E2199" s="9" t="n"/>
      <c r="F2199" s="9" t="n"/>
      <c r="G2199" s="9" t="n"/>
      <c r="H2199" s="10" t="n"/>
      <c r="I2199" s="62">
        <f>IF('Calendario D'!I279="","",'Calendario D'!I279)</f>
        <v/>
      </c>
      <c r="J2199" s="141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</row>
    <row r="2200" ht="14" customHeight="1">
      <c r="A2200" s="88" t="inlineStr">
        <is>
          <t>Gara N.</t>
        </is>
      </c>
      <c r="B2200" s="88" t="inlineStr">
        <is>
          <t>Squadra A</t>
        </is>
      </c>
      <c r="C2200" s="10" t="n"/>
      <c r="D2200" s="88" t="inlineStr">
        <is>
          <t>Squadra B</t>
        </is>
      </c>
      <c r="E2200" s="10" t="n"/>
      <c r="F2200" s="88" t="inlineStr">
        <is>
          <t>Giorno</t>
        </is>
      </c>
      <c r="G2200" s="88" t="inlineStr">
        <is>
          <t>Data</t>
        </is>
      </c>
      <c r="H2200" s="88" t="inlineStr">
        <is>
          <t>Ora</t>
        </is>
      </c>
      <c r="I2200" s="10" t="n"/>
      <c r="J2200" s="88" t="inlineStr">
        <is>
          <t>Risultato</t>
        </is>
      </c>
      <c r="K2200" s="9" t="n"/>
      <c r="L2200" s="10" t="n"/>
      <c r="M2200" s="203" t="inlineStr">
        <is>
          <t>1o Arbitro</t>
        </is>
      </c>
      <c r="N2200" s="203" t="inlineStr">
        <is>
          <t>2o Arbitro</t>
        </is>
      </c>
      <c r="O2200" s="203" t="inlineStr">
        <is>
          <t>3o Arbitro/Tirocinante</t>
        </is>
      </c>
      <c r="P2200" s="203" t="inlineStr">
        <is>
          <t>Referto</t>
        </is>
      </c>
      <c r="Q2200" s="203" t="inlineStr">
        <is>
          <t>Cronometro</t>
        </is>
      </c>
      <c r="R2200" s="203" t="inlineStr">
        <is>
          <t>Foglio Tiri</t>
        </is>
      </c>
    </row>
    <row r="2201" ht="22" customHeight="1">
      <c r="A2201" s="90">
        <f>IF('Calendario D'!A281="","",'Calendario D'!A281)</f>
        <v/>
      </c>
      <c r="B2201" s="61">
        <f>IF('Calendario D'!B281="","",'Calendario D'!B281)</f>
        <v/>
      </c>
      <c r="C2201" s="62">
        <f>IF('Calendario D'!C281="","",'Calendario D'!C281)</f>
        <v/>
      </c>
      <c r="D2201" s="61">
        <f>IF('Calendario D'!D281="","",'Calendario D'!D281)</f>
        <v/>
      </c>
      <c r="E2201" s="62">
        <f>IF('Calendario D'!E281="","",'Calendario D'!E281)</f>
        <v/>
      </c>
      <c r="F2201" s="63">
        <f>IF('Calendario D'!F281="","",'Calendario D'!F281)</f>
        <v/>
      </c>
      <c r="G2201" s="9" t="n"/>
      <c r="H2201" s="9" t="n"/>
      <c r="I2201" s="10" t="n"/>
      <c r="J2201" s="195">
        <f>IF('Calendario D'!J281="","",'Calendario D'!J281)</f>
        <v/>
      </c>
      <c r="K2201" s="64" t="inlineStr">
        <is>
          <t>-</t>
        </is>
      </c>
      <c r="L2201" s="195">
        <f>IF('Calendario D'!L281="","",'Calendario D'!L281)</f>
        <v/>
      </c>
      <c r="M2201" s="196" t="inlineStr">
        <is>
          <t>GALLINI Gaelle [A]</t>
        </is>
      </c>
      <c r="N2201" s="196" t="inlineStr">
        <is>
          <t>HOFFMANN Lea [AAt]</t>
        </is>
      </c>
      <c r="O2201" s="196" t="inlineStr">
        <is>
          <t>LEFEVRE Lukas [Aest]</t>
        </is>
      </c>
      <c r="P2201" s="196" t="inlineStr">
        <is>
          <t>PELLEGRI Lea</t>
        </is>
      </c>
      <c r="Q2201" s="196" t="inlineStr">
        <is>
          <t>VOGEL Martina</t>
        </is>
      </c>
      <c r="R2201" s="196" t="inlineStr">
        <is>
          <t>ZUPAN Irene</t>
        </is>
      </c>
    </row>
    <row r="2202" ht="15" customHeight="1">
      <c r="A2202" s="141" t="n"/>
      <c r="B2202" s="69">
        <f>IF('Calendario D'!B282="","",'Calendario D'!B282)</f>
        <v/>
      </c>
      <c r="C2202" s="9" t="n"/>
      <c r="D2202" s="9" t="n"/>
      <c r="E2202" s="9" t="n"/>
      <c r="F2202" s="9" t="n"/>
      <c r="G2202" s="9" t="n"/>
      <c r="H2202" s="10" t="n"/>
      <c r="I2202" s="62">
        <f>IF('Calendario D'!I282="","",'Calendario D'!I282)</f>
        <v/>
      </c>
      <c r="J2202" s="141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</row>
    <row r="2203" ht="14" customHeight="1">
      <c r="A2203" s="88" t="inlineStr">
        <is>
          <t>Gara N.</t>
        </is>
      </c>
      <c r="B2203" s="88" t="inlineStr">
        <is>
          <t>Squadra A</t>
        </is>
      </c>
      <c r="C2203" s="10" t="n"/>
      <c r="D2203" s="88" t="inlineStr">
        <is>
          <t>Squadra B</t>
        </is>
      </c>
      <c r="E2203" s="10" t="n"/>
      <c r="F2203" s="88" t="inlineStr">
        <is>
          <t>Giorno</t>
        </is>
      </c>
      <c r="G2203" s="88" t="inlineStr">
        <is>
          <t>Data</t>
        </is>
      </c>
      <c r="H2203" s="88" t="inlineStr">
        <is>
          <t>Ora</t>
        </is>
      </c>
      <c r="I2203" s="10" t="n"/>
      <c r="J2203" s="88" t="inlineStr">
        <is>
          <t>Risultato</t>
        </is>
      </c>
      <c r="K2203" s="9" t="n"/>
      <c r="L2203" s="10" t="n"/>
      <c r="M2203" s="203" t="inlineStr">
        <is>
          <t>1o Arbitro</t>
        </is>
      </c>
      <c r="N2203" s="203" t="inlineStr">
        <is>
          <t>2o Arbitro</t>
        </is>
      </c>
      <c r="O2203" s="203" t="inlineStr">
        <is>
          <t>3o Arbitro/Tirocinante</t>
        </is>
      </c>
      <c r="P2203" s="203" t="inlineStr">
        <is>
          <t>Referto</t>
        </is>
      </c>
      <c r="Q2203" s="203" t="inlineStr">
        <is>
          <t>Cronometro</t>
        </is>
      </c>
      <c r="R2203" s="203" t="inlineStr">
        <is>
          <t>Foglio Tiri</t>
        </is>
      </c>
    </row>
    <row r="2204" ht="22" customHeight="1">
      <c r="A2204" s="90">
        <f>IF('Calendario D'!A284="","",'Calendario D'!A284)</f>
        <v/>
      </c>
      <c r="B2204" s="61">
        <f>IF('Calendario D'!B284="","",'Calendario D'!B284)</f>
        <v/>
      </c>
      <c r="C2204" s="62">
        <f>IF('Calendario D'!C284="","",'Calendario D'!C284)</f>
        <v/>
      </c>
      <c r="D2204" s="61">
        <f>IF('Calendario D'!D284="","",'Calendario D'!D284)</f>
        <v/>
      </c>
      <c r="E2204" s="62">
        <f>IF('Calendario D'!E284="","",'Calendario D'!E284)</f>
        <v/>
      </c>
      <c r="F2204" s="63">
        <f>IF('Calendario D'!F284="","",'Calendario D'!F284)</f>
        <v/>
      </c>
      <c r="G2204" s="9" t="n"/>
      <c r="H2204" s="9" t="n"/>
      <c r="I2204" s="10" t="n"/>
      <c r="J2204" s="195">
        <f>IF('Calendario D'!J284="","",'Calendario D'!J284)</f>
        <v/>
      </c>
      <c r="K2204" s="64" t="inlineStr">
        <is>
          <t>-</t>
        </is>
      </c>
      <c r="L2204" s="195">
        <f>IF('Calendario D'!L284="","",'Calendario D'!L284)</f>
        <v/>
      </c>
      <c r="M2204" s="196" t="inlineStr">
        <is>
          <t>HORVAT Lea [A]</t>
        </is>
      </c>
      <c r="N2204" s="196" t="inlineStr">
        <is>
          <t>KELLER Marta [AAt]</t>
        </is>
      </c>
      <c r="O2204" s="196" t="inlineStr">
        <is>
          <t>CASTILLO Ilaria [AAt]</t>
        </is>
      </c>
      <c r="P2204" s="196" t="inlineStr">
        <is>
          <t>KELLER Ottavia</t>
        </is>
      </c>
      <c r="Q2204" s="196" t="inlineStr">
        <is>
          <t>ORTEGA Jonas</t>
        </is>
      </c>
      <c r="R2204" s="196" t="inlineStr">
        <is>
          <t>BELLANDI Greta</t>
        </is>
      </c>
    </row>
    <row r="2205" ht="15" customHeight="1">
      <c r="A2205" s="141" t="n"/>
      <c r="B2205" s="69">
        <f>IF('Calendario D'!B285="","",'Calendario D'!B285)</f>
        <v/>
      </c>
      <c r="C2205" s="9" t="n"/>
      <c r="D2205" s="9" t="n"/>
      <c r="E2205" s="9" t="n"/>
      <c r="F2205" s="9" t="n"/>
      <c r="G2205" s="9" t="n"/>
      <c r="H2205" s="10" t="n"/>
      <c r="I2205" s="62">
        <f>IF('Calendario D'!I285="","",'Calendario D'!I285)</f>
        <v/>
      </c>
      <c r="J2205" s="141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</row>
    <row r="2206" ht="14" customHeight="1">
      <c r="A2206" s="88" t="inlineStr">
        <is>
          <t>Gara N.</t>
        </is>
      </c>
      <c r="B2206" s="88" t="inlineStr">
        <is>
          <t>Squadra A</t>
        </is>
      </c>
      <c r="C2206" s="10" t="n"/>
      <c r="D2206" s="88" t="inlineStr">
        <is>
          <t>Squadra B</t>
        </is>
      </c>
      <c r="E2206" s="10" t="n"/>
      <c r="F2206" s="88" t="inlineStr">
        <is>
          <t>Giorno</t>
        </is>
      </c>
      <c r="G2206" s="88" t="inlineStr">
        <is>
          <t>Data</t>
        </is>
      </c>
      <c r="H2206" s="88" t="inlineStr">
        <is>
          <t>Ora</t>
        </is>
      </c>
      <c r="I2206" s="10" t="n"/>
      <c r="J2206" s="88" t="inlineStr">
        <is>
          <t>Risultato</t>
        </is>
      </c>
      <c r="K2206" s="9" t="n"/>
      <c r="L2206" s="10" t="n"/>
      <c r="M2206" s="203" t="inlineStr">
        <is>
          <t>1o Arbitro</t>
        </is>
      </c>
      <c r="N2206" s="203" t="inlineStr">
        <is>
          <t>2o Arbitro</t>
        </is>
      </c>
      <c r="O2206" s="203" t="inlineStr">
        <is>
          <t>3o Arbitro/Tirocinante</t>
        </is>
      </c>
      <c r="P2206" s="203" t="inlineStr">
        <is>
          <t>Referto</t>
        </is>
      </c>
      <c r="Q2206" s="203" t="inlineStr">
        <is>
          <t>Cronometro</t>
        </is>
      </c>
      <c r="R2206" s="203" t="inlineStr">
        <is>
          <t>Foglio Tiri</t>
        </is>
      </c>
    </row>
    <row r="2207" ht="22" customHeight="1">
      <c r="A2207" s="90">
        <f>IF('Calendario D'!A287="","",'Calendario D'!A287)</f>
        <v/>
      </c>
      <c r="B2207" s="61">
        <f>IF('Calendario D'!B287="","",'Calendario D'!B287)</f>
        <v/>
      </c>
      <c r="C2207" s="62">
        <f>IF('Calendario D'!C287="","",'Calendario D'!C287)</f>
        <v/>
      </c>
      <c r="D2207" s="61">
        <f>IF('Calendario D'!D287="","",'Calendario D'!D287)</f>
        <v/>
      </c>
      <c r="E2207" s="62">
        <f>IF('Calendario D'!E287="","",'Calendario D'!E287)</f>
        <v/>
      </c>
      <c r="F2207" s="63">
        <f>IF('Calendario D'!F287="","",'Calendario D'!F287)</f>
        <v/>
      </c>
      <c r="G2207" s="9" t="n"/>
      <c r="H2207" s="9" t="n"/>
      <c r="I2207" s="10" t="n"/>
      <c r="J2207" s="195">
        <f>IF('Calendario D'!J287="","",'Calendario D'!J287)</f>
        <v/>
      </c>
      <c r="K2207" s="64" t="inlineStr">
        <is>
          <t>-</t>
        </is>
      </c>
      <c r="L2207" s="195">
        <f>IF('Calendario D'!L287="","",'Calendario D'!L287)</f>
        <v/>
      </c>
      <c r="M2207" s="196" t="inlineStr">
        <is>
          <t>BELLANDI Paula [A]</t>
        </is>
      </c>
      <c r="N2207" s="196" t="inlineStr">
        <is>
          <t>IGLESIAS Lukas [Aest]</t>
        </is>
      </c>
      <c r="O2207" s="196" t="inlineStr">
        <is>
          <t>LEFEVRE Sofia [AAt]</t>
        </is>
      </c>
      <c r="P2207" s="196" t="inlineStr">
        <is>
          <t>VOGEL Lea</t>
        </is>
      </c>
      <c r="Q2207" s="196" t="inlineStr">
        <is>
          <t>GAUTHIER Matteo</t>
        </is>
      </c>
      <c r="R2207" s="196" t="inlineStr">
        <is>
          <t>CARON Diego</t>
        </is>
      </c>
    </row>
    <row r="2208" ht="15" customHeight="1">
      <c r="A2208" s="141" t="n"/>
      <c r="B2208" s="69">
        <f>IF('Calendario D'!B288="","",'Calendario D'!B288)</f>
        <v/>
      </c>
      <c r="C2208" s="9" t="n"/>
      <c r="D2208" s="9" t="n"/>
      <c r="E2208" s="9" t="n"/>
      <c r="F2208" s="9" t="n"/>
      <c r="G2208" s="9" t="n"/>
      <c r="H2208" s="10" t="n"/>
      <c r="I2208" s="62">
        <f>IF('Calendario D'!I288="","",'Calendario D'!I288)</f>
        <v/>
      </c>
      <c r="J2208" s="141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</row>
    <row r="2209" ht="14" customHeight="1">
      <c r="A2209" s="88" t="inlineStr">
        <is>
          <t>Gara N.</t>
        </is>
      </c>
      <c r="B2209" s="88" t="inlineStr">
        <is>
          <t>Squadra A</t>
        </is>
      </c>
      <c r="C2209" s="10" t="n"/>
      <c r="D2209" s="88" t="inlineStr">
        <is>
          <t>Squadra B</t>
        </is>
      </c>
      <c r="E2209" s="10" t="n"/>
      <c r="F2209" s="88" t="inlineStr">
        <is>
          <t>Giorno</t>
        </is>
      </c>
      <c r="G2209" s="88" t="inlineStr">
        <is>
          <t>Data</t>
        </is>
      </c>
      <c r="H2209" s="88" t="inlineStr">
        <is>
          <t>Ora</t>
        </is>
      </c>
      <c r="I2209" s="10" t="n"/>
      <c r="J2209" s="88" t="inlineStr">
        <is>
          <t>Risultato</t>
        </is>
      </c>
      <c r="K2209" s="9" t="n"/>
      <c r="L2209" s="10" t="n"/>
      <c r="M2209" s="203" t="inlineStr">
        <is>
          <t>1o Arbitro</t>
        </is>
      </c>
      <c r="N2209" s="203" t="inlineStr">
        <is>
          <t>2o Arbitro</t>
        </is>
      </c>
      <c r="O2209" s="203" t="inlineStr">
        <is>
          <t>3o Arbitro/Tirocinante</t>
        </is>
      </c>
      <c r="P2209" s="203" t="inlineStr">
        <is>
          <t>Referto</t>
        </is>
      </c>
      <c r="Q2209" s="203" t="inlineStr">
        <is>
          <t>Cronometro</t>
        </is>
      </c>
      <c r="R2209" s="203" t="inlineStr">
        <is>
          <t>Foglio Tiri</t>
        </is>
      </c>
    </row>
    <row r="2210" ht="22" customHeight="1">
      <c r="A2210" s="90">
        <f>IF('Calendario D'!A290="","",'Calendario D'!A290)</f>
        <v/>
      </c>
      <c r="B2210" s="61">
        <f>IF('Calendario D'!B290="","",'Calendario D'!B290)</f>
        <v/>
      </c>
      <c r="C2210" s="62">
        <f>IF('Calendario D'!C290="","",'Calendario D'!C290)</f>
        <v/>
      </c>
      <c r="D2210" s="61">
        <f>IF('Calendario D'!D290="","",'Calendario D'!D290)</f>
        <v/>
      </c>
      <c r="E2210" s="62">
        <f>IF('Calendario D'!E290="","",'Calendario D'!E290)</f>
        <v/>
      </c>
      <c r="F2210" s="63">
        <f>IF('Calendario D'!F290="","",'Calendario D'!F290)</f>
        <v/>
      </c>
      <c r="G2210" s="9" t="n"/>
      <c r="H2210" s="9" t="n"/>
      <c r="I2210" s="10" t="n"/>
      <c r="J2210" s="195">
        <f>IF('Calendario D'!J290="","",'Calendario D'!J290)</f>
        <v/>
      </c>
      <c r="K2210" s="64" t="inlineStr">
        <is>
          <t>-</t>
        </is>
      </c>
      <c r="L2210" s="195">
        <f>IF('Calendario D'!L290="","",'Calendario D'!L290)</f>
        <v/>
      </c>
      <c r="M2210" s="196" t="inlineStr">
        <is>
          <t>LANGER Marta [A]</t>
        </is>
      </c>
      <c r="N2210" s="196" t="inlineStr">
        <is>
          <t>KELLER Marta [AAt]</t>
        </is>
      </c>
      <c r="O2210" s="196" t="inlineStr">
        <is>
          <t>PETERLIN Luca [Aest]</t>
        </is>
      </c>
      <c r="P2210" s="196" t="inlineStr">
        <is>
          <t>MORETTO Anja</t>
        </is>
      </c>
      <c r="Q2210" s="196" t="inlineStr">
        <is>
          <t>VOGEL Greta</t>
        </is>
      </c>
      <c r="R2210" s="196" t="inlineStr">
        <is>
          <t>ROMERO Stefano</t>
        </is>
      </c>
    </row>
    <row r="2211" ht="15" customHeight="1">
      <c r="A2211" s="141" t="n"/>
      <c r="B2211" s="69">
        <f>IF('Calendario D'!B291="","",'Calendario D'!B291)</f>
        <v/>
      </c>
      <c r="C2211" s="9" t="n"/>
      <c r="D2211" s="9" t="n"/>
      <c r="E2211" s="9" t="n"/>
      <c r="F2211" s="9" t="n"/>
      <c r="G2211" s="9" t="n"/>
      <c r="H2211" s="10" t="n"/>
      <c r="I2211" s="62">
        <f>IF('Calendario D'!I291="","",'Calendario D'!I291)</f>
        <v/>
      </c>
      <c r="J2211" s="141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</row>
    <row r="2212" ht="14" customHeight="1">
      <c r="A2212" s="88" t="inlineStr">
        <is>
          <t>Gara N.</t>
        </is>
      </c>
      <c r="B2212" s="88" t="inlineStr">
        <is>
          <t>Squadra A</t>
        </is>
      </c>
      <c r="C2212" s="10" t="n"/>
      <c r="D2212" s="88" t="inlineStr">
        <is>
          <t>Squadra B</t>
        </is>
      </c>
      <c r="E2212" s="10" t="n"/>
      <c r="F2212" s="88" t="inlineStr">
        <is>
          <t>Giorno</t>
        </is>
      </c>
      <c r="G2212" s="88" t="inlineStr">
        <is>
          <t>Data</t>
        </is>
      </c>
      <c r="H2212" s="88" t="inlineStr">
        <is>
          <t>Ora</t>
        </is>
      </c>
      <c r="I2212" s="10" t="n"/>
      <c r="J2212" s="88" t="inlineStr">
        <is>
          <t>Risultato</t>
        </is>
      </c>
      <c r="K2212" s="9" t="n"/>
      <c r="L2212" s="10" t="n"/>
      <c r="M2212" s="203" t="inlineStr">
        <is>
          <t>1o Arbitro</t>
        </is>
      </c>
      <c r="N2212" s="203" t="inlineStr">
        <is>
          <t>2o Arbitro</t>
        </is>
      </c>
      <c r="O2212" s="203" t="inlineStr">
        <is>
          <t>3o Arbitro/Tirocinante</t>
        </is>
      </c>
      <c r="P2212" s="203" t="inlineStr">
        <is>
          <t>Referto</t>
        </is>
      </c>
      <c r="Q2212" s="203" t="inlineStr">
        <is>
          <t>Cronometro</t>
        </is>
      </c>
      <c r="R2212" s="203" t="inlineStr">
        <is>
          <t>Foglio Tiri</t>
        </is>
      </c>
    </row>
    <row r="2213" ht="22" customHeight="1">
      <c r="A2213" s="90">
        <f>IF('Calendario D'!A293="","",'Calendario D'!A293)</f>
        <v/>
      </c>
      <c r="B2213" s="61">
        <f>IF('Calendario D'!B293="","",'Calendario D'!B293)</f>
        <v/>
      </c>
      <c r="C2213" s="62">
        <f>IF('Calendario D'!C293="","",'Calendario D'!C293)</f>
        <v/>
      </c>
      <c r="D2213" s="61">
        <f>IF('Calendario D'!D293="","",'Calendario D'!D293)</f>
        <v/>
      </c>
      <c r="E2213" s="62">
        <f>IF('Calendario D'!E293="","",'Calendario D'!E293)</f>
        <v/>
      </c>
      <c r="F2213" s="63">
        <f>IF('Calendario D'!F293="","",'Calendario D'!F293)</f>
        <v/>
      </c>
      <c r="G2213" s="9" t="n"/>
      <c r="H2213" s="9" t="n"/>
      <c r="I2213" s="10" t="n"/>
      <c r="J2213" s="195">
        <f>IF('Calendario D'!J293="","",'Calendario D'!J293)</f>
        <v/>
      </c>
      <c r="K2213" s="64" t="inlineStr">
        <is>
          <t>-</t>
        </is>
      </c>
      <c r="L2213" s="195">
        <f>IF('Calendario D'!L293="","",'Calendario D'!L293)</f>
        <v/>
      </c>
      <c r="M2213" s="196" t="inlineStr">
        <is>
          <t>KELLER Chiara [AAt]</t>
        </is>
      </c>
      <c r="N2213" s="196" t="inlineStr">
        <is>
          <t>FOURNIER Lucia [AA]</t>
        </is>
      </c>
      <c r="O2213" s="196" t="inlineStr">
        <is>
          <t>CAMPOS Ottavia [A]</t>
        </is>
      </c>
      <c r="P2213" s="196" t="inlineStr">
        <is>
          <t>MODIC Marco</t>
        </is>
      </c>
      <c r="Q2213" s="196" t="inlineStr">
        <is>
          <t>CONTARDI Felix</t>
        </is>
      </c>
      <c r="R2213" s="196" t="inlineStr">
        <is>
          <t>LEROUX Beatrice</t>
        </is>
      </c>
    </row>
    <row r="2214" ht="15" customHeight="1">
      <c r="A2214" s="141" t="n"/>
      <c r="B2214" s="69">
        <f>IF('Calendario D'!B294="","",'Calendario D'!B294)</f>
        <v/>
      </c>
      <c r="C2214" s="9" t="n"/>
      <c r="D2214" s="9" t="n"/>
      <c r="E2214" s="9" t="n"/>
      <c r="F2214" s="9" t="n"/>
      <c r="G2214" s="9" t="n"/>
      <c r="H2214" s="10" t="n"/>
      <c r="I2214" s="62">
        <f>IF('Calendario D'!I294="","",'Calendario D'!I294)</f>
        <v/>
      </c>
      <c r="J2214" s="141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</row>
    <row r="2216" ht="20" customHeight="1">
      <c r="A2216" s="85">
        <f>IF('Calendario D'!A296="","",'Calendario D'!A296)</f>
        <v/>
      </c>
      <c r="B2216" s="86">
        <f>IF('Calendario D'!B296="","",'Calendario D'!B296)</f>
        <v/>
      </c>
      <c r="C2216" s="9" t="n"/>
      <c r="D2216" s="9" t="n"/>
      <c r="E2216" s="9" t="n"/>
      <c r="F2216" s="9" t="n"/>
      <c r="G2216" s="9" t="n"/>
      <c r="H2216" s="9" t="n"/>
      <c r="I2216" s="9" t="n"/>
      <c r="J2216" s="9" t="n"/>
      <c r="K2216" s="9" t="n"/>
      <c r="L2216" s="10" t="n"/>
      <c r="M2216" s="202" t="inlineStr">
        <is>
          <t>ARBITRI</t>
        </is>
      </c>
      <c r="N2216" s="9" t="n"/>
      <c r="O2216" s="10" t="n"/>
      <c r="P2216" s="202" t="inlineStr">
        <is>
          <t>UFFICIALI DI CAMPO</t>
        </is>
      </c>
      <c r="Q2216" s="9" t="n"/>
      <c r="R2216" s="10" t="n"/>
    </row>
    <row r="2217" ht="14" customHeight="1">
      <c r="A2217" s="88" t="inlineStr">
        <is>
          <t>Gara N.</t>
        </is>
      </c>
      <c r="B2217" s="88" t="inlineStr">
        <is>
          <t>Squadra A</t>
        </is>
      </c>
      <c r="C2217" s="10" t="n"/>
      <c r="D2217" s="88" t="inlineStr">
        <is>
          <t>Squadra B</t>
        </is>
      </c>
      <c r="E2217" s="10" t="n"/>
      <c r="F2217" s="88" t="inlineStr">
        <is>
          <t>Giorno</t>
        </is>
      </c>
      <c r="G2217" s="88" t="inlineStr">
        <is>
          <t>Data</t>
        </is>
      </c>
      <c r="H2217" s="88" t="inlineStr">
        <is>
          <t>Ora</t>
        </is>
      </c>
      <c r="I2217" s="10" t="n"/>
      <c r="J2217" s="88" t="inlineStr">
        <is>
          <t>Risultato</t>
        </is>
      </c>
      <c r="K2217" s="9" t="n"/>
      <c r="L2217" s="10" t="n"/>
      <c r="M2217" s="203" t="inlineStr">
        <is>
          <t>1o Arbitro</t>
        </is>
      </c>
      <c r="N2217" s="203" t="inlineStr">
        <is>
          <t>2o Arbitro</t>
        </is>
      </c>
      <c r="O2217" s="203" t="inlineStr">
        <is>
          <t>3o Arbitro/Tirocinante</t>
        </is>
      </c>
      <c r="P2217" s="203" t="inlineStr">
        <is>
          <t>Referto</t>
        </is>
      </c>
      <c r="Q2217" s="203" t="inlineStr">
        <is>
          <t>Cronometro</t>
        </is>
      </c>
      <c r="R2217" s="203" t="inlineStr">
        <is>
          <t>Foglio Tiri</t>
        </is>
      </c>
    </row>
    <row r="2218" ht="22" customHeight="1">
      <c r="A2218" s="90">
        <f>IF('Calendario D'!A298="","",'Calendario D'!A298)</f>
        <v/>
      </c>
      <c r="B2218" s="61">
        <f>IF('Calendario D'!B298="","",'Calendario D'!B298)</f>
        <v/>
      </c>
      <c r="C2218" s="62">
        <f>IF('Calendario D'!C298="","",'Calendario D'!C298)</f>
        <v/>
      </c>
      <c r="D2218" s="61">
        <f>IF('Calendario D'!D298="","",'Calendario D'!D298)</f>
        <v/>
      </c>
      <c r="E2218" s="62">
        <f>IF('Calendario D'!E298="","",'Calendario D'!E298)</f>
        <v/>
      </c>
      <c r="F2218" s="63">
        <f>IF('Calendario D'!F298="","",'Calendario D'!F298)</f>
        <v/>
      </c>
      <c r="G2218" s="9" t="n"/>
      <c r="H2218" s="9" t="n"/>
      <c r="I2218" s="10" t="n"/>
      <c r="J2218" s="195">
        <f>IF('Calendario D'!J298="","",'Calendario D'!J298)</f>
        <v/>
      </c>
      <c r="K2218" s="64" t="inlineStr">
        <is>
          <t>-</t>
        </is>
      </c>
      <c r="L2218" s="195">
        <f>IF('Calendario D'!L298="","",'Calendario D'!L298)</f>
        <v/>
      </c>
      <c r="M2218" s="196" t="inlineStr">
        <is>
          <t>FUENTES Valerie [AAt]</t>
        </is>
      </c>
      <c r="N2218" s="196" t="inlineStr">
        <is>
          <t>GAUTHIER Noemi [AA]</t>
        </is>
      </c>
      <c r="O2218" s="196" t="inlineStr">
        <is>
          <t>BRANDT Filippo [AAt]</t>
        </is>
      </c>
      <c r="P2218" s="196" t="inlineStr">
        <is>
          <t>VOGEL Pablo</t>
        </is>
      </c>
      <c r="Q2218" s="196" t="inlineStr">
        <is>
          <t>KOVAC Lea</t>
        </is>
      </c>
      <c r="R2218" s="196" t="inlineStr">
        <is>
          <t>KELLER Jonas</t>
        </is>
      </c>
    </row>
    <row r="2219" ht="15" customHeight="1">
      <c r="A2219" s="141" t="n"/>
      <c r="B2219" s="69">
        <f>IF('Calendario D'!B299="","",'Calendario D'!B299)</f>
        <v/>
      </c>
      <c r="C2219" s="9" t="n"/>
      <c r="D2219" s="9" t="n"/>
      <c r="E2219" s="9" t="n"/>
      <c r="F2219" s="9" t="n"/>
      <c r="G2219" s="9" t="n"/>
      <c r="H2219" s="10" t="n"/>
      <c r="I2219" s="62">
        <f>IF('Calendario D'!I299="","",'Calendario D'!I299)</f>
        <v/>
      </c>
      <c r="J2219" s="141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</row>
    <row r="2220" ht="14" customHeight="1">
      <c r="A2220" s="88" t="inlineStr">
        <is>
          <t>Gara N.</t>
        </is>
      </c>
      <c r="B2220" s="88" t="inlineStr">
        <is>
          <t>Squadra A</t>
        </is>
      </c>
      <c r="C2220" s="10" t="n"/>
      <c r="D2220" s="88" t="inlineStr">
        <is>
          <t>Squadra B</t>
        </is>
      </c>
      <c r="E2220" s="10" t="n"/>
      <c r="F2220" s="88" t="inlineStr">
        <is>
          <t>Giorno</t>
        </is>
      </c>
      <c r="G2220" s="88" t="inlineStr">
        <is>
          <t>Data</t>
        </is>
      </c>
      <c r="H2220" s="88" t="inlineStr">
        <is>
          <t>Ora</t>
        </is>
      </c>
      <c r="I2220" s="10" t="n"/>
      <c r="J2220" s="88" t="inlineStr">
        <is>
          <t>Risultato</t>
        </is>
      </c>
      <c r="K2220" s="9" t="n"/>
      <c r="L2220" s="10" t="n"/>
      <c r="M2220" s="203" t="inlineStr">
        <is>
          <t>1o Arbitro</t>
        </is>
      </c>
      <c r="N2220" s="203" t="inlineStr">
        <is>
          <t>2o Arbitro</t>
        </is>
      </c>
      <c r="O2220" s="203" t="inlineStr">
        <is>
          <t>3o Arbitro/Tirocinante</t>
        </is>
      </c>
      <c r="P2220" s="203" t="inlineStr">
        <is>
          <t>Referto</t>
        </is>
      </c>
      <c r="Q2220" s="203" t="inlineStr">
        <is>
          <t>Cronometro</t>
        </is>
      </c>
      <c r="R2220" s="203" t="inlineStr">
        <is>
          <t>Foglio Tiri</t>
        </is>
      </c>
    </row>
    <row r="2221" ht="22" customHeight="1">
      <c r="A2221" s="90">
        <f>IF('Calendario D'!A301="","",'Calendario D'!A301)</f>
        <v/>
      </c>
      <c r="B2221" s="61">
        <f>IF('Calendario D'!B301="","",'Calendario D'!B301)</f>
        <v/>
      </c>
      <c r="C2221" s="62">
        <f>IF('Calendario D'!C301="","",'Calendario D'!C301)</f>
        <v/>
      </c>
      <c r="D2221" s="61">
        <f>IF('Calendario D'!D301="","",'Calendario D'!D301)</f>
        <v/>
      </c>
      <c r="E2221" s="62">
        <f>IF('Calendario D'!E301="","",'Calendario D'!E301)</f>
        <v/>
      </c>
      <c r="F2221" s="63">
        <f>IF('Calendario D'!F301="","",'Calendario D'!F301)</f>
        <v/>
      </c>
      <c r="G2221" s="9" t="n"/>
      <c r="H2221" s="9" t="n"/>
      <c r="I2221" s="10" t="n"/>
      <c r="J2221" s="195">
        <f>IF('Calendario D'!J301="","",'Calendario D'!J301)</f>
        <v/>
      </c>
      <c r="K2221" s="64" t="inlineStr">
        <is>
          <t>-</t>
        </is>
      </c>
      <c r="L2221" s="195">
        <f>IF('Calendario D'!L301="","",'Calendario D'!L301)</f>
        <v/>
      </c>
      <c r="M2221" s="196" t="inlineStr">
        <is>
          <t>KOVAC Valerie [AAt]</t>
        </is>
      </c>
      <c r="N2221" s="196" t="inlineStr">
        <is>
          <t>ROTH Lea [A]</t>
        </is>
      </c>
      <c r="O2221" s="196" t="inlineStr">
        <is>
          <t>KELLER Beatrice [AAt]</t>
        </is>
      </c>
      <c r="P2221" s="196" t="inlineStr">
        <is>
          <t>ZUPAN Noemi</t>
        </is>
      </c>
      <c r="Q2221" s="196" t="inlineStr">
        <is>
          <t>FERRANTE Stefano</t>
        </is>
      </c>
      <c r="R2221" s="196" t="inlineStr">
        <is>
          <t>CASTILLO Stefano</t>
        </is>
      </c>
    </row>
    <row r="2222" ht="15" customHeight="1">
      <c r="A2222" s="141" t="n"/>
      <c r="B2222" s="69">
        <f>IF('Calendario D'!B302="","",'Calendario D'!B302)</f>
        <v/>
      </c>
      <c r="C2222" s="9" t="n"/>
      <c r="D2222" s="9" t="n"/>
      <c r="E2222" s="9" t="n"/>
      <c r="F2222" s="9" t="n"/>
      <c r="G2222" s="9" t="n"/>
      <c r="H2222" s="10" t="n"/>
      <c r="I2222" s="62">
        <f>IF('Calendario D'!I302="","",'Calendario D'!I302)</f>
        <v/>
      </c>
      <c r="J2222" s="141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</row>
    <row r="2223" ht="14" customHeight="1">
      <c r="A2223" s="88" t="inlineStr">
        <is>
          <t>Gara N.</t>
        </is>
      </c>
      <c r="B2223" s="88" t="inlineStr">
        <is>
          <t>Squadra A</t>
        </is>
      </c>
      <c r="C2223" s="10" t="n"/>
      <c r="D2223" s="88" t="inlineStr">
        <is>
          <t>Squadra B</t>
        </is>
      </c>
      <c r="E2223" s="10" t="n"/>
      <c r="F2223" s="88" t="inlineStr">
        <is>
          <t>Giorno</t>
        </is>
      </c>
      <c r="G2223" s="88" t="inlineStr">
        <is>
          <t>Data</t>
        </is>
      </c>
      <c r="H2223" s="88" t="inlineStr">
        <is>
          <t>Ora</t>
        </is>
      </c>
      <c r="I2223" s="10" t="n"/>
      <c r="J2223" s="88" t="inlineStr">
        <is>
          <t>Risultato</t>
        </is>
      </c>
      <c r="K2223" s="9" t="n"/>
      <c r="L2223" s="10" t="n"/>
      <c r="M2223" s="203" t="inlineStr">
        <is>
          <t>1o Arbitro</t>
        </is>
      </c>
      <c r="N2223" s="203" t="inlineStr">
        <is>
          <t>2o Arbitro</t>
        </is>
      </c>
      <c r="O2223" s="203" t="inlineStr">
        <is>
          <t>3o Arbitro/Tirocinante</t>
        </is>
      </c>
      <c r="P2223" s="203" t="inlineStr">
        <is>
          <t>Referto</t>
        </is>
      </c>
      <c r="Q2223" s="203" t="inlineStr">
        <is>
          <t>Cronometro</t>
        </is>
      </c>
      <c r="R2223" s="203" t="inlineStr">
        <is>
          <t>Foglio Tiri</t>
        </is>
      </c>
    </row>
    <row r="2224" ht="22" customHeight="1">
      <c r="A2224" s="90">
        <f>IF('Calendario D'!A304="","",'Calendario D'!A304)</f>
        <v/>
      </c>
      <c r="B2224" s="61">
        <f>IF('Calendario D'!B304="","",'Calendario D'!B304)</f>
        <v/>
      </c>
      <c r="C2224" s="62">
        <f>IF('Calendario D'!C304="","",'Calendario D'!C304)</f>
        <v/>
      </c>
      <c r="D2224" s="61">
        <f>IF('Calendario D'!D304="","",'Calendario D'!D304)</f>
        <v/>
      </c>
      <c r="E2224" s="62">
        <f>IF('Calendario D'!E304="","",'Calendario D'!E304)</f>
        <v/>
      </c>
      <c r="F2224" s="63">
        <f>IF('Calendario D'!F304="","",'Calendario D'!F304)</f>
        <v/>
      </c>
      <c r="G2224" s="9" t="n"/>
      <c r="H2224" s="9" t="n"/>
      <c r="I2224" s="10" t="n"/>
      <c r="J2224" s="195">
        <f>IF('Calendario D'!J304="","",'Calendario D'!J304)</f>
        <v/>
      </c>
      <c r="K2224" s="64" t="inlineStr">
        <is>
          <t>-</t>
        </is>
      </c>
      <c r="L2224" s="195">
        <f>IF('Calendario D'!L304="","",'Calendario D'!L304)</f>
        <v/>
      </c>
      <c r="M2224" s="196" t="inlineStr">
        <is>
          <t>PETERLIN Filippo [AAt]</t>
        </is>
      </c>
      <c r="N2224" s="196" t="inlineStr">
        <is>
          <t>FOURNIER Andrea [AA]</t>
        </is>
      </c>
      <c r="O2224" s="196" t="inlineStr">
        <is>
          <t>OBLAK Beatrice [AA]</t>
        </is>
      </c>
      <c r="P2224" s="196" t="inlineStr">
        <is>
          <t>SEVER Giulia</t>
        </is>
      </c>
      <c r="Q2224" s="196" t="inlineStr">
        <is>
          <t>IGLESIAS Giulia</t>
        </is>
      </c>
      <c r="R2224" s="196" t="inlineStr">
        <is>
          <t>GAUTHIER Diego</t>
        </is>
      </c>
    </row>
    <row r="2225" ht="15" customHeight="1">
      <c r="A2225" s="141" t="n"/>
      <c r="B2225" s="69">
        <f>IF('Calendario D'!B305="","",'Calendario D'!B305)</f>
        <v/>
      </c>
      <c r="C2225" s="9" t="n"/>
      <c r="D2225" s="9" t="n"/>
      <c r="E2225" s="9" t="n"/>
      <c r="F2225" s="9" t="n"/>
      <c r="G2225" s="9" t="n"/>
      <c r="H2225" s="10" t="n"/>
      <c r="I2225" s="62">
        <f>IF('Calendario D'!I305="","",'Calendario D'!I305)</f>
        <v/>
      </c>
      <c r="J2225" s="141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</row>
    <row r="2226" ht="14" customHeight="1">
      <c r="A2226" s="88" t="inlineStr">
        <is>
          <t>Gara N.</t>
        </is>
      </c>
      <c r="B2226" s="88" t="inlineStr">
        <is>
          <t>Squadra A</t>
        </is>
      </c>
      <c r="C2226" s="10" t="n"/>
      <c r="D2226" s="88" t="inlineStr">
        <is>
          <t>Squadra B</t>
        </is>
      </c>
      <c r="E2226" s="10" t="n"/>
      <c r="F2226" s="88" t="inlineStr">
        <is>
          <t>Giorno</t>
        </is>
      </c>
      <c r="G2226" s="88" t="inlineStr">
        <is>
          <t>Data</t>
        </is>
      </c>
      <c r="H2226" s="88" t="inlineStr">
        <is>
          <t>Ora</t>
        </is>
      </c>
      <c r="I2226" s="10" t="n"/>
      <c r="J2226" s="88" t="inlineStr">
        <is>
          <t>Risultato</t>
        </is>
      </c>
      <c r="K2226" s="9" t="n"/>
      <c r="L2226" s="10" t="n"/>
      <c r="M2226" s="203" t="inlineStr">
        <is>
          <t>1o Arbitro</t>
        </is>
      </c>
      <c r="N2226" s="203" t="inlineStr">
        <is>
          <t>2o Arbitro</t>
        </is>
      </c>
      <c r="O2226" s="203" t="inlineStr">
        <is>
          <t>3o Arbitro/Tirocinante</t>
        </is>
      </c>
      <c r="P2226" s="203" t="inlineStr">
        <is>
          <t>Referto</t>
        </is>
      </c>
      <c r="Q2226" s="203" t="inlineStr">
        <is>
          <t>Cronometro</t>
        </is>
      </c>
      <c r="R2226" s="203" t="inlineStr">
        <is>
          <t>Foglio Tiri</t>
        </is>
      </c>
    </row>
    <row r="2227" ht="22" customHeight="1">
      <c r="A2227" s="90">
        <f>IF('Calendario D'!A307="","",'Calendario D'!A307)</f>
        <v/>
      </c>
      <c r="B2227" s="61">
        <f>IF('Calendario D'!B307="","",'Calendario D'!B307)</f>
        <v/>
      </c>
      <c r="C2227" s="62">
        <f>IF('Calendario D'!C307="","",'Calendario D'!C307)</f>
        <v/>
      </c>
      <c r="D2227" s="61">
        <f>IF('Calendario D'!D307="","",'Calendario D'!D307)</f>
        <v/>
      </c>
      <c r="E2227" s="62">
        <f>IF('Calendario D'!E307="","",'Calendario D'!E307)</f>
        <v/>
      </c>
      <c r="F2227" s="63">
        <f>IF('Calendario D'!F307="","",'Calendario D'!F307)</f>
        <v/>
      </c>
      <c r="G2227" s="9" t="n"/>
      <c r="H2227" s="9" t="n"/>
      <c r="I2227" s="10" t="n"/>
      <c r="J2227" s="195">
        <f>IF('Calendario D'!J307="","",'Calendario D'!J307)</f>
        <v/>
      </c>
      <c r="K2227" s="64" t="inlineStr">
        <is>
          <t>-</t>
        </is>
      </c>
      <c r="L2227" s="195">
        <f>IF('Calendario D'!L307="","",'Calendario D'!L307)</f>
        <v/>
      </c>
      <c r="M2227" s="196" t="inlineStr">
        <is>
          <t>VOGEL Miha [AAt]</t>
        </is>
      </c>
      <c r="N2227" s="196" t="inlineStr">
        <is>
          <t>SOLER Marta [AAt]</t>
        </is>
      </c>
      <c r="O2227" s="196" t="inlineStr">
        <is>
          <t>FUENTES Matteo [Aest]</t>
        </is>
      </c>
      <c r="P2227" s="196" t="inlineStr">
        <is>
          <t>KRUGER Giulia</t>
        </is>
      </c>
      <c r="Q2227" s="196" t="inlineStr">
        <is>
          <t>IGLESIAS Chiara</t>
        </is>
      </c>
      <c r="R2227" s="196" t="inlineStr">
        <is>
          <t>GAUTHIER Sofia</t>
        </is>
      </c>
    </row>
    <row r="2228" ht="15" customHeight="1">
      <c r="A2228" s="141" t="n"/>
      <c r="B2228" s="69">
        <f>IF('Calendario D'!B308="","",'Calendario D'!B308)</f>
        <v/>
      </c>
      <c r="C2228" s="9" t="n"/>
      <c r="D2228" s="9" t="n"/>
      <c r="E2228" s="9" t="n"/>
      <c r="F2228" s="9" t="n"/>
      <c r="G2228" s="9" t="n"/>
      <c r="H2228" s="10" t="n"/>
      <c r="I2228" s="62">
        <f>IF('Calendario D'!I308="","",'Calendario D'!I308)</f>
        <v/>
      </c>
      <c r="J2228" s="141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</row>
    <row r="2229" ht="14" customHeight="1">
      <c r="A2229" s="88" t="inlineStr">
        <is>
          <t>Gara N.</t>
        </is>
      </c>
      <c r="B2229" s="88" t="inlineStr">
        <is>
          <t>Squadra A</t>
        </is>
      </c>
      <c r="C2229" s="10" t="n"/>
      <c r="D2229" s="88" t="inlineStr">
        <is>
          <t>Squadra B</t>
        </is>
      </c>
      <c r="E2229" s="10" t="n"/>
      <c r="F2229" s="88" t="inlineStr">
        <is>
          <t>Giorno</t>
        </is>
      </c>
      <c r="G2229" s="88" t="inlineStr">
        <is>
          <t>Data</t>
        </is>
      </c>
      <c r="H2229" s="88" t="inlineStr">
        <is>
          <t>Ora</t>
        </is>
      </c>
      <c r="I2229" s="10" t="n"/>
      <c r="J2229" s="88" t="inlineStr">
        <is>
          <t>Risultato</t>
        </is>
      </c>
      <c r="K2229" s="9" t="n"/>
      <c r="L2229" s="10" t="n"/>
      <c r="M2229" s="203" t="inlineStr">
        <is>
          <t>1o Arbitro</t>
        </is>
      </c>
      <c r="N2229" s="203" t="inlineStr">
        <is>
          <t>2o Arbitro</t>
        </is>
      </c>
      <c r="O2229" s="203" t="inlineStr">
        <is>
          <t>3o Arbitro/Tirocinante</t>
        </is>
      </c>
      <c r="P2229" s="203" t="inlineStr">
        <is>
          <t>Referto</t>
        </is>
      </c>
      <c r="Q2229" s="203" t="inlineStr">
        <is>
          <t>Cronometro</t>
        </is>
      </c>
      <c r="R2229" s="203" t="inlineStr">
        <is>
          <t>Foglio Tiri</t>
        </is>
      </c>
    </row>
    <row r="2230" ht="22" customHeight="1">
      <c r="A2230" s="90">
        <f>IF('Calendario D'!A310="","",'Calendario D'!A310)</f>
        <v/>
      </c>
      <c r="B2230" s="61">
        <f>IF('Calendario D'!B310="","",'Calendario D'!B310)</f>
        <v/>
      </c>
      <c r="C2230" s="62">
        <f>IF('Calendario D'!C310="","",'Calendario D'!C310)</f>
        <v/>
      </c>
      <c r="D2230" s="61">
        <f>IF('Calendario D'!D310="","",'Calendario D'!D310)</f>
        <v/>
      </c>
      <c r="E2230" s="62">
        <f>IF('Calendario D'!E310="","",'Calendario D'!E310)</f>
        <v/>
      </c>
      <c r="F2230" s="63">
        <f>IF('Calendario D'!F310="","",'Calendario D'!F310)</f>
        <v/>
      </c>
      <c r="G2230" s="9" t="n"/>
      <c r="H2230" s="9" t="n"/>
      <c r="I2230" s="10" t="n"/>
      <c r="J2230" s="195">
        <f>IF('Calendario D'!J310="","",'Calendario D'!J310)</f>
        <v/>
      </c>
      <c r="K2230" s="64" t="inlineStr">
        <is>
          <t>-</t>
        </is>
      </c>
      <c r="L2230" s="195">
        <f>IF('Calendario D'!L310="","",'Calendario D'!L310)</f>
        <v/>
      </c>
      <c r="M2230" s="196" t="inlineStr">
        <is>
          <t>VOGEL Giulia [Aest]</t>
        </is>
      </c>
      <c r="N2230" s="196" t="inlineStr">
        <is>
          <t>PELLEGRI Valerie [AA]</t>
        </is>
      </c>
      <c r="O2230" s="196" t="inlineStr">
        <is>
          <t>ROMERO Stefano [Aest]</t>
        </is>
      </c>
      <c r="P2230" s="196" t="inlineStr">
        <is>
          <t>KRUGER Irene</t>
        </is>
      </c>
      <c r="Q2230" s="196" t="inlineStr">
        <is>
          <t>KRUGER Valerie</t>
        </is>
      </c>
      <c r="R2230" s="196" t="inlineStr">
        <is>
          <t>CAMPOS Noemi</t>
        </is>
      </c>
    </row>
    <row r="2231" ht="15" customHeight="1">
      <c r="A2231" s="141" t="n"/>
      <c r="B2231" s="69">
        <f>IF('Calendario D'!B311="","",'Calendario D'!B311)</f>
        <v/>
      </c>
      <c r="C2231" s="9" t="n"/>
      <c r="D2231" s="9" t="n"/>
      <c r="E2231" s="9" t="n"/>
      <c r="F2231" s="9" t="n"/>
      <c r="G2231" s="9" t="n"/>
      <c r="H2231" s="10" t="n"/>
      <c r="I2231" s="62">
        <f>IF('Calendario D'!I311="","",'Calendario D'!I311)</f>
        <v/>
      </c>
      <c r="J2231" s="141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</row>
    <row r="2232" ht="14" customHeight="1">
      <c r="A2232" s="88" t="inlineStr">
        <is>
          <t>Gara N.</t>
        </is>
      </c>
      <c r="B2232" s="88" t="inlineStr">
        <is>
          <t>Squadra A</t>
        </is>
      </c>
      <c r="C2232" s="10" t="n"/>
      <c r="D2232" s="88" t="inlineStr">
        <is>
          <t>Squadra B</t>
        </is>
      </c>
      <c r="E2232" s="10" t="n"/>
      <c r="F2232" s="88" t="inlineStr">
        <is>
          <t>Giorno</t>
        </is>
      </c>
      <c r="G2232" s="88" t="inlineStr">
        <is>
          <t>Data</t>
        </is>
      </c>
      <c r="H2232" s="88" t="inlineStr">
        <is>
          <t>Ora</t>
        </is>
      </c>
      <c r="I2232" s="10" t="n"/>
      <c r="J2232" s="88" t="inlineStr">
        <is>
          <t>Risultato</t>
        </is>
      </c>
      <c r="K2232" s="9" t="n"/>
      <c r="L2232" s="10" t="n"/>
      <c r="M2232" s="203" t="inlineStr">
        <is>
          <t>1o Arbitro</t>
        </is>
      </c>
      <c r="N2232" s="203" t="inlineStr">
        <is>
          <t>2o Arbitro</t>
        </is>
      </c>
      <c r="O2232" s="203" t="inlineStr">
        <is>
          <t>3o Arbitro/Tirocinante</t>
        </is>
      </c>
      <c r="P2232" s="203" t="inlineStr">
        <is>
          <t>Referto</t>
        </is>
      </c>
      <c r="Q2232" s="203" t="inlineStr">
        <is>
          <t>Cronometro</t>
        </is>
      </c>
      <c r="R2232" s="203" t="inlineStr">
        <is>
          <t>Foglio Tiri</t>
        </is>
      </c>
    </row>
    <row r="2233" ht="22" customHeight="1">
      <c r="A2233" s="90">
        <f>IF('Calendario D'!A313="","",'Calendario D'!A313)</f>
        <v/>
      </c>
      <c r="B2233" s="61">
        <f>IF('Calendario D'!B313="","",'Calendario D'!B313)</f>
        <v/>
      </c>
      <c r="C2233" s="62">
        <f>IF('Calendario D'!C313="","",'Calendario D'!C313)</f>
        <v/>
      </c>
      <c r="D2233" s="61">
        <f>IF('Calendario D'!D313="","",'Calendario D'!D313)</f>
        <v/>
      </c>
      <c r="E2233" s="62">
        <f>IF('Calendario D'!E313="","",'Calendario D'!E313)</f>
        <v/>
      </c>
      <c r="F2233" s="63">
        <f>IF('Calendario D'!F313="","",'Calendario D'!F313)</f>
        <v/>
      </c>
      <c r="G2233" s="9" t="n"/>
      <c r="H2233" s="9" t="n"/>
      <c r="I2233" s="10" t="n"/>
      <c r="J2233" s="195">
        <f>IF('Calendario D'!J313="","",'Calendario D'!J313)</f>
        <v/>
      </c>
      <c r="K2233" s="64" t="inlineStr">
        <is>
          <t>-</t>
        </is>
      </c>
      <c r="L2233" s="195">
        <f>IF('Calendario D'!L313="","",'Calendario D'!L313)</f>
        <v/>
      </c>
      <c r="M2233" s="196" t="inlineStr">
        <is>
          <t>SCHAFER Giulia [AA]</t>
        </is>
      </c>
      <c r="N2233" s="196" t="inlineStr">
        <is>
          <t>BELLANDI Paula [A]</t>
        </is>
      </c>
      <c r="O2233" s="196" t="inlineStr">
        <is>
          <t>GAUTHIER Elena [AA]</t>
        </is>
      </c>
      <c r="P2233" s="196" t="inlineStr">
        <is>
          <t>FERRANTE Mathilde</t>
        </is>
      </c>
      <c r="Q2233" s="196" t="inlineStr">
        <is>
          <t>MOREAU Vid</t>
        </is>
      </c>
      <c r="R2233" s="196" t="inlineStr">
        <is>
          <t>FUENTES Matteo</t>
        </is>
      </c>
    </row>
    <row r="2234" ht="15" customHeight="1">
      <c r="A2234" s="141" t="n"/>
      <c r="B2234" s="69">
        <f>IF('Calendario D'!B314="","",'Calendario D'!B314)</f>
        <v/>
      </c>
      <c r="C2234" s="9" t="n"/>
      <c r="D2234" s="9" t="n"/>
      <c r="E2234" s="9" t="n"/>
      <c r="F2234" s="9" t="n"/>
      <c r="G2234" s="9" t="n"/>
      <c r="H2234" s="10" t="n"/>
      <c r="I2234" s="62">
        <f>IF('Calendario D'!I314="","",'Calendario D'!I314)</f>
        <v/>
      </c>
      <c r="J2234" s="141" t="n"/>
      <c r="K2234" s="141" t="n"/>
      <c r="L2234" s="141" t="n"/>
      <c r="M2234" s="141" t="n"/>
      <c r="N2234" s="141" t="n"/>
      <c r="O2234" s="141" t="n"/>
      <c r="P2234" s="141" t="n"/>
      <c r="Q2234" s="141" t="n"/>
      <c r="R2234" s="141" t="n"/>
    </row>
    <row r="2235" ht="14" customHeight="1">
      <c r="A2235" s="88" t="inlineStr">
        <is>
          <t>Gara N.</t>
        </is>
      </c>
      <c r="B2235" s="88" t="inlineStr">
        <is>
          <t>Squadra A</t>
        </is>
      </c>
      <c r="C2235" s="10" t="n"/>
      <c r="D2235" s="88" t="inlineStr">
        <is>
          <t>Squadra B</t>
        </is>
      </c>
      <c r="E2235" s="10" t="n"/>
      <c r="F2235" s="88" t="inlineStr">
        <is>
          <t>Giorno</t>
        </is>
      </c>
      <c r="G2235" s="88" t="inlineStr">
        <is>
          <t>Data</t>
        </is>
      </c>
      <c r="H2235" s="88" t="inlineStr">
        <is>
          <t>Ora</t>
        </is>
      </c>
      <c r="I2235" s="10" t="n"/>
      <c r="J2235" s="88" t="inlineStr">
        <is>
          <t>Risultato</t>
        </is>
      </c>
      <c r="K2235" s="9" t="n"/>
      <c r="L2235" s="10" t="n"/>
      <c r="M2235" s="203" t="inlineStr">
        <is>
          <t>1o Arbitro</t>
        </is>
      </c>
      <c r="N2235" s="203" t="inlineStr">
        <is>
          <t>2o Arbitro</t>
        </is>
      </c>
      <c r="O2235" s="203" t="inlineStr">
        <is>
          <t>3o Arbitro/Tirocinante</t>
        </is>
      </c>
      <c r="P2235" s="203" t="inlineStr">
        <is>
          <t>Referto</t>
        </is>
      </c>
      <c r="Q2235" s="203" t="inlineStr">
        <is>
          <t>Cronometro</t>
        </is>
      </c>
      <c r="R2235" s="203" t="inlineStr">
        <is>
          <t>Foglio Tiri</t>
        </is>
      </c>
    </row>
    <row r="2236" ht="22" customHeight="1">
      <c r="A2236" s="90">
        <f>IF('Calendario D'!A316="","",'Calendario D'!A316)</f>
        <v/>
      </c>
      <c r="B2236" s="61">
        <f>IF('Calendario D'!B316="","",'Calendario D'!B316)</f>
        <v/>
      </c>
      <c r="C2236" s="62">
        <f>IF('Calendario D'!C316="","",'Calendario D'!C316)</f>
        <v/>
      </c>
      <c r="D2236" s="61">
        <f>IF('Calendario D'!D316="","",'Calendario D'!D316)</f>
        <v/>
      </c>
      <c r="E2236" s="62">
        <f>IF('Calendario D'!E316="","",'Calendario D'!E316)</f>
        <v/>
      </c>
      <c r="F2236" s="63">
        <f>IF('Calendario D'!F316="","",'Calendario D'!F316)</f>
        <v/>
      </c>
      <c r="G2236" s="9" t="n"/>
      <c r="H2236" s="9" t="n"/>
      <c r="I2236" s="10" t="n"/>
      <c r="J2236" s="195">
        <f>IF('Calendario D'!J316="","",'Calendario D'!J316)</f>
        <v/>
      </c>
      <c r="K2236" s="64" t="inlineStr">
        <is>
          <t>-</t>
        </is>
      </c>
      <c r="L2236" s="195">
        <f>IF('Calendario D'!L316="","",'Calendario D'!L316)</f>
        <v/>
      </c>
      <c r="M2236" s="196" t="inlineStr">
        <is>
          <t>FUENTES Noemi [Aest]</t>
        </is>
      </c>
      <c r="N2236" s="196" t="inlineStr">
        <is>
          <t>BELLANDI Matteo [AA]</t>
        </is>
      </c>
      <c r="O2236" s="196" t="inlineStr">
        <is>
          <t>PELLEGRI Valerie [AA]</t>
        </is>
      </c>
      <c r="P2236" s="196" t="inlineStr">
        <is>
          <t>CASTILLO Elena</t>
        </is>
      </c>
      <c r="Q2236" s="196" t="inlineStr">
        <is>
          <t>CAMPOS Noemi</t>
        </is>
      </c>
      <c r="R2236" s="196" t="inlineStr">
        <is>
          <t>ROTH Katrin</t>
        </is>
      </c>
    </row>
    <row r="2237" ht="15" customHeight="1">
      <c r="A2237" s="141" t="n"/>
      <c r="B2237" s="69">
        <f>IF('Calendario D'!B317="","",'Calendario D'!B317)</f>
        <v/>
      </c>
      <c r="C2237" s="9" t="n"/>
      <c r="D2237" s="9" t="n"/>
      <c r="E2237" s="9" t="n"/>
      <c r="F2237" s="9" t="n"/>
      <c r="G2237" s="9" t="n"/>
      <c r="H2237" s="10" t="n"/>
      <c r="I2237" s="62">
        <f>IF('Calendario D'!I317="","",'Calendario D'!I317)</f>
        <v/>
      </c>
      <c r="J2237" s="141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</row>
    <row r="2238" ht="14" customHeight="1">
      <c r="A2238" s="88" t="inlineStr">
        <is>
          <t>Gara N.</t>
        </is>
      </c>
      <c r="B2238" s="88" t="inlineStr">
        <is>
          <t>Squadra A</t>
        </is>
      </c>
      <c r="C2238" s="10" t="n"/>
      <c r="D2238" s="88" t="inlineStr">
        <is>
          <t>Squadra B</t>
        </is>
      </c>
      <c r="E2238" s="10" t="n"/>
      <c r="F2238" s="88" t="inlineStr">
        <is>
          <t>Giorno</t>
        </is>
      </c>
      <c r="G2238" s="88" t="inlineStr">
        <is>
          <t>Data</t>
        </is>
      </c>
      <c r="H2238" s="88" t="inlineStr">
        <is>
          <t>Ora</t>
        </is>
      </c>
      <c r="I2238" s="10" t="n"/>
      <c r="J2238" s="88" t="inlineStr">
        <is>
          <t>Risultato</t>
        </is>
      </c>
      <c r="K2238" s="9" t="n"/>
      <c r="L2238" s="10" t="n"/>
      <c r="M2238" s="203" t="inlineStr">
        <is>
          <t>1o Arbitro</t>
        </is>
      </c>
      <c r="N2238" s="203" t="inlineStr">
        <is>
          <t>2o Arbitro</t>
        </is>
      </c>
      <c r="O2238" s="203" t="inlineStr">
        <is>
          <t>3o Arbitro/Tirocinante</t>
        </is>
      </c>
      <c r="P2238" s="203" t="inlineStr">
        <is>
          <t>Referto</t>
        </is>
      </c>
      <c r="Q2238" s="203" t="inlineStr">
        <is>
          <t>Cronometro</t>
        </is>
      </c>
      <c r="R2238" s="203" t="inlineStr">
        <is>
          <t>Foglio Tiri</t>
        </is>
      </c>
    </row>
    <row r="2239" ht="22" customHeight="1">
      <c r="A2239" s="90">
        <f>IF('Calendario D'!A319="","",'Calendario D'!A319)</f>
        <v/>
      </c>
      <c r="B2239" s="61">
        <f>IF('Calendario D'!B319="","",'Calendario D'!B319)</f>
        <v/>
      </c>
      <c r="C2239" s="62">
        <f>IF('Calendario D'!C319="","",'Calendario D'!C319)</f>
        <v/>
      </c>
      <c r="D2239" s="61">
        <f>IF('Calendario D'!D319="","",'Calendario D'!D319)</f>
        <v/>
      </c>
      <c r="E2239" s="62">
        <f>IF('Calendario D'!E319="","",'Calendario D'!E319)</f>
        <v/>
      </c>
      <c r="F2239" s="63">
        <f>IF('Calendario D'!F319="","",'Calendario D'!F319)</f>
        <v/>
      </c>
      <c r="G2239" s="9" t="n"/>
      <c r="H2239" s="9" t="n"/>
      <c r="I2239" s="10" t="n"/>
      <c r="J2239" s="195">
        <f>IF('Calendario D'!J319="","",'Calendario D'!J319)</f>
        <v/>
      </c>
      <c r="K2239" s="64" t="inlineStr">
        <is>
          <t>-</t>
        </is>
      </c>
      <c r="L2239" s="195">
        <f>IF('Calendario D'!L319="","",'Calendario D'!L319)</f>
        <v/>
      </c>
      <c r="M2239" s="196" t="inlineStr">
        <is>
          <t>ENGEL Lea [AAt]</t>
        </is>
      </c>
      <c r="N2239" s="196" t="inlineStr">
        <is>
          <t>MORETTO Jonas [AAt]</t>
        </is>
      </c>
      <c r="O2239" s="196" t="inlineStr">
        <is>
          <t>MODIC Chiara [AA]</t>
        </is>
      </c>
      <c r="P2239" s="196" t="inlineStr">
        <is>
          <t>ZUPAN Miha</t>
        </is>
      </c>
      <c r="Q2239" s="196" t="inlineStr">
        <is>
          <t>MORETTO Jonas</t>
        </is>
      </c>
      <c r="R2239" s="196" t="inlineStr">
        <is>
          <t>PRADO Eva</t>
        </is>
      </c>
    </row>
    <row r="2240" ht="15" customHeight="1">
      <c r="A2240" s="141" t="n"/>
      <c r="B2240" s="69">
        <f>IF('Calendario D'!B320="","",'Calendario D'!B320)</f>
        <v/>
      </c>
      <c r="C2240" s="9" t="n"/>
      <c r="D2240" s="9" t="n"/>
      <c r="E2240" s="9" t="n"/>
      <c r="F2240" s="9" t="n"/>
      <c r="G2240" s="9" t="n"/>
      <c r="H2240" s="10" t="n"/>
      <c r="I2240" s="62">
        <f>IF('Calendario D'!I320="","",'Calendario D'!I320)</f>
        <v/>
      </c>
      <c r="J2240" s="141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</row>
    <row r="2241" ht="14" customHeight="1">
      <c r="A2241" s="88" t="inlineStr">
        <is>
          <t>Gara N.</t>
        </is>
      </c>
      <c r="B2241" s="88" t="inlineStr">
        <is>
          <t>Squadra A</t>
        </is>
      </c>
      <c r="C2241" s="10" t="n"/>
      <c r="D2241" s="88" t="inlineStr">
        <is>
          <t>Squadra B</t>
        </is>
      </c>
      <c r="E2241" s="10" t="n"/>
      <c r="F2241" s="88" t="inlineStr">
        <is>
          <t>Giorno</t>
        </is>
      </c>
      <c r="G2241" s="88" t="inlineStr">
        <is>
          <t>Data</t>
        </is>
      </c>
      <c r="H2241" s="88" t="inlineStr">
        <is>
          <t>Ora</t>
        </is>
      </c>
      <c r="I2241" s="10" t="n"/>
      <c r="J2241" s="88" t="inlineStr">
        <is>
          <t>Risultato</t>
        </is>
      </c>
      <c r="K2241" s="9" t="n"/>
      <c r="L2241" s="10" t="n"/>
      <c r="M2241" s="203" t="inlineStr">
        <is>
          <t>1o Arbitro</t>
        </is>
      </c>
      <c r="N2241" s="203" t="inlineStr">
        <is>
          <t>2o Arbitro</t>
        </is>
      </c>
      <c r="O2241" s="203" t="inlineStr">
        <is>
          <t>3o Arbitro/Tirocinante</t>
        </is>
      </c>
      <c r="P2241" s="203" t="inlineStr">
        <is>
          <t>Referto</t>
        </is>
      </c>
      <c r="Q2241" s="203" t="inlineStr">
        <is>
          <t>Cronometro</t>
        </is>
      </c>
      <c r="R2241" s="203" t="inlineStr">
        <is>
          <t>Foglio Tiri</t>
        </is>
      </c>
    </row>
    <row r="2242" ht="22" customHeight="1">
      <c r="A2242" s="90">
        <f>IF('Calendario D'!A322="","",'Calendario D'!A322)</f>
        <v/>
      </c>
      <c r="B2242" s="61">
        <f>IF('Calendario D'!B322="","",'Calendario D'!B322)</f>
        <v/>
      </c>
      <c r="C2242" s="62">
        <f>IF('Calendario D'!C322="","",'Calendario D'!C322)</f>
        <v/>
      </c>
      <c r="D2242" s="61">
        <f>IF('Calendario D'!D322="","",'Calendario D'!D322)</f>
        <v/>
      </c>
      <c r="E2242" s="62">
        <f>IF('Calendario D'!E322="","",'Calendario D'!E322)</f>
        <v/>
      </c>
      <c r="F2242" s="63">
        <f>IF('Calendario D'!F322="","",'Calendario D'!F322)</f>
        <v/>
      </c>
      <c r="G2242" s="9" t="n"/>
      <c r="H2242" s="9" t="n"/>
      <c r="I2242" s="10" t="n"/>
      <c r="J2242" s="195">
        <f>IF('Calendario D'!J322="","",'Calendario D'!J322)</f>
        <v/>
      </c>
      <c r="K2242" s="64" t="inlineStr">
        <is>
          <t>-</t>
        </is>
      </c>
      <c r="L2242" s="195">
        <f>IF('Calendario D'!L322="","",'Calendario D'!L322)</f>
        <v/>
      </c>
      <c r="M2242" s="196" t="inlineStr">
        <is>
          <t>PETERLIN Tommaso [AAt]</t>
        </is>
      </c>
      <c r="N2242" s="196" t="inlineStr">
        <is>
          <t>NAVARRO Matteo [AA]</t>
        </is>
      </c>
      <c r="O2242" s="196" t="inlineStr">
        <is>
          <t>NAVARRO Irene [Aest]</t>
        </is>
      </c>
      <c r="P2242" s="196" t="inlineStr">
        <is>
          <t>PRADO Alenka</t>
        </is>
      </c>
      <c r="Q2242" s="196" t="inlineStr">
        <is>
          <t>BIANCHELLI Davide</t>
        </is>
      </c>
      <c r="R2242" s="196" t="inlineStr">
        <is>
          <t>CASTILLO Alenka</t>
        </is>
      </c>
    </row>
    <row r="2243" ht="15" customHeight="1">
      <c r="A2243" s="141" t="n"/>
      <c r="B2243" s="69">
        <f>IF('Calendario D'!B323="","",'Calendario D'!B323)</f>
        <v/>
      </c>
      <c r="C2243" s="9" t="n"/>
      <c r="D2243" s="9" t="n"/>
      <c r="E2243" s="9" t="n"/>
      <c r="F2243" s="9" t="n"/>
      <c r="G2243" s="9" t="n"/>
      <c r="H2243" s="10" t="n"/>
      <c r="I2243" s="62">
        <f>IF('Calendario D'!I323="","",'Calendario D'!I323)</f>
        <v/>
      </c>
      <c r="J2243" s="141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</row>
    <row r="2244" ht="14" customHeight="1">
      <c r="A2244" s="88" t="inlineStr">
        <is>
          <t>Gara N.</t>
        </is>
      </c>
      <c r="B2244" s="88" t="inlineStr">
        <is>
          <t>Squadra A</t>
        </is>
      </c>
      <c r="C2244" s="10" t="n"/>
      <c r="D2244" s="88" t="inlineStr">
        <is>
          <t>Squadra B</t>
        </is>
      </c>
      <c r="E2244" s="10" t="n"/>
      <c r="F2244" s="88" t="inlineStr">
        <is>
          <t>Giorno</t>
        </is>
      </c>
      <c r="G2244" s="88" t="inlineStr">
        <is>
          <t>Data</t>
        </is>
      </c>
      <c r="H2244" s="88" t="inlineStr">
        <is>
          <t>Ora</t>
        </is>
      </c>
      <c r="I2244" s="10" t="n"/>
      <c r="J2244" s="88" t="inlineStr">
        <is>
          <t>Risultato</t>
        </is>
      </c>
      <c r="K2244" s="9" t="n"/>
      <c r="L2244" s="10" t="n"/>
      <c r="M2244" s="203" t="inlineStr">
        <is>
          <t>1o Arbitro</t>
        </is>
      </c>
      <c r="N2244" s="203" t="inlineStr">
        <is>
          <t>2o Arbitro</t>
        </is>
      </c>
      <c r="O2244" s="203" t="inlineStr">
        <is>
          <t>3o Arbitro/Tirocinante</t>
        </is>
      </c>
      <c r="P2244" s="203" t="inlineStr">
        <is>
          <t>Referto</t>
        </is>
      </c>
      <c r="Q2244" s="203" t="inlineStr">
        <is>
          <t>Cronometro</t>
        </is>
      </c>
      <c r="R2244" s="203" t="inlineStr">
        <is>
          <t>Foglio Tiri</t>
        </is>
      </c>
    </row>
    <row r="2245" ht="22" customHeight="1">
      <c r="A2245" s="90">
        <f>IF('Calendario D'!A325="","",'Calendario D'!A325)</f>
        <v/>
      </c>
      <c r="B2245" s="61">
        <f>IF('Calendario D'!B325="","",'Calendario D'!B325)</f>
        <v/>
      </c>
      <c r="C2245" s="62">
        <f>IF('Calendario D'!C325="","",'Calendario D'!C325)</f>
        <v/>
      </c>
      <c r="D2245" s="61">
        <f>IF('Calendario D'!D325="","",'Calendario D'!D325)</f>
        <v/>
      </c>
      <c r="E2245" s="62">
        <f>IF('Calendario D'!E325="","",'Calendario D'!E325)</f>
        <v/>
      </c>
      <c r="F2245" s="63">
        <f>IF('Calendario D'!F325="","",'Calendario D'!F325)</f>
        <v/>
      </c>
      <c r="G2245" s="9" t="n"/>
      <c r="H2245" s="9" t="n"/>
      <c r="I2245" s="10" t="n"/>
      <c r="J2245" s="195">
        <f>IF('Calendario D'!J325="","",'Calendario D'!J325)</f>
        <v/>
      </c>
      <c r="K2245" s="64" t="inlineStr">
        <is>
          <t>-</t>
        </is>
      </c>
      <c r="L2245" s="195">
        <f>IF('Calendario D'!L325="","",'Calendario D'!L325)</f>
        <v/>
      </c>
      <c r="M2245" s="196" t="inlineStr">
        <is>
          <t>SOLER Davide [A]</t>
        </is>
      </c>
      <c r="N2245" s="196" t="inlineStr">
        <is>
          <t>CARON Paolo [AA]</t>
        </is>
      </c>
      <c r="O2245" s="196" t="inlineStr">
        <is>
          <t>BLANCHET Giulia [AA]</t>
        </is>
      </c>
      <c r="P2245" s="196" t="inlineStr">
        <is>
          <t>PETERLIN Martina</t>
        </is>
      </c>
      <c r="Q2245" s="196" t="inlineStr">
        <is>
          <t>NAVARRO Lea</t>
        </is>
      </c>
      <c r="R2245" s="196" t="inlineStr">
        <is>
          <t>HOFFMANN Chiara</t>
        </is>
      </c>
    </row>
    <row r="2246" ht="15" customHeight="1">
      <c r="A2246" s="141" t="n"/>
      <c r="B2246" s="69">
        <f>IF('Calendario D'!B326="","",'Calendario D'!B326)</f>
        <v/>
      </c>
      <c r="C2246" s="9" t="n"/>
      <c r="D2246" s="9" t="n"/>
      <c r="E2246" s="9" t="n"/>
      <c r="F2246" s="9" t="n"/>
      <c r="G2246" s="9" t="n"/>
      <c r="H2246" s="10" t="n"/>
      <c r="I2246" s="62">
        <f>IF('Calendario D'!I326="","",'Calendario D'!I326)</f>
        <v/>
      </c>
      <c r="J2246" s="141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</row>
    <row r="2248" ht="20" customHeight="1">
      <c r="A2248" s="85">
        <f>IF('Calendario D'!A328="","",'Calendario D'!A328)</f>
        <v/>
      </c>
      <c r="B2248" s="86">
        <f>IF('Calendario D'!B328="","",'Calendario D'!B328)</f>
        <v/>
      </c>
      <c r="C2248" s="9" t="n"/>
      <c r="D2248" s="9" t="n"/>
      <c r="E2248" s="9" t="n"/>
      <c r="F2248" s="9" t="n"/>
      <c r="G2248" s="9" t="n"/>
      <c r="H2248" s="9" t="n"/>
      <c r="I2248" s="9" t="n"/>
      <c r="J2248" s="9" t="n"/>
      <c r="K2248" s="9" t="n"/>
      <c r="L2248" s="10" t="n"/>
      <c r="M2248" s="202" t="inlineStr">
        <is>
          <t>ARBITRI</t>
        </is>
      </c>
      <c r="N2248" s="9" t="n"/>
      <c r="O2248" s="10" t="n"/>
      <c r="P2248" s="202" t="inlineStr">
        <is>
          <t>UFFICIALI DI CAMPO</t>
        </is>
      </c>
      <c r="Q2248" s="9" t="n"/>
      <c r="R2248" s="10" t="n"/>
    </row>
    <row r="2249" ht="14" customHeight="1">
      <c r="A2249" s="88" t="inlineStr">
        <is>
          <t>Gara N.</t>
        </is>
      </c>
      <c r="B2249" s="88" t="inlineStr">
        <is>
          <t>Squadra A</t>
        </is>
      </c>
      <c r="C2249" s="10" t="n"/>
      <c r="D2249" s="88" t="inlineStr">
        <is>
          <t>Squadra B</t>
        </is>
      </c>
      <c r="E2249" s="10" t="n"/>
      <c r="F2249" s="88" t="inlineStr">
        <is>
          <t>Giorno</t>
        </is>
      </c>
      <c r="G2249" s="88" t="inlineStr">
        <is>
          <t>Data</t>
        </is>
      </c>
      <c r="H2249" s="88" t="inlineStr">
        <is>
          <t>Ora</t>
        </is>
      </c>
      <c r="I2249" s="10" t="n"/>
      <c r="J2249" s="88" t="inlineStr">
        <is>
          <t>Risultato</t>
        </is>
      </c>
      <c r="K2249" s="9" t="n"/>
      <c r="L2249" s="10" t="n"/>
      <c r="M2249" s="203" t="inlineStr">
        <is>
          <t>1o Arbitro</t>
        </is>
      </c>
      <c r="N2249" s="203" t="inlineStr">
        <is>
          <t>2o Arbitro</t>
        </is>
      </c>
      <c r="O2249" s="203" t="inlineStr">
        <is>
          <t>3o Arbitro/Tirocinante</t>
        </is>
      </c>
      <c r="P2249" s="203" t="inlineStr">
        <is>
          <t>Referto</t>
        </is>
      </c>
      <c r="Q2249" s="203" t="inlineStr">
        <is>
          <t>Cronometro</t>
        </is>
      </c>
      <c r="R2249" s="203" t="inlineStr">
        <is>
          <t>Foglio Tiri</t>
        </is>
      </c>
    </row>
    <row r="2250" ht="22" customHeight="1">
      <c r="A2250" s="90">
        <f>IF('Calendario D'!A330="","",'Calendario D'!A330)</f>
        <v/>
      </c>
      <c r="B2250" s="61">
        <f>IF('Calendario D'!B330="","",'Calendario D'!B330)</f>
        <v/>
      </c>
      <c r="C2250" s="62">
        <f>IF('Calendario D'!C330="","",'Calendario D'!C330)</f>
        <v/>
      </c>
      <c r="D2250" s="61">
        <f>IF('Calendario D'!D330="","",'Calendario D'!D330)</f>
        <v/>
      </c>
      <c r="E2250" s="62">
        <f>IF('Calendario D'!E330="","",'Calendario D'!E330)</f>
        <v/>
      </c>
      <c r="F2250" s="63">
        <f>IF('Calendario D'!F330="","",'Calendario D'!F330)</f>
        <v/>
      </c>
      <c r="G2250" s="9" t="n"/>
      <c r="H2250" s="9" t="n"/>
      <c r="I2250" s="10" t="n"/>
      <c r="J2250" s="195">
        <f>IF('Calendario D'!J330="","",'Calendario D'!J330)</f>
        <v/>
      </c>
      <c r="K2250" s="64" t="inlineStr">
        <is>
          <t>-</t>
        </is>
      </c>
      <c r="L2250" s="195">
        <f>IF('Calendario D'!L330="","",'Calendario D'!L330)</f>
        <v/>
      </c>
      <c r="M2250" s="196" t="inlineStr">
        <is>
          <t>ROSSINI Chiara [AAt]</t>
        </is>
      </c>
      <c r="N2250" s="196" t="inlineStr">
        <is>
          <t>VIDMAR Pablo [Aest]</t>
        </is>
      </c>
      <c r="O2250" s="196" t="inlineStr">
        <is>
          <t>AUBERT Greta [Aest]</t>
        </is>
      </c>
      <c r="P2250" s="196" t="inlineStr">
        <is>
          <t>VOGEL Pablo</t>
        </is>
      </c>
      <c r="Q2250" s="196" t="inlineStr">
        <is>
          <t>SEVER Ottavia</t>
        </is>
      </c>
      <c r="R2250" s="196" t="inlineStr">
        <is>
          <t>ZUPAN Elena</t>
        </is>
      </c>
    </row>
    <row r="2251" ht="15" customHeight="1">
      <c r="A2251" s="141" t="n"/>
      <c r="B2251" s="69">
        <f>IF('Calendario D'!B331="","",'Calendario D'!B331)</f>
        <v/>
      </c>
      <c r="C2251" s="9" t="n"/>
      <c r="D2251" s="9" t="n"/>
      <c r="E2251" s="9" t="n"/>
      <c r="F2251" s="9" t="n"/>
      <c r="G2251" s="9" t="n"/>
      <c r="H2251" s="10" t="n"/>
      <c r="I2251" s="62">
        <f>IF('Calendario D'!I331="","",'Calendario D'!I331)</f>
        <v/>
      </c>
      <c r="J2251" s="141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</row>
    <row r="2252" ht="14" customHeight="1">
      <c r="A2252" s="88" t="inlineStr">
        <is>
          <t>Gara N.</t>
        </is>
      </c>
      <c r="B2252" s="88" t="inlineStr">
        <is>
          <t>Squadra A</t>
        </is>
      </c>
      <c r="C2252" s="10" t="n"/>
      <c r="D2252" s="88" t="inlineStr">
        <is>
          <t>Squadra B</t>
        </is>
      </c>
      <c r="E2252" s="10" t="n"/>
      <c r="F2252" s="88" t="inlineStr">
        <is>
          <t>Giorno</t>
        </is>
      </c>
      <c r="G2252" s="88" t="inlineStr">
        <is>
          <t>Data</t>
        </is>
      </c>
      <c r="H2252" s="88" t="inlineStr">
        <is>
          <t>Ora</t>
        </is>
      </c>
      <c r="I2252" s="10" t="n"/>
      <c r="J2252" s="88" t="inlineStr">
        <is>
          <t>Risultato</t>
        </is>
      </c>
      <c r="K2252" s="9" t="n"/>
      <c r="L2252" s="10" t="n"/>
      <c r="M2252" s="203" t="inlineStr">
        <is>
          <t>1o Arbitro</t>
        </is>
      </c>
      <c r="N2252" s="203" t="inlineStr">
        <is>
          <t>2o Arbitro</t>
        </is>
      </c>
      <c r="O2252" s="203" t="inlineStr">
        <is>
          <t>3o Arbitro/Tirocinante</t>
        </is>
      </c>
      <c r="P2252" s="203" t="inlineStr">
        <is>
          <t>Referto</t>
        </is>
      </c>
      <c r="Q2252" s="203" t="inlineStr">
        <is>
          <t>Cronometro</t>
        </is>
      </c>
      <c r="R2252" s="203" t="inlineStr">
        <is>
          <t>Foglio Tiri</t>
        </is>
      </c>
    </row>
    <row r="2253" ht="22" customHeight="1">
      <c r="A2253" s="90">
        <f>IF('Calendario D'!A333="","",'Calendario D'!A333)</f>
        <v/>
      </c>
      <c r="B2253" s="61">
        <f>IF('Calendario D'!B333="","",'Calendario D'!B333)</f>
        <v/>
      </c>
      <c r="C2253" s="62">
        <f>IF('Calendario D'!C333="","",'Calendario D'!C333)</f>
        <v/>
      </c>
      <c r="D2253" s="61">
        <f>IF('Calendario D'!D333="","",'Calendario D'!D333)</f>
        <v/>
      </c>
      <c r="E2253" s="62">
        <f>IF('Calendario D'!E333="","",'Calendario D'!E333)</f>
        <v/>
      </c>
      <c r="F2253" s="63">
        <f>IF('Calendario D'!F333="","",'Calendario D'!F333)</f>
        <v/>
      </c>
      <c r="G2253" s="9" t="n"/>
      <c r="H2253" s="9" t="n"/>
      <c r="I2253" s="10" t="n"/>
      <c r="J2253" s="195">
        <f>IF('Calendario D'!J333="","",'Calendario D'!J333)</f>
        <v/>
      </c>
      <c r="K2253" s="64" t="inlineStr">
        <is>
          <t>-</t>
        </is>
      </c>
      <c r="L2253" s="195">
        <f>IF('Calendario D'!L333="","",'Calendario D'!L333)</f>
        <v/>
      </c>
      <c r="M2253" s="196" t="inlineStr">
        <is>
          <t>LEROUX Filippo [Aest]</t>
        </is>
      </c>
      <c r="N2253" s="196" t="inlineStr">
        <is>
          <t>BELLANDI Andrea [AA]</t>
        </is>
      </c>
      <c r="O2253" s="196" t="inlineStr">
        <is>
          <t>ENGEL Gaelle [AAt]</t>
        </is>
      </c>
      <c r="P2253" s="196" t="inlineStr">
        <is>
          <t>NAVARRO Paula</t>
        </is>
      </c>
      <c r="Q2253" s="196" t="inlineStr">
        <is>
          <t>CASTILLO Noemi</t>
        </is>
      </c>
      <c r="R2253" s="196" t="inlineStr">
        <is>
          <t>FOURNIER Elena</t>
        </is>
      </c>
    </row>
    <row r="2254" ht="15" customHeight="1">
      <c r="A2254" s="141" t="n"/>
      <c r="B2254" s="69">
        <f>IF('Calendario D'!B334="","",'Calendario D'!B334)</f>
        <v/>
      </c>
      <c r="C2254" s="9" t="n"/>
      <c r="D2254" s="9" t="n"/>
      <c r="E2254" s="9" t="n"/>
      <c r="F2254" s="9" t="n"/>
      <c r="G2254" s="9" t="n"/>
      <c r="H2254" s="10" t="n"/>
      <c r="I2254" s="62">
        <f>IF('Calendario D'!I334="","",'Calendario D'!I334)</f>
        <v/>
      </c>
      <c r="J2254" s="141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</row>
    <row r="2255" ht="14" customHeight="1">
      <c r="A2255" s="88" t="inlineStr">
        <is>
          <t>Gara N.</t>
        </is>
      </c>
      <c r="B2255" s="88" t="inlineStr">
        <is>
          <t>Squadra A</t>
        </is>
      </c>
      <c r="C2255" s="10" t="n"/>
      <c r="D2255" s="88" t="inlineStr">
        <is>
          <t>Squadra B</t>
        </is>
      </c>
      <c r="E2255" s="10" t="n"/>
      <c r="F2255" s="88" t="inlineStr">
        <is>
          <t>Giorno</t>
        </is>
      </c>
      <c r="G2255" s="88" t="inlineStr">
        <is>
          <t>Data</t>
        </is>
      </c>
      <c r="H2255" s="88" t="inlineStr">
        <is>
          <t>Ora</t>
        </is>
      </c>
      <c r="I2255" s="10" t="n"/>
      <c r="J2255" s="88" t="inlineStr">
        <is>
          <t>Risultato</t>
        </is>
      </c>
      <c r="K2255" s="9" t="n"/>
      <c r="L2255" s="10" t="n"/>
      <c r="M2255" s="203" t="inlineStr">
        <is>
          <t>1o Arbitro</t>
        </is>
      </c>
      <c r="N2255" s="203" t="inlineStr">
        <is>
          <t>2o Arbitro</t>
        </is>
      </c>
      <c r="O2255" s="203" t="inlineStr">
        <is>
          <t>3o Arbitro/Tirocinante</t>
        </is>
      </c>
      <c r="P2255" s="203" t="inlineStr">
        <is>
          <t>Referto</t>
        </is>
      </c>
      <c r="Q2255" s="203" t="inlineStr">
        <is>
          <t>Cronometro</t>
        </is>
      </c>
      <c r="R2255" s="203" t="inlineStr">
        <is>
          <t>Foglio Tiri</t>
        </is>
      </c>
    </row>
    <row r="2256" ht="22" customHeight="1">
      <c r="A2256" s="90">
        <f>IF('Calendario D'!A336="","",'Calendario D'!A336)</f>
        <v/>
      </c>
      <c r="B2256" s="61">
        <f>IF('Calendario D'!B336="","",'Calendario D'!B336)</f>
        <v/>
      </c>
      <c r="C2256" s="62">
        <f>IF('Calendario D'!C336="","",'Calendario D'!C336)</f>
        <v/>
      </c>
      <c r="D2256" s="61">
        <f>IF('Calendario D'!D336="","",'Calendario D'!D336)</f>
        <v/>
      </c>
      <c r="E2256" s="62">
        <f>IF('Calendario D'!E336="","",'Calendario D'!E336)</f>
        <v/>
      </c>
      <c r="F2256" s="63">
        <f>IF('Calendario D'!F336="","",'Calendario D'!F336)</f>
        <v/>
      </c>
      <c r="G2256" s="9" t="n"/>
      <c r="H2256" s="9" t="n"/>
      <c r="I2256" s="10" t="n"/>
      <c r="J2256" s="195">
        <f>IF('Calendario D'!J336="","",'Calendario D'!J336)</f>
        <v/>
      </c>
      <c r="K2256" s="64" t="inlineStr">
        <is>
          <t>-</t>
        </is>
      </c>
      <c r="L2256" s="195">
        <f>IF('Calendario D'!L336="","",'Calendario D'!L336)</f>
        <v/>
      </c>
      <c r="M2256" s="196" t="inlineStr">
        <is>
          <t>LEFEVRE Paula [A]</t>
        </is>
      </c>
      <c r="N2256" s="196" t="inlineStr">
        <is>
          <t>MODIC Gaelle [AA]</t>
        </is>
      </c>
      <c r="O2256" s="196" t="inlineStr">
        <is>
          <t>LEROUX Elena [AA]</t>
        </is>
      </c>
      <c r="P2256" s="196" t="inlineStr">
        <is>
          <t>CASTILLO Davide</t>
        </is>
      </c>
      <c r="Q2256" s="196" t="inlineStr">
        <is>
          <t>LEROUX Lucia</t>
        </is>
      </c>
      <c r="R2256" s="196" t="inlineStr">
        <is>
          <t>HOFFMANN Tommaso</t>
        </is>
      </c>
    </row>
    <row r="2257" ht="15" customHeight="1">
      <c r="A2257" s="141" t="n"/>
      <c r="B2257" s="69">
        <f>IF('Calendario D'!B337="","",'Calendario D'!B337)</f>
        <v/>
      </c>
      <c r="C2257" s="9" t="n"/>
      <c r="D2257" s="9" t="n"/>
      <c r="E2257" s="9" t="n"/>
      <c r="F2257" s="9" t="n"/>
      <c r="G2257" s="9" t="n"/>
      <c r="H2257" s="10" t="n"/>
      <c r="I2257" s="62">
        <f>IF('Calendario D'!I337="","",'Calendario D'!I337)</f>
        <v/>
      </c>
      <c r="J2257" s="141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</row>
    <row r="2258" ht="14" customHeight="1">
      <c r="A2258" s="88" t="inlineStr">
        <is>
          <t>Gara N.</t>
        </is>
      </c>
      <c r="B2258" s="88" t="inlineStr">
        <is>
          <t>Squadra A</t>
        </is>
      </c>
      <c r="C2258" s="10" t="n"/>
      <c r="D2258" s="88" t="inlineStr">
        <is>
          <t>Squadra B</t>
        </is>
      </c>
      <c r="E2258" s="10" t="n"/>
      <c r="F2258" s="88" t="inlineStr">
        <is>
          <t>Giorno</t>
        </is>
      </c>
      <c r="G2258" s="88" t="inlineStr">
        <is>
          <t>Data</t>
        </is>
      </c>
      <c r="H2258" s="88" t="inlineStr">
        <is>
          <t>Ora</t>
        </is>
      </c>
      <c r="I2258" s="10" t="n"/>
      <c r="J2258" s="88" t="inlineStr">
        <is>
          <t>Risultato</t>
        </is>
      </c>
      <c r="K2258" s="9" t="n"/>
      <c r="L2258" s="10" t="n"/>
      <c r="M2258" s="203" t="inlineStr">
        <is>
          <t>1o Arbitro</t>
        </is>
      </c>
      <c r="N2258" s="203" t="inlineStr">
        <is>
          <t>2o Arbitro</t>
        </is>
      </c>
      <c r="O2258" s="203" t="inlineStr">
        <is>
          <t>3o Arbitro/Tirocinante</t>
        </is>
      </c>
      <c r="P2258" s="203" t="inlineStr">
        <is>
          <t>Referto</t>
        </is>
      </c>
      <c r="Q2258" s="203" t="inlineStr">
        <is>
          <t>Cronometro</t>
        </is>
      </c>
      <c r="R2258" s="203" t="inlineStr">
        <is>
          <t>Foglio Tiri</t>
        </is>
      </c>
    </row>
    <row r="2259" ht="22" customHeight="1">
      <c r="A2259" s="90">
        <f>IF('Calendario D'!A339="","",'Calendario D'!A339)</f>
        <v/>
      </c>
      <c r="B2259" s="61">
        <f>IF('Calendario D'!B339="","",'Calendario D'!B339)</f>
        <v/>
      </c>
      <c r="C2259" s="62">
        <f>IF('Calendario D'!C339="","",'Calendario D'!C339)</f>
        <v/>
      </c>
      <c r="D2259" s="61">
        <f>IF('Calendario D'!D339="","",'Calendario D'!D339)</f>
        <v/>
      </c>
      <c r="E2259" s="62">
        <f>IF('Calendario D'!E339="","",'Calendario D'!E339)</f>
        <v/>
      </c>
      <c r="F2259" s="63">
        <f>IF('Calendario D'!F339="","",'Calendario D'!F339)</f>
        <v/>
      </c>
      <c r="G2259" s="9" t="n"/>
      <c r="H2259" s="9" t="n"/>
      <c r="I2259" s="10" t="n"/>
      <c r="J2259" s="195">
        <f>IF('Calendario D'!J339="","",'Calendario D'!J339)</f>
        <v/>
      </c>
      <c r="K2259" s="64" t="inlineStr">
        <is>
          <t>-</t>
        </is>
      </c>
      <c r="L2259" s="195">
        <f>IF('Calendario D'!L339="","",'Calendario D'!L339)</f>
        <v/>
      </c>
      <c r="M2259" s="196" t="inlineStr">
        <is>
          <t>VIDMAR Eva [AA]</t>
        </is>
      </c>
      <c r="N2259" s="196" t="inlineStr">
        <is>
          <t>FUENTES Noemi [Aest]</t>
        </is>
      </c>
      <c r="O2259" s="196" t="inlineStr">
        <is>
          <t>SANTORI Jonas [Aest]</t>
        </is>
      </c>
      <c r="P2259" s="196" t="inlineStr">
        <is>
          <t>MORETTO Beatrice</t>
        </is>
      </c>
      <c r="Q2259" s="196" t="inlineStr">
        <is>
          <t>FERRANTE Nicola</t>
        </is>
      </c>
      <c r="R2259" s="196" t="inlineStr">
        <is>
          <t>ENGEL Elena</t>
        </is>
      </c>
    </row>
    <row r="2260" ht="15" customHeight="1">
      <c r="A2260" s="141" t="n"/>
      <c r="B2260" s="69">
        <f>IF('Calendario D'!B340="","",'Calendario D'!B340)</f>
        <v/>
      </c>
      <c r="C2260" s="9" t="n"/>
      <c r="D2260" s="9" t="n"/>
      <c r="E2260" s="9" t="n"/>
      <c r="F2260" s="9" t="n"/>
      <c r="G2260" s="9" t="n"/>
      <c r="H2260" s="10" t="n"/>
      <c r="I2260" s="62">
        <f>IF('Calendario D'!I340="","",'Calendario D'!I340)</f>
        <v/>
      </c>
      <c r="J2260" s="141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</row>
    <row r="2261" ht="14" customHeight="1">
      <c r="A2261" s="88" t="inlineStr">
        <is>
          <t>Gara N.</t>
        </is>
      </c>
      <c r="B2261" s="88" t="inlineStr">
        <is>
          <t>Squadra A</t>
        </is>
      </c>
      <c r="C2261" s="10" t="n"/>
      <c r="D2261" s="88" t="inlineStr">
        <is>
          <t>Squadra B</t>
        </is>
      </c>
      <c r="E2261" s="10" t="n"/>
      <c r="F2261" s="88" t="inlineStr">
        <is>
          <t>Giorno</t>
        </is>
      </c>
      <c r="G2261" s="88" t="inlineStr">
        <is>
          <t>Data</t>
        </is>
      </c>
      <c r="H2261" s="88" t="inlineStr">
        <is>
          <t>Ora</t>
        </is>
      </c>
      <c r="I2261" s="10" t="n"/>
      <c r="J2261" s="88" t="inlineStr">
        <is>
          <t>Risultato</t>
        </is>
      </c>
      <c r="K2261" s="9" t="n"/>
      <c r="L2261" s="10" t="n"/>
      <c r="M2261" s="203" t="inlineStr">
        <is>
          <t>1o Arbitro</t>
        </is>
      </c>
      <c r="N2261" s="203" t="inlineStr">
        <is>
          <t>2o Arbitro</t>
        </is>
      </c>
      <c r="O2261" s="203" t="inlineStr">
        <is>
          <t>3o Arbitro/Tirocinante</t>
        </is>
      </c>
      <c r="P2261" s="203" t="inlineStr">
        <is>
          <t>Referto</t>
        </is>
      </c>
      <c r="Q2261" s="203" t="inlineStr">
        <is>
          <t>Cronometro</t>
        </is>
      </c>
      <c r="R2261" s="203" t="inlineStr">
        <is>
          <t>Foglio Tiri</t>
        </is>
      </c>
    </row>
    <row r="2262" ht="22" customHeight="1">
      <c r="A2262" s="90">
        <f>IF('Calendario D'!A342="","",'Calendario D'!A342)</f>
        <v/>
      </c>
      <c r="B2262" s="61">
        <f>IF('Calendario D'!B342="","",'Calendario D'!B342)</f>
        <v/>
      </c>
      <c r="C2262" s="62">
        <f>IF('Calendario D'!C342="","",'Calendario D'!C342)</f>
        <v/>
      </c>
      <c r="D2262" s="61">
        <f>IF('Calendario D'!D342="","",'Calendario D'!D342)</f>
        <v/>
      </c>
      <c r="E2262" s="62">
        <f>IF('Calendario D'!E342="","",'Calendario D'!E342)</f>
        <v/>
      </c>
      <c r="F2262" s="63">
        <f>IF('Calendario D'!F342="","",'Calendario D'!F342)</f>
        <v/>
      </c>
      <c r="G2262" s="9" t="n"/>
      <c r="H2262" s="9" t="n"/>
      <c r="I2262" s="10" t="n"/>
      <c r="J2262" s="195">
        <f>IF('Calendario D'!J342="","",'Calendario D'!J342)</f>
        <v/>
      </c>
      <c r="K2262" s="64" t="inlineStr">
        <is>
          <t>-</t>
        </is>
      </c>
      <c r="L2262" s="195">
        <f>IF('Calendario D'!L342="","",'Calendario D'!L342)</f>
        <v/>
      </c>
      <c r="M2262" s="196" t="inlineStr">
        <is>
          <t>BLANCHET Nicola [AA]</t>
        </is>
      </c>
      <c r="N2262" s="196" t="inlineStr">
        <is>
          <t>KOVAC Miha [Aest]</t>
        </is>
      </c>
      <c r="O2262" s="196" t="inlineStr">
        <is>
          <t>PELLEGRI Chiara [AAt]</t>
        </is>
      </c>
      <c r="P2262" s="196" t="inlineStr">
        <is>
          <t>CONTARDI Valerie</t>
        </is>
      </c>
      <c r="Q2262" s="196" t="inlineStr">
        <is>
          <t>NAVARRO Lea</t>
        </is>
      </c>
      <c r="R2262" s="196" t="inlineStr">
        <is>
          <t>SANTORI Miha</t>
        </is>
      </c>
    </row>
    <row r="2263" ht="15" customHeight="1">
      <c r="A2263" s="141" t="n"/>
      <c r="B2263" s="69">
        <f>IF('Calendario D'!B343="","",'Calendario D'!B343)</f>
        <v/>
      </c>
      <c r="C2263" s="9" t="n"/>
      <c r="D2263" s="9" t="n"/>
      <c r="E2263" s="9" t="n"/>
      <c r="F2263" s="9" t="n"/>
      <c r="G2263" s="9" t="n"/>
      <c r="H2263" s="10" t="n"/>
      <c r="I2263" s="62">
        <f>IF('Calendario D'!I343="","",'Calendario D'!I343)</f>
        <v/>
      </c>
      <c r="J2263" s="141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</row>
    <row r="2264" ht="14" customHeight="1">
      <c r="A2264" s="88" t="inlineStr">
        <is>
          <t>Gara N.</t>
        </is>
      </c>
      <c r="B2264" s="88" t="inlineStr">
        <is>
          <t>Squadra A</t>
        </is>
      </c>
      <c r="C2264" s="10" t="n"/>
      <c r="D2264" s="88" t="inlineStr">
        <is>
          <t>Squadra B</t>
        </is>
      </c>
      <c r="E2264" s="10" t="n"/>
      <c r="F2264" s="88" t="inlineStr">
        <is>
          <t>Giorno</t>
        </is>
      </c>
      <c r="G2264" s="88" t="inlineStr">
        <is>
          <t>Data</t>
        </is>
      </c>
      <c r="H2264" s="88" t="inlineStr">
        <is>
          <t>Ora</t>
        </is>
      </c>
      <c r="I2264" s="10" t="n"/>
      <c r="J2264" s="88" t="inlineStr">
        <is>
          <t>Risultato</t>
        </is>
      </c>
      <c r="K2264" s="9" t="n"/>
      <c r="L2264" s="10" t="n"/>
      <c r="M2264" s="203" t="inlineStr">
        <is>
          <t>1o Arbitro</t>
        </is>
      </c>
      <c r="N2264" s="203" t="inlineStr">
        <is>
          <t>2o Arbitro</t>
        </is>
      </c>
      <c r="O2264" s="203" t="inlineStr">
        <is>
          <t>3o Arbitro/Tirocinante</t>
        </is>
      </c>
      <c r="P2264" s="203" t="inlineStr">
        <is>
          <t>Referto</t>
        </is>
      </c>
      <c r="Q2264" s="203" t="inlineStr">
        <is>
          <t>Cronometro</t>
        </is>
      </c>
      <c r="R2264" s="203" t="inlineStr">
        <is>
          <t>Foglio Tiri</t>
        </is>
      </c>
    </row>
    <row r="2265" ht="22" customHeight="1">
      <c r="A2265" s="90">
        <f>IF('Calendario D'!A345="","",'Calendario D'!A345)</f>
        <v/>
      </c>
      <c r="B2265" s="61">
        <f>IF('Calendario D'!B345="","",'Calendario D'!B345)</f>
        <v/>
      </c>
      <c r="C2265" s="62">
        <f>IF('Calendario D'!C345="","",'Calendario D'!C345)</f>
        <v/>
      </c>
      <c r="D2265" s="61">
        <f>IF('Calendario D'!D345="","",'Calendario D'!D345)</f>
        <v/>
      </c>
      <c r="E2265" s="62">
        <f>IF('Calendario D'!E345="","",'Calendario D'!E345)</f>
        <v/>
      </c>
      <c r="F2265" s="63">
        <f>IF('Calendario D'!F345="","",'Calendario D'!F345)</f>
        <v/>
      </c>
      <c r="G2265" s="9" t="n"/>
      <c r="H2265" s="9" t="n"/>
      <c r="I2265" s="10" t="n"/>
      <c r="J2265" s="195">
        <f>IF('Calendario D'!J345="","",'Calendario D'!J345)</f>
        <v/>
      </c>
      <c r="K2265" s="64" t="inlineStr">
        <is>
          <t>-</t>
        </is>
      </c>
      <c r="L2265" s="195">
        <f>IF('Calendario D'!L345="","",'Calendario D'!L345)</f>
        <v/>
      </c>
      <c r="M2265" s="196" t="inlineStr">
        <is>
          <t>ROSSINI Paula [AAt]</t>
        </is>
      </c>
      <c r="N2265" s="196" t="inlineStr">
        <is>
          <t>MARCHIONI Paula [Aest]</t>
        </is>
      </c>
      <c r="O2265" s="196" t="inlineStr">
        <is>
          <t>PRADO Eva [AAt]</t>
        </is>
      </c>
      <c r="P2265" s="196" t="inlineStr">
        <is>
          <t>NADAUD Marco</t>
        </is>
      </c>
      <c r="Q2265" s="196" t="inlineStr">
        <is>
          <t>BLANCO Irene</t>
        </is>
      </c>
      <c r="R2265" s="196" t="inlineStr">
        <is>
          <t>SOLER Stefano</t>
        </is>
      </c>
    </row>
    <row r="2266" ht="15" customHeight="1">
      <c r="A2266" s="141" t="n"/>
      <c r="B2266" s="69">
        <f>IF('Calendario D'!B346="","",'Calendario D'!B346)</f>
        <v/>
      </c>
      <c r="C2266" s="9" t="n"/>
      <c r="D2266" s="9" t="n"/>
      <c r="E2266" s="9" t="n"/>
      <c r="F2266" s="9" t="n"/>
      <c r="G2266" s="9" t="n"/>
      <c r="H2266" s="10" t="n"/>
      <c r="I2266" s="62">
        <f>IF('Calendario D'!I346="","",'Calendario D'!I346)</f>
        <v/>
      </c>
      <c r="J2266" s="141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</row>
    <row r="2267" ht="14" customHeight="1">
      <c r="A2267" s="88" t="inlineStr">
        <is>
          <t>Gara N.</t>
        </is>
      </c>
      <c r="B2267" s="88" t="inlineStr">
        <is>
          <t>Squadra A</t>
        </is>
      </c>
      <c r="C2267" s="10" t="n"/>
      <c r="D2267" s="88" t="inlineStr">
        <is>
          <t>Squadra B</t>
        </is>
      </c>
      <c r="E2267" s="10" t="n"/>
      <c r="F2267" s="88" t="inlineStr">
        <is>
          <t>Giorno</t>
        </is>
      </c>
      <c r="G2267" s="88" t="inlineStr">
        <is>
          <t>Data</t>
        </is>
      </c>
      <c r="H2267" s="88" t="inlineStr">
        <is>
          <t>Ora</t>
        </is>
      </c>
      <c r="I2267" s="10" t="n"/>
      <c r="J2267" s="88" t="inlineStr">
        <is>
          <t>Risultato</t>
        </is>
      </c>
      <c r="K2267" s="9" t="n"/>
      <c r="L2267" s="10" t="n"/>
      <c r="M2267" s="203" t="inlineStr">
        <is>
          <t>1o Arbitro</t>
        </is>
      </c>
      <c r="N2267" s="203" t="inlineStr">
        <is>
          <t>2o Arbitro</t>
        </is>
      </c>
      <c r="O2267" s="203" t="inlineStr">
        <is>
          <t>3o Arbitro/Tirocinante</t>
        </is>
      </c>
      <c r="P2267" s="203" t="inlineStr">
        <is>
          <t>Referto</t>
        </is>
      </c>
      <c r="Q2267" s="203" t="inlineStr">
        <is>
          <t>Cronometro</t>
        </is>
      </c>
      <c r="R2267" s="203" t="inlineStr">
        <is>
          <t>Foglio Tiri</t>
        </is>
      </c>
    </row>
    <row r="2268" ht="22" customHeight="1">
      <c r="A2268" s="90">
        <f>IF('Calendario D'!A348="","",'Calendario D'!A348)</f>
        <v/>
      </c>
      <c r="B2268" s="61">
        <f>IF('Calendario D'!B348="","",'Calendario D'!B348)</f>
        <v/>
      </c>
      <c r="C2268" s="62">
        <f>IF('Calendario D'!C348="","",'Calendario D'!C348)</f>
        <v/>
      </c>
      <c r="D2268" s="61">
        <f>IF('Calendario D'!D348="","",'Calendario D'!D348)</f>
        <v/>
      </c>
      <c r="E2268" s="62">
        <f>IF('Calendario D'!E348="","",'Calendario D'!E348)</f>
        <v/>
      </c>
      <c r="F2268" s="63">
        <f>IF('Calendario D'!F348="","",'Calendario D'!F348)</f>
        <v/>
      </c>
      <c r="G2268" s="9" t="n"/>
      <c r="H2268" s="9" t="n"/>
      <c r="I2268" s="10" t="n"/>
      <c r="J2268" s="195">
        <f>IF('Calendario D'!J348="","",'Calendario D'!J348)</f>
        <v/>
      </c>
      <c r="K2268" s="64" t="inlineStr">
        <is>
          <t>-</t>
        </is>
      </c>
      <c r="L2268" s="195">
        <f>IF('Calendario D'!L348="","",'Calendario D'!L348)</f>
        <v/>
      </c>
      <c r="M2268" s="196" t="inlineStr">
        <is>
          <t>KELLER Andrea [Aest]</t>
        </is>
      </c>
      <c r="N2268" s="196" t="inlineStr">
        <is>
          <t>ROMERO Stefano [Aest]</t>
        </is>
      </c>
      <c r="O2268" s="196" t="inlineStr">
        <is>
          <t>ENGEL Marco [AA]</t>
        </is>
      </c>
      <c r="P2268" s="196" t="inlineStr">
        <is>
          <t>IGLESIAS Paula</t>
        </is>
      </c>
      <c r="Q2268" s="196" t="inlineStr">
        <is>
          <t>SANTORI Eva</t>
        </is>
      </c>
      <c r="R2268" s="196" t="inlineStr">
        <is>
          <t>IGLESIAS Alenka</t>
        </is>
      </c>
    </row>
    <row r="2269" ht="15" customHeight="1">
      <c r="A2269" s="141" t="n"/>
      <c r="B2269" s="69">
        <f>IF('Calendario D'!B349="","",'Calendario D'!B349)</f>
        <v/>
      </c>
      <c r="C2269" s="9" t="n"/>
      <c r="D2269" s="9" t="n"/>
      <c r="E2269" s="9" t="n"/>
      <c r="F2269" s="9" t="n"/>
      <c r="G2269" s="9" t="n"/>
      <c r="H2269" s="10" t="n"/>
      <c r="I2269" s="62">
        <f>IF('Calendario D'!I349="","",'Calendario D'!I349)</f>
        <v/>
      </c>
      <c r="J2269" s="141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</row>
    <row r="2270" ht="14" customHeight="1">
      <c r="A2270" s="88" t="inlineStr">
        <is>
          <t>Gara N.</t>
        </is>
      </c>
      <c r="B2270" s="88" t="inlineStr">
        <is>
          <t>Squadra A</t>
        </is>
      </c>
      <c r="C2270" s="10" t="n"/>
      <c r="D2270" s="88" t="inlineStr">
        <is>
          <t>Squadra B</t>
        </is>
      </c>
      <c r="E2270" s="10" t="n"/>
      <c r="F2270" s="88" t="inlineStr">
        <is>
          <t>Giorno</t>
        </is>
      </c>
      <c r="G2270" s="88" t="inlineStr">
        <is>
          <t>Data</t>
        </is>
      </c>
      <c r="H2270" s="88" t="inlineStr">
        <is>
          <t>Ora</t>
        </is>
      </c>
      <c r="I2270" s="10" t="n"/>
      <c r="J2270" s="88" t="inlineStr">
        <is>
          <t>Risultato</t>
        </is>
      </c>
      <c r="K2270" s="9" t="n"/>
      <c r="L2270" s="10" t="n"/>
      <c r="M2270" s="203" t="inlineStr">
        <is>
          <t>1o Arbitro</t>
        </is>
      </c>
      <c r="N2270" s="203" t="inlineStr">
        <is>
          <t>2o Arbitro</t>
        </is>
      </c>
      <c r="O2270" s="203" t="inlineStr">
        <is>
          <t>3o Arbitro/Tirocinante</t>
        </is>
      </c>
      <c r="P2270" s="203" t="inlineStr">
        <is>
          <t>Referto</t>
        </is>
      </c>
      <c r="Q2270" s="203" t="inlineStr">
        <is>
          <t>Cronometro</t>
        </is>
      </c>
      <c r="R2270" s="203" t="inlineStr">
        <is>
          <t>Foglio Tiri</t>
        </is>
      </c>
    </row>
    <row r="2271" ht="22" customHeight="1">
      <c r="A2271" s="90">
        <f>IF('Calendario D'!A351="","",'Calendario D'!A351)</f>
        <v/>
      </c>
      <c r="B2271" s="61">
        <f>IF('Calendario D'!B351="","",'Calendario D'!B351)</f>
        <v/>
      </c>
      <c r="C2271" s="62">
        <f>IF('Calendario D'!C351="","",'Calendario D'!C351)</f>
        <v/>
      </c>
      <c r="D2271" s="61">
        <f>IF('Calendario D'!D351="","",'Calendario D'!D351)</f>
        <v/>
      </c>
      <c r="E2271" s="62">
        <f>IF('Calendario D'!E351="","",'Calendario D'!E351)</f>
        <v/>
      </c>
      <c r="F2271" s="63">
        <f>IF('Calendario D'!F351="","",'Calendario D'!F351)</f>
        <v/>
      </c>
      <c r="G2271" s="9" t="n"/>
      <c r="H2271" s="9" t="n"/>
      <c r="I2271" s="10" t="n"/>
      <c r="J2271" s="195">
        <f>IF('Calendario D'!J351="","",'Calendario D'!J351)</f>
        <v/>
      </c>
      <c r="K2271" s="64" t="inlineStr">
        <is>
          <t>-</t>
        </is>
      </c>
      <c r="L2271" s="195">
        <f>IF('Calendario D'!L351="","",'Calendario D'!L351)</f>
        <v/>
      </c>
      <c r="M2271" s="196" t="inlineStr">
        <is>
          <t>CASTILLO Jonas [AA]</t>
        </is>
      </c>
      <c r="N2271" s="196" t="inlineStr">
        <is>
          <t>HORVAT Lea [A]</t>
        </is>
      </c>
      <c r="O2271" s="196" t="inlineStr">
        <is>
          <t>LEROUX Hugo [Aest]</t>
        </is>
      </c>
      <c r="P2271" s="196" t="inlineStr">
        <is>
          <t>ENGEL Martina</t>
        </is>
      </c>
      <c r="Q2271" s="196" t="inlineStr">
        <is>
          <t>GAUTHIER Luca</t>
        </is>
      </c>
      <c r="R2271" s="196" t="inlineStr">
        <is>
          <t>SANTORI Pablo</t>
        </is>
      </c>
    </row>
    <row r="2272" ht="15" customHeight="1">
      <c r="A2272" s="141" t="n"/>
      <c r="B2272" s="69">
        <f>IF('Calendario D'!B352="","",'Calendario D'!B352)</f>
        <v/>
      </c>
      <c r="C2272" s="9" t="n"/>
      <c r="D2272" s="9" t="n"/>
      <c r="E2272" s="9" t="n"/>
      <c r="F2272" s="9" t="n"/>
      <c r="G2272" s="9" t="n"/>
      <c r="H2272" s="10" t="n"/>
      <c r="I2272" s="62">
        <f>IF('Calendario D'!I352="","",'Calendario D'!I352)</f>
        <v/>
      </c>
      <c r="J2272" s="141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</row>
    <row r="2273" ht="14" customHeight="1">
      <c r="A2273" s="88" t="inlineStr">
        <is>
          <t>Gara N.</t>
        </is>
      </c>
      <c r="B2273" s="88" t="inlineStr">
        <is>
          <t>Squadra A</t>
        </is>
      </c>
      <c r="C2273" s="10" t="n"/>
      <c r="D2273" s="88" t="inlineStr">
        <is>
          <t>Squadra B</t>
        </is>
      </c>
      <c r="E2273" s="10" t="n"/>
      <c r="F2273" s="88" t="inlineStr">
        <is>
          <t>Giorno</t>
        </is>
      </c>
      <c r="G2273" s="88" t="inlineStr">
        <is>
          <t>Data</t>
        </is>
      </c>
      <c r="H2273" s="88" t="inlineStr">
        <is>
          <t>Ora</t>
        </is>
      </c>
      <c r="I2273" s="10" t="n"/>
      <c r="J2273" s="88" t="inlineStr">
        <is>
          <t>Risultato</t>
        </is>
      </c>
      <c r="K2273" s="9" t="n"/>
      <c r="L2273" s="10" t="n"/>
      <c r="M2273" s="203" t="inlineStr">
        <is>
          <t>1o Arbitro</t>
        </is>
      </c>
      <c r="N2273" s="203" t="inlineStr">
        <is>
          <t>2o Arbitro</t>
        </is>
      </c>
      <c r="O2273" s="203" t="inlineStr">
        <is>
          <t>3o Arbitro/Tirocinante</t>
        </is>
      </c>
      <c r="P2273" s="203" t="inlineStr">
        <is>
          <t>Referto</t>
        </is>
      </c>
      <c r="Q2273" s="203" t="inlineStr">
        <is>
          <t>Cronometro</t>
        </is>
      </c>
      <c r="R2273" s="203" t="inlineStr">
        <is>
          <t>Foglio Tiri</t>
        </is>
      </c>
    </row>
    <row r="2274" ht="22" customHeight="1">
      <c r="A2274" s="90">
        <f>IF('Calendario D'!A354="","",'Calendario D'!A354)</f>
        <v/>
      </c>
      <c r="B2274" s="61">
        <f>IF('Calendario D'!B354="","",'Calendario D'!B354)</f>
        <v/>
      </c>
      <c r="C2274" s="62">
        <f>IF('Calendario D'!C354="","",'Calendario D'!C354)</f>
        <v/>
      </c>
      <c r="D2274" s="61">
        <f>IF('Calendario D'!D354="","",'Calendario D'!D354)</f>
        <v/>
      </c>
      <c r="E2274" s="62">
        <f>IF('Calendario D'!E354="","",'Calendario D'!E354)</f>
        <v/>
      </c>
      <c r="F2274" s="63">
        <f>IF('Calendario D'!F354="","",'Calendario D'!F354)</f>
        <v/>
      </c>
      <c r="G2274" s="9" t="n"/>
      <c r="H2274" s="9" t="n"/>
      <c r="I2274" s="10" t="n"/>
      <c r="J2274" s="195">
        <f>IF('Calendario D'!J354="","",'Calendario D'!J354)</f>
        <v/>
      </c>
      <c r="K2274" s="64" t="inlineStr">
        <is>
          <t>-</t>
        </is>
      </c>
      <c r="L2274" s="195">
        <f>IF('Calendario D'!L354="","",'Calendario D'!L354)</f>
        <v/>
      </c>
      <c r="M2274" s="196" t="inlineStr">
        <is>
          <t>AUBERT Beatrice [AA]</t>
        </is>
      </c>
      <c r="N2274" s="196" t="inlineStr">
        <is>
          <t>KELLER Mathilde [Aest]</t>
        </is>
      </c>
      <c r="O2274" s="196" t="inlineStr">
        <is>
          <t>FOURNIER Andrea [AA]</t>
        </is>
      </c>
      <c r="P2274" s="196" t="inlineStr">
        <is>
          <t>SANTORI Paolo</t>
        </is>
      </c>
      <c r="Q2274" s="196" t="inlineStr">
        <is>
          <t>LEFEVRE Alenka</t>
        </is>
      </c>
      <c r="R2274" s="196" t="inlineStr">
        <is>
          <t>VIDMAR Ilaria</t>
        </is>
      </c>
    </row>
    <row r="2275" ht="15" customHeight="1">
      <c r="A2275" s="141" t="n"/>
      <c r="B2275" s="69">
        <f>IF('Calendario D'!B355="","",'Calendario D'!B355)</f>
        <v/>
      </c>
      <c r="C2275" s="9" t="n"/>
      <c r="D2275" s="9" t="n"/>
      <c r="E2275" s="9" t="n"/>
      <c r="F2275" s="9" t="n"/>
      <c r="G2275" s="9" t="n"/>
      <c r="H2275" s="10" t="n"/>
      <c r="I2275" s="62">
        <f>IF('Calendario D'!I355="","",'Calendario D'!I355)</f>
        <v/>
      </c>
      <c r="J2275" s="141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</row>
    <row r="2276" ht="14" customHeight="1">
      <c r="A2276" s="88" t="inlineStr">
        <is>
          <t>Gara N.</t>
        </is>
      </c>
      <c r="B2276" s="88" t="inlineStr">
        <is>
          <t>Squadra A</t>
        </is>
      </c>
      <c r="C2276" s="10" t="n"/>
      <c r="D2276" s="88" t="inlineStr">
        <is>
          <t>Squadra B</t>
        </is>
      </c>
      <c r="E2276" s="10" t="n"/>
      <c r="F2276" s="88" t="inlineStr">
        <is>
          <t>Giorno</t>
        </is>
      </c>
      <c r="G2276" s="88" t="inlineStr">
        <is>
          <t>Data</t>
        </is>
      </c>
      <c r="H2276" s="88" t="inlineStr">
        <is>
          <t>Ora</t>
        </is>
      </c>
      <c r="I2276" s="10" t="n"/>
      <c r="J2276" s="88" t="inlineStr">
        <is>
          <t>Risultato</t>
        </is>
      </c>
      <c r="K2276" s="9" t="n"/>
      <c r="L2276" s="10" t="n"/>
      <c r="M2276" s="203" t="inlineStr">
        <is>
          <t>1o Arbitro</t>
        </is>
      </c>
      <c r="N2276" s="203" t="inlineStr">
        <is>
          <t>2o Arbitro</t>
        </is>
      </c>
      <c r="O2276" s="203" t="inlineStr">
        <is>
          <t>3o Arbitro/Tirocinante</t>
        </is>
      </c>
      <c r="P2276" s="203" t="inlineStr">
        <is>
          <t>Referto</t>
        </is>
      </c>
      <c r="Q2276" s="203" t="inlineStr">
        <is>
          <t>Cronometro</t>
        </is>
      </c>
      <c r="R2276" s="203" t="inlineStr">
        <is>
          <t>Foglio Tiri</t>
        </is>
      </c>
    </row>
    <row r="2277" ht="22" customHeight="1">
      <c r="A2277" s="90">
        <f>IF('Calendario D'!A357="","",'Calendario D'!A357)</f>
        <v/>
      </c>
      <c r="B2277" s="61">
        <f>IF('Calendario D'!B357="","",'Calendario D'!B357)</f>
        <v/>
      </c>
      <c r="C2277" s="62">
        <f>IF('Calendario D'!C357="","",'Calendario D'!C357)</f>
        <v/>
      </c>
      <c r="D2277" s="61">
        <f>IF('Calendario D'!D357="","",'Calendario D'!D357)</f>
        <v/>
      </c>
      <c r="E2277" s="62">
        <f>IF('Calendario D'!E357="","",'Calendario D'!E357)</f>
        <v/>
      </c>
      <c r="F2277" s="63">
        <f>IF('Calendario D'!F357="","",'Calendario D'!F357)</f>
        <v/>
      </c>
      <c r="G2277" s="9" t="n"/>
      <c r="H2277" s="9" t="n"/>
      <c r="I2277" s="10" t="n"/>
      <c r="J2277" s="195">
        <f>IF('Calendario D'!J357="","",'Calendario D'!J357)</f>
        <v/>
      </c>
      <c r="K2277" s="64" t="inlineStr">
        <is>
          <t>-</t>
        </is>
      </c>
      <c r="L2277" s="195">
        <f>IF('Calendario D'!L357="","",'Calendario D'!L357)</f>
        <v/>
      </c>
      <c r="M2277" s="196" t="inlineStr">
        <is>
          <t>FUENTES Noemi [Aest]</t>
        </is>
      </c>
      <c r="N2277" s="196" t="inlineStr">
        <is>
          <t>NOVAK Lea [AA]</t>
        </is>
      </c>
      <c r="O2277" s="196" t="inlineStr">
        <is>
          <t>BLANCO Tommaso [AAt]</t>
        </is>
      </c>
      <c r="P2277" s="196" t="inlineStr">
        <is>
          <t>ROSSINI Andrea</t>
        </is>
      </c>
      <c r="Q2277" s="196" t="inlineStr">
        <is>
          <t>AUBERT Paolo</t>
        </is>
      </c>
      <c r="R2277" s="196" t="inlineStr">
        <is>
          <t>GAUTHIER Irene</t>
        </is>
      </c>
    </row>
    <row r="2278" ht="15" customHeight="1">
      <c r="A2278" s="141" t="n"/>
      <c r="B2278" s="69">
        <f>IF('Calendario D'!B358="","",'Calendario D'!B358)</f>
        <v/>
      </c>
      <c r="C2278" s="9" t="n"/>
      <c r="D2278" s="9" t="n"/>
      <c r="E2278" s="9" t="n"/>
      <c r="F2278" s="9" t="n"/>
      <c r="G2278" s="9" t="n"/>
      <c r="H2278" s="10" t="n"/>
      <c r="I2278" s="62">
        <f>IF('Calendario D'!I358="","",'Calendario D'!I358)</f>
        <v/>
      </c>
      <c r="J2278" s="141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</row>
    <row r="2280" ht="20" customHeight="1">
      <c r="A2280" s="85">
        <f>IF('Calendario D'!A360="","",'Calendario D'!A360)</f>
        <v/>
      </c>
      <c r="B2280" s="86">
        <f>IF('Calendario D'!B360="","",'Calendario D'!B360)</f>
        <v/>
      </c>
      <c r="C2280" s="9" t="n"/>
      <c r="D2280" s="9" t="n"/>
      <c r="E2280" s="9" t="n"/>
      <c r="F2280" s="9" t="n"/>
      <c r="G2280" s="9" t="n"/>
      <c r="H2280" s="9" t="n"/>
      <c r="I2280" s="9" t="n"/>
      <c r="J2280" s="9" t="n"/>
      <c r="K2280" s="9" t="n"/>
      <c r="L2280" s="10" t="n"/>
      <c r="M2280" s="202" t="inlineStr">
        <is>
          <t>ARBITRI</t>
        </is>
      </c>
      <c r="N2280" s="9" t="n"/>
      <c r="O2280" s="10" t="n"/>
      <c r="P2280" s="202" t="inlineStr">
        <is>
          <t>UFFICIALI DI CAMPO</t>
        </is>
      </c>
      <c r="Q2280" s="9" t="n"/>
      <c r="R2280" s="10" t="n"/>
    </row>
    <row r="2281" ht="14" customHeight="1">
      <c r="A2281" s="88" t="inlineStr">
        <is>
          <t>Gara N.</t>
        </is>
      </c>
      <c r="B2281" s="88" t="inlineStr">
        <is>
          <t>Squadra A</t>
        </is>
      </c>
      <c r="C2281" s="10" t="n"/>
      <c r="D2281" s="88" t="inlineStr">
        <is>
          <t>Squadra B</t>
        </is>
      </c>
      <c r="E2281" s="10" t="n"/>
      <c r="F2281" s="88" t="inlineStr">
        <is>
          <t>Giorno</t>
        </is>
      </c>
      <c r="G2281" s="88" t="inlineStr">
        <is>
          <t>Data</t>
        </is>
      </c>
      <c r="H2281" s="88" t="inlineStr">
        <is>
          <t>Ora</t>
        </is>
      </c>
      <c r="I2281" s="10" t="n"/>
      <c r="J2281" s="88" t="inlineStr">
        <is>
          <t>Risultato</t>
        </is>
      </c>
      <c r="K2281" s="9" t="n"/>
      <c r="L2281" s="10" t="n"/>
      <c r="M2281" s="203" t="inlineStr">
        <is>
          <t>1o Arbitro</t>
        </is>
      </c>
      <c r="N2281" s="203" t="inlineStr">
        <is>
          <t>2o Arbitro</t>
        </is>
      </c>
      <c r="O2281" s="203" t="inlineStr">
        <is>
          <t>3o Arbitro/Tirocinante</t>
        </is>
      </c>
      <c r="P2281" s="203" t="inlineStr">
        <is>
          <t>Referto</t>
        </is>
      </c>
      <c r="Q2281" s="203" t="inlineStr">
        <is>
          <t>Cronometro</t>
        </is>
      </c>
      <c r="R2281" s="203" t="inlineStr">
        <is>
          <t>Foglio Tiri</t>
        </is>
      </c>
    </row>
    <row r="2282" ht="22" customHeight="1">
      <c r="A2282" s="90">
        <f>IF('Calendario D'!A362="","",'Calendario D'!A362)</f>
        <v/>
      </c>
      <c r="B2282" s="61">
        <f>IF('Calendario D'!B362="","",'Calendario D'!B362)</f>
        <v/>
      </c>
      <c r="C2282" s="62">
        <f>IF('Calendario D'!C362="","",'Calendario D'!C362)</f>
        <v/>
      </c>
      <c r="D2282" s="61">
        <f>IF('Calendario D'!D362="","",'Calendario D'!D362)</f>
        <v/>
      </c>
      <c r="E2282" s="62">
        <f>IF('Calendario D'!E362="","",'Calendario D'!E362)</f>
        <v/>
      </c>
      <c r="F2282" s="63">
        <f>IF('Calendario D'!F362="","",'Calendario D'!F362)</f>
        <v/>
      </c>
      <c r="G2282" s="9" t="n"/>
      <c r="H2282" s="9" t="n"/>
      <c r="I2282" s="10" t="n"/>
      <c r="J2282" s="195">
        <f>IF('Calendario D'!J362="","",'Calendario D'!J362)</f>
        <v/>
      </c>
      <c r="K2282" s="64" t="inlineStr">
        <is>
          <t>-</t>
        </is>
      </c>
      <c r="L2282" s="195">
        <f>IF('Calendario D'!L362="","",'Calendario D'!L362)</f>
        <v/>
      </c>
      <c r="M2282" s="196" t="inlineStr">
        <is>
          <t>GALLINI Gaelle [A]</t>
        </is>
      </c>
      <c r="N2282" s="196" t="inlineStr">
        <is>
          <t>PELLEGRI Chiara [AAt]</t>
        </is>
      </c>
      <c r="O2282" s="196" t="inlineStr">
        <is>
          <t>CASTILLO Ilaria [AAt]</t>
        </is>
      </c>
      <c r="P2282" s="196" t="inlineStr">
        <is>
          <t>ZUPAN Katrin</t>
        </is>
      </c>
      <c r="Q2282" s="196" t="inlineStr">
        <is>
          <t>SANTORI Marco</t>
        </is>
      </c>
      <c r="R2282" s="196" t="inlineStr">
        <is>
          <t>OBLAK Hugo</t>
        </is>
      </c>
    </row>
    <row r="2283" ht="15" customHeight="1">
      <c r="A2283" s="141" t="n"/>
      <c r="B2283" s="69">
        <f>IF('Calendario D'!B363="","",'Calendario D'!B363)</f>
        <v/>
      </c>
      <c r="C2283" s="9" t="n"/>
      <c r="D2283" s="9" t="n"/>
      <c r="E2283" s="9" t="n"/>
      <c r="F2283" s="9" t="n"/>
      <c r="G2283" s="9" t="n"/>
      <c r="H2283" s="10" t="n"/>
      <c r="I2283" s="62">
        <f>IF('Calendario D'!I363="","",'Calendario D'!I363)</f>
        <v/>
      </c>
      <c r="J2283" s="141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</row>
    <row r="2284" ht="14" customHeight="1">
      <c r="A2284" s="88" t="inlineStr">
        <is>
          <t>Gara N.</t>
        </is>
      </c>
      <c r="B2284" s="88" t="inlineStr">
        <is>
          <t>Squadra A</t>
        </is>
      </c>
      <c r="C2284" s="10" t="n"/>
      <c r="D2284" s="88" t="inlineStr">
        <is>
          <t>Squadra B</t>
        </is>
      </c>
      <c r="E2284" s="10" t="n"/>
      <c r="F2284" s="88" t="inlineStr">
        <is>
          <t>Giorno</t>
        </is>
      </c>
      <c r="G2284" s="88" t="inlineStr">
        <is>
          <t>Data</t>
        </is>
      </c>
      <c r="H2284" s="88" t="inlineStr">
        <is>
          <t>Ora</t>
        </is>
      </c>
      <c r="I2284" s="10" t="n"/>
      <c r="J2284" s="88" t="inlineStr">
        <is>
          <t>Risultato</t>
        </is>
      </c>
      <c r="K2284" s="9" t="n"/>
      <c r="L2284" s="10" t="n"/>
      <c r="M2284" s="203" t="inlineStr">
        <is>
          <t>1o Arbitro</t>
        </is>
      </c>
      <c r="N2284" s="203" t="inlineStr">
        <is>
          <t>2o Arbitro</t>
        </is>
      </c>
      <c r="O2284" s="203" t="inlineStr">
        <is>
          <t>3o Arbitro/Tirocinante</t>
        </is>
      </c>
      <c r="P2284" s="203" t="inlineStr">
        <is>
          <t>Referto</t>
        </is>
      </c>
      <c r="Q2284" s="203" t="inlineStr">
        <is>
          <t>Cronometro</t>
        </is>
      </c>
      <c r="R2284" s="203" t="inlineStr">
        <is>
          <t>Foglio Tiri</t>
        </is>
      </c>
    </row>
    <row r="2285" ht="22" customHeight="1">
      <c r="A2285" s="90">
        <f>IF('Calendario D'!A365="","",'Calendario D'!A365)</f>
        <v/>
      </c>
      <c r="B2285" s="61">
        <f>IF('Calendario D'!B365="","",'Calendario D'!B365)</f>
        <v/>
      </c>
      <c r="C2285" s="62">
        <f>IF('Calendario D'!C365="","",'Calendario D'!C365)</f>
        <v/>
      </c>
      <c r="D2285" s="61">
        <f>IF('Calendario D'!D365="","",'Calendario D'!D365)</f>
        <v/>
      </c>
      <c r="E2285" s="62">
        <f>IF('Calendario D'!E365="","",'Calendario D'!E365)</f>
        <v/>
      </c>
      <c r="F2285" s="63">
        <f>IF('Calendario D'!F365="","",'Calendario D'!F365)</f>
        <v/>
      </c>
      <c r="G2285" s="9" t="n"/>
      <c r="H2285" s="9" t="n"/>
      <c r="I2285" s="10" t="n"/>
      <c r="J2285" s="195">
        <f>IF('Calendario D'!J365="","",'Calendario D'!J365)</f>
        <v/>
      </c>
      <c r="K2285" s="64" t="inlineStr">
        <is>
          <t>-</t>
        </is>
      </c>
      <c r="L2285" s="195">
        <f>IF('Calendario D'!L365="","",'Calendario D'!L365)</f>
        <v/>
      </c>
      <c r="M2285" s="196" t="inlineStr">
        <is>
          <t>SOLER Mathilde [AA]</t>
        </is>
      </c>
      <c r="N2285" s="196" t="inlineStr">
        <is>
          <t>VIDMAR Pablo [Aest]</t>
        </is>
      </c>
      <c r="O2285" s="196" t="inlineStr">
        <is>
          <t>HORVAT Vid [A]</t>
        </is>
      </c>
      <c r="P2285" s="196" t="inlineStr">
        <is>
          <t>BELLANDI Giulia</t>
        </is>
      </c>
      <c r="Q2285" s="196" t="inlineStr">
        <is>
          <t>AUBERT Giulia</t>
        </is>
      </c>
      <c r="R2285" s="196" t="inlineStr">
        <is>
          <t>NAVARRO Giulia</t>
        </is>
      </c>
    </row>
    <row r="2286" ht="15" customHeight="1">
      <c r="A2286" s="141" t="n"/>
      <c r="B2286" s="69">
        <f>IF('Calendario D'!B366="","",'Calendario D'!B366)</f>
        <v/>
      </c>
      <c r="C2286" s="9" t="n"/>
      <c r="D2286" s="9" t="n"/>
      <c r="E2286" s="9" t="n"/>
      <c r="F2286" s="9" t="n"/>
      <c r="G2286" s="9" t="n"/>
      <c r="H2286" s="10" t="n"/>
      <c r="I2286" s="62">
        <f>IF('Calendario D'!I366="","",'Calendario D'!I366)</f>
        <v/>
      </c>
      <c r="J2286" s="141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</row>
    <row r="2287" ht="14" customHeight="1">
      <c r="A2287" s="88" t="inlineStr">
        <is>
          <t>Gara N.</t>
        </is>
      </c>
      <c r="B2287" s="88" t="inlineStr">
        <is>
          <t>Squadra A</t>
        </is>
      </c>
      <c r="C2287" s="10" t="n"/>
      <c r="D2287" s="88" t="inlineStr">
        <is>
          <t>Squadra B</t>
        </is>
      </c>
      <c r="E2287" s="10" t="n"/>
      <c r="F2287" s="88" t="inlineStr">
        <is>
          <t>Giorno</t>
        </is>
      </c>
      <c r="G2287" s="88" t="inlineStr">
        <is>
          <t>Data</t>
        </is>
      </c>
      <c r="H2287" s="88" t="inlineStr">
        <is>
          <t>Ora</t>
        </is>
      </c>
      <c r="I2287" s="10" t="n"/>
      <c r="J2287" s="88" t="inlineStr">
        <is>
          <t>Risultato</t>
        </is>
      </c>
      <c r="K2287" s="9" t="n"/>
      <c r="L2287" s="10" t="n"/>
      <c r="M2287" s="203" t="inlineStr">
        <is>
          <t>1o Arbitro</t>
        </is>
      </c>
      <c r="N2287" s="203" t="inlineStr">
        <is>
          <t>2o Arbitro</t>
        </is>
      </c>
      <c r="O2287" s="203" t="inlineStr">
        <is>
          <t>3o Arbitro/Tirocinante</t>
        </is>
      </c>
      <c r="P2287" s="203" t="inlineStr">
        <is>
          <t>Referto</t>
        </is>
      </c>
      <c r="Q2287" s="203" t="inlineStr">
        <is>
          <t>Cronometro</t>
        </is>
      </c>
      <c r="R2287" s="203" t="inlineStr">
        <is>
          <t>Foglio Tiri</t>
        </is>
      </c>
    </row>
    <row r="2288" ht="22" customHeight="1">
      <c r="A2288" s="90">
        <f>IF('Calendario D'!A368="","",'Calendario D'!A368)</f>
        <v/>
      </c>
      <c r="B2288" s="61">
        <f>IF('Calendario D'!B368="","",'Calendario D'!B368)</f>
        <v/>
      </c>
      <c r="C2288" s="62">
        <f>IF('Calendario D'!C368="","",'Calendario D'!C368)</f>
        <v/>
      </c>
      <c r="D2288" s="61">
        <f>IF('Calendario D'!D368="","",'Calendario D'!D368)</f>
        <v/>
      </c>
      <c r="E2288" s="62">
        <f>IF('Calendario D'!E368="","",'Calendario D'!E368)</f>
        <v/>
      </c>
      <c r="F2288" s="63">
        <f>IF('Calendario D'!F368="","",'Calendario D'!F368)</f>
        <v/>
      </c>
      <c r="G2288" s="9" t="n"/>
      <c r="H2288" s="9" t="n"/>
      <c r="I2288" s="10" t="n"/>
      <c r="J2288" s="195">
        <f>IF('Calendario D'!J368="","",'Calendario D'!J368)</f>
        <v/>
      </c>
      <c r="K2288" s="64" t="inlineStr">
        <is>
          <t>-</t>
        </is>
      </c>
      <c r="L2288" s="195">
        <f>IF('Calendario D'!L368="","",'Calendario D'!L368)</f>
        <v/>
      </c>
      <c r="M2288" s="196" t="inlineStr">
        <is>
          <t>PETERLIN Beatrice [Aest]</t>
        </is>
      </c>
      <c r="N2288" s="196" t="inlineStr">
        <is>
          <t>LANGER Marta [A]</t>
        </is>
      </c>
      <c r="O2288" s="196" t="inlineStr">
        <is>
          <t>WEBER Martina [A]</t>
        </is>
      </c>
      <c r="P2288" s="196" t="inlineStr">
        <is>
          <t>FUENTES Chiara</t>
        </is>
      </c>
      <c r="Q2288" s="196" t="inlineStr">
        <is>
          <t>PRADO Marco</t>
        </is>
      </c>
      <c r="R2288" s="196" t="inlineStr">
        <is>
          <t>PETERLIN Martina</t>
        </is>
      </c>
    </row>
    <row r="2289" ht="15" customHeight="1">
      <c r="A2289" s="141" t="n"/>
      <c r="B2289" s="69">
        <f>IF('Calendario D'!B369="","",'Calendario D'!B369)</f>
        <v/>
      </c>
      <c r="C2289" s="9" t="n"/>
      <c r="D2289" s="9" t="n"/>
      <c r="E2289" s="9" t="n"/>
      <c r="F2289" s="9" t="n"/>
      <c r="G2289" s="9" t="n"/>
      <c r="H2289" s="10" t="n"/>
      <c r="I2289" s="62">
        <f>IF('Calendario D'!I369="","",'Calendario D'!I369)</f>
        <v/>
      </c>
      <c r="J2289" s="141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</row>
    <row r="2290" ht="14" customHeight="1">
      <c r="A2290" s="88" t="inlineStr">
        <is>
          <t>Gara N.</t>
        </is>
      </c>
      <c r="B2290" s="88" t="inlineStr">
        <is>
          <t>Squadra A</t>
        </is>
      </c>
      <c r="C2290" s="10" t="n"/>
      <c r="D2290" s="88" t="inlineStr">
        <is>
          <t>Squadra B</t>
        </is>
      </c>
      <c r="E2290" s="10" t="n"/>
      <c r="F2290" s="88" t="inlineStr">
        <is>
          <t>Giorno</t>
        </is>
      </c>
      <c r="G2290" s="88" t="inlineStr">
        <is>
          <t>Data</t>
        </is>
      </c>
      <c r="H2290" s="88" t="inlineStr">
        <is>
          <t>Ora</t>
        </is>
      </c>
      <c r="I2290" s="10" t="n"/>
      <c r="J2290" s="88" t="inlineStr">
        <is>
          <t>Risultato</t>
        </is>
      </c>
      <c r="K2290" s="9" t="n"/>
      <c r="L2290" s="10" t="n"/>
      <c r="M2290" s="203" t="inlineStr">
        <is>
          <t>1o Arbitro</t>
        </is>
      </c>
      <c r="N2290" s="203" t="inlineStr">
        <is>
          <t>2o Arbitro</t>
        </is>
      </c>
      <c r="O2290" s="203" t="inlineStr">
        <is>
          <t>3o Arbitro/Tirocinante</t>
        </is>
      </c>
      <c r="P2290" s="203" t="inlineStr">
        <is>
          <t>Referto</t>
        </is>
      </c>
      <c r="Q2290" s="203" t="inlineStr">
        <is>
          <t>Cronometro</t>
        </is>
      </c>
      <c r="R2290" s="203" t="inlineStr">
        <is>
          <t>Foglio Tiri</t>
        </is>
      </c>
    </row>
    <row r="2291" ht="22" customHeight="1">
      <c r="A2291" s="90">
        <f>IF('Calendario D'!A371="","",'Calendario D'!A371)</f>
        <v/>
      </c>
      <c r="B2291" s="61">
        <f>IF('Calendario D'!B371="","",'Calendario D'!B371)</f>
        <v/>
      </c>
      <c r="C2291" s="62">
        <f>IF('Calendario D'!C371="","",'Calendario D'!C371)</f>
        <v/>
      </c>
      <c r="D2291" s="61">
        <f>IF('Calendario D'!D371="","",'Calendario D'!D371)</f>
        <v/>
      </c>
      <c r="E2291" s="62">
        <f>IF('Calendario D'!E371="","",'Calendario D'!E371)</f>
        <v/>
      </c>
      <c r="F2291" s="63">
        <f>IF('Calendario D'!F371="","",'Calendario D'!F371)</f>
        <v/>
      </c>
      <c r="G2291" s="9" t="n"/>
      <c r="H2291" s="9" t="n"/>
      <c r="I2291" s="10" t="n"/>
      <c r="J2291" s="195">
        <f>IF('Calendario D'!J371="","",'Calendario D'!J371)</f>
        <v/>
      </c>
      <c r="K2291" s="64" t="inlineStr">
        <is>
          <t>-</t>
        </is>
      </c>
      <c r="L2291" s="195">
        <f>IF('Calendario D'!L371="","",'Calendario D'!L371)</f>
        <v/>
      </c>
      <c r="M2291" s="196" t="inlineStr">
        <is>
          <t>ENGEL Gaelle [AAt]</t>
        </is>
      </c>
      <c r="N2291" s="196" t="inlineStr">
        <is>
          <t>ROMERO Stefano [Aest]</t>
        </is>
      </c>
      <c r="O2291" s="196" t="inlineStr">
        <is>
          <t>SEVER Nicola [AA]</t>
        </is>
      </c>
      <c r="P2291" s="196" t="inlineStr">
        <is>
          <t>AUBERT Paolo</t>
        </is>
      </c>
      <c r="Q2291" s="196" t="inlineStr">
        <is>
          <t>ORTEGA Andrea</t>
        </is>
      </c>
      <c r="R2291" s="196" t="inlineStr">
        <is>
          <t>SANTORI Jonas</t>
        </is>
      </c>
    </row>
    <row r="2292" ht="15" customHeight="1">
      <c r="A2292" s="141" t="n"/>
      <c r="B2292" s="69">
        <f>IF('Calendario D'!B372="","",'Calendario D'!B372)</f>
        <v/>
      </c>
      <c r="C2292" s="9" t="n"/>
      <c r="D2292" s="9" t="n"/>
      <c r="E2292" s="9" t="n"/>
      <c r="F2292" s="9" t="n"/>
      <c r="G2292" s="9" t="n"/>
      <c r="H2292" s="10" t="n"/>
      <c r="I2292" s="62">
        <f>IF('Calendario D'!I372="","",'Calendario D'!I372)</f>
        <v/>
      </c>
      <c r="J2292" s="141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</row>
    <row r="2293" ht="14" customHeight="1">
      <c r="A2293" s="88" t="inlineStr">
        <is>
          <t>Gara N.</t>
        </is>
      </c>
      <c r="B2293" s="88" t="inlineStr">
        <is>
          <t>Squadra A</t>
        </is>
      </c>
      <c r="C2293" s="10" t="n"/>
      <c r="D2293" s="88" t="inlineStr">
        <is>
          <t>Squadra B</t>
        </is>
      </c>
      <c r="E2293" s="10" t="n"/>
      <c r="F2293" s="88" t="inlineStr">
        <is>
          <t>Giorno</t>
        </is>
      </c>
      <c r="G2293" s="88" t="inlineStr">
        <is>
          <t>Data</t>
        </is>
      </c>
      <c r="H2293" s="88" t="inlineStr">
        <is>
          <t>Ora</t>
        </is>
      </c>
      <c r="I2293" s="10" t="n"/>
      <c r="J2293" s="88" t="inlineStr">
        <is>
          <t>Risultato</t>
        </is>
      </c>
      <c r="K2293" s="9" t="n"/>
      <c r="L2293" s="10" t="n"/>
      <c r="M2293" s="203" t="inlineStr">
        <is>
          <t>1o Arbitro</t>
        </is>
      </c>
      <c r="N2293" s="203" t="inlineStr">
        <is>
          <t>2o Arbitro</t>
        </is>
      </c>
      <c r="O2293" s="203" t="inlineStr">
        <is>
          <t>3o Arbitro/Tirocinante</t>
        </is>
      </c>
      <c r="P2293" s="203" t="inlineStr">
        <is>
          <t>Referto</t>
        </is>
      </c>
      <c r="Q2293" s="203" t="inlineStr">
        <is>
          <t>Cronometro</t>
        </is>
      </c>
      <c r="R2293" s="203" t="inlineStr">
        <is>
          <t>Foglio Tiri</t>
        </is>
      </c>
    </row>
    <row r="2294" ht="22" customHeight="1">
      <c r="A2294" s="90">
        <f>IF('Calendario D'!A374="","",'Calendario D'!A374)</f>
        <v/>
      </c>
      <c r="B2294" s="61">
        <f>IF('Calendario D'!B374="","",'Calendario D'!B374)</f>
        <v/>
      </c>
      <c r="C2294" s="62">
        <f>IF('Calendario D'!C374="","",'Calendario D'!C374)</f>
        <v/>
      </c>
      <c r="D2294" s="61">
        <f>IF('Calendario D'!D374="","",'Calendario D'!D374)</f>
        <v/>
      </c>
      <c r="E2294" s="62">
        <f>IF('Calendario D'!E374="","",'Calendario D'!E374)</f>
        <v/>
      </c>
      <c r="F2294" s="63">
        <f>IF('Calendario D'!F374="","",'Calendario D'!F374)</f>
        <v/>
      </c>
      <c r="G2294" s="9" t="n"/>
      <c r="H2294" s="9" t="n"/>
      <c r="I2294" s="10" t="n"/>
      <c r="J2294" s="195">
        <f>IF('Calendario D'!J374="","",'Calendario D'!J374)</f>
        <v/>
      </c>
      <c r="K2294" s="64" t="inlineStr">
        <is>
          <t>-</t>
        </is>
      </c>
      <c r="L2294" s="195">
        <f>IF('Calendario D'!L374="","",'Calendario D'!L374)</f>
        <v/>
      </c>
      <c r="M2294" s="196" t="inlineStr">
        <is>
          <t>WEBER Andrea [AAt]</t>
        </is>
      </c>
      <c r="N2294" s="196" t="inlineStr">
        <is>
          <t>LEFEVRE Mathilde [A]</t>
        </is>
      </c>
      <c r="O2294" s="196" t="inlineStr">
        <is>
          <t>VALLET Tommaso [AAt]</t>
        </is>
      </c>
      <c r="P2294" s="196" t="inlineStr">
        <is>
          <t>BELLANDI Greta</t>
        </is>
      </c>
      <c r="Q2294" s="196" t="inlineStr">
        <is>
          <t>NADAUD Andrea</t>
        </is>
      </c>
      <c r="R2294" s="196" t="inlineStr">
        <is>
          <t>VIDMAR Diego</t>
        </is>
      </c>
    </row>
    <row r="2295" ht="15" customHeight="1">
      <c r="A2295" s="141" t="n"/>
      <c r="B2295" s="69">
        <f>IF('Calendario D'!B375="","",'Calendario D'!B375)</f>
        <v/>
      </c>
      <c r="C2295" s="9" t="n"/>
      <c r="D2295" s="9" t="n"/>
      <c r="E2295" s="9" t="n"/>
      <c r="F2295" s="9" t="n"/>
      <c r="G2295" s="9" t="n"/>
      <c r="H2295" s="10" t="n"/>
      <c r="I2295" s="62">
        <f>IF('Calendario D'!I375="","",'Calendario D'!I375)</f>
        <v/>
      </c>
      <c r="J2295" s="141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</row>
    <row r="2296" ht="14" customHeight="1">
      <c r="A2296" s="88" t="inlineStr">
        <is>
          <t>Gara N.</t>
        </is>
      </c>
      <c r="B2296" s="88" t="inlineStr">
        <is>
          <t>Squadra A</t>
        </is>
      </c>
      <c r="C2296" s="10" t="n"/>
      <c r="D2296" s="88" t="inlineStr">
        <is>
          <t>Squadra B</t>
        </is>
      </c>
      <c r="E2296" s="10" t="n"/>
      <c r="F2296" s="88" t="inlineStr">
        <is>
          <t>Giorno</t>
        </is>
      </c>
      <c r="G2296" s="88" t="inlineStr">
        <is>
          <t>Data</t>
        </is>
      </c>
      <c r="H2296" s="88" t="inlineStr">
        <is>
          <t>Ora</t>
        </is>
      </c>
      <c r="I2296" s="10" t="n"/>
      <c r="J2296" s="88" t="inlineStr">
        <is>
          <t>Risultato</t>
        </is>
      </c>
      <c r="K2296" s="9" t="n"/>
      <c r="L2296" s="10" t="n"/>
      <c r="M2296" s="203" t="inlineStr">
        <is>
          <t>1o Arbitro</t>
        </is>
      </c>
      <c r="N2296" s="203" t="inlineStr">
        <is>
          <t>2o Arbitro</t>
        </is>
      </c>
      <c r="O2296" s="203" t="inlineStr">
        <is>
          <t>3o Arbitro/Tirocinante</t>
        </is>
      </c>
      <c r="P2296" s="203" t="inlineStr">
        <is>
          <t>Referto</t>
        </is>
      </c>
      <c r="Q2296" s="203" t="inlineStr">
        <is>
          <t>Cronometro</t>
        </is>
      </c>
      <c r="R2296" s="203" t="inlineStr">
        <is>
          <t>Foglio Tiri</t>
        </is>
      </c>
    </row>
    <row r="2297" ht="22" customHeight="1">
      <c r="A2297" s="90">
        <f>IF('Calendario D'!A377="","",'Calendario D'!A377)</f>
        <v/>
      </c>
      <c r="B2297" s="61">
        <f>IF('Calendario D'!B377="","",'Calendario D'!B377)</f>
        <v/>
      </c>
      <c r="C2297" s="62">
        <f>IF('Calendario D'!C377="","",'Calendario D'!C377)</f>
        <v/>
      </c>
      <c r="D2297" s="61">
        <f>IF('Calendario D'!D377="","",'Calendario D'!D377)</f>
        <v/>
      </c>
      <c r="E2297" s="62">
        <f>IF('Calendario D'!E377="","",'Calendario D'!E377)</f>
        <v/>
      </c>
      <c r="F2297" s="63">
        <f>IF('Calendario D'!F377="","",'Calendario D'!F377)</f>
        <v/>
      </c>
      <c r="G2297" s="9" t="n"/>
      <c r="H2297" s="9" t="n"/>
      <c r="I2297" s="10" t="n"/>
      <c r="J2297" s="195">
        <f>IF('Calendario D'!J377="","",'Calendario D'!J377)</f>
        <v/>
      </c>
      <c r="K2297" s="64" t="inlineStr">
        <is>
          <t>-</t>
        </is>
      </c>
      <c r="L2297" s="195">
        <f>IF('Calendario D'!L377="","",'Calendario D'!L377)</f>
        <v/>
      </c>
      <c r="M2297" s="196" t="inlineStr">
        <is>
          <t>BLANCHET Diego [A]</t>
        </is>
      </c>
      <c r="N2297" s="196" t="inlineStr">
        <is>
          <t>OBLAK Beatrice [AA]</t>
        </is>
      </c>
      <c r="O2297" s="196" t="inlineStr">
        <is>
          <t>NAVARRO Martina [A]</t>
        </is>
      </c>
      <c r="P2297" s="196" t="inlineStr">
        <is>
          <t>ENGEL Mathilde</t>
        </is>
      </c>
      <c r="Q2297" s="196" t="inlineStr">
        <is>
          <t>CASTILLO Alenka</t>
        </is>
      </c>
      <c r="R2297" s="196" t="inlineStr">
        <is>
          <t>AUBERT Lea</t>
        </is>
      </c>
    </row>
    <row r="2298" ht="15" customHeight="1">
      <c r="A2298" s="141" t="n"/>
      <c r="B2298" s="69">
        <f>IF('Calendario D'!B378="","",'Calendario D'!B378)</f>
        <v/>
      </c>
      <c r="C2298" s="9" t="n"/>
      <c r="D2298" s="9" t="n"/>
      <c r="E2298" s="9" t="n"/>
      <c r="F2298" s="9" t="n"/>
      <c r="G2298" s="9" t="n"/>
      <c r="H2298" s="10" t="n"/>
      <c r="I2298" s="62">
        <f>IF('Calendario D'!I378="","",'Calendario D'!I378)</f>
        <v/>
      </c>
      <c r="J2298" s="141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</row>
    <row r="2299" ht="14" customHeight="1">
      <c r="A2299" s="88" t="inlineStr">
        <is>
          <t>Gara N.</t>
        </is>
      </c>
      <c r="B2299" s="88" t="inlineStr">
        <is>
          <t>Squadra A</t>
        </is>
      </c>
      <c r="C2299" s="10" t="n"/>
      <c r="D2299" s="88" t="inlineStr">
        <is>
          <t>Squadra B</t>
        </is>
      </c>
      <c r="E2299" s="10" t="n"/>
      <c r="F2299" s="88" t="inlineStr">
        <is>
          <t>Giorno</t>
        </is>
      </c>
      <c r="G2299" s="88" t="inlineStr">
        <is>
          <t>Data</t>
        </is>
      </c>
      <c r="H2299" s="88" t="inlineStr">
        <is>
          <t>Ora</t>
        </is>
      </c>
      <c r="I2299" s="10" t="n"/>
      <c r="J2299" s="88" t="inlineStr">
        <is>
          <t>Risultato</t>
        </is>
      </c>
      <c r="K2299" s="9" t="n"/>
      <c r="L2299" s="10" t="n"/>
      <c r="M2299" s="203" t="inlineStr">
        <is>
          <t>1o Arbitro</t>
        </is>
      </c>
      <c r="N2299" s="203" t="inlineStr">
        <is>
          <t>2o Arbitro</t>
        </is>
      </c>
      <c r="O2299" s="203" t="inlineStr">
        <is>
          <t>3o Arbitro/Tirocinante</t>
        </is>
      </c>
      <c r="P2299" s="203" t="inlineStr">
        <is>
          <t>Referto</t>
        </is>
      </c>
      <c r="Q2299" s="203" t="inlineStr">
        <is>
          <t>Cronometro</t>
        </is>
      </c>
      <c r="R2299" s="203" t="inlineStr">
        <is>
          <t>Foglio Tiri</t>
        </is>
      </c>
    </row>
    <row r="2300" ht="22" customHeight="1">
      <c r="A2300" s="90">
        <f>IF('Calendario D'!A380="","",'Calendario D'!A380)</f>
        <v/>
      </c>
      <c r="B2300" s="61">
        <f>IF('Calendario D'!B380="","",'Calendario D'!B380)</f>
        <v/>
      </c>
      <c r="C2300" s="62">
        <f>IF('Calendario D'!C380="","",'Calendario D'!C380)</f>
        <v/>
      </c>
      <c r="D2300" s="61">
        <f>IF('Calendario D'!D380="","",'Calendario D'!D380)</f>
        <v/>
      </c>
      <c r="E2300" s="62">
        <f>IF('Calendario D'!E380="","",'Calendario D'!E380)</f>
        <v/>
      </c>
      <c r="F2300" s="63">
        <f>IF('Calendario D'!F380="","",'Calendario D'!F380)</f>
        <v/>
      </c>
      <c r="G2300" s="9" t="n"/>
      <c r="H2300" s="9" t="n"/>
      <c r="I2300" s="10" t="n"/>
      <c r="J2300" s="195">
        <f>IF('Calendario D'!J380="","",'Calendario D'!J380)</f>
        <v/>
      </c>
      <c r="K2300" s="64" t="inlineStr">
        <is>
          <t>-</t>
        </is>
      </c>
      <c r="L2300" s="195">
        <f>IF('Calendario D'!L380="","",'Calendario D'!L380)</f>
        <v/>
      </c>
      <c r="M2300" s="196" t="inlineStr">
        <is>
          <t>CONTARDI Lucia [AA]</t>
        </is>
      </c>
      <c r="N2300" s="196" t="inlineStr">
        <is>
          <t>PELLEGRI Valerie [AA]</t>
        </is>
      </c>
      <c r="O2300" s="196" t="inlineStr">
        <is>
          <t>AUBERT Lucia [AAt]</t>
        </is>
      </c>
      <c r="P2300" s="196" t="inlineStr">
        <is>
          <t>KELLER Stefano</t>
        </is>
      </c>
      <c r="Q2300" s="196" t="inlineStr">
        <is>
          <t>CONTARDI Miha</t>
        </is>
      </c>
      <c r="R2300" s="196" t="inlineStr">
        <is>
          <t>ORTEGA Gaelle</t>
        </is>
      </c>
    </row>
    <row r="2301" ht="15" customHeight="1">
      <c r="A2301" s="141" t="n"/>
      <c r="B2301" s="69">
        <f>IF('Calendario D'!B381="","",'Calendario D'!B381)</f>
        <v/>
      </c>
      <c r="C2301" s="9" t="n"/>
      <c r="D2301" s="9" t="n"/>
      <c r="E2301" s="9" t="n"/>
      <c r="F2301" s="9" t="n"/>
      <c r="G2301" s="9" t="n"/>
      <c r="H2301" s="10" t="n"/>
      <c r="I2301" s="62">
        <f>IF('Calendario D'!I381="","",'Calendario D'!I381)</f>
        <v/>
      </c>
      <c r="J2301" s="141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</row>
    <row r="2302" ht="14" customHeight="1">
      <c r="A2302" s="88" t="inlineStr">
        <is>
          <t>Gara N.</t>
        </is>
      </c>
      <c r="B2302" s="88" t="inlineStr">
        <is>
          <t>Squadra A</t>
        </is>
      </c>
      <c r="C2302" s="10" t="n"/>
      <c r="D2302" s="88" t="inlineStr">
        <is>
          <t>Squadra B</t>
        </is>
      </c>
      <c r="E2302" s="10" t="n"/>
      <c r="F2302" s="88" t="inlineStr">
        <is>
          <t>Giorno</t>
        </is>
      </c>
      <c r="G2302" s="88" t="inlineStr">
        <is>
          <t>Data</t>
        </is>
      </c>
      <c r="H2302" s="88" t="inlineStr">
        <is>
          <t>Ora</t>
        </is>
      </c>
      <c r="I2302" s="10" t="n"/>
      <c r="J2302" s="88" t="inlineStr">
        <is>
          <t>Risultato</t>
        </is>
      </c>
      <c r="K2302" s="9" t="n"/>
      <c r="L2302" s="10" t="n"/>
      <c r="M2302" s="203" t="inlineStr">
        <is>
          <t>1o Arbitro</t>
        </is>
      </c>
      <c r="N2302" s="203" t="inlineStr">
        <is>
          <t>2o Arbitro</t>
        </is>
      </c>
      <c r="O2302" s="203" t="inlineStr">
        <is>
          <t>3o Arbitro/Tirocinante</t>
        </is>
      </c>
      <c r="P2302" s="203" t="inlineStr">
        <is>
          <t>Referto</t>
        </is>
      </c>
      <c r="Q2302" s="203" t="inlineStr">
        <is>
          <t>Cronometro</t>
        </is>
      </c>
      <c r="R2302" s="203" t="inlineStr">
        <is>
          <t>Foglio Tiri</t>
        </is>
      </c>
    </row>
    <row r="2303" ht="22" customHeight="1">
      <c r="A2303" s="90">
        <f>IF('Calendario D'!A383="","",'Calendario D'!A383)</f>
        <v/>
      </c>
      <c r="B2303" s="61">
        <f>IF('Calendario D'!B383="","",'Calendario D'!B383)</f>
        <v/>
      </c>
      <c r="C2303" s="62">
        <f>IF('Calendario D'!C383="","",'Calendario D'!C383)</f>
        <v/>
      </c>
      <c r="D2303" s="61">
        <f>IF('Calendario D'!D383="","",'Calendario D'!D383)</f>
        <v/>
      </c>
      <c r="E2303" s="62">
        <f>IF('Calendario D'!E383="","",'Calendario D'!E383)</f>
        <v/>
      </c>
      <c r="F2303" s="63">
        <f>IF('Calendario D'!F383="","",'Calendario D'!F383)</f>
        <v/>
      </c>
      <c r="G2303" s="9" t="n"/>
      <c r="H2303" s="9" t="n"/>
      <c r="I2303" s="10" t="n"/>
      <c r="J2303" s="195">
        <f>IF('Calendario D'!J383="","",'Calendario D'!J383)</f>
        <v/>
      </c>
      <c r="K2303" s="64" t="inlineStr">
        <is>
          <t>-</t>
        </is>
      </c>
      <c r="L2303" s="195">
        <f>IF('Calendario D'!L383="","",'Calendario D'!L383)</f>
        <v/>
      </c>
      <c r="M2303" s="196" t="inlineStr">
        <is>
          <t>ROSSINI Paula [AAt]</t>
        </is>
      </c>
      <c r="N2303" s="196" t="inlineStr">
        <is>
          <t>GAUTHIER Noemi [AA]</t>
        </is>
      </c>
      <c r="O2303" s="196" t="inlineStr">
        <is>
          <t>PRADO Luca [AA]</t>
        </is>
      </c>
      <c r="P2303" s="196" t="inlineStr">
        <is>
          <t>ROTH Paolo</t>
        </is>
      </c>
      <c r="Q2303" s="196" t="inlineStr">
        <is>
          <t>PRADO Hugo</t>
        </is>
      </c>
      <c r="R2303" s="196" t="inlineStr">
        <is>
          <t>BRANDT Paolo</t>
        </is>
      </c>
    </row>
    <row r="2304" ht="15" customHeight="1">
      <c r="A2304" s="141" t="n"/>
      <c r="B2304" s="69">
        <f>IF('Calendario D'!B384="","",'Calendario D'!B384)</f>
        <v/>
      </c>
      <c r="C2304" s="9" t="n"/>
      <c r="D2304" s="9" t="n"/>
      <c r="E2304" s="9" t="n"/>
      <c r="F2304" s="9" t="n"/>
      <c r="G2304" s="9" t="n"/>
      <c r="H2304" s="10" t="n"/>
      <c r="I2304" s="62">
        <f>IF('Calendario D'!I384="","",'Calendario D'!I384)</f>
        <v/>
      </c>
      <c r="J2304" s="141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</row>
    <row r="2305" ht="14" customHeight="1">
      <c r="A2305" s="88" t="inlineStr">
        <is>
          <t>Gara N.</t>
        </is>
      </c>
      <c r="B2305" s="88" t="inlineStr">
        <is>
          <t>Squadra A</t>
        </is>
      </c>
      <c r="C2305" s="10" t="n"/>
      <c r="D2305" s="88" t="inlineStr">
        <is>
          <t>Squadra B</t>
        </is>
      </c>
      <c r="E2305" s="10" t="n"/>
      <c r="F2305" s="88" t="inlineStr">
        <is>
          <t>Giorno</t>
        </is>
      </c>
      <c r="G2305" s="88" t="inlineStr">
        <is>
          <t>Data</t>
        </is>
      </c>
      <c r="H2305" s="88" t="inlineStr">
        <is>
          <t>Ora</t>
        </is>
      </c>
      <c r="I2305" s="10" t="n"/>
      <c r="J2305" s="88" t="inlineStr">
        <is>
          <t>Risultato</t>
        </is>
      </c>
      <c r="K2305" s="9" t="n"/>
      <c r="L2305" s="10" t="n"/>
      <c r="M2305" s="203" t="inlineStr">
        <is>
          <t>1o Arbitro</t>
        </is>
      </c>
      <c r="N2305" s="203" t="inlineStr">
        <is>
          <t>2o Arbitro</t>
        </is>
      </c>
      <c r="O2305" s="203" t="inlineStr">
        <is>
          <t>3o Arbitro/Tirocinante</t>
        </is>
      </c>
      <c r="P2305" s="203" t="inlineStr">
        <is>
          <t>Referto</t>
        </is>
      </c>
      <c r="Q2305" s="203" t="inlineStr">
        <is>
          <t>Cronometro</t>
        </is>
      </c>
      <c r="R2305" s="203" t="inlineStr">
        <is>
          <t>Foglio Tiri</t>
        </is>
      </c>
    </row>
    <row r="2306" ht="22" customHeight="1">
      <c r="A2306" s="90">
        <f>IF('Calendario D'!A386="","",'Calendario D'!A386)</f>
        <v/>
      </c>
      <c r="B2306" s="61">
        <f>IF('Calendario D'!B386="","",'Calendario D'!B386)</f>
        <v/>
      </c>
      <c r="C2306" s="62">
        <f>IF('Calendario D'!C386="","",'Calendario D'!C386)</f>
        <v/>
      </c>
      <c r="D2306" s="61">
        <f>IF('Calendario D'!D386="","",'Calendario D'!D386)</f>
        <v/>
      </c>
      <c r="E2306" s="62">
        <f>IF('Calendario D'!E386="","",'Calendario D'!E386)</f>
        <v/>
      </c>
      <c r="F2306" s="63">
        <f>IF('Calendario D'!F386="","",'Calendario D'!F386)</f>
        <v/>
      </c>
      <c r="G2306" s="9" t="n"/>
      <c r="H2306" s="9" t="n"/>
      <c r="I2306" s="10" t="n"/>
      <c r="J2306" s="195">
        <f>IF('Calendario D'!J386="","",'Calendario D'!J386)</f>
        <v/>
      </c>
      <c r="K2306" s="64" t="inlineStr">
        <is>
          <t>-</t>
        </is>
      </c>
      <c r="L2306" s="195">
        <f>IF('Calendario D'!L386="","",'Calendario D'!L386)</f>
        <v/>
      </c>
      <c r="M2306" s="196" t="inlineStr">
        <is>
          <t>VIDMAR Matteo [AA]</t>
        </is>
      </c>
      <c r="N2306" s="196" t="inlineStr">
        <is>
          <t>NADAUD Paula [Aest]</t>
        </is>
      </c>
      <c r="O2306" s="196" t="inlineStr">
        <is>
          <t>BIANCHELLI Filippo [AAt]</t>
        </is>
      </c>
      <c r="P2306" s="196" t="inlineStr">
        <is>
          <t>ROTH Lucia</t>
        </is>
      </c>
      <c r="Q2306" s="196" t="inlineStr">
        <is>
          <t>ZUPAN Noemi</t>
        </is>
      </c>
      <c r="R2306" s="196" t="inlineStr">
        <is>
          <t>PETERLIN Martina</t>
        </is>
      </c>
    </row>
    <row r="2307" ht="15" customHeight="1">
      <c r="A2307" s="141" t="n"/>
      <c r="B2307" s="69">
        <f>IF('Calendario D'!B387="","",'Calendario D'!B387)</f>
        <v/>
      </c>
      <c r="C2307" s="9" t="n"/>
      <c r="D2307" s="9" t="n"/>
      <c r="E2307" s="9" t="n"/>
      <c r="F2307" s="9" t="n"/>
      <c r="G2307" s="9" t="n"/>
      <c r="H2307" s="10" t="n"/>
      <c r="I2307" s="62">
        <f>IF('Calendario D'!I387="","",'Calendario D'!I387)</f>
        <v/>
      </c>
      <c r="J2307" s="141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</row>
    <row r="2308" ht="14" customHeight="1">
      <c r="A2308" s="88" t="inlineStr">
        <is>
          <t>Gara N.</t>
        </is>
      </c>
      <c r="B2308" s="88" t="inlineStr">
        <is>
          <t>Squadra A</t>
        </is>
      </c>
      <c r="C2308" s="10" t="n"/>
      <c r="D2308" s="88" t="inlineStr">
        <is>
          <t>Squadra B</t>
        </is>
      </c>
      <c r="E2308" s="10" t="n"/>
      <c r="F2308" s="88" t="inlineStr">
        <is>
          <t>Giorno</t>
        </is>
      </c>
      <c r="G2308" s="88" t="inlineStr">
        <is>
          <t>Data</t>
        </is>
      </c>
      <c r="H2308" s="88" t="inlineStr">
        <is>
          <t>Ora</t>
        </is>
      </c>
      <c r="I2308" s="10" t="n"/>
      <c r="J2308" s="88" t="inlineStr">
        <is>
          <t>Risultato</t>
        </is>
      </c>
      <c r="K2308" s="9" t="n"/>
      <c r="L2308" s="10" t="n"/>
      <c r="M2308" s="203" t="inlineStr">
        <is>
          <t>1o Arbitro</t>
        </is>
      </c>
      <c r="N2308" s="203" t="inlineStr">
        <is>
          <t>2o Arbitro</t>
        </is>
      </c>
      <c r="O2308" s="203" t="inlineStr">
        <is>
          <t>3o Arbitro/Tirocinante</t>
        </is>
      </c>
      <c r="P2308" s="203" t="inlineStr">
        <is>
          <t>Referto</t>
        </is>
      </c>
      <c r="Q2308" s="203" t="inlineStr">
        <is>
          <t>Cronometro</t>
        </is>
      </c>
      <c r="R2308" s="203" t="inlineStr">
        <is>
          <t>Foglio Tiri</t>
        </is>
      </c>
    </row>
    <row r="2309" ht="22" customHeight="1">
      <c r="A2309" s="90">
        <f>IF('Calendario D'!A389="","",'Calendario D'!A389)</f>
        <v/>
      </c>
      <c r="B2309" s="61">
        <f>IF('Calendario D'!B389="","",'Calendario D'!B389)</f>
        <v/>
      </c>
      <c r="C2309" s="62">
        <f>IF('Calendario D'!C389="","",'Calendario D'!C389)</f>
        <v/>
      </c>
      <c r="D2309" s="61">
        <f>IF('Calendario D'!D389="","",'Calendario D'!D389)</f>
        <v/>
      </c>
      <c r="E2309" s="62">
        <f>IF('Calendario D'!E389="","",'Calendario D'!E389)</f>
        <v/>
      </c>
      <c r="F2309" s="63">
        <f>IF('Calendario D'!F389="","",'Calendario D'!F389)</f>
        <v/>
      </c>
      <c r="G2309" s="9" t="n"/>
      <c r="H2309" s="9" t="n"/>
      <c r="I2309" s="10" t="n"/>
      <c r="J2309" s="195">
        <f>IF('Calendario D'!J389="","",'Calendario D'!J389)</f>
        <v/>
      </c>
      <c r="K2309" s="64" t="inlineStr">
        <is>
          <t>-</t>
        </is>
      </c>
      <c r="L2309" s="195">
        <f>IF('Calendario D'!L389="","",'Calendario D'!L389)</f>
        <v/>
      </c>
      <c r="M2309" s="196" t="inlineStr">
        <is>
          <t>BLANCO Ottavia [AA]</t>
        </is>
      </c>
      <c r="N2309" s="196" t="inlineStr">
        <is>
          <t>VIDMAR Greta [Aest]</t>
        </is>
      </c>
      <c r="O2309" s="196" t="inlineStr">
        <is>
          <t>ORTEGA Diego [A]</t>
        </is>
      </c>
      <c r="P2309" s="196" t="inlineStr">
        <is>
          <t>CASTILLO Martina</t>
        </is>
      </c>
      <c r="Q2309" s="196" t="inlineStr">
        <is>
          <t>GAUTHIER Irene</t>
        </is>
      </c>
      <c r="R2309" s="196" t="inlineStr">
        <is>
          <t>ROSSINI Gaelle</t>
        </is>
      </c>
    </row>
    <row r="2310" ht="15" customHeight="1">
      <c r="A2310" s="141" t="n"/>
      <c r="B2310" s="69">
        <f>IF('Calendario D'!B390="","",'Calendario D'!B390)</f>
        <v/>
      </c>
      <c r="C2310" s="9" t="n"/>
      <c r="D2310" s="9" t="n"/>
      <c r="E2310" s="9" t="n"/>
      <c r="F2310" s="9" t="n"/>
      <c r="G2310" s="9" t="n"/>
      <c r="H2310" s="10" t="n"/>
      <c r="I2310" s="62">
        <f>IF('Calendario D'!I390="","",'Calendario D'!I390)</f>
        <v/>
      </c>
      <c r="J2310" s="141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</row>
    <row r="2312" ht="20" customHeight="1">
      <c r="A2312" s="85">
        <f>IF('Calendario D'!A392="","",'Calendario D'!A392)</f>
        <v/>
      </c>
      <c r="B2312" s="86">
        <f>IF('Calendario D'!B392="","",'Calendario D'!B392)</f>
        <v/>
      </c>
      <c r="C2312" s="9" t="n"/>
      <c r="D2312" s="9" t="n"/>
      <c r="E2312" s="9" t="n"/>
      <c r="F2312" s="9" t="n"/>
      <c r="G2312" s="9" t="n"/>
      <c r="H2312" s="9" t="n"/>
      <c r="I2312" s="9" t="n"/>
      <c r="J2312" s="9" t="n"/>
      <c r="K2312" s="9" t="n"/>
      <c r="L2312" s="10" t="n"/>
      <c r="M2312" s="202" t="inlineStr">
        <is>
          <t>ARBITRI</t>
        </is>
      </c>
      <c r="N2312" s="9" t="n"/>
      <c r="O2312" s="10" t="n"/>
      <c r="P2312" s="202" t="inlineStr">
        <is>
          <t>UFFICIALI DI CAMPO</t>
        </is>
      </c>
      <c r="Q2312" s="9" t="n"/>
      <c r="R2312" s="10" t="n"/>
    </row>
    <row r="2313" ht="14" customHeight="1">
      <c r="A2313" s="88" t="inlineStr">
        <is>
          <t>Gara N.</t>
        </is>
      </c>
      <c r="B2313" s="88" t="inlineStr">
        <is>
          <t>Squadra A</t>
        </is>
      </c>
      <c r="C2313" s="10" t="n"/>
      <c r="D2313" s="88" t="inlineStr">
        <is>
          <t>Squadra B</t>
        </is>
      </c>
      <c r="E2313" s="10" t="n"/>
      <c r="F2313" s="88" t="inlineStr">
        <is>
          <t>Giorno</t>
        </is>
      </c>
      <c r="G2313" s="88" t="inlineStr">
        <is>
          <t>Data</t>
        </is>
      </c>
      <c r="H2313" s="88" t="inlineStr">
        <is>
          <t>Ora</t>
        </is>
      </c>
      <c r="I2313" s="10" t="n"/>
      <c r="J2313" s="88" t="inlineStr">
        <is>
          <t>Risultato</t>
        </is>
      </c>
      <c r="K2313" s="9" t="n"/>
      <c r="L2313" s="10" t="n"/>
      <c r="M2313" s="203" t="inlineStr">
        <is>
          <t>1o Arbitro</t>
        </is>
      </c>
      <c r="N2313" s="203" t="inlineStr">
        <is>
          <t>2o Arbitro</t>
        </is>
      </c>
      <c r="O2313" s="203" t="inlineStr">
        <is>
          <t>3o Arbitro/Tirocinante</t>
        </is>
      </c>
      <c r="P2313" s="203" t="inlineStr">
        <is>
          <t>Referto</t>
        </is>
      </c>
      <c r="Q2313" s="203" t="inlineStr">
        <is>
          <t>Cronometro</t>
        </is>
      </c>
      <c r="R2313" s="203" t="inlineStr">
        <is>
          <t>Foglio Tiri</t>
        </is>
      </c>
    </row>
    <row r="2314" ht="22" customHeight="1">
      <c r="A2314" s="90">
        <f>IF('Calendario D'!A394="","",'Calendario D'!A394)</f>
        <v/>
      </c>
      <c r="B2314" s="61">
        <f>IF('Calendario D'!B394="","",'Calendario D'!B394)</f>
        <v/>
      </c>
      <c r="C2314" s="62">
        <f>IF('Calendario D'!C394="","",'Calendario D'!C394)</f>
        <v/>
      </c>
      <c r="D2314" s="61">
        <f>IF('Calendario D'!D394="","",'Calendario D'!D394)</f>
        <v/>
      </c>
      <c r="E2314" s="62">
        <f>IF('Calendario D'!E394="","",'Calendario D'!E394)</f>
        <v/>
      </c>
      <c r="F2314" s="63">
        <f>IF('Calendario D'!F394="","",'Calendario D'!F394)</f>
        <v/>
      </c>
      <c r="G2314" s="9" t="n"/>
      <c r="H2314" s="9" t="n"/>
      <c r="I2314" s="10" t="n"/>
      <c r="J2314" s="195">
        <f>IF('Calendario D'!J394="","",'Calendario D'!J394)</f>
        <v/>
      </c>
      <c r="K2314" s="64" t="inlineStr">
        <is>
          <t>-</t>
        </is>
      </c>
      <c r="L2314" s="195">
        <f>IF('Calendario D'!L394="","",'Calendario D'!L394)</f>
        <v/>
      </c>
      <c r="M2314" s="196" t="inlineStr">
        <is>
          <t>CARON Elena [A]</t>
        </is>
      </c>
      <c r="N2314" s="196" t="inlineStr">
        <is>
          <t>BELLANDI Marta [A]</t>
        </is>
      </c>
      <c r="O2314" s="196" t="inlineStr">
        <is>
          <t>CASTILLO Ilaria [AAt]</t>
        </is>
      </c>
      <c r="P2314" s="196" t="inlineStr">
        <is>
          <t>SEVER Nicola</t>
        </is>
      </c>
      <c r="Q2314" s="196" t="inlineStr">
        <is>
          <t>ROTH Paolo</t>
        </is>
      </c>
      <c r="R2314" s="196" t="inlineStr">
        <is>
          <t>ROTH Paula</t>
        </is>
      </c>
    </row>
    <row r="2315" ht="15" customHeight="1">
      <c r="A2315" s="141" t="n"/>
      <c r="B2315" s="69">
        <f>IF('Calendario D'!B395="","",'Calendario D'!B395)</f>
        <v/>
      </c>
      <c r="C2315" s="9" t="n"/>
      <c r="D2315" s="9" t="n"/>
      <c r="E2315" s="9" t="n"/>
      <c r="F2315" s="9" t="n"/>
      <c r="G2315" s="9" t="n"/>
      <c r="H2315" s="10" t="n"/>
      <c r="I2315" s="62">
        <f>IF('Calendario D'!I395="","",'Calendario D'!I395)</f>
        <v/>
      </c>
      <c r="J2315" s="141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</row>
    <row r="2316" ht="14" customHeight="1">
      <c r="A2316" s="88" t="inlineStr">
        <is>
          <t>Gara N.</t>
        </is>
      </c>
      <c r="B2316" s="88" t="inlineStr">
        <is>
          <t>Squadra A</t>
        </is>
      </c>
      <c r="C2316" s="10" t="n"/>
      <c r="D2316" s="88" t="inlineStr">
        <is>
          <t>Squadra B</t>
        </is>
      </c>
      <c r="E2316" s="10" t="n"/>
      <c r="F2316" s="88" t="inlineStr">
        <is>
          <t>Giorno</t>
        </is>
      </c>
      <c r="G2316" s="88" t="inlineStr">
        <is>
          <t>Data</t>
        </is>
      </c>
      <c r="H2316" s="88" t="inlineStr">
        <is>
          <t>Ora</t>
        </is>
      </c>
      <c r="I2316" s="10" t="n"/>
      <c r="J2316" s="88" t="inlineStr">
        <is>
          <t>Risultato</t>
        </is>
      </c>
      <c r="K2316" s="9" t="n"/>
      <c r="L2316" s="10" t="n"/>
      <c r="M2316" s="203" t="inlineStr">
        <is>
          <t>1o Arbitro</t>
        </is>
      </c>
      <c r="N2316" s="203" t="inlineStr">
        <is>
          <t>2o Arbitro</t>
        </is>
      </c>
      <c r="O2316" s="203" t="inlineStr">
        <is>
          <t>3o Arbitro/Tirocinante</t>
        </is>
      </c>
      <c r="P2316" s="203" t="inlineStr">
        <is>
          <t>Referto</t>
        </is>
      </c>
      <c r="Q2316" s="203" t="inlineStr">
        <is>
          <t>Cronometro</t>
        </is>
      </c>
      <c r="R2316" s="203" t="inlineStr">
        <is>
          <t>Foglio Tiri</t>
        </is>
      </c>
    </row>
    <row r="2317" ht="22" customHeight="1">
      <c r="A2317" s="90">
        <f>IF('Calendario D'!A397="","",'Calendario D'!A397)</f>
        <v/>
      </c>
      <c r="B2317" s="61">
        <f>IF('Calendario D'!B397="","",'Calendario D'!B397)</f>
        <v/>
      </c>
      <c r="C2317" s="62">
        <f>IF('Calendario D'!C397="","",'Calendario D'!C397)</f>
        <v/>
      </c>
      <c r="D2317" s="61">
        <f>IF('Calendario D'!D397="","",'Calendario D'!D397)</f>
        <v/>
      </c>
      <c r="E2317" s="62">
        <f>IF('Calendario D'!E397="","",'Calendario D'!E397)</f>
        <v/>
      </c>
      <c r="F2317" s="63">
        <f>IF('Calendario D'!F397="","",'Calendario D'!F397)</f>
        <v/>
      </c>
      <c r="G2317" s="9" t="n"/>
      <c r="H2317" s="9" t="n"/>
      <c r="I2317" s="10" t="n"/>
      <c r="J2317" s="195">
        <f>IF('Calendario D'!J397="","",'Calendario D'!J397)</f>
        <v/>
      </c>
      <c r="K2317" s="64" t="inlineStr">
        <is>
          <t>-</t>
        </is>
      </c>
      <c r="L2317" s="195">
        <f>IF('Calendario D'!L397="","",'Calendario D'!L397)</f>
        <v/>
      </c>
      <c r="M2317" s="196" t="inlineStr">
        <is>
          <t>MARCHIONI Paula [Aest]</t>
        </is>
      </c>
      <c r="N2317" s="196" t="inlineStr">
        <is>
          <t>BIANCHELLI Martina [AAt]</t>
        </is>
      </c>
      <c r="O2317" s="196" t="inlineStr">
        <is>
          <t>MODIC Lukas [AAt]</t>
        </is>
      </c>
      <c r="P2317" s="196" t="inlineStr">
        <is>
          <t>HOFFMANN Paolo</t>
        </is>
      </c>
      <c r="Q2317" s="196" t="inlineStr">
        <is>
          <t>LANGER Katrin</t>
        </is>
      </c>
      <c r="R2317" s="196" t="inlineStr">
        <is>
          <t>BIANCHELLI Katrin</t>
        </is>
      </c>
    </row>
    <row r="2318" ht="15" customHeight="1">
      <c r="A2318" s="141" t="n"/>
      <c r="B2318" s="69">
        <f>IF('Calendario D'!B398="","",'Calendario D'!B398)</f>
        <v/>
      </c>
      <c r="C2318" s="9" t="n"/>
      <c r="D2318" s="9" t="n"/>
      <c r="E2318" s="9" t="n"/>
      <c r="F2318" s="9" t="n"/>
      <c r="G2318" s="9" t="n"/>
      <c r="H2318" s="10" t="n"/>
      <c r="I2318" s="62">
        <f>IF('Calendario D'!I398="","",'Calendario D'!I398)</f>
        <v/>
      </c>
      <c r="J2318" s="141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</row>
    <row r="2319" ht="14" customHeight="1">
      <c r="A2319" s="88" t="inlineStr">
        <is>
          <t>Gara N.</t>
        </is>
      </c>
      <c r="B2319" s="88" t="inlineStr">
        <is>
          <t>Squadra A</t>
        </is>
      </c>
      <c r="C2319" s="10" t="n"/>
      <c r="D2319" s="88" t="inlineStr">
        <is>
          <t>Squadra B</t>
        </is>
      </c>
      <c r="E2319" s="10" t="n"/>
      <c r="F2319" s="88" t="inlineStr">
        <is>
          <t>Giorno</t>
        </is>
      </c>
      <c r="G2319" s="88" t="inlineStr">
        <is>
          <t>Data</t>
        </is>
      </c>
      <c r="H2319" s="88" t="inlineStr">
        <is>
          <t>Ora</t>
        </is>
      </c>
      <c r="I2319" s="10" t="n"/>
      <c r="J2319" s="88" t="inlineStr">
        <is>
          <t>Risultato</t>
        </is>
      </c>
      <c r="K2319" s="9" t="n"/>
      <c r="L2319" s="10" t="n"/>
      <c r="M2319" s="203" t="inlineStr">
        <is>
          <t>1o Arbitro</t>
        </is>
      </c>
      <c r="N2319" s="203" t="inlineStr">
        <is>
          <t>2o Arbitro</t>
        </is>
      </c>
      <c r="O2319" s="203" t="inlineStr">
        <is>
          <t>3o Arbitro/Tirocinante</t>
        </is>
      </c>
      <c r="P2319" s="203" t="inlineStr">
        <is>
          <t>Referto</t>
        </is>
      </c>
      <c r="Q2319" s="203" t="inlineStr">
        <is>
          <t>Cronometro</t>
        </is>
      </c>
      <c r="R2319" s="203" t="inlineStr">
        <is>
          <t>Foglio Tiri</t>
        </is>
      </c>
    </row>
    <row r="2320" ht="22" customHeight="1">
      <c r="A2320" s="90">
        <f>IF('Calendario D'!A400="","",'Calendario D'!A400)</f>
        <v/>
      </c>
      <c r="B2320" s="61">
        <f>IF('Calendario D'!B400="","",'Calendario D'!B400)</f>
        <v/>
      </c>
      <c r="C2320" s="62">
        <f>IF('Calendario D'!C400="","",'Calendario D'!C400)</f>
        <v/>
      </c>
      <c r="D2320" s="61">
        <f>IF('Calendario D'!D400="","",'Calendario D'!D400)</f>
        <v/>
      </c>
      <c r="E2320" s="62">
        <f>IF('Calendario D'!E400="","",'Calendario D'!E400)</f>
        <v/>
      </c>
      <c r="F2320" s="63">
        <f>IF('Calendario D'!F400="","",'Calendario D'!F400)</f>
        <v/>
      </c>
      <c r="G2320" s="9" t="n"/>
      <c r="H2320" s="9" t="n"/>
      <c r="I2320" s="10" t="n"/>
      <c r="J2320" s="195">
        <f>IF('Calendario D'!J400="","",'Calendario D'!J400)</f>
        <v/>
      </c>
      <c r="K2320" s="64" t="inlineStr">
        <is>
          <t>-</t>
        </is>
      </c>
      <c r="L2320" s="195">
        <f>IF('Calendario D'!L400="","",'Calendario D'!L400)</f>
        <v/>
      </c>
      <c r="M2320" s="196" t="inlineStr">
        <is>
          <t>VOGEL Miha [AAt]</t>
        </is>
      </c>
      <c r="N2320" s="196" t="inlineStr">
        <is>
          <t>ENGEL Stefano [AAt]</t>
        </is>
      </c>
      <c r="O2320" s="196" t="inlineStr">
        <is>
          <t>ROMERO Matteo [Aest]</t>
        </is>
      </c>
      <c r="P2320" s="196" t="inlineStr">
        <is>
          <t>KELLER Jonas</t>
        </is>
      </c>
      <c r="Q2320" s="196" t="inlineStr">
        <is>
          <t>OBLAK Anja</t>
        </is>
      </c>
      <c r="R2320" s="196" t="inlineStr">
        <is>
          <t>VIDMAR Matteo</t>
        </is>
      </c>
    </row>
    <row r="2321" ht="15" customHeight="1">
      <c r="A2321" s="141" t="n"/>
      <c r="B2321" s="69">
        <f>IF('Calendario D'!B401="","",'Calendario D'!B401)</f>
        <v/>
      </c>
      <c r="C2321" s="9" t="n"/>
      <c r="D2321" s="9" t="n"/>
      <c r="E2321" s="9" t="n"/>
      <c r="F2321" s="9" t="n"/>
      <c r="G2321" s="9" t="n"/>
      <c r="H2321" s="10" t="n"/>
      <c r="I2321" s="62">
        <f>IF('Calendario D'!I401="","",'Calendario D'!I401)</f>
        <v/>
      </c>
      <c r="J2321" s="141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</row>
    <row r="2322" ht="14" customHeight="1">
      <c r="A2322" s="88" t="inlineStr">
        <is>
          <t>Gara N.</t>
        </is>
      </c>
      <c r="B2322" s="88" t="inlineStr">
        <is>
          <t>Squadra A</t>
        </is>
      </c>
      <c r="C2322" s="10" t="n"/>
      <c r="D2322" s="88" t="inlineStr">
        <is>
          <t>Squadra B</t>
        </is>
      </c>
      <c r="E2322" s="10" t="n"/>
      <c r="F2322" s="88" t="inlineStr">
        <is>
          <t>Giorno</t>
        </is>
      </c>
      <c r="G2322" s="88" t="inlineStr">
        <is>
          <t>Data</t>
        </is>
      </c>
      <c r="H2322" s="88" t="inlineStr">
        <is>
          <t>Ora</t>
        </is>
      </c>
      <c r="I2322" s="10" t="n"/>
      <c r="J2322" s="88" t="inlineStr">
        <is>
          <t>Risultato</t>
        </is>
      </c>
      <c r="K2322" s="9" t="n"/>
      <c r="L2322" s="10" t="n"/>
      <c r="M2322" s="203" t="inlineStr">
        <is>
          <t>1o Arbitro</t>
        </is>
      </c>
      <c r="N2322" s="203" t="inlineStr">
        <is>
          <t>2o Arbitro</t>
        </is>
      </c>
      <c r="O2322" s="203" t="inlineStr">
        <is>
          <t>3o Arbitro/Tirocinante</t>
        </is>
      </c>
      <c r="P2322" s="203" t="inlineStr">
        <is>
          <t>Referto</t>
        </is>
      </c>
      <c r="Q2322" s="203" t="inlineStr">
        <is>
          <t>Cronometro</t>
        </is>
      </c>
      <c r="R2322" s="203" t="inlineStr">
        <is>
          <t>Foglio Tiri</t>
        </is>
      </c>
    </row>
    <row r="2323" ht="22" customHeight="1">
      <c r="A2323" s="90">
        <f>IF('Calendario D'!A403="","",'Calendario D'!A403)</f>
        <v/>
      </c>
      <c r="B2323" s="61">
        <f>IF('Calendario D'!B403="","",'Calendario D'!B403)</f>
        <v/>
      </c>
      <c r="C2323" s="62">
        <f>IF('Calendario D'!C403="","",'Calendario D'!C403)</f>
        <v/>
      </c>
      <c r="D2323" s="61">
        <f>IF('Calendario D'!D403="","",'Calendario D'!D403)</f>
        <v/>
      </c>
      <c r="E2323" s="62">
        <f>IF('Calendario D'!E403="","",'Calendario D'!E403)</f>
        <v/>
      </c>
      <c r="F2323" s="63">
        <f>IF('Calendario D'!F403="","",'Calendario D'!F403)</f>
        <v/>
      </c>
      <c r="G2323" s="9" t="n"/>
      <c r="H2323" s="9" t="n"/>
      <c r="I2323" s="10" t="n"/>
      <c r="J2323" s="195">
        <f>IF('Calendario D'!J403="","",'Calendario D'!J403)</f>
        <v/>
      </c>
      <c r="K2323" s="64" t="inlineStr">
        <is>
          <t>-</t>
        </is>
      </c>
      <c r="L2323" s="195">
        <f>IF('Calendario D'!L403="","",'Calendario D'!L403)</f>
        <v/>
      </c>
      <c r="M2323" s="196" t="inlineStr">
        <is>
          <t>BLANCO Lucia [Aest]</t>
        </is>
      </c>
      <c r="N2323" s="196" t="inlineStr">
        <is>
          <t>BELLANDI Matteo [AA]</t>
        </is>
      </c>
      <c r="O2323" s="196" t="inlineStr">
        <is>
          <t>VOGEL Martina [AA]</t>
        </is>
      </c>
      <c r="P2323" s="196" t="inlineStr">
        <is>
          <t>BELLANDI Hugo</t>
        </is>
      </c>
      <c r="Q2323" s="196" t="inlineStr">
        <is>
          <t>PRADO Eva</t>
        </is>
      </c>
      <c r="R2323" s="196" t="inlineStr">
        <is>
          <t>BRANDT Elena</t>
        </is>
      </c>
    </row>
    <row r="2324" ht="15" customHeight="1">
      <c r="A2324" s="141" t="n"/>
      <c r="B2324" s="69">
        <f>IF('Calendario D'!B404="","",'Calendario D'!B404)</f>
        <v/>
      </c>
      <c r="C2324" s="9" t="n"/>
      <c r="D2324" s="9" t="n"/>
      <c r="E2324" s="9" t="n"/>
      <c r="F2324" s="9" t="n"/>
      <c r="G2324" s="9" t="n"/>
      <c r="H2324" s="10" t="n"/>
      <c r="I2324" s="62">
        <f>IF('Calendario D'!I404="","",'Calendario D'!I404)</f>
        <v/>
      </c>
      <c r="J2324" s="141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</row>
    <row r="2325" ht="14" customHeight="1">
      <c r="A2325" s="88" t="inlineStr">
        <is>
          <t>Gara N.</t>
        </is>
      </c>
      <c r="B2325" s="88" t="inlineStr">
        <is>
          <t>Squadra A</t>
        </is>
      </c>
      <c r="C2325" s="10" t="n"/>
      <c r="D2325" s="88" t="inlineStr">
        <is>
          <t>Squadra B</t>
        </is>
      </c>
      <c r="E2325" s="10" t="n"/>
      <c r="F2325" s="88" t="inlineStr">
        <is>
          <t>Giorno</t>
        </is>
      </c>
      <c r="G2325" s="88" t="inlineStr">
        <is>
          <t>Data</t>
        </is>
      </c>
      <c r="H2325" s="88" t="inlineStr">
        <is>
          <t>Ora</t>
        </is>
      </c>
      <c r="I2325" s="10" t="n"/>
      <c r="J2325" s="88" t="inlineStr">
        <is>
          <t>Risultato</t>
        </is>
      </c>
      <c r="K2325" s="9" t="n"/>
      <c r="L2325" s="10" t="n"/>
      <c r="M2325" s="203" t="inlineStr">
        <is>
          <t>1o Arbitro</t>
        </is>
      </c>
      <c r="N2325" s="203" t="inlineStr">
        <is>
          <t>2o Arbitro</t>
        </is>
      </c>
      <c r="O2325" s="203" t="inlineStr">
        <is>
          <t>3o Arbitro/Tirocinante</t>
        </is>
      </c>
      <c r="P2325" s="203" t="inlineStr">
        <is>
          <t>Referto</t>
        </is>
      </c>
      <c r="Q2325" s="203" t="inlineStr">
        <is>
          <t>Cronometro</t>
        </is>
      </c>
      <c r="R2325" s="203" t="inlineStr">
        <is>
          <t>Foglio Tiri</t>
        </is>
      </c>
    </row>
    <row r="2326" ht="22" customHeight="1">
      <c r="A2326" s="90">
        <f>IF('Calendario D'!A406="","",'Calendario D'!A406)</f>
        <v/>
      </c>
      <c r="B2326" s="61">
        <f>IF('Calendario D'!B406="","",'Calendario D'!B406)</f>
        <v/>
      </c>
      <c r="C2326" s="62">
        <f>IF('Calendario D'!C406="","",'Calendario D'!C406)</f>
        <v/>
      </c>
      <c r="D2326" s="61">
        <f>IF('Calendario D'!D406="","",'Calendario D'!D406)</f>
        <v/>
      </c>
      <c r="E2326" s="62">
        <f>IF('Calendario D'!E406="","",'Calendario D'!E406)</f>
        <v/>
      </c>
      <c r="F2326" s="63">
        <f>IF('Calendario D'!F406="","",'Calendario D'!F406)</f>
        <v/>
      </c>
      <c r="G2326" s="9" t="n"/>
      <c r="H2326" s="9" t="n"/>
      <c r="I2326" s="10" t="n"/>
      <c r="J2326" s="195">
        <f>IF('Calendario D'!J406="","",'Calendario D'!J406)</f>
        <v/>
      </c>
      <c r="K2326" s="64" t="inlineStr">
        <is>
          <t>-</t>
        </is>
      </c>
      <c r="L2326" s="195">
        <f>IF('Calendario D'!L406="","",'Calendario D'!L406)</f>
        <v/>
      </c>
      <c r="M2326" s="196" t="inlineStr">
        <is>
          <t>CONTARDI Nicola [Aest]</t>
        </is>
      </c>
      <c r="N2326" s="196" t="inlineStr">
        <is>
          <t>KELLER Mathilde [Aest]</t>
        </is>
      </c>
      <c r="O2326" s="196" t="inlineStr">
        <is>
          <t>LEROUX Mathilde [AA]</t>
        </is>
      </c>
      <c r="P2326" s="196" t="inlineStr">
        <is>
          <t>SANTORI Miha</t>
        </is>
      </c>
      <c r="Q2326" s="196" t="inlineStr">
        <is>
          <t>BRANDT Paolo</t>
        </is>
      </c>
      <c r="R2326" s="196" t="inlineStr">
        <is>
          <t>MARCHIONI Miha</t>
        </is>
      </c>
    </row>
    <row r="2327" ht="15" customHeight="1">
      <c r="A2327" s="141" t="n"/>
      <c r="B2327" s="69">
        <f>IF('Calendario D'!B407="","",'Calendario D'!B407)</f>
        <v/>
      </c>
      <c r="C2327" s="9" t="n"/>
      <c r="D2327" s="9" t="n"/>
      <c r="E2327" s="9" t="n"/>
      <c r="F2327" s="9" t="n"/>
      <c r="G2327" s="9" t="n"/>
      <c r="H2327" s="10" t="n"/>
      <c r="I2327" s="62">
        <f>IF('Calendario D'!I407="","",'Calendario D'!I407)</f>
        <v/>
      </c>
      <c r="J2327" s="141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</row>
    <row r="2328" ht="14" customHeight="1">
      <c r="A2328" s="88" t="inlineStr">
        <is>
          <t>Gara N.</t>
        </is>
      </c>
      <c r="B2328" s="88" t="inlineStr">
        <is>
          <t>Squadra A</t>
        </is>
      </c>
      <c r="C2328" s="10" t="n"/>
      <c r="D2328" s="88" t="inlineStr">
        <is>
          <t>Squadra B</t>
        </is>
      </c>
      <c r="E2328" s="10" t="n"/>
      <c r="F2328" s="88" t="inlineStr">
        <is>
          <t>Giorno</t>
        </is>
      </c>
      <c r="G2328" s="88" t="inlineStr">
        <is>
          <t>Data</t>
        </is>
      </c>
      <c r="H2328" s="88" t="inlineStr">
        <is>
          <t>Ora</t>
        </is>
      </c>
      <c r="I2328" s="10" t="n"/>
      <c r="J2328" s="88" t="inlineStr">
        <is>
          <t>Risultato</t>
        </is>
      </c>
      <c r="K2328" s="9" t="n"/>
      <c r="L2328" s="10" t="n"/>
      <c r="M2328" s="203" t="inlineStr">
        <is>
          <t>1o Arbitro</t>
        </is>
      </c>
      <c r="N2328" s="203" t="inlineStr">
        <is>
          <t>2o Arbitro</t>
        </is>
      </c>
      <c r="O2328" s="203" t="inlineStr">
        <is>
          <t>3o Arbitro/Tirocinante</t>
        </is>
      </c>
      <c r="P2328" s="203" t="inlineStr">
        <is>
          <t>Referto</t>
        </is>
      </c>
      <c r="Q2328" s="203" t="inlineStr">
        <is>
          <t>Cronometro</t>
        </is>
      </c>
      <c r="R2328" s="203" t="inlineStr">
        <is>
          <t>Foglio Tiri</t>
        </is>
      </c>
    </row>
    <row r="2329" ht="22" customHeight="1">
      <c r="A2329" s="90">
        <f>IF('Calendario D'!A409="","",'Calendario D'!A409)</f>
        <v/>
      </c>
      <c r="B2329" s="61">
        <f>IF('Calendario D'!B409="","",'Calendario D'!B409)</f>
        <v/>
      </c>
      <c r="C2329" s="62">
        <f>IF('Calendario D'!C409="","",'Calendario D'!C409)</f>
        <v/>
      </c>
      <c r="D2329" s="61">
        <f>IF('Calendario D'!D409="","",'Calendario D'!D409)</f>
        <v/>
      </c>
      <c r="E2329" s="62">
        <f>IF('Calendario D'!E409="","",'Calendario D'!E409)</f>
        <v/>
      </c>
      <c r="F2329" s="63">
        <f>IF('Calendario D'!F409="","",'Calendario D'!F409)</f>
        <v/>
      </c>
      <c r="G2329" s="9" t="n"/>
      <c r="H2329" s="9" t="n"/>
      <c r="I2329" s="10" t="n"/>
      <c r="J2329" s="195">
        <f>IF('Calendario D'!J409="","",'Calendario D'!J409)</f>
        <v/>
      </c>
      <c r="K2329" s="64" t="inlineStr">
        <is>
          <t>-</t>
        </is>
      </c>
      <c r="L2329" s="195">
        <f>IF('Calendario D'!L409="","",'Calendario D'!L409)</f>
        <v/>
      </c>
      <c r="M2329" s="196" t="inlineStr">
        <is>
          <t>KRAJNC Beatrice [Aest]</t>
        </is>
      </c>
      <c r="N2329" s="196" t="inlineStr">
        <is>
          <t>MOREAU Andrea [AAt]</t>
        </is>
      </c>
      <c r="O2329" s="196" t="inlineStr">
        <is>
          <t>ROTH Eva [A]</t>
        </is>
      </c>
      <c r="P2329" s="196" t="inlineStr">
        <is>
          <t>HORVAT Irene</t>
        </is>
      </c>
      <c r="Q2329" s="196" t="inlineStr">
        <is>
          <t>NOVAK Giulia</t>
        </is>
      </c>
      <c r="R2329" s="196" t="inlineStr">
        <is>
          <t>KOVAC Felix</t>
        </is>
      </c>
    </row>
    <row r="2330" ht="15" customHeight="1">
      <c r="A2330" s="141" t="n"/>
      <c r="B2330" s="69">
        <f>IF('Calendario D'!B410="","",'Calendario D'!B410)</f>
        <v/>
      </c>
      <c r="C2330" s="9" t="n"/>
      <c r="D2330" s="9" t="n"/>
      <c r="E2330" s="9" t="n"/>
      <c r="F2330" s="9" t="n"/>
      <c r="G2330" s="9" t="n"/>
      <c r="H2330" s="10" t="n"/>
      <c r="I2330" s="62">
        <f>IF('Calendario D'!I410="","",'Calendario D'!I410)</f>
        <v/>
      </c>
      <c r="J2330" s="141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</row>
    <row r="2331" ht="14" customHeight="1">
      <c r="A2331" s="88" t="inlineStr">
        <is>
          <t>Gara N.</t>
        </is>
      </c>
      <c r="B2331" s="88" t="inlineStr">
        <is>
          <t>Squadra A</t>
        </is>
      </c>
      <c r="C2331" s="10" t="n"/>
      <c r="D2331" s="88" t="inlineStr">
        <is>
          <t>Squadra B</t>
        </is>
      </c>
      <c r="E2331" s="10" t="n"/>
      <c r="F2331" s="88" t="inlineStr">
        <is>
          <t>Giorno</t>
        </is>
      </c>
      <c r="G2331" s="88" t="inlineStr">
        <is>
          <t>Data</t>
        </is>
      </c>
      <c r="H2331" s="88" t="inlineStr">
        <is>
          <t>Ora</t>
        </is>
      </c>
      <c r="I2331" s="10" t="n"/>
      <c r="J2331" s="88" t="inlineStr">
        <is>
          <t>Risultato</t>
        </is>
      </c>
      <c r="K2331" s="9" t="n"/>
      <c r="L2331" s="10" t="n"/>
      <c r="M2331" s="203" t="inlineStr">
        <is>
          <t>1o Arbitro</t>
        </is>
      </c>
      <c r="N2331" s="203" t="inlineStr">
        <is>
          <t>2o Arbitro</t>
        </is>
      </c>
      <c r="O2331" s="203" t="inlineStr">
        <is>
          <t>3o Arbitro/Tirocinante</t>
        </is>
      </c>
      <c r="P2331" s="203" t="inlineStr">
        <is>
          <t>Referto</t>
        </is>
      </c>
      <c r="Q2331" s="203" t="inlineStr">
        <is>
          <t>Cronometro</t>
        </is>
      </c>
      <c r="R2331" s="203" t="inlineStr">
        <is>
          <t>Foglio Tiri</t>
        </is>
      </c>
    </row>
    <row r="2332" ht="22" customHeight="1">
      <c r="A2332" s="90">
        <f>IF('Calendario D'!A412="","",'Calendario D'!A412)</f>
        <v/>
      </c>
      <c r="B2332" s="61">
        <f>IF('Calendario D'!B412="","",'Calendario D'!B412)</f>
        <v/>
      </c>
      <c r="C2332" s="62">
        <f>IF('Calendario D'!C412="","",'Calendario D'!C412)</f>
        <v/>
      </c>
      <c r="D2332" s="61">
        <f>IF('Calendario D'!D412="","",'Calendario D'!D412)</f>
        <v/>
      </c>
      <c r="E2332" s="62">
        <f>IF('Calendario D'!E412="","",'Calendario D'!E412)</f>
        <v/>
      </c>
      <c r="F2332" s="63">
        <f>IF('Calendario D'!F412="","",'Calendario D'!F412)</f>
        <v/>
      </c>
      <c r="G2332" s="9" t="n"/>
      <c r="H2332" s="9" t="n"/>
      <c r="I2332" s="10" t="n"/>
      <c r="J2332" s="195">
        <f>IF('Calendario D'!J412="","",'Calendario D'!J412)</f>
        <v/>
      </c>
      <c r="K2332" s="64" t="inlineStr">
        <is>
          <t>-</t>
        </is>
      </c>
      <c r="L2332" s="195">
        <f>IF('Calendario D'!L412="","",'Calendario D'!L412)</f>
        <v/>
      </c>
      <c r="M2332" s="196" t="inlineStr">
        <is>
          <t>BELLANDI Ottavia [Aest]</t>
        </is>
      </c>
      <c r="N2332" s="196" t="inlineStr">
        <is>
          <t>ZUPAN Mathilde [A]</t>
        </is>
      </c>
      <c r="O2332" s="196" t="inlineStr">
        <is>
          <t>NOVAK Lea [AA]</t>
        </is>
      </c>
      <c r="P2332" s="196" t="inlineStr">
        <is>
          <t>VOGEL Davide</t>
        </is>
      </c>
      <c r="Q2332" s="196" t="inlineStr">
        <is>
          <t>MORETTO Noemi</t>
        </is>
      </c>
      <c r="R2332" s="196" t="inlineStr">
        <is>
          <t>HOFFMANN Andrea</t>
        </is>
      </c>
    </row>
    <row r="2333" ht="15" customHeight="1">
      <c r="A2333" s="141" t="n"/>
      <c r="B2333" s="69">
        <f>IF('Calendario D'!B413="","",'Calendario D'!B413)</f>
        <v/>
      </c>
      <c r="C2333" s="9" t="n"/>
      <c r="D2333" s="9" t="n"/>
      <c r="E2333" s="9" t="n"/>
      <c r="F2333" s="9" t="n"/>
      <c r="G2333" s="9" t="n"/>
      <c r="H2333" s="10" t="n"/>
      <c r="I2333" s="62">
        <f>IF('Calendario D'!I413="","",'Calendario D'!I413)</f>
        <v/>
      </c>
      <c r="J2333" s="141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</row>
    <row r="2334" ht="14" customHeight="1">
      <c r="A2334" s="88" t="inlineStr">
        <is>
          <t>Gara N.</t>
        </is>
      </c>
      <c r="B2334" s="88" t="inlineStr">
        <is>
          <t>Squadra A</t>
        </is>
      </c>
      <c r="C2334" s="10" t="n"/>
      <c r="D2334" s="88" t="inlineStr">
        <is>
          <t>Squadra B</t>
        </is>
      </c>
      <c r="E2334" s="10" t="n"/>
      <c r="F2334" s="88" t="inlineStr">
        <is>
          <t>Giorno</t>
        </is>
      </c>
      <c r="G2334" s="88" t="inlineStr">
        <is>
          <t>Data</t>
        </is>
      </c>
      <c r="H2334" s="88" t="inlineStr">
        <is>
          <t>Ora</t>
        </is>
      </c>
      <c r="I2334" s="10" t="n"/>
      <c r="J2334" s="88" t="inlineStr">
        <is>
          <t>Risultato</t>
        </is>
      </c>
      <c r="K2334" s="9" t="n"/>
      <c r="L2334" s="10" t="n"/>
      <c r="M2334" s="203" t="inlineStr">
        <is>
          <t>1o Arbitro</t>
        </is>
      </c>
      <c r="N2334" s="203" t="inlineStr">
        <is>
          <t>2o Arbitro</t>
        </is>
      </c>
      <c r="O2334" s="203" t="inlineStr">
        <is>
          <t>3o Arbitro/Tirocinante</t>
        </is>
      </c>
      <c r="P2334" s="203" t="inlineStr">
        <is>
          <t>Referto</t>
        </is>
      </c>
      <c r="Q2334" s="203" t="inlineStr">
        <is>
          <t>Cronometro</t>
        </is>
      </c>
      <c r="R2334" s="203" t="inlineStr">
        <is>
          <t>Foglio Tiri</t>
        </is>
      </c>
    </row>
    <row r="2335" ht="22" customHeight="1">
      <c r="A2335" s="90">
        <f>IF('Calendario D'!A415="","",'Calendario D'!A415)</f>
        <v/>
      </c>
      <c r="B2335" s="61">
        <f>IF('Calendario D'!B415="","",'Calendario D'!B415)</f>
        <v/>
      </c>
      <c r="C2335" s="62">
        <f>IF('Calendario D'!C415="","",'Calendario D'!C415)</f>
        <v/>
      </c>
      <c r="D2335" s="61">
        <f>IF('Calendario D'!D415="","",'Calendario D'!D415)</f>
        <v/>
      </c>
      <c r="E2335" s="62">
        <f>IF('Calendario D'!E415="","",'Calendario D'!E415)</f>
        <v/>
      </c>
      <c r="F2335" s="63">
        <f>IF('Calendario D'!F415="","",'Calendario D'!F415)</f>
        <v/>
      </c>
      <c r="G2335" s="9" t="n"/>
      <c r="H2335" s="9" t="n"/>
      <c r="I2335" s="10" t="n"/>
      <c r="J2335" s="195">
        <f>IF('Calendario D'!J415="","",'Calendario D'!J415)</f>
        <v/>
      </c>
      <c r="K2335" s="64" t="inlineStr">
        <is>
          <t>-</t>
        </is>
      </c>
      <c r="L2335" s="195">
        <f>IF('Calendario D'!L415="","",'Calendario D'!L415)</f>
        <v/>
      </c>
      <c r="M2335" s="196" t="inlineStr">
        <is>
          <t>ROTH Andrea [AAt]</t>
        </is>
      </c>
      <c r="N2335" s="196" t="inlineStr">
        <is>
          <t>GAUTHIER Elena [AA]</t>
        </is>
      </c>
      <c r="O2335" s="196" t="inlineStr">
        <is>
          <t>ROSSINI Sofia [AA]</t>
        </is>
      </c>
      <c r="P2335" s="196" t="inlineStr">
        <is>
          <t>ZUPAN Elena</t>
        </is>
      </c>
      <c r="Q2335" s="196" t="inlineStr">
        <is>
          <t>HOFFMANN Chiara</t>
        </is>
      </c>
      <c r="R2335" s="196" t="inlineStr">
        <is>
          <t>ORTEGA Gaelle</t>
        </is>
      </c>
    </row>
    <row r="2336" ht="15" customHeight="1">
      <c r="A2336" s="141" t="n"/>
      <c r="B2336" s="69">
        <f>IF('Calendario D'!B416="","",'Calendario D'!B416)</f>
        <v/>
      </c>
      <c r="C2336" s="9" t="n"/>
      <c r="D2336" s="9" t="n"/>
      <c r="E2336" s="9" t="n"/>
      <c r="F2336" s="9" t="n"/>
      <c r="G2336" s="9" t="n"/>
      <c r="H2336" s="10" t="n"/>
      <c r="I2336" s="62">
        <f>IF('Calendario D'!I416="","",'Calendario D'!I416)</f>
        <v/>
      </c>
      <c r="J2336" s="141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</row>
    <row r="2337" ht="14" customHeight="1">
      <c r="A2337" s="88" t="inlineStr">
        <is>
          <t>Gara N.</t>
        </is>
      </c>
      <c r="B2337" s="88" t="inlineStr">
        <is>
          <t>Squadra A</t>
        </is>
      </c>
      <c r="C2337" s="10" t="n"/>
      <c r="D2337" s="88" t="inlineStr">
        <is>
          <t>Squadra B</t>
        </is>
      </c>
      <c r="E2337" s="10" t="n"/>
      <c r="F2337" s="88" t="inlineStr">
        <is>
          <t>Giorno</t>
        </is>
      </c>
      <c r="G2337" s="88" t="inlineStr">
        <is>
          <t>Data</t>
        </is>
      </c>
      <c r="H2337" s="88" t="inlineStr">
        <is>
          <t>Ora</t>
        </is>
      </c>
      <c r="I2337" s="10" t="n"/>
      <c r="J2337" s="88" t="inlineStr">
        <is>
          <t>Risultato</t>
        </is>
      </c>
      <c r="K2337" s="9" t="n"/>
      <c r="L2337" s="10" t="n"/>
      <c r="M2337" s="203" t="inlineStr">
        <is>
          <t>1o Arbitro</t>
        </is>
      </c>
      <c r="N2337" s="203" t="inlineStr">
        <is>
          <t>2o Arbitro</t>
        </is>
      </c>
      <c r="O2337" s="203" t="inlineStr">
        <is>
          <t>3o Arbitro/Tirocinante</t>
        </is>
      </c>
      <c r="P2337" s="203" t="inlineStr">
        <is>
          <t>Referto</t>
        </is>
      </c>
      <c r="Q2337" s="203" t="inlineStr">
        <is>
          <t>Cronometro</t>
        </is>
      </c>
      <c r="R2337" s="203" t="inlineStr">
        <is>
          <t>Foglio Tiri</t>
        </is>
      </c>
    </row>
    <row r="2338" ht="22" customHeight="1">
      <c r="A2338" s="90">
        <f>IF('Calendario D'!A418="","",'Calendario D'!A418)</f>
        <v/>
      </c>
      <c r="B2338" s="61">
        <f>IF('Calendario D'!B418="","",'Calendario D'!B418)</f>
        <v/>
      </c>
      <c r="C2338" s="62">
        <f>IF('Calendario D'!C418="","",'Calendario D'!C418)</f>
        <v/>
      </c>
      <c r="D2338" s="61">
        <f>IF('Calendario D'!D418="","",'Calendario D'!D418)</f>
        <v/>
      </c>
      <c r="E2338" s="62">
        <f>IF('Calendario D'!E418="","",'Calendario D'!E418)</f>
        <v/>
      </c>
      <c r="F2338" s="63">
        <f>IF('Calendario D'!F418="","",'Calendario D'!F418)</f>
        <v/>
      </c>
      <c r="G2338" s="9" t="n"/>
      <c r="H2338" s="9" t="n"/>
      <c r="I2338" s="10" t="n"/>
      <c r="J2338" s="195">
        <f>IF('Calendario D'!J418="","",'Calendario D'!J418)</f>
        <v/>
      </c>
      <c r="K2338" s="64" t="inlineStr">
        <is>
          <t>-</t>
        </is>
      </c>
      <c r="L2338" s="195">
        <f>IF('Calendario D'!L418="","",'Calendario D'!L418)</f>
        <v/>
      </c>
      <c r="M2338" s="196" t="inlineStr">
        <is>
          <t>IGLESIAS Chiara [AAt]</t>
        </is>
      </c>
      <c r="N2338" s="196" t="inlineStr">
        <is>
          <t>ROMERO Stefano [Aest]</t>
        </is>
      </c>
      <c r="O2338" s="196" t="inlineStr">
        <is>
          <t>NADAUD Lucia [AA]</t>
        </is>
      </c>
      <c r="P2338" s="196" t="inlineStr">
        <is>
          <t>BLANCHET Tommaso</t>
        </is>
      </c>
      <c r="Q2338" s="196" t="inlineStr">
        <is>
          <t>SCHAFER Gaelle</t>
        </is>
      </c>
      <c r="R2338" s="196" t="inlineStr">
        <is>
          <t>BLANCO Eva</t>
        </is>
      </c>
    </row>
    <row r="2339" ht="15" customHeight="1">
      <c r="A2339" s="141" t="n"/>
      <c r="B2339" s="69">
        <f>IF('Calendario D'!B419="","",'Calendario D'!B419)</f>
        <v/>
      </c>
      <c r="C2339" s="9" t="n"/>
      <c r="D2339" s="9" t="n"/>
      <c r="E2339" s="9" t="n"/>
      <c r="F2339" s="9" t="n"/>
      <c r="G2339" s="9" t="n"/>
      <c r="H2339" s="10" t="n"/>
      <c r="I2339" s="62">
        <f>IF('Calendario D'!I419="","",'Calendario D'!I419)</f>
        <v/>
      </c>
      <c r="J2339" s="141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</row>
    <row r="2340" ht="14" customHeight="1">
      <c r="A2340" s="88" t="inlineStr">
        <is>
          <t>Gara N.</t>
        </is>
      </c>
      <c r="B2340" s="88" t="inlineStr">
        <is>
          <t>Squadra A</t>
        </is>
      </c>
      <c r="C2340" s="10" t="n"/>
      <c r="D2340" s="88" t="inlineStr">
        <is>
          <t>Squadra B</t>
        </is>
      </c>
      <c r="E2340" s="10" t="n"/>
      <c r="F2340" s="88" t="inlineStr">
        <is>
          <t>Giorno</t>
        </is>
      </c>
      <c r="G2340" s="88" t="inlineStr">
        <is>
          <t>Data</t>
        </is>
      </c>
      <c r="H2340" s="88" t="inlineStr">
        <is>
          <t>Ora</t>
        </is>
      </c>
      <c r="I2340" s="10" t="n"/>
      <c r="J2340" s="88" t="inlineStr">
        <is>
          <t>Risultato</t>
        </is>
      </c>
      <c r="K2340" s="9" t="n"/>
      <c r="L2340" s="10" t="n"/>
      <c r="M2340" s="203" t="inlineStr">
        <is>
          <t>1o Arbitro</t>
        </is>
      </c>
      <c r="N2340" s="203" t="inlineStr">
        <is>
          <t>2o Arbitro</t>
        </is>
      </c>
      <c r="O2340" s="203" t="inlineStr">
        <is>
          <t>3o Arbitro/Tirocinante</t>
        </is>
      </c>
      <c r="P2340" s="203" t="inlineStr">
        <is>
          <t>Referto</t>
        </is>
      </c>
      <c r="Q2340" s="203" t="inlineStr">
        <is>
          <t>Cronometro</t>
        </is>
      </c>
      <c r="R2340" s="203" t="inlineStr">
        <is>
          <t>Foglio Tiri</t>
        </is>
      </c>
    </row>
    <row r="2341" ht="22" customHeight="1">
      <c r="A2341" s="90">
        <f>IF('Calendario D'!A421="","",'Calendario D'!A421)</f>
        <v/>
      </c>
      <c r="B2341" s="61">
        <f>IF('Calendario D'!B421="","",'Calendario D'!B421)</f>
        <v/>
      </c>
      <c r="C2341" s="62">
        <f>IF('Calendario D'!C421="","",'Calendario D'!C421)</f>
        <v/>
      </c>
      <c r="D2341" s="61">
        <f>IF('Calendario D'!D421="","",'Calendario D'!D421)</f>
        <v/>
      </c>
      <c r="E2341" s="62">
        <f>IF('Calendario D'!E421="","",'Calendario D'!E421)</f>
        <v/>
      </c>
      <c r="F2341" s="63">
        <f>IF('Calendario D'!F421="","",'Calendario D'!F421)</f>
        <v/>
      </c>
      <c r="G2341" s="9" t="n"/>
      <c r="H2341" s="9" t="n"/>
      <c r="I2341" s="10" t="n"/>
      <c r="J2341" s="195">
        <f>IF('Calendario D'!J421="","",'Calendario D'!J421)</f>
        <v/>
      </c>
      <c r="K2341" s="64" t="inlineStr">
        <is>
          <t>-</t>
        </is>
      </c>
      <c r="L2341" s="195">
        <f>IF('Calendario D'!L421="","",'Calendario D'!L421)</f>
        <v/>
      </c>
      <c r="M2341" s="196" t="inlineStr">
        <is>
          <t>ENGEL Noemi [Aest]</t>
        </is>
      </c>
      <c r="N2341" s="196" t="inlineStr">
        <is>
          <t>FUENTES Irene [AA]</t>
        </is>
      </c>
      <c r="O2341" s="196" t="inlineStr">
        <is>
          <t>CAMPOS Felix [Aest]</t>
        </is>
      </c>
      <c r="P2341" s="196" t="inlineStr">
        <is>
          <t>KRAJNC Nicola</t>
        </is>
      </c>
      <c r="Q2341" s="196" t="inlineStr">
        <is>
          <t>FUENTES Anja</t>
        </is>
      </c>
      <c r="R2341" s="196" t="inlineStr">
        <is>
          <t>BLANCHET Tommaso</t>
        </is>
      </c>
    </row>
    <row r="2342" ht="15" customHeight="1">
      <c r="A2342" s="141" t="n"/>
      <c r="B2342" s="69">
        <f>IF('Calendario D'!B422="","",'Calendario D'!B422)</f>
        <v/>
      </c>
      <c r="C2342" s="9" t="n"/>
      <c r="D2342" s="9" t="n"/>
      <c r="E2342" s="9" t="n"/>
      <c r="F2342" s="9" t="n"/>
      <c r="G2342" s="9" t="n"/>
      <c r="H2342" s="10" t="n"/>
      <c r="I2342" s="62">
        <f>IF('Calendario D'!I422="","",'Calendario D'!I422)</f>
        <v/>
      </c>
      <c r="J2342" s="141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</row>
    <row r="2344" ht="20" customHeight="1">
      <c r="A2344" s="85">
        <f>IF('Calendario D'!A424="","",'Calendario D'!A424)</f>
        <v/>
      </c>
      <c r="B2344" s="86">
        <f>IF('Calendario D'!B424="","",'Calendario D'!B424)</f>
        <v/>
      </c>
      <c r="C2344" s="9" t="n"/>
      <c r="D2344" s="9" t="n"/>
      <c r="E2344" s="9" t="n"/>
      <c r="F2344" s="9" t="n"/>
      <c r="G2344" s="9" t="n"/>
      <c r="H2344" s="9" t="n"/>
      <c r="I2344" s="9" t="n"/>
      <c r="J2344" s="9" t="n"/>
      <c r="K2344" s="9" t="n"/>
      <c r="L2344" s="10" t="n"/>
      <c r="M2344" s="202" t="inlineStr">
        <is>
          <t>ARBITRI</t>
        </is>
      </c>
      <c r="N2344" s="9" t="n"/>
      <c r="O2344" s="10" t="n"/>
      <c r="P2344" s="202" t="inlineStr">
        <is>
          <t>UFFICIALI DI CAMPO</t>
        </is>
      </c>
      <c r="Q2344" s="9" t="n"/>
      <c r="R2344" s="10" t="n"/>
    </row>
    <row r="2345" ht="14" customHeight="1">
      <c r="A2345" s="88" t="inlineStr">
        <is>
          <t>Gara N.</t>
        </is>
      </c>
      <c r="B2345" s="88" t="inlineStr">
        <is>
          <t>Squadra A</t>
        </is>
      </c>
      <c r="C2345" s="10" t="n"/>
      <c r="D2345" s="88" t="inlineStr">
        <is>
          <t>Squadra B</t>
        </is>
      </c>
      <c r="E2345" s="10" t="n"/>
      <c r="F2345" s="88" t="inlineStr">
        <is>
          <t>Giorno</t>
        </is>
      </c>
      <c r="G2345" s="88" t="inlineStr">
        <is>
          <t>Data</t>
        </is>
      </c>
      <c r="H2345" s="88" t="inlineStr">
        <is>
          <t>Ora</t>
        </is>
      </c>
      <c r="I2345" s="10" t="n"/>
      <c r="J2345" s="88" t="inlineStr">
        <is>
          <t>Risultato</t>
        </is>
      </c>
      <c r="K2345" s="9" t="n"/>
      <c r="L2345" s="10" t="n"/>
      <c r="M2345" s="203" t="inlineStr">
        <is>
          <t>1o Arbitro</t>
        </is>
      </c>
      <c r="N2345" s="203" t="inlineStr">
        <is>
          <t>2o Arbitro</t>
        </is>
      </c>
      <c r="O2345" s="203" t="inlineStr">
        <is>
          <t>3o Arbitro/Tirocinante</t>
        </is>
      </c>
      <c r="P2345" s="203" t="inlineStr">
        <is>
          <t>Referto</t>
        </is>
      </c>
      <c r="Q2345" s="203" t="inlineStr">
        <is>
          <t>Cronometro</t>
        </is>
      </c>
      <c r="R2345" s="203" t="inlineStr">
        <is>
          <t>Foglio Tiri</t>
        </is>
      </c>
    </row>
    <row r="2346" ht="22" customHeight="1">
      <c r="A2346" s="90">
        <f>IF('Calendario D'!A426="","",'Calendario D'!A426)</f>
        <v/>
      </c>
      <c r="B2346" s="61">
        <f>IF('Calendario D'!B426="","",'Calendario D'!B426)</f>
        <v/>
      </c>
      <c r="C2346" s="62">
        <f>IF('Calendario D'!C426="","",'Calendario D'!C426)</f>
        <v/>
      </c>
      <c r="D2346" s="61">
        <f>IF('Calendario D'!D426="","",'Calendario D'!D426)</f>
        <v/>
      </c>
      <c r="E2346" s="62">
        <f>IF('Calendario D'!E426="","",'Calendario D'!E426)</f>
        <v/>
      </c>
      <c r="F2346" s="63">
        <f>IF('Calendario D'!F426="","",'Calendario D'!F426)</f>
        <v/>
      </c>
      <c r="G2346" s="9" t="n"/>
      <c r="H2346" s="9" t="n"/>
      <c r="I2346" s="10" t="n"/>
      <c r="J2346" s="195">
        <f>IF('Calendario D'!J426="","",'Calendario D'!J426)</f>
        <v/>
      </c>
      <c r="K2346" s="64" t="inlineStr">
        <is>
          <t>-</t>
        </is>
      </c>
      <c r="L2346" s="195">
        <f>IF('Calendario D'!L426="","",'Calendario D'!L426)</f>
        <v/>
      </c>
      <c r="M2346" s="196" t="inlineStr">
        <is>
          <t>KELLER Marta [AAt]</t>
        </is>
      </c>
      <c r="N2346" s="196" t="inlineStr">
        <is>
          <t>OBLAK Lucia [AAt]</t>
        </is>
      </c>
      <c r="O2346" s="196" t="inlineStr">
        <is>
          <t>CONTARDI Giulia [AAt]</t>
        </is>
      </c>
      <c r="P2346" s="196" t="inlineStr">
        <is>
          <t>FERRANTE Chiara</t>
        </is>
      </c>
      <c r="Q2346" s="196" t="inlineStr">
        <is>
          <t>VIDMAR Diego</t>
        </is>
      </c>
      <c r="R2346" s="196" t="inlineStr">
        <is>
          <t>BLANCHET Jonas</t>
        </is>
      </c>
    </row>
    <row r="2347" ht="15" customHeight="1">
      <c r="A2347" s="141" t="n"/>
      <c r="B2347" s="69">
        <f>IF('Calendario D'!B427="","",'Calendario D'!B427)</f>
        <v/>
      </c>
      <c r="C2347" s="9" t="n"/>
      <c r="D2347" s="9" t="n"/>
      <c r="E2347" s="9" t="n"/>
      <c r="F2347" s="9" t="n"/>
      <c r="G2347" s="9" t="n"/>
      <c r="H2347" s="10" t="n"/>
      <c r="I2347" s="62">
        <f>IF('Calendario D'!I427="","",'Calendario D'!I427)</f>
        <v/>
      </c>
      <c r="J2347" s="141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</row>
    <row r="2348" ht="14" customHeight="1">
      <c r="A2348" s="88" t="inlineStr">
        <is>
          <t>Gara N.</t>
        </is>
      </c>
      <c r="B2348" s="88" t="inlineStr">
        <is>
          <t>Squadra A</t>
        </is>
      </c>
      <c r="C2348" s="10" t="n"/>
      <c r="D2348" s="88" t="inlineStr">
        <is>
          <t>Squadra B</t>
        </is>
      </c>
      <c r="E2348" s="10" t="n"/>
      <c r="F2348" s="88" t="inlineStr">
        <is>
          <t>Giorno</t>
        </is>
      </c>
      <c r="G2348" s="88" t="inlineStr">
        <is>
          <t>Data</t>
        </is>
      </c>
      <c r="H2348" s="88" t="inlineStr">
        <is>
          <t>Ora</t>
        </is>
      </c>
      <c r="I2348" s="10" t="n"/>
      <c r="J2348" s="88" t="inlineStr">
        <is>
          <t>Risultato</t>
        </is>
      </c>
      <c r="K2348" s="9" t="n"/>
      <c r="L2348" s="10" t="n"/>
      <c r="M2348" s="203" t="inlineStr">
        <is>
          <t>1o Arbitro</t>
        </is>
      </c>
      <c r="N2348" s="203" t="inlineStr">
        <is>
          <t>2o Arbitro</t>
        </is>
      </c>
      <c r="O2348" s="203" t="inlineStr">
        <is>
          <t>3o Arbitro/Tirocinante</t>
        </is>
      </c>
      <c r="P2348" s="203" t="inlineStr">
        <is>
          <t>Referto</t>
        </is>
      </c>
      <c r="Q2348" s="203" t="inlineStr">
        <is>
          <t>Cronometro</t>
        </is>
      </c>
      <c r="R2348" s="203" t="inlineStr">
        <is>
          <t>Foglio Tiri</t>
        </is>
      </c>
    </row>
    <row r="2349" ht="22" customHeight="1">
      <c r="A2349" s="90">
        <f>IF('Calendario D'!A429="","",'Calendario D'!A429)</f>
        <v/>
      </c>
      <c r="B2349" s="61">
        <f>IF('Calendario D'!B429="","",'Calendario D'!B429)</f>
        <v/>
      </c>
      <c r="C2349" s="62">
        <f>IF('Calendario D'!C429="","",'Calendario D'!C429)</f>
        <v/>
      </c>
      <c r="D2349" s="61">
        <f>IF('Calendario D'!D429="","",'Calendario D'!D429)</f>
        <v/>
      </c>
      <c r="E2349" s="62">
        <f>IF('Calendario D'!E429="","",'Calendario D'!E429)</f>
        <v/>
      </c>
      <c r="F2349" s="63">
        <f>IF('Calendario D'!F429="","",'Calendario D'!F429)</f>
        <v/>
      </c>
      <c r="G2349" s="9" t="n"/>
      <c r="H2349" s="9" t="n"/>
      <c r="I2349" s="10" t="n"/>
      <c r="J2349" s="195">
        <f>IF('Calendario D'!J429="","",'Calendario D'!J429)</f>
        <v/>
      </c>
      <c r="K2349" s="64" t="inlineStr">
        <is>
          <t>-</t>
        </is>
      </c>
      <c r="L2349" s="195">
        <f>IF('Calendario D'!L429="","",'Calendario D'!L429)</f>
        <v/>
      </c>
      <c r="M2349" s="196" t="inlineStr">
        <is>
          <t>OBLAK Stefano [AA]</t>
        </is>
      </c>
      <c r="N2349" s="196" t="inlineStr">
        <is>
          <t>BLANCHET Anja [AA]</t>
        </is>
      </c>
      <c r="O2349" s="196" t="inlineStr">
        <is>
          <t>BIANCHELLI Martina [AAt]</t>
        </is>
      </c>
      <c r="P2349" s="196" t="inlineStr">
        <is>
          <t>KOVAC Gaelle</t>
        </is>
      </c>
      <c r="Q2349" s="196" t="inlineStr">
        <is>
          <t>WEBER Lea</t>
        </is>
      </c>
      <c r="R2349" s="196" t="inlineStr">
        <is>
          <t>KRUGER Mathilde</t>
        </is>
      </c>
    </row>
    <row r="2350" ht="15" customHeight="1">
      <c r="A2350" s="141" t="n"/>
      <c r="B2350" s="69">
        <f>IF('Calendario D'!B430="","",'Calendario D'!B430)</f>
        <v/>
      </c>
      <c r="C2350" s="9" t="n"/>
      <c r="D2350" s="9" t="n"/>
      <c r="E2350" s="9" t="n"/>
      <c r="F2350" s="9" t="n"/>
      <c r="G2350" s="9" t="n"/>
      <c r="H2350" s="10" t="n"/>
      <c r="I2350" s="62">
        <f>IF('Calendario D'!I430="","",'Calendario D'!I430)</f>
        <v/>
      </c>
      <c r="J2350" s="141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</row>
    <row r="2351" ht="14" customHeight="1">
      <c r="A2351" s="88" t="inlineStr">
        <is>
          <t>Gara N.</t>
        </is>
      </c>
      <c r="B2351" s="88" t="inlineStr">
        <is>
          <t>Squadra A</t>
        </is>
      </c>
      <c r="C2351" s="10" t="n"/>
      <c r="D2351" s="88" t="inlineStr">
        <is>
          <t>Squadra B</t>
        </is>
      </c>
      <c r="E2351" s="10" t="n"/>
      <c r="F2351" s="88" t="inlineStr">
        <is>
          <t>Giorno</t>
        </is>
      </c>
      <c r="G2351" s="88" t="inlineStr">
        <is>
          <t>Data</t>
        </is>
      </c>
      <c r="H2351" s="88" t="inlineStr">
        <is>
          <t>Ora</t>
        </is>
      </c>
      <c r="I2351" s="10" t="n"/>
      <c r="J2351" s="88" t="inlineStr">
        <is>
          <t>Risultato</t>
        </is>
      </c>
      <c r="K2351" s="9" t="n"/>
      <c r="L2351" s="10" t="n"/>
      <c r="M2351" s="203" t="inlineStr">
        <is>
          <t>1o Arbitro</t>
        </is>
      </c>
      <c r="N2351" s="203" t="inlineStr">
        <is>
          <t>2o Arbitro</t>
        </is>
      </c>
      <c r="O2351" s="203" t="inlineStr">
        <is>
          <t>3o Arbitro/Tirocinante</t>
        </is>
      </c>
      <c r="P2351" s="203" t="inlineStr">
        <is>
          <t>Referto</t>
        </is>
      </c>
      <c r="Q2351" s="203" t="inlineStr">
        <is>
          <t>Cronometro</t>
        </is>
      </c>
      <c r="R2351" s="203" t="inlineStr">
        <is>
          <t>Foglio Tiri</t>
        </is>
      </c>
    </row>
    <row r="2352" ht="22" customHeight="1">
      <c r="A2352" s="90">
        <f>IF('Calendario D'!A432="","",'Calendario D'!A432)</f>
        <v/>
      </c>
      <c r="B2352" s="61">
        <f>IF('Calendario D'!B432="","",'Calendario D'!B432)</f>
        <v/>
      </c>
      <c r="C2352" s="62">
        <f>IF('Calendario D'!C432="","",'Calendario D'!C432)</f>
        <v/>
      </c>
      <c r="D2352" s="61">
        <f>IF('Calendario D'!D432="","",'Calendario D'!D432)</f>
        <v/>
      </c>
      <c r="E2352" s="62">
        <f>IF('Calendario D'!E432="","",'Calendario D'!E432)</f>
        <v/>
      </c>
      <c r="F2352" s="63">
        <f>IF('Calendario D'!F432="","",'Calendario D'!F432)</f>
        <v/>
      </c>
      <c r="G2352" s="9" t="n"/>
      <c r="H2352" s="9" t="n"/>
      <c r="I2352" s="10" t="n"/>
      <c r="J2352" s="195">
        <f>IF('Calendario D'!J432="","",'Calendario D'!J432)</f>
        <v/>
      </c>
      <c r="K2352" s="64" t="inlineStr">
        <is>
          <t>-</t>
        </is>
      </c>
      <c r="L2352" s="195">
        <f>IF('Calendario D'!L432="","",'Calendario D'!L432)</f>
        <v/>
      </c>
      <c r="M2352" s="196" t="inlineStr">
        <is>
          <t>VIDMAR Stefano [AAt]</t>
        </is>
      </c>
      <c r="N2352" s="196" t="inlineStr">
        <is>
          <t>SOLER Ottavia [AAt]</t>
        </is>
      </c>
      <c r="O2352" s="196" t="inlineStr">
        <is>
          <t>FOURNIER Ottavia [A]</t>
        </is>
      </c>
      <c r="P2352" s="196" t="inlineStr">
        <is>
          <t>BIANCHELLI Ottavia</t>
        </is>
      </c>
      <c r="Q2352" s="196" t="inlineStr">
        <is>
          <t>ROSSINI Gaelle</t>
        </is>
      </c>
      <c r="R2352" s="196" t="inlineStr">
        <is>
          <t>BLANCO Giulia</t>
        </is>
      </c>
    </row>
    <row r="2353" ht="15" customHeight="1">
      <c r="A2353" s="141" t="n"/>
      <c r="B2353" s="69">
        <f>IF('Calendario D'!B433="","",'Calendario D'!B433)</f>
        <v/>
      </c>
      <c r="C2353" s="9" t="n"/>
      <c r="D2353" s="9" t="n"/>
      <c r="E2353" s="9" t="n"/>
      <c r="F2353" s="9" t="n"/>
      <c r="G2353" s="9" t="n"/>
      <c r="H2353" s="10" t="n"/>
      <c r="I2353" s="62">
        <f>IF('Calendario D'!I433="","",'Calendario D'!I433)</f>
        <v/>
      </c>
      <c r="J2353" s="141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</row>
    <row r="2354" ht="14" customHeight="1">
      <c r="A2354" s="88" t="inlineStr">
        <is>
          <t>Gara N.</t>
        </is>
      </c>
      <c r="B2354" s="88" t="inlineStr">
        <is>
          <t>Squadra A</t>
        </is>
      </c>
      <c r="C2354" s="10" t="n"/>
      <c r="D2354" s="88" t="inlineStr">
        <is>
          <t>Squadra B</t>
        </is>
      </c>
      <c r="E2354" s="10" t="n"/>
      <c r="F2354" s="88" t="inlineStr">
        <is>
          <t>Giorno</t>
        </is>
      </c>
      <c r="G2354" s="88" t="inlineStr">
        <is>
          <t>Data</t>
        </is>
      </c>
      <c r="H2354" s="88" t="inlineStr">
        <is>
          <t>Ora</t>
        </is>
      </c>
      <c r="I2354" s="10" t="n"/>
      <c r="J2354" s="88" t="inlineStr">
        <is>
          <t>Risultato</t>
        </is>
      </c>
      <c r="K2354" s="9" t="n"/>
      <c r="L2354" s="10" t="n"/>
      <c r="M2354" s="203" t="inlineStr">
        <is>
          <t>1o Arbitro</t>
        </is>
      </c>
      <c r="N2354" s="203" t="inlineStr">
        <is>
          <t>2o Arbitro</t>
        </is>
      </c>
      <c r="O2354" s="203" t="inlineStr">
        <is>
          <t>3o Arbitro/Tirocinante</t>
        </is>
      </c>
      <c r="P2354" s="203" t="inlineStr">
        <is>
          <t>Referto</t>
        </is>
      </c>
      <c r="Q2354" s="203" t="inlineStr">
        <is>
          <t>Cronometro</t>
        </is>
      </c>
      <c r="R2354" s="203" t="inlineStr">
        <is>
          <t>Foglio Tiri</t>
        </is>
      </c>
    </row>
    <row r="2355" ht="22" customHeight="1">
      <c r="A2355" s="90">
        <f>IF('Calendario D'!A435="","",'Calendario D'!A435)</f>
        <v/>
      </c>
      <c r="B2355" s="61">
        <f>IF('Calendario D'!B435="","",'Calendario D'!B435)</f>
        <v/>
      </c>
      <c r="C2355" s="62">
        <f>IF('Calendario D'!C435="","",'Calendario D'!C435)</f>
        <v/>
      </c>
      <c r="D2355" s="61">
        <f>IF('Calendario D'!D435="","",'Calendario D'!D435)</f>
        <v/>
      </c>
      <c r="E2355" s="62">
        <f>IF('Calendario D'!E435="","",'Calendario D'!E435)</f>
        <v/>
      </c>
      <c r="F2355" s="63">
        <f>IF('Calendario D'!F435="","",'Calendario D'!F435)</f>
        <v/>
      </c>
      <c r="G2355" s="9" t="n"/>
      <c r="H2355" s="9" t="n"/>
      <c r="I2355" s="10" t="n"/>
      <c r="J2355" s="195">
        <f>IF('Calendario D'!J435="","",'Calendario D'!J435)</f>
        <v/>
      </c>
      <c r="K2355" s="64" t="inlineStr">
        <is>
          <t>-</t>
        </is>
      </c>
      <c r="L2355" s="195">
        <f>IF('Calendario D'!L435="","",'Calendario D'!L435)</f>
        <v/>
      </c>
      <c r="M2355" s="196" t="inlineStr">
        <is>
          <t>KELLER Marta [AAt]</t>
        </is>
      </c>
      <c r="N2355" s="196" t="inlineStr">
        <is>
          <t>PELLEGRI Chiara [AAt]</t>
        </is>
      </c>
      <c r="O2355" s="196" t="inlineStr">
        <is>
          <t>NAVARRO Katrin [A]</t>
        </is>
      </c>
      <c r="P2355" s="196" t="inlineStr">
        <is>
          <t>HOFFMANN Paolo</t>
        </is>
      </c>
      <c r="Q2355" s="196" t="inlineStr">
        <is>
          <t>FUENTES Chiara</t>
        </is>
      </c>
      <c r="R2355" s="196" t="inlineStr">
        <is>
          <t>FUENTES Matteo</t>
        </is>
      </c>
    </row>
    <row r="2356" ht="15" customHeight="1">
      <c r="A2356" s="141" t="n"/>
      <c r="B2356" s="69">
        <f>IF('Calendario D'!B436="","",'Calendario D'!B436)</f>
        <v/>
      </c>
      <c r="C2356" s="9" t="n"/>
      <c r="D2356" s="9" t="n"/>
      <c r="E2356" s="9" t="n"/>
      <c r="F2356" s="9" t="n"/>
      <c r="G2356" s="9" t="n"/>
      <c r="H2356" s="10" t="n"/>
      <c r="I2356" s="62">
        <f>IF('Calendario D'!I436="","",'Calendario D'!I436)</f>
        <v/>
      </c>
      <c r="J2356" s="141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</row>
    <row r="2357" ht="14" customHeight="1">
      <c r="A2357" s="88" t="inlineStr">
        <is>
          <t>Gara N.</t>
        </is>
      </c>
      <c r="B2357" s="88" t="inlineStr">
        <is>
          <t>Squadra A</t>
        </is>
      </c>
      <c r="C2357" s="10" t="n"/>
      <c r="D2357" s="88" t="inlineStr">
        <is>
          <t>Squadra B</t>
        </is>
      </c>
      <c r="E2357" s="10" t="n"/>
      <c r="F2357" s="88" t="inlineStr">
        <is>
          <t>Giorno</t>
        </is>
      </c>
      <c r="G2357" s="88" t="inlineStr">
        <is>
          <t>Data</t>
        </is>
      </c>
      <c r="H2357" s="88" t="inlineStr">
        <is>
          <t>Ora</t>
        </is>
      </c>
      <c r="I2357" s="10" t="n"/>
      <c r="J2357" s="88" t="inlineStr">
        <is>
          <t>Risultato</t>
        </is>
      </c>
      <c r="K2357" s="9" t="n"/>
      <c r="L2357" s="10" t="n"/>
      <c r="M2357" s="203" t="inlineStr">
        <is>
          <t>1o Arbitro</t>
        </is>
      </c>
      <c r="N2357" s="203" t="inlineStr">
        <is>
          <t>2o Arbitro</t>
        </is>
      </c>
      <c r="O2357" s="203" t="inlineStr">
        <is>
          <t>3o Arbitro/Tirocinante</t>
        </is>
      </c>
      <c r="P2357" s="203" t="inlineStr">
        <is>
          <t>Referto</t>
        </is>
      </c>
      <c r="Q2357" s="203" t="inlineStr">
        <is>
          <t>Cronometro</t>
        </is>
      </c>
      <c r="R2357" s="203" t="inlineStr">
        <is>
          <t>Foglio Tiri</t>
        </is>
      </c>
    </row>
    <row r="2358" ht="22" customHeight="1">
      <c r="A2358" s="90">
        <f>IF('Calendario D'!A438="","",'Calendario D'!A438)</f>
        <v/>
      </c>
      <c r="B2358" s="61">
        <f>IF('Calendario D'!B438="","",'Calendario D'!B438)</f>
        <v/>
      </c>
      <c r="C2358" s="62">
        <f>IF('Calendario D'!C438="","",'Calendario D'!C438)</f>
        <v/>
      </c>
      <c r="D2358" s="61">
        <f>IF('Calendario D'!D438="","",'Calendario D'!D438)</f>
        <v/>
      </c>
      <c r="E2358" s="62">
        <f>IF('Calendario D'!E438="","",'Calendario D'!E438)</f>
        <v/>
      </c>
      <c r="F2358" s="63">
        <f>IF('Calendario D'!F438="","",'Calendario D'!F438)</f>
        <v/>
      </c>
      <c r="G2358" s="9" t="n"/>
      <c r="H2358" s="9" t="n"/>
      <c r="I2358" s="10" t="n"/>
      <c r="J2358" s="195">
        <f>IF('Calendario D'!J438="","",'Calendario D'!J438)</f>
        <v/>
      </c>
      <c r="K2358" s="64" t="inlineStr">
        <is>
          <t>-</t>
        </is>
      </c>
      <c r="L2358" s="195">
        <f>IF('Calendario D'!L438="","",'Calendario D'!L438)</f>
        <v/>
      </c>
      <c r="M2358" s="196" t="inlineStr">
        <is>
          <t>ENGEL Filippo [A]</t>
        </is>
      </c>
      <c r="N2358" s="196" t="inlineStr">
        <is>
          <t>MORETTO Jonas [AAt]</t>
        </is>
      </c>
      <c r="O2358" s="196" t="inlineStr">
        <is>
          <t>VIDMAR Matteo [AA]</t>
        </is>
      </c>
      <c r="P2358" s="196" t="inlineStr">
        <is>
          <t>BLANCO Irene</t>
        </is>
      </c>
      <c r="Q2358" s="196" t="inlineStr">
        <is>
          <t>GALLINI Gaelle</t>
        </is>
      </c>
      <c r="R2358" s="196" t="inlineStr">
        <is>
          <t>ROTH Paula</t>
        </is>
      </c>
    </row>
    <row r="2359" ht="15" customHeight="1">
      <c r="A2359" s="141" t="n"/>
      <c r="B2359" s="69">
        <f>IF('Calendario D'!B439="","",'Calendario D'!B439)</f>
        <v/>
      </c>
      <c r="C2359" s="9" t="n"/>
      <c r="D2359" s="9" t="n"/>
      <c r="E2359" s="9" t="n"/>
      <c r="F2359" s="9" t="n"/>
      <c r="G2359" s="9" t="n"/>
      <c r="H2359" s="10" t="n"/>
      <c r="I2359" s="62">
        <f>IF('Calendario D'!I439="","",'Calendario D'!I439)</f>
        <v/>
      </c>
      <c r="J2359" s="141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</row>
    <row r="2360" ht="14" customHeight="1">
      <c r="A2360" s="88" t="inlineStr">
        <is>
          <t>Gara N.</t>
        </is>
      </c>
      <c r="B2360" s="88" t="inlineStr">
        <is>
          <t>Squadra A</t>
        </is>
      </c>
      <c r="C2360" s="10" t="n"/>
      <c r="D2360" s="88" t="inlineStr">
        <is>
          <t>Squadra B</t>
        </is>
      </c>
      <c r="E2360" s="10" t="n"/>
      <c r="F2360" s="88" t="inlineStr">
        <is>
          <t>Giorno</t>
        </is>
      </c>
      <c r="G2360" s="88" t="inlineStr">
        <is>
          <t>Data</t>
        </is>
      </c>
      <c r="H2360" s="88" t="inlineStr">
        <is>
          <t>Ora</t>
        </is>
      </c>
      <c r="I2360" s="10" t="n"/>
      <c r="J2360" s="88" t="inlineStr">
        <is>
          <t>Risultato</t>
        </is>
      </c>
      <c r="K2360" s="9" t="n"/>
      <c r="L2360" s="10" t="n"/>
      <c r="M2360" s="203" t="inlineStr">
        <is>
          <t>1o Arbitro</t>
        </is>
      </c>
      <c r="N2360" s="203" t="inlineStr">
        <is>
          <t>2o Arbitro</t>
        </is>
      </c>
      <c r="O2360" s="203" t="inlineStr">
        <is>
          <t>3o Arbitro/Tirocinante</t>
        </is>
      </c>
      <c r="P2360" s="203" t="inlineStr">
        <is>
          <t>Referto</t>
        </is>
      </c>
      <c r="Q2360" s="203" t="inlineStr">
        <is>
          <t>Cronometro</t>
        </is>
      </c>
      <c r="R2360" s="203" t="inlineStr">
        <is>
          <t>Foglio Tiri</t>
        </is>
      </c>
    </row>
    <row r="2361" ht="22" customHeight="1">
      <c r="A2361" s="90">
        <f>IF('Calendario D'!A441="","",'Calendario D'!A441)</f>
        <v/>
      </c>
      <c r="B2361" s="61">
        <f>IF('Calendario D'!B441="","",'Calendario D'!B441)</f>
        <v/>
      </c>
      <c r="C2361" s="62">
        <f>IF('Calendario D'!C441="","",'Calendario D'!C441)</f>
        <v/>
      </c>
      <c r="D2361" s="61">
        <f>IF('Calendario D'!D441="","",'Calendario D'!D441)</f>
        <v/>
      </c>
      <c r="E2361" s="62">
        <f>IF('Calendario D'!E441="","",'Calendario D'!E441)</f>
        <v/>
      </c>
      <c r="F2361" s="63">
        <f>IF('Calendario D'!F441="","",'Calendario D'!F441)</f>
        <v/>
      </c>
      <c r="G2361" s="9" t="n"/>
      <c r="H2361" s="9" t="n"/>
      <c r="I2361" s="10" t="n"/>
      <c r="J2361" s="195">
        <f>IF('Calendario D'!J441="","",'Calendario D'!J441)</f>
        <v/>
      </c>
      <c r="K2361" s="64" t="inlineStr">
        <is>
          <t>-</t>
        </is>
      </c>
      <c r="L2361" s="195">
        <f>IF('Calendario D'!L441="","",'Calendario D'!L441)</f>
        <v/>
      </c>
      <c r="M2361" s="196" t="inlineStr">
        <is>
          <t>BLANCHET Valerie [A]</t>
        </is>
      </c>
      <c r="N2361" s="196" t="inlineStr">
        <is>
          <t>WEBER Filippo [AA]</t>
        </is>
      </c>
      <c r="O2361" s="196" t="inlineStr">
        <is>
          <t>MARCHIONI Lukas [AAt]</t>
        </is>
      </c>
      <c r="P2361" s="196" t="inlineStr">
        <is>
          <t>KOVAC Gaelle</t>
        </is>
      </c>
      <c r="Q2361" s="196" t="inlineStr">
        <is>
          <t>NOVAK Tommaso</t>
        </is>
      </c>
      <c r="R2361" s="196" t="inlineStr">
        <is>
          <t>BELLANDI Lukas</t>
        </is>
      </c>
    </row>
    <row r="2362" ht="15" customHeight="1">
      <c r="A2362" s="141" t="n"/>
      <c r="B2362" s="69">
        <f>IF('Calendario D'!B442="","",'Calendario D'!B442)</f>
        <v/>
      </c>
      <c r="C2362" s="9" t="n"/>
      <c r="D2362" s="9" t="n"/>
      <c r="E2362" s="9" t="n"/>
      <c r="F2362" s="9" t="n"/>
      <c r="G2362" s="9" t="n"/>
      <c r="H2362" s="10" t="n"/>
      <c r="I2362" s="62">
        <f>IF('Calendario D'!I442="","",'Calendario D'!I442)</f>
        <v/>
      </c>
      <c r="J2362" s="141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</row>
    <row r="2363" ht="14" customHeight="1">
      <c r="A2363" s="88" t="inlineStr">
        <is>
          <t>Gara N.</t>
        </is>
      </c>
      <c r="B2363" s="88" t="inlineStr">
        <is>
          <t>Squadra A</t>
        </is>
      </c>
      <c r="C2363" s="10" t="n"/>
      <c r="D2363" s="88" t="inlineStr">
        <is>
          <t>Squadra B</t>
        </is>
      </c>
      <c r="E2363" s="10" t="n"/>
      <c r="F2363" s="88" t="inlineStr">
        <is>
          <t>Giorno</t>
        </is>
      </c>
      <c r="G2363" s="88" t="inlineStr">
        <is>
          <t>Data</t>
        </is>
      </c>
      <c r="H2363" s="88" t="inlineStr">
        <is>
          <t>Ora</t>
        </is>
      </c>
      <c r="I2363" s="10" t="n"/>
      <c r="J2363" s="88" t="inlineStr">
        <is>
          <t>Risultato</t>
        </is>
      </c>
      <c r="K2363" s="9" t="n"/>
      <c r="L2363" s="10" t="n"/>
      <c r="M2363" s="203" t="inlineStr">
        <is>
          <t>1o Arbitro</t>
        </is>
      </c>
      <c r="N2363" s="203" t="inlineStr">
        <is>
          <t>2o Arbitro</t>
        </is>
      </c>
      <c r="O2363" s="203" t="inlineStr">
        <is>
          <t>3o Arbitro/Tirocinante</t>
        </is>
      </c>
      <c r="P2363" s="203" t="inlineStr">
        <is>
          <t>Referto</t>
        </is>
      </c>
      <c r="Q2363" s="203" t="inlineStr">
        <is>
          <t>Cronometro</t>
        </is>
      </c>
      <c r="R2363" s="203" t="inlineStr">
        <is>
          <t>Foglio Tiri</t>
        </is>
      </c>
    </row>
    <row r="2364" ht="22" customHeight="1">
      <c r="A2364" s="90">
        <f>IF('Calendario D'!A444="","",'Calendario D'!A444)</f>
        <v/>
      </c>
      <c r="B2364" s="61">
        <f>IF('Calendario D'!B444="","",'Calendario D'!B444)</f>
        <v/>
      </c>
      <c r="C2364" s="62">
        <f>IF('Calendario D'!C444="","",'Calendario D'!C444)</f>
        <v/>
      </c>
      <c r="D2364" s="61">
        <f>IF('Calendario D'!D444="","",'Calendario D'!D444)</f>
        <v/>
      </c>
      <c r="E2364" s="62">
        <f>IF('Calendario D'!E444="","",'Calendario D'!E444)</f>
        <v/>
      </c>
      <c r="F2364" s="63">
        <f>IF('Calendario D'!F444="","",'Calendario D'!F444)</f>
        <v/>
      </c>
      <c r="G2364" s="9" t="n"/>
      <c r="H2364" s="9" t="n"/>
      <c r="I2364" s="10" t="n"/>
      <c r="J2364" s="195">
        <f>IF('Calendario D'!J444="","",'Calendario D'!J444)</f>
        <v/>
      </c>
      <c r="K2364" s="64" t="inlineStr">
        <is>
          <t>-</t>
        </is>
      </c>
      <c r="L2364" s="195">
        <f>IF('Calendario D'!L444="","",'Calendario D'!L444)</f>
        <v/>
      </c>
      <c r="M2364" s="196" t="inlineStr">
        <is>
          <t>SCHAFER Eva [AA]</t>
        </is>
      </c>
      <c r="N2364" s="196" t="inlineStr">
        <is>
          <t>LEFEVRE Sofia [AAt]</t>
        </is>
      </c>
      <c r="O2364" s="196" t="inlineStr">
        <is>
          <t>SOLER Davide [A]</t>
        </is>
      </c>
      <c r="P2364" s="196" t="inlineStr">
        <is>
          <t>PELLEGRI Eva</t>
        </is>
      </c>
      <c r="Q2364" s="196" t="inlineStr">
        <is>
          <t>PRADO Marco</t>
        </is>
      </c>
      <c r="R2364" s="196" t="inlineStr">
        <is>
          <t>LANGER Katrin</t>
        </is>
      </c>
    </row>
    <row r="2365" ht="15" customHeight="1">
      <c r="A2365" s="141" t="n"/>
      <c r="B2365" s="69">
        <f>IF('Calendario D'!B445="","",'Calendario D'!B445)</f>
        <v/>
      </c>
      <c r="C2365" s="9" t="n"/>
      <c r="D2365" s="9" t="n"/>
      <c r="E2365" s="9" t="n"/>
      <c r="F2365" s="9" t="n"/>
      <c r="G2365" s="9" t="n"/>
      <c r="H2365" s="10" t="n"/>
      <c r="I2365" s="62">
        <f>IF('Calendario D'!I445="","",'Calendario D'!I445)</f>
        <v/>
      </c>
      <c r="J2365" s="141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</row>
    <row r="2366" ht="14" customHeight="1">
      <c r="A2366" s="88" t="inlineStr">
        <is>
          <t>Gara N.</t>
        </is>
      </c>
      <c r="B2366" s="88" t="inlineStr">
        <is>
          <t>Squadra A</t>
        </is>
      </c>
      <c r="C2366" s="10" t="n"/>
      <c r="D2366" s="88" t="inlineStr">
        <is>
          <t>Squadra B</t>
        </is>
      </c>
      <c r="E2366" s="10" t="n"/>
      <c r="F2366" s="88" t="inlineStr">
        <is>
          <t>Giorno</t>
        </is>
      </c>
      <c r="G2366" s="88" t="inlineStr">
        <is>
          <t>Data</t>
        </is>
      </c>
      <c r="H2366" s="88" t="inlineStr">
        <is>
          <t>Ora</t>
        </is>
      </c>
      <c r="I2366" s="10" t="n"/>
      <c r="J2366" s="88" t="inlineStr">
        <is>
          <t>Risultato</t>
        </is>
      </c>
      <c r="K2366" s="9" t="n"/>
      <c r="L2366" s="10" t="n"/>
      <c r="M2366" s="203" t="inlineStr">
        <is>
          <t>1o Arbitro</t>
        </is>
      </c>
      <c r="N2366" s="203" t="inlineStr">
        <is>
          <t>2o Arbitro</t>
        </is>
      </c>
      <c r="O2366" s="203" t="inlineStr">
        <is>
          <t>3o Arbitro/Tirocinante</t>
        </is>
      </c>
      <c r="P2366" s="203" t="inlineStr">
        <is>
          <t>Referto</t>
        </is>
      </c>
      <c r="Q2366" s="203" t="inlineStr">
        <is>
          <t>Cronometro</t>
        </is>
      </c>
      <c r="R2366" s="203" t="inlineStr">
        <is>
          <t>Foglio Tiri</t>
        </is>
      </c>
    </row>
    <row r="2367" ht="22" customHeight="1">
      <c r="A2367" s="90">
        <f>IF('Calendario D'!A447="","",'Calendario D'!A447)</f>
        <v/>
      </c>
      <c r="B2367" s="61">
        <f>IF('Calendario D'!B447="","",'Calendario D'!B447)</f>
        <v/>
      </c>
      <c r="C2367" s="62">
        <f>IF('Calendario D'!C447="","",'Calendario D'!C447)</f>
        <v/>
      </c>
      <c r="D2367" s="61">
        <f>IF('Calendario D'!D447="","",'Calendario D'!D447)</f>
        <v/>
      </c>
      <c r="E2367" s="62">
        <f>IF('Calendario D'!E447="","",'Calendario D'!E447)</f>
        <v/>
      </c>
      <c r="F2367" s="63">
        <f>IF('Calendario D'!F447="","",'Calendario D'!F447)</f>
        <v/>
      </c>
      <c r="G2367" s="9" t="n"/>
      <c r="H2367" s="9" t="n"/>
      <c r="I2367" s="10" t="n"/>
      <c r="J2367" s="195">
        <f>IF('Calendario D'!J447="","",'Calendario D'!J447)</f>
        <v/>
      </c>
      <c r="K2367" s="64" t="inlineStr">
        <is>
          <t>-</t>
        </is>
      </c>
      <c r="L2367" s="195">
        <f>IF('Calendario D'!L447="","",'Calendario D'!L447)</f>
        <v/>
      </c>
      <c r="M2367" s="196" t="inlineStr">
        <is>
          <t>MOREAU Pablo [AAt]</t>
        </is>
      </c>
      <c r="N2367" s="196" t="inlineStr">
        <is>
          <t>MORETTO Jonas [AAt]</t>
        </is>
      </c>
      <c r="O2367" s="196" t="inlineStr">
        <is>
          <t>HORVAT Giulia [A]</t>
        </is>
      </c>
      <c r="P2367" s="196" t="inlineStr">
        <is>
          <t>ROMERO Elena</t>
        </is>
      </c>
      <c r="Q2367" s="196" t="inlineStr">
        <is>
          <t>LEROUX Stefano</t>
        </is>
      </c>
      <c r="R2367" s="196" t="inlineStr">
        <is>
          <t>NOVAK Giulia</t>
        </is>
      </c>
    </row>
    <row r="2368" ht="15" customHeight="1">
      <c r="A2368" s="141" t="n"/>
      <c r="B2368" s="69">
        <f>IF('Calendario D'!B448="","",'Calendario D'!B448)</f>
        <v/>
      </c>
      <c r="C2368" s="9" t="n"/>
      <c r="D2368" s="9" t="n"/>
      <c r="E2368" s="9" t="n"/>
      <c r="F2368" s="9" t="n"/>
      <c r="G2368" s="9" t="n"/>
      <c r="H2368" s="10" t="n"/>
      <c r="I2368" s="62">
        <f>IF('Calendario D'!I448="","",'Calendario D'!I448)</f>
        <v/>
      </c>
      <c r="J2368" s="141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</row>
    <row r="2369" ht="14" customHeight="1">
      <c r="A2369" s="88" t="inlineStr">
        <is>
          <t>Gara N.</t>
        </is>
      </c>
      <c r="B2369" s="88" t="inlineStr">
        <is>
          <t>Squadra A</t>
        </is>
      </c>
      <c r="C2369" s="10" t="n"/>
      <c r="D2369" s="88" t="inlineStr">
        <is>
          <t>Squadra B</t>
        </is>
      </c>
      <c r="E2369" s="10" t="n"/>
      <c r="F2369" s="88" t="inlineStr">
        <is>
          <t>Giorno</t>
        </is>
      </c>
      <c r="G2369" s="88" t="inlineStr">
        <is>
          <t>Data</t>
        </is>
      </c>
      <c r="H2369" s="88" t="inlineStr">
        <is>
          <t>Ora</t>
        </is>
      </c>
      <c r="I2369" s="10" t="n"/>
      <c r="J2369" s="88" t="inlineStr">
        <is>
          <t>Risultato</t>
        </is>
      </c>
      <c r="K2369" s="9" t="n"/>
      <c r="L2369" s="10" t="n"/>
      <c r="M2369" s="203" t="inlineStr">
        <is>
          <t>1o Arbitro</t>
        </is>
      </c>
      <c r="N2369" s="203" t="inlineStr">
        <is>
          <t>2o Arbitro</t>
        </is>
      </c>
      <c r="O2369" s="203" t="inlineStr">
        <is>
          <t>3o Arbitro/Tirocinante</t>
        </is>
      </c>
      <c r="P2369" s="203" t="inlineStr">
        <is>
          <t>Referto</t>
        </is>
      </c>
      <c r="Q2369" s="203" t="inlineStr">
        <is>
          <t>Cronometro</t>
        </is>
      </c>
      <c r="R2369" s="203" t="inlineStr">
        <is>
          <t>Foglio Tiri</t>
        </is>
      </c>
    </row>
    <row r="2370" ht="22" customHeight="1">
      <c r="A2370" s="90">
        <f>IF('Calendario D'!A450="","",'Calendario D'!A450)</f>
        <v/>
      </c>
      <c r="B2370" s="61">
        <f>IF('Calendario D'!B450="","",'Calendario D'!B450)</f>
        <v/>
      </c>
      <c r="C2370" s="62">
        <f>IF('Calendario D'!C450="","",'Calendario D'!C450)</f>
        <v/>
      </c>
      <c r="D2370" s="61">
        <f>IF('Calendario D'!D450="","",'Calendario D'!D450)</f>
        <v/>
      </c>
      <c r="E2370" s="62">
        <f>IF('Calendario D'!E450="","",'Calendario D'!E450)</f>
        <v/>
      </c>
      <c r="F2370" s="63">
        <f>IF('Calendario D'!F450="","",'Calendario D'!F450)</f>
        <v/>
      </c>
      <c r="G2370" s="9" t="n"/>
      <c r="H2370" s="9" t="n"/>
      <c r="I2370" s="10" t="n"/>
      <c r="J2370" s="195">
        <f>IF('Calendario D'!J450="","",'Calendario D'!J450)</f>
        <v/>
      </c>
      <c r="K2370" s="64" t="inlineStr">
        <is>
          <t>-</t>
        </is>
      </c>
      <c r="L2370" s="195">
        <f>IF('Calendario D'!L450="","",'Calendario D'!L450)</f>
        <v/>
      </c>
      <c r="M2370" s="196" t="inlineStr">
        <is>
          <t>PRADO Diego [Aest]</t>
        </is>
      </c>
      <c r="N2370" s="196" t="inlineStr">
        <is>
          <t>FUENTES Valerie [AAt]</t>
        </is>
      </c>
      <c r="O2370" s="196" t="inlineStr">
        <is>
          <t>BLANCO Tommaso [AAt]</t>
        </is>
      </c>
      <c r="P2370" s="196" t="inlineStr">
        <is>
          <t>PRADO Eva</t>
        </is>
      </c>
      <c r="Q2370" s="196" t="inlineStr">
        <is>
          <t>MOREAU Felix</t>
        </is>
      </c>
      <c r="R2370" s="196" t="inlineStr">
        <is>
          <t>NOVAK Lukas</t>
        </is>
      </c>
    </row>
    <row r="2371" ht="15" customHeight="1">
      <c r="A2371" s="141" t="n"/>
      <c r="B2371" s="69">
        <f>IF('Calendario D'!B451="","",'Calendario D'!B451)</f>
        <v/>
      </c>
      <c r="C2371" s="9" t="n"/>
      <c r="D2371" s="9" t="n"/>
      <c r="E2371" s="9" t="n"/>
      <c r="F2371" s="9" t="n"/>
      <c r="G2371" s="9" t="n"/>
      <c r="H2371" s="10" t="n"/>
      <c r="I2371" s="62">
        <f>IF('Calendario D'!I451="","",'Calendario D'!I451)</f>
        <v/>
      </c>
      <c r="J2371" s="141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</row>
    <row r="2372" ht="14" customHeight="1">
      <c r="A2372" s="88" t="inlineStr">
        <is>
          <t>Gara N.</t>
        </is>
      </c>
      <c r="B2372" s="88" t="inlineStr">
        <is>
          <t>Squadra A</t>
        </is>
      </c>
      <c r="C2372" s="10" t="n"/>
      <c r="D2372" s="88" t="inlineStr">
        <is>
          <t>Squadra B</t>
        </is>
      </c>
      <c r="E2372" s="10" t="n"/>
      <c r="F2372" s="88" t="inlineStr">
        <is>
          <t>Giorno</t>
        </is>
      </c>
      <c r="G2372" s="88" t="inlineStr">
        <is>
          <t>Data</t>
        </is>
      </c>
      <c r="H2372" s="88" t="inlineStr">
        <is>
          <t>Ora</t>
        </is>
      </c>
      <c r="I2372" s="10" t="n"/>
      <c r="J2372" s="88" t="inlineStr">
        <is>
          <t>Risultato</t>
        </is>
      </c>
      <c r="K2372" s="9" t="n"/>
      <c r="L2372" s="10" t="n"/>
      <c r="M2372" s="203" t="inlineStr">
        <is>
          <t>1o Arbitro</t>
        </is>
      </c>
      <c r="N2372" s="203" t="inlineStr">
        <is>
          <t>2o Arbitro</t>
        </is>
      </c>
      <c r="O2372" s="203" t="inlineStr">
        <is>
          <t>3o Arbitro/Tirocinante</t>
        </is>
      </c>
      <c r="P2372" s="203" t="inlineStr">
        <is>
          <t>Referto</t>
        </is>
      </c>
      <c r="Q2372" s="203" t="inlineStr">
        <is>
          <t>Cronometro</t>
        </is>
      </c>
      <c r="R2372" s="203" t="inlineStr">
        <is>
          <t>Foglio Tiri</t>
        </is>
      </c>
    </row>
    <row r="2373" ht="22" customHeight="1">
      <c r="A2373" s="90">
        <f>IF('Calendario D'!A453="","",'Calendario D'!A453)</f>
        <v/>
      </c>
      <c r="B2373" s="61">
        <f>IF('Calendario D'!B453="","",'Calendario D'!B453)</f>
        <v/>
      </c>
      <c r="C2373" s="62">
        <f>IF('Calendario D'!C453="","",'Calendario D'!C453)</f>
        <v/>
      </c>
      <c r="D2373" s="61">
        <f>IF('Calendario D'!D453="","",'Calendario D'!D453)</f>
        <v/>
      </c>
      <c r="E2373" s="62">
        <f>IF('Calendario D'!E453="","",'Calendario D'!E453)</f>
        <v/>
      </c>
      <c r="F2373" s="63">
        <f>IF('Calendario D'!F453="","",'Calendario D'!F453)</f>
        <v/>
      </c>
      <c r="G2373" s="9" t="n"/>
      <c r="H2373" s="9" t="n"/>
      <c r="I2373" s="10" t="n"/>
      <c r="J2373" s="195">
        <f>IF('Calendario D'!J453="","",'Calendario D'!J453)</f>
        <v/>
      </c>
      <c r="K2373" s="64" t="inlineStr">
        <is>
          <t>-</t>
        </is>
      </c>
      <c r="L2373" s="195">
        <f>IF('Calendario D'!L453="","",'Calendario D'!L453)</f>
        <v/>
      </c>
      <c r="M2373" s="196" t="inlineStr">
        <is>
          <t>SOLER Stefano [A]</t>
        </is>
      </c>
      <c r="N2373" s="196" t="inlineStr">
        <is>
          <t>NOVAK Felix [A]</t>
        </is>
      </c>
      <c r="O2373" s="196" t="inlineStr">
        <is>
          <t>PRADO Diego [Aest]</t>
        </is>
      </c>
      <c r="P2373" s="196" t="inlineStr">
        <is>
          <t>HOFFMANN Tommaso</t>
        </is>
      </c>
      <c r="Q2373" s="196" t="inlineStr">
        <is>
          <t>FOURNIER Stefano</t>
        </is>
      </c>
      <c r="R2373" s="196" t="inlineStr">
        <is>
          <t>VIDMAR Ilaria</t>
        </is>
      </c>
    </row>
    <row r="2374" ht="15" customHeight="1">
      <c r="A2374" s="141" t="n"/>
      <c r="B2374" s="69">
        <f>IF('Calendario D'!B454="","",'Calendario D'!B454)</f>
        <v/>
      </c>
      <c r="C2374" s="9" t="n"/>
      <c r="D2374" s="9" t="n"/>
      <c r="E2374" s="9" t="n"/>
      <c r="F2374" s="9" t="n"/>
      <c r="G2374" s="9" t="n"/>
      <c r="H2374" s="10" t="n"/>
      <c r="I2374" s="62">
        <f>IF('Calendario D'!I454="","",'Calendario D'!I454)</f>
        <v/>
      </c>
      <c r="J2374" s="141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</row>
    <row r="2376" ht="20" customHeight="1">
      <c r="A2376" s="85">
        <f>IF('Calendario D'!A456="","",'Calendario D'!A456)</f>
        <v/>
      </c>
      <c r="B2376" s="86">
        <f>IF('Calendario D'!B456="","",'Calendario D'!B456)</f>
        <v/>
      </c>
      <c r="C2376" s="9" t="n"/>
      <c r="D2376" s="9" t="n"/>
      <c r="E2376" s="9" t="n"/>
      <c r="F2376" s="9" t="n"/>
      <c r="G2376" s="9" t="n"/>
      <c r="H2376" s="9" t="n"/>
      <c r="I2376" s="9" t="n"/>
      <c r="J2376" s="9" t="n"/>
      <c r="K2376" s="9" t="n"/>
      <c r="L2376" s="10" t="n"/>
      <c r="M2376" s="202" t="inlineStr">
        <is>
          <t>ARBITRI</t>
        </is>
      </c>
      <c r="N2376" s="9" t="n"/>
      <c r="O2376" s="10" t="n"/>
      <c r="P2376" s="202" t="inlineStr">
        <is>
          <t>UFFICIALI DI CAMPO</t>
        </is>
      </c>
      <c r="Q2376" s="9" t="n"/>
      <c r="R2376" s="10" t="n"/>
    </row>
    <row r="2377" ht="14" customHeight="1">
      <c r="A2377" s="88" t="inlineStr">
        <is>
          <t>Gara N.</t>
        </is>
      </c>
      <c r="B2377" s="88" t="inlineStr">
        <is>
          <t>Squadra A</t>
        </is>
      </c>
      <c r="C2377" s="10" t="n"/>
      <c r="D2377" s="88" t="inlineStr">
        <is>
          <t>Squadra B</t>
        </is>
      </c>
      <c r="E2377" s="10" t="n"/>
      <c r="F2377" s="88" t="inlineStr">
        <is>
          <t>Giorno</t>
        </is>
      </c>
      <c r="G2377" s="88" t="inlineStr">
        <is>
          <t>Data</t>
        </is>
      </c>
      <c r="H2377" s="88" t="inlineStr">
        <is>
          <t>Ora</t>
        </is>
      </c>
      <c r="I2377" s="10" t="n"/>
      <c r="J2377" s="88" t="inlineStr">
        <is>
          <t>Risultato</t>
        </is>
      </c>
      <c r="K2377" s="9" t="n"/>
      <c r="L2377" s="10" t="n"/>
      <c r="M2377" s="203" t="inlineStr">
        <is>
          <t>1o Arbitro</t>
        </is>
      </c>
      <c r="N2377" s="203" t="inlineStr">
        <is>
          <t>2o Arbitro</t>
        </is>
      </c>
      <c r="O2377" s="203" t="inlineStr">
        <is>
          <t>3o Arbitro/Tirocinante</t>
        </is>
      </c>
      <c r="P2377" s="203" t="inlineStr">
        <is>
          <t>Referto</t>
        </is>
      </c>
      <c r="Q2377" s="203" t="inlineStr">
        <is>
          <t>Cronometro</t>
        </is>
      </c>
      <c r="R2377" s="203" t="inlineStr">
        <is>
          <t>Foglio Tiri</t>
        </is>
      </c>
    </row>
    <row r="2378" ht="22" customHeight="1">
      <c r="A2378" s="90">
        <f>IF('Calendario D'!A458="","",'Calendario D'!A458)</f>
        <v/>
      </c>
      <c r="B2378" s="61">
        <f>IF('Calendario D'!B458="","",'Calendario D'!B458)</f>
        <v/>
      </c>
      <c r="C2378" s="62">
        <f>IF('Calendario D'!C458="","",'Calendario D'!C458)</f>
        <v/>
      </c>
      <c r="D2378" s="61">
        <f>IF('Calendario D'!D458="","",'Calendario D'!D458)</f>
        <v/>
      </c>
      <c r="E2378" s="62">
        <f>IF('Calendario D'!E458="","",'Calendario D'!E458)</f>
        <v/>
      </c>
      <c r="F2378" s="63">
        <f>IF('Calendario D'!F458="","",'Calendario D'!F458)</f>
        <v/>
      </c>
      <c r="G2378" s="9" t="n"/>
      <c r="H2378" s="9" t="n"/>
      <c r="I2378" s="10" t="n"/>
      <c r="J2378" s="195">
        <f>IF('Calendario D'!J458="","",'Calendario D'!J458)</f>
        <v/>
      </c>
      <c r="K2378" s="64" t="inlineStr">
        <is>
          <t>-</t>
        </is>
      </c>
      <c r="L2378" s="195">
        <f>IF('Calendario D'!L458="","",'Calendario D'!L458)</f>
        <v/>
      </c>
      <c r="M2378" s="196" t="inlineStr">
        <is>
          <t>BIANCHELLI Filippo [AAt]</t>
        </is>
      </c>
      <c r="N2378" s="196" t="inlineStr">
        <is>
          <t>KELLER Beatrice [AAt]</t>
        </is>
      </c>
      <c r="O2378" s="196" t="inlineStr">
        <is>
          <t>GALLINI Gaelle [A]</t>
        </is>
      </c>
      <c r="P2378" s="196" t="inlineStr">
        <is>
          <t>BRANDT Beatrice</t>
        </is>
      </c>
      <c r="Q2378" s="196" t="inlineStr">
        <is>
          <t>KRUGER Valerie</t>
        </is>
      </c>
      <c r="R2378" s="196" t="inlineStr">
        <is>
          <t>NOVAK Filippo</t>
        </is>
      </c>
    </row>
    <row r="2379" ht="15" customHeight="1">
      <c r="A2379" s="141" t="n"/>
      <c r="B2379" s="69">
        <f>IF('Calendario D'!B459="","",'Calendario D'!B459)</f>
        <v/>
      </c>
      <c r="C2379" s="9" t="n"/>
      <c r="D2379" s="9" t="n"/>
      <c r="E2379" s="9" t="n"/>
      <c r="F2379" s="9" t="n"/>
      <c r="G2379" s="9" t="n"/>
      <c r="H2379" s="10" t="n"/>
      <c r="I2379" s="62">
        <f>IF('Calendario D'!I459="","",'Calendario D'!I459)</f>
        <v/>
      </c>
      <c r="J2379" s="141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</row>
    <row r="2380" ht="14" customHeight="1">
      <c r="A2380" s="88" t="inlineStr">
        <is>
          <t>Gara N.</t>
        </is>
      </c>
      <c r="B2380" s="88" t="inlineStr">
        <is>
          <t>Squadra A</t>
        </is>
      </c>
      <c r="C2380" s="10" t="n"/>
      <c r="D2380" s="88" t="inlineStr">
        <is>
          <t>Squadra B</t>
        </is>
      </c>
      <c r="E2380" s="10" t="n"/>
      <c r="F2380" s="88" t="inlineStr">
        <is>
          <t>Giorno</t>
        </is>
      </c>
      <c r="G2380" s="88" t="inlineStr">
        <is>
          <t>Data</t>
        </is>
      </c>
      <c r="H2380" s="88" t="inlineStr">
        <is>
          <t>Ora</t>
        </is>
      </c>
      <c r="I2380" s="10" t="n"/>
      <c r="J2380" s="88" t="inlineStr">
        <is>
          <t>Risultato</t>
        </is>
      </c>
      <c r="K2380" s="9" t="n"/>
      <c r="L2380" s="10" t="n"/>
      <c r="M2380" s="203" t="inlineStr">
        <is>
          <t>1o Arbitro</t>
        </is>
      </c>
      <c r="N2380" s="203" t="inlineStr">
        <is>
          <t>2o Arbitro</t>
        </is>
      </c>
      <c r="O2380" s="203" t="inlineStr">
        <is>
          <t>3o Arbitro/Tirocinante</t>
        </is>
      </c>
      <c r="P2380" s="203" t="inlineStr">
        <is>
          <t>Referto</t>
        </is>
      </c>
      <c r="Q2380" s="203" t="inlineStr">
        <is>
          <t>Cronometro</t>
        </is>
      </c>
      <c r="R2380" s="203" t="inlineStr">
        <is>
          <t>Foglio Tiri</t>
        </is>
      </c>
    </row>
    <row r="2381" ht="22" customHeight="1">
      <c r="A2381" s="90">
        <f>IF('Calendario D'!A461="","",'Calendario D'!A461)</f>
        <v/>
      </c>
      <c r="B2381" s="61">
        <f>IF('Calendario D'!B461="","",'Calendario D'!B461)</f>
        <v/>
      </c>
      <c r="C2381" s="62">
        <f>IF('Calendario D'!C461="","",'Calendario D'!C461)</f>
        <v/>
      </c>
      <c r="D2381" s="61">
        <f>IF('Calendario D'!D461="","",'Calendario D'!D461)</f>
        <v/>
      </c>
      <c r="E2381" s="62">
        <f>IF('Calendario D'!E461="","",'Calendario D'!E461)</f>
        <v/>
      </c>
      <c r="F2381" s="63">
        <f>IF('Calendario D'!F461="","",'Calendario D'!F461)</f>
        <v/>
      </c>
      <c r="G2381" s="9" t="n"/>
      <c r="H2381" s="9" t="n"/>
      <c r="I2381" s="10" t="n"/>
      <c r="J2381" s="195">
        <f>IF('Calendario D'!J461="","",'Calendario D'!J461)</f>
        <v/>
      </c>
      <c r="K2381" s="64" t="inlineStr">
        <is>
          <t>-</t>
        </is>
      </c>
      <c r="L2381" s="195">
        <f>IF('Calendario D'!L461="","",'Calendario D'!L461)</f>
        <v/>
      </c>
      <c r="M2381" s="196" t="inlineStr">
        <is>
          <t>NOVAK Beatrice [Aest]</t>
        </is>
      </c>
      <c r="N2381" s="196" t="inlineStr">
        <is>
          <t>PRADO Diego [Aest]</t>
        </is>
      </c>
      <c r="O2381" s="196" t="inlineStr">
        <is>
          <t>VALLET Stefano [AAt]</t>
        </is>
      </c>
      <c r="P2381" s="196" t="inlineStr">
        <is>
          <t>BELLANDI Hugo</t>
        </is>
      </c>
      <c r="Q2381" s="196" t="inlineStr">
        <is>
          <t>SANTORI Pablo</t>
        </is>
      </c>
      <c r="R2381" s="196" t="inlineStr">
        <is>
          <t>GAUTHIER Pablo</t>
        </is>
      </c>
    </row>
    <row r="2382" ht="15" customHeight="1">
      <c r="A2382" s="141" t="n"/>
      <c r="B2382" s="69">
        <f>IF('Calendario D'!B462="","",'Calendario D'!B462)</f>
        <v/>
      </c>
      <c r="C2382" s="9" t="n"/>
      <c r="D2382" s="9" t="n"/>
      <c r="E2382" s="9" t="n"/>
      <c r="F2382" s="9" t="n"/>
      <c r="G2382" s="9" t="n"/>
      <c r="H2382" s="10" t="n"/>
      <c r="I2382" s="62">
        <f>IF('Calendario D'!I462="","",'Calendario D'!I462)</f>
        <v/>
      </c>
      <c r="J2382" s="141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</row>
    <row r="2383" ht="14" customHeight="1">
      <c r="A2383" s="88" t="inlineStr">
        <is>
          <t>Gara N.</t>
        </is>
      </c>
      <c r="B2383" s="88" t="inlineStr">
        <is>
          <t>Squadra A</t>
        </is>
      </c>
      <c r="C2383" s="10" t="n"/>
      <c r="D2383" s="88" t="inlineStr">
        <is>
          <t>Squadra B</t>
        </is>
      </c>
      <c r="E2383" s="10" t="n"/>
      <c r="F2383" s="88" t="inlineStr">
        <is>
          <t>Giorno</t>
        </is>
      </c>
      <c r="G2383" s="88" t="inlineStr">
        <is>
          <t>Data</t>
        </is>
      </c>
      <c r="H2383" s="88" t="inlineStr">
        <is>
          <t>Ora</t>
        </is>
      </c>
      <c r="I2383" s="10" t="n"/>
      <c r="J2383" s="88" t="inlineStr">
        <is>
          <t>Risultato</t>
        </is>
      </c>
      <c r="K2383" s="9" t="n"/>
      <c r="L2383" s="10" t="n"/>
      <c r="M2383" s="203" t="inlineStr">
        <is>
          <t>1o Arbitro</t>
        </is>
      </c>
      <c r="N2383" s="203" t="inlineStr">
        <is>
          <t>2o Arbitro</t>
        </is>
      </c>
      <c r="O2383" s="203" t="inlineStr">
        <is>
          <t>3o Arbitro/Tirocinante</t>
        </is>
      </c>
      <c r="P2383" s="203" t="inlineStr">
        <is>
          <t>Referto</t>
        </is>
      </c>
      <c r="Q2383" s="203" t="inlineStr">
        <is>
          <t>Cronometro</t>
        </is>
      </c>
      <c r="R2383" s="203" t="inlineStr">
        <is>
          <t>Foglio Tiri</t>
        </is>
      </c>
    </row>
    <row r="2384" ht="22" customHeight="1">
      <c r="A2384" s="90">
        <f>IF('Calendario D'!A464="","",'Calendario D'!A464)</f>
        <v/>
      </c>
      <c r="B2384" s="61">
        <f>IF('Calendario D'!B464="","",'Calendario D'!B464)</f>
        <v/>
      </c>
      <c r="C2384" s="62">
        <f>IF('Calendario D'!C464="","",'Calendario D'!C464)</f>
        <v/>
      </c>
      <c r="D2384" s="61">
        <f>IF('Calendario D'!D464="","",'Calendario D'!D464)</f>
        <v/>
      </c>
      <c r="E2384" s="62">
        <f>IF('Calendario D'!E464="","",'Calendario D'!E464)</f>
        <v/>
      </c>
      <c r="F2384" s="63">
        <f>IF('Calendario D'!F464="","",'Calendario D'!F464)</f>
        <v/>
      </c>
      <c r="G2384" s="9" t="n"/>
      <c r="H2384" s="9" t="n"/>
      <c r="I2384" s="10" t="n"/>
      <c r="J2384" s="195">
        <f>IF('Calendario D'!J464="","",'Calendario D'!J464)</f>
        <v/>
      </c>
      <c r="K2384" s="64" t="inlineStr">
        <is>
          <t>-</t>
        </is>
      </c>
      <c r="L2384" s="195">
        <f>IF('Calendario D'!L464="","",'Calendario D'!L464)</f>
        <v/>
      </c>
      <c r="M2384" s="196" t="inlineStr">
        <is>
          <t>BELLANDI Andrea [AA]</t>
        </is>
      </c>
      <c r="N2384" s="196" t="inlineStr">
        <is>
          <t>LANGER Valerie [Aest]</t>
        </is>
      </c>
      <c r="O2384" s="196" t="inlineStr">
        <is>
          <t>VIDMAR Eva [AA]</t>
        </is>
      </c>
      <c r="P2384" s="196" t="inlineStr">
        <is>
          <t>VOGEL Pablo</t>
        </is>
      </c>
      <c r="Q2384" s="196" t="inlineStr">
        <is>
          <t>KOVAC Lea</t>
        </is>
      </c>
      <c r="R2384" s="196" t="inlineStr">
        <is>
          <t>IGLESIAS Jonas</t>
        </is>
      </c>
    </row>
    <row r="2385" ht="15" customHeight="1">
      <c r="A2385" s="141" t="n"/>
      <c r="B2385" s="69">
        <f>IF('Calendario D'!B465="","",'Calendario D'!B465)</f>
        <v/>
      </c>
      <c r="C2385" s="9" t="n"/>
      <c r="D2385" s="9" t="n"/>
      <c r="E2385" s="9" t="n"/>
      <c r="F2385" s="9" t="n"/>
      <c r="G2385" s="9" t="n"/>
      <c r="H2385" s="10" t="n"/>
      <c r="I2385" s="62">
        <f>IF('Calendario D'!I465="","",'Calendario D'!I465)</f>
        <v/>
      </c>
      <c r="J2385" s="141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</row>
    <row r="2386" ht="14" customHeight="1">
      <c r="A2386" s="88" t="inlineStr">
        <is>
          <t>Gara N.</t>
        </is>
      </c>
      <c r="B2386" s="88" t="inlineStr">
        <is>
          <t>Squadra A</t>
        </is>
      </c>
      <c r="C2386" s="10" t="n"/>
      <c r="D2386" s="88" t="inlineStr">
        <is>
          <t>Squadra B</t>
        </is>
      </c>
      <c r="E2386" s="10" t="n"/>
      <c r="F2386" s="88" t="inlineStr">
        <is>
          <t>Giorno</t>
        </is>
      </c>
      <c r="G2386" s="88" t="inlineStr">
        <is>
          <t>Data</t>
        </is>
      </c>
      <c r="H2386" s="88" t="inlineStr">
        <is>
          <t>Ora</t>
        </is>
      </c>
      <c r="I2386" s="10" t="n"/>
      <c r="J2386" s="88" t="inlineStr">
        <is>
          <t>Risultato</t>
        </is>
      </c>
      <c r="K2386" s="9" t="n"/>
      <c r="L2386" s="10" t="n"/>
      <c r="M2386" s="203" t="inlineStr">
        <is>
          <t>1o Arbitro</t>
        </is>
      </c>
      <c r="N2386" s="203" t="inlineStr">
        <is>
          <t>2o Arbitro</t>
        </is>
      </c>
      <c r="O2386" s="203" t="inlineStr">
        <is>
          <t>3o Arbitro/Tirocinante</t>
        </is>
      </c>
      <c r="P2386" s="203" t="inlineStr">
        <is>
          <t>Referto</t>
        </is>
      </c>
      <c r="Q2386" s="203" t="inlineStr">
        <is>
          <t>Cronometro</t>
        </is>
      </c>
      <c r="R2386" s="203" t="inlineStr">
        <is>
          <t>Foglio Tiri</t>
        </is>
      </c>
    </row>
    <row r="2387" ht="22" customHeight="1">
      <c r="A2387" s="90">
        <f>IF('Calendario D'!A467="","",'Calendario D'!A467)</f>
        <v/>
      </c>
      <c r="B2387" s="61">
        <f>IF('Calendario D'!B467="","",'Calendario D'!B467)</f>
        <v/>
      </c>
      <c r="C2387" s="62">
        <f>IF('Calendario D'!C467="","",'Calendario D'!C467)</f>
        <v/>
      </c>
      <c r="D2387" s="61">
        <f>IF('Calendario D'!D467="","",'Calendario D'!D467)</f>
        <v/>
      </c>
      <c r="E2387" s="62">
        <f>IF('Calendario D'!E467="","",'Calendario D'!E467)</f>
        <v/>
      </c>
      <c r="F2387" s="63">
        <f>IF('Calendario D'!F467="","",'Calendario D'!F467)</f>
        <v/>
      </c>
      <c r="G2387" s="9" t="n"/>
      <c r="H2387" s="9" t="n"/>
      <c r="I2387" s="10" t="n"/>
      <c r="J2387" s="195">
        <f>IF('Calendario D'!J467="","",'Calendario D'!J467)</f>
        <v/>
      </c>
      <c r="K2387" s="64" t="inlineStr">
        <is>
          <t>-</t>
        </is>
      </c>
      <c r="L2387" s="195">
        <f>IF('Calendario D'!L467="","",'Calendario D'!L467)</f>
        <v/>
      </c>
      <c r="M2387" s="196" t="inlineStr">
        <is>
          <t>PETERLIN Filippo [AAt]</t>
        </is>
      </c>
      <c r="N2387" s="196" t="inlineStr">
        <is>
          <t>PRADO Giulia [AAt]</t>
        </is>
      </c>
      <c r="O2387" s="196" t="inlineStr">
        <is>
          <t>BELLANDI Vid [Aest]</t>
        </is>
      </c>
      <c r="P2387" s="196" t="inlineStr">
        <is>
          <t>ENGEL Nicola</t>
        </is>
      </c>
      <c r="Q2387" s="196" t="inlineStr">
        <is>
          <t>WEBER Jonas</t>
        </is>
      </c>
      <c r="R2387" s="196" t="inlineStr">
        <is>
          <t>IGLESIAS Giulia</t>
        </is>
      </c>
    </row>
    <row r="2388" ht="15" customHeight="1">
      <c r="A2388" s="141" t="n"/>
      <c r="B2388" s="69">
        <f>IF('Calendario D'!B468="","",'Calendario D'!B468)</f>
        <v/>
      </c>
      <c r="C2388" s="9" t="n"/>
      <c r="D2388" s="9" t="n"/>
      <c r="E2388" s="9" t="n"/>
      <c r="F2388" s="9" t="n"/>
      <c r="G2388" s="9" t="n"/>
      <c r="H2388" s="10" t="n"/>
      <c r="I2388" s="62">
        <f>IF('Calendario D'!I468="","",'Calendario D'!I468)</f>
        <v/>
      </c>
      <c r="J2388" s="141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</row>
    <row r="2389" ht="14" customHeight="1">
      <c r="A2389" s="88" t="inlineStr">
        <is>
          <t>Gara N.</t>
        </is>
      </c>
      <c r="B2389" s="88" t="inlineStr">
        <is>
          <t>Squadra A</t>
        </is>
      </c>
      <c r="C2389" s="10" t="n"/>
      <c r="D2389" s="88" t="inlineStr">
        <is>
          <t>Squadra B</t>
        </is>
      </c>
      <c r="E2389" s="10" t="n"/>
      <c r="F2389" s="88" t="inlineStr">
        <is>
          <t>Giorno</t>
        </is>
      </c>
      <c r="G2389" s="88" t="inlineStr">
        <is>
          <t>Data</t>
        </is>
      </c>
      <c r="H2389" s="88" t="inlineStr">
        <is>
          <t>Ora</t>
        </is>
      </c>
      <c r="I2389" s="10" t="n"/>
      <c r="J2389" s="88" t="inlineStr">
        <is>
          <t>Risultato</t>
        </is>
      </c>
      <c r="K2389" s="9" t="n"/>
      <c r="L2389" s="10" t="n"/>
      <c r="M2389" s="203" t="inlineStr">
        <is>
          <t>1o Arbitro</t>
        </is>
      </c>
      <c r="N2389" s="203" t="inlineStr">
        <is>
          <t>2o Arbitro</t>
        </is>
      </c>
      <c r="O2389" s="203" t="inlineStr">
        <is>
          <t>3o Arbitro/Tirocinante</t>
        </is>
      </c>
      <c r="P2389" s="203" t="inlineStr">
        <is>
          <t>Referto</t>
        </is>
      </c>
      <c r="Q2389" s="203" t="inlineStr">
        <is>
          <t>Cronometro</t>
        </is>
      </c>
      <c r="R2389" s="203" t="inlineStr">
        <is>
          <t>Foglio Tiri</t>
        </is>
      </c>
    </row>
    <row r="2390" ht="22" customHeight="1">
      <c r="A2390" s="90">
        <f>IF('Calendario D'!A470="","",'Calendario D'!A470)</f>
        <v/>
      </c>
      <c r="B2390" s="61">
        <f>IF('Calendario D'!B470="","",'Calendario D'!B470)</f>
        <v/>
      </c>
      <c r="C2390" s="62">
        <f>IF('Calendario D'!C470="","",'Calendario D'!C470)</f>
        <v/>
      </c>
      <c r="D2390" s="61">
        <f>IF('Calendario D'!D470="","",'Calendario D'!D470)</f>
        <v/>
      </c>
      <c r="E2390" s="62">
        <f>IF('Calendario D'!E470="","",'Calendario D'!E470)</f>
        <v/>
      </c>
      <c r="F2390" s="63">
        <f>IF('Calendario D'!F470="","",'Calendario D'!F470)</f>
        <v/>
      </c>
      <c r="G2390" s="9" t="n"/>
      <c r="H2390" s="9" t="n"/>
      <c r="I2390" s="10" t="n"/>
      <c r="J2390" s="195">
        <f>IF('Calendario D'!J470="","",'Calendario D'!J470)</f>
        <v/>
      </c>
      <c r="K2390" s="64" t="inlineStr">
        <is>
          <t>-</t>
        </is>
      </c>
      <c r="L2390" s="195">
        <f>IF('Calendario D'!L470="","",'Calendario D'!L470)</f>
        <v/>
      </c>
      <c r="M2390" s="196" t="inlineStr">
        <is>
          <t>BIANCHELLI Filippo [AAt]</t>
        </is>
      </c>
      <c r="N2390" s="196" t="inlineStr">
        <is>
          <t>HOFFMANN Lea [AAt]</t>
        </is>
      </c>
      <c r="O2390" s="196" t="inlineStr">
        <is>
          <t>KRUGER Greta [A]</t>
        </is>
      </c>
      <c r="P2390" s="196" t="inlineStr">
        <is>
          <t>KRUGER Katrin</t>
        </is>
      </c>
      <c r="Q2390" s="196" t="inlineStr">
        <is>
          <t>KOVAC Nicola</t>
        </is>
      </c>
      <c r="R2390" s="196" t="inlineStr">
        <is>
          <t>FOURNIER Lea</t>
        </is>
      </c>
    </row>
    <row r="2391" ht="15" customHeight="1">
      <c r="A2391" s="141" t="n"/>
      <c r="B2391" s="69">
        <f>IF('Calendario D'!B471="","",'Calendario D'!B471)</f>
        <v/>
      </c>
      <c r="C2391" s="9" t="n"/>
      <c r="D2391" s="9" t="n"/>
      <c r="E2391" s="9" t="n"/>
      <c r="F2391" s="9" t="n"/>
      <c r="G2391" s="9" t="n"/>
      <c r="H2391" s="10" t="n"/>
      <c r="I2391" s="62">
        <f>IF('Calendario D'!I471="","",'Calendario D'!I471)</f>
        <v/>
      </c>
      <c r="J2391" s="141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</row>
    <row r="2392" ht="14" customHeight="1">
      <c r="A2392" s="88" t="inlineStr">
        <is>
          <t>Gara N.</t>
        </is>
      </c>
      <c r="B2392" s="88" t="inlineStr">
        <is>
          <t>Squadra A</t>
        </is>
      </c>
      <c r="C2392" s="10" t="n"/>
      <c r="D2392" s="88" t="inlineStr">
        <is>
          <t>Squadra B</t>
        </is>
      </c>
      <c r="E2392" s="10" t="n"/>
      <c r="F2392" s="88" t="inlineStr">
        <is>
          <t>Giorno</t>
        </is>
      </c>
      <c r="G2392" s="88" t="inlineStr">
        <is>
          <t>Data</t>
        </is>
      </c>
      <c r="H2392" s="88" t="inlineStr">
        <is>
          <t>Ora</t>
        </is>
      </c>
      <c r="I2392" s="10" t="n"/>
      <c r="J2392" s="88" t="inlineStr">
        <is>
          <t>Risultato</t>
        </is>
      </c>
      <c r="K2392" s="9" t="n"/>
      <c r="L2392" s="10" t="n"/>
      <c r="M2392" s="203" t="inlineStr">
        <is>
          <t>1o Arbitro</t>
        </is>
      </c>
      <c r="N2392" s="203" t="inlineStr">
        <is>
          <t>2o Arbitro</t>
        </is>
      </c>
      <c r="O2392" s="203" t="inlineStr">
        <is>
          <t>3o Arbitro/Tirocinante</t>
        </is>
      </c>
      <c r="P2392" s="203" t="inlineStr">
        <is>
          <t>Referto</t>
        </is>
      </c>
      <c r="Q2392" s="203" t="inlineStr">
        <is>
          <t>Cronometro</t>
        </is>
      </c>
      <c r="R2392" s="203" t="inlineStr">
        <is>
          <t>Foglio Tiri</t>
        </is>
      </c>
    </row>
    <row r="2393" ht="22" customHeight="1">
      <c r="A2393" s="90">
        <f>IF('Calendario D'!A473="","",'Calendario D'!A473)</f>
        <v/>
      </c>
      <c r="B2393" s="61">
        <f>IF('Calendario D'!B473="","",'Calendario D'!B473)</f>
        <v/>
      </c>
      <c r="C2393" s="62">
        <f>IF('Calendario D'!C473="","",'Calendario D'!C473)</f>
        <v/>
      </c>
      <c r="D2393" s="61">
        <f>IF('Calendario D'!D473="","",'Calendario D'!D473)</f>
        <v/>
      </c>
      <c r="E2393" s="62">
        <f>IF('Calendario D'!E473="","",'Calendario D'!E473)</f>
        <v/>
      </c>
      <c r="F2393" s="63">
        <f>IF('Calendario D'!F473="","",'Calendario D'!F473)</f>
        <v/>
      </c>
      <c r="G2393" s="9" t="n"/>
      <c r="H2393" s="9" t="n"/>
      <c r="I2393" s="10" t="n"/>
      <c r="J2393" s="195">
        <f>IF('Calendario D'!J473="","",'Calendario D'!J473)</f>
        <v/>
      </c>
      <c r="K2393" s="64" t="inlineStr">
        <is>
          <t>-</t>
        </is>
      </c>
      <c r="L2393" s="195">
        <f>IF('Calendario D'!L473="","",'Calendario D'!L473)</f>
        <v/>
      </c>
      <c r="M2393" s="196" t="inlineStr">
        <is>
          <t>VOGEL Giulia [Aest]</t>
        </is>
      </c>
      <c r="N2393" s="196" t="inlineStr">
        <is>
          <t>ENGEL Valerie [Aest]</t>
        </is>
      </c>
      <c r="O2393" s="196" t="inlineStr">
        <is>
          <t>KELLER Felix [AAt]</t>
        </is>
      </c>
      <c r="P2393" s="196" t="inlineStr">
        <is>
          <t>LEFEVRE Filippo</t>
        </is>
      </c>
      <c r="Q2393" s="196" t="inlineStr">
        <is>
          <t>LANGER Valerie</t>
        </is>
      </c>
      <c r="R2393" s="196" t="inlineStr">
        <is>
          <t>SEVER Greta</t>
        </is>
      </c>
    </row>
    <row r="2394" ht="15" customHeight="1">
      <c r="A2394" s="141" t="n"/>
      <c r="B2394" s="69">
        <f>IF('Calendario D'!B474="","",'Calendario D'!B474)</f>
        <v/>
      </c>
      <c r="C2394" s="9" t="n"/>
      <c r="D2394" s="9" t="n"/>
      <c r="E2394" s="9" t="n"/>
      <c r="F2394" s="9" t="n"/>
      <c r="G2394" s="9" t="n"/>
      <c r="H2394" s="10" t="n"/>
      <c r="I2394" s="62">
        <f>IF('Calendario D'!I474="","",'Calendario D'!I474)</f>
        <v/>
      </c>
      <c r="J2394" s="141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</row>
    <row r="2395" ht="14" customHeight="1">
      <c r="A2395" s="88" t="inlineStr">
        <is>
          <t>Gara N.</t>
        </is>
      </c>
      <c r="B2395" s="88" t="inlineStr">
        <is>
          <t>Squadra A</t>
        </is>
      </c>
      <c r="C2395" s="10" t="n"/>
      <c r="D2395" s="88" t="inlineStr">
        <is>
          <t>Squadra B</t>
        </is>
      </c>
      <c r="E2395" s="10" t="n"/>
      <c r="F2395" s="88" t="inlineStr">
        <is>
          <t>Giorno</t>
        </is>
      </c>
      <c r="G2395" s="88" t="inlineStr">
        <is>
          <t>Data</t>
        </is>
      </c>
      <c r="H2395" s="88" t="inlineStr">
        <is>
          <t>Ora</t>
        </is>
      </c>
      <c r="I2395" s="10" t="n"/>
      <c r="J2395" s="88" t="inlineStr">
        <is>
          <t>Risultato</t>
        </is>
      </c>
      <c r="K2395" s="9" t="n"/>
      <c r="L2395" s="10" t="n"/>
      <c r="M2395" s="203" t="inlineStr">
        <is>
          <t>1o Arbitro</t>
        </is>
      </c>
      <c r="N2395" s="203" t="inlineStr">
        <is>
          <t>2o Arbitro</t>
        </is>
      </c>
      <c r="O2395" s="203" t="inlineStr">
        <is>
          <t>3o Arbitro/Tirocinante</t>
        </is>
      </c>
      <c r="P2395" s="203" t="inlineStr">
        <is>
          <t>Referto</t>
        </is>
      </c>
      <c r="Q2395" s="203" t="inlineStr">
        <is>
          <t>Cronometro</t>
        </is>
      </c>
      <c r="R2395" s="203" t="inlineStr">
        <is>
          <t>Foglio Tiri</t>
        </is>
      </c>
    </row>
    <row r="2396" ht="22" customHeight="1">
      <c r="A2396" s="90">
        <f>IF('Calendario D'!A476="","",'Calendario D'!A476)</f>
        <v/>
      </c>
      <c r="B2396" s="61">
        <f>IF('Calendario D'!B476="","",'Calendario D'!B476)</f>
        <v/>
      </c>
      <c r="C2396" s="62">
        <f>IF('Calendario D'!C476="","",'Calendario D'!C476)</f>
        <v/>
      </c>
      <c r="D2396" s="61">
        <f>IF('Calendario D'!D476="","",'Calendario D'!D476)</f>
        <v/>
      </c>
      <c r="E2396" s="62">
        <f>IF('Calendario D'!E476="","",'Calendario D'!E476)</f>
        <v/>
      </c>
      <c r="F2396" s="63">
        <f>IF('Calendario D'!F476="","",'Calendario D'!F476)</f>
        <v/>
      </c>
      <c r="G2396" s="9" t="n"/>
      <c r="H2396" s="9" t="n"/>
      <c r="I2396" s="10" t="n"/>
      <c r="J2396" s="195">
        <f>IF('Calendario D'!J476="","",'Calendario D'!J476)</f>
        <v/>
      </c>
      <c r="K2396" s="64" t="inlineStr">
        <is>
          <t>-</t>
        </is>
      </c>
      <c r="L2396" s="195">
        <f>IF('Calendario D'!L476="","",'Calendario D'!L476)</f>
        <v/>
      </c>
      <c r="M2396" s="196" t="inlineStr">
        <is>
          <t>GAUTHIER Davide [AA]</t>
        </is>
      </c>
      <c r="N2396" s="196" t="inlineStr">
        <is>
          <t>KELLER Mathilde [Aest]</t>
        </is>
      </c>
      <c r="O2396" s="196" t="inlineStr">
        <is>
          <t>LEROUX Filippo [Aest]</t>
        </is>
      </c>
      <c r="P2396" s="196" t="inlineStr">
        <is>
          <t>MORETTO Noemi</t>
        </is>
      </c>
      <c r="Q2396" s="196" t="inlineStr">
        <is>
          <t>BLANCO Elena</t>
        </is>
      </c>
      <c r="R2396" s="196" t="inlineStr">
        <is>
          <t>ORTEGA Jonas</t>
        </is>
      </c>
    </row>
    <row r="2397" ht="15" customHeight="1">
      <c r="A2397" s="141" t="n"/>
      <c r="B2397" s="69">
        <f>IF('Calendario D'!B477="","",'Calendario D'!B477)</f>
        <v/>
      </c>
      <c r="C2397" s="9" t="n"/>
      <c r="D2397" s="9" t="n"/>
      <c r="E2397" s="9" t="n"/>
      <c r="F2397" s="9" t="n"/>
      <c r="G2397" s="9" t="n"/>
      <c r="H2397" s="10" t="n"/>
      <c r="I2397" s="62">
        <f>IF('Calendario D'!I477="","",'Calendario D'!I477)</f>
        <v/>
      </c>
      <c r="J2397" s="141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</row>
    <row r="2398" ht="14" customHeight="1">
      <c r="A2398" s="88" t="inlineStr">
        <is>
          <t>Gara N.</t>
        </is>
      </c>
      <c r="B2398" s="88" t="inlineStr">
        <is>
          <t>Squadra A</t>
        </is>
      </c>
      <c r="C2398" s="10" t="n"/>
      <c r="D2398" s="88" t="inlineStr">
        <is>
          <t>Squadra B</t>
        </is>
      </c>
      <c r="E2398" s="10" t="n"/>
      <c r="F2398" s="88" t="inlineStr">
        <is>
          <t>Giorno</t>
        </is>
      </c>
      <c r="G2398" s="88" t="inlineStr">
        <is>
          <t>Data</t>
        </is>
      </c>
      <c r="H2398" s="88" t="inlineStr">
        <is>
          <t>Ora</t>
        </is>
      </c>
      <c r="I2398" s="10" t="n"/>
      <c r="J2398" s="88" t="inlineStr">
        <is>
          <t>Risultato</t>
        </is>
      </c>
      <c r="K2398" s="9" t="n"/>
      <c r="L2398" s="10" t="n"/>
      <c r="M2398" s="203" t="inlineStr">
        <is>
          <t>1o Arbitro</t>
        </is>
      </c>
      <c r="N2398" s="203" t="inlineStr">
        <is>
          <t>2o Arbitro</t>
        </is>
      </c>
      <c r="O2398" s="203" t="inlineStr">
        <is>
          <t>3o Arbitro/Tirocinante</t>
        </is>
      </c>
      <c r="P2398" s="203" t="inlineStr">
        <is>
          <t>Referto</t>
        </is>
      </c>
      <c r="Q2398" s="203" t="inlineStr">
        <is>
          <t>Cronometro</t>
        </is>
      </c>
      <c r="R2398" s="203" t="inlineStr">
        <is>
          <t>Foglio Tiri</t>
        </is>
      </c>
    </row>
    <row r="2399" ht="22" customHeight="1">
      <c r="A2399" s="90">
        <f>IF('Calendario D'!A479="","",'Calendario D'!A479)</f>
        <v/>
      </c>
      <c r="B2399" s="61">
        <f>IF('Calendario D'!B479="","",'Calendario D'!B479)</f>
        <v/>
      </c>
      <c r="C2399" s="62">
        <f>IF('Calendario D'!C479="","",'Calendario D'!C479)</f>
        <v/>
      </c>
      <c r="D2399" s="61">
        <f>IF('Calendario D'!D479="","",'Calendario D'!D479)</f>
        <v/>
      </c>
      <c r="E2399" s="62">
        <f>IF('Calendario D'!E479="","",'Calendario D'!E479)</f>
        <v/>
      </c>
      <c r="F2399" s="63">
        <f>IF('Calendario D'!F479="","",'Calendario D'!F479)</f>
        <v/>
      </c>
      <c r="G2399" s="9" t="n"/>
      <c r="H2399" s="9" t="n"/>
      <c r="I2399" s="10" t="n"/>
      <c r="J2399" s="195">
        <f>IF('Calendario D'!J479="","",'Calendario D'!J479)</f>
        <v/>
      </c>
      <c r="K2399" s="64" t="inlineStr">
        <is>
          <t>-</t>
        </is>
      </c>
      <c r="L2399" s="195">
        <f>IF('Calendario D'!L479="","",'Calendario D'!L479)</f>
        <v/>
      </c>
      <c r="M2399" s="196" t="inlineStr">
        <is>
          <t>MODIC Lukas [AAt]</t>
        </is>
      </c>
      <c r="N2399" s="196" t="inlineStr">
        <is>
          <t>CAMPOS Jonas [AAt]</t>
        </is>
      </c>
      <c r="O2399" s="196" t="inlineStr">
        <is>
          <t>GAUTHIER Alenka [Aest]</t>
        </is>
      </c>
      <c r="P2399" s="196" t="inlineStr">
        <is>
          <t>OBLAK Chiara</t>
        </is>
      </c>
      <c r="Q2399" s="196" t="inlineStr">
        <is>
          <t>WEBER Nicola</t>
        </is>
      </c>
      <c r="R2399" s="196" t="inlineStr">
        <is>
          <t>ROSSINI Filippo</t>
        </is>
      </c>
    </row>
    <row r="2400" ht="15" customHeight="1">
      <c r="A2400" s="141" t="n"/>
      <c r="B2400" s="69">
        <f>IF('Calendario D'!B480="","",'Calendario D'!B480)</f>
        <v/>
      </c>
      <c r="C2400" s="9" t="n"/>
      <c r="D2400" s="9" t="n"/>
      <c r="E2400" s="9" t="n"/>
      <c r="F2400" s="9" t="n"/>
      <c r="G2400" s="9" t="n"/>
      <c r="H2400" s="10" t="n"/>
      <c r="I2400" s="62">
        <f>IF('Calendario D'!I480="","",'Calendario D'!I480)</f>
        <v/>
      </c>
      <c r="J2400" s="141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</row>
    <row r="2401" ht="14" customHeight="1">
      <c r="A2401" s="88" t="inlineStr">
        <is>
          <t>Gara N.</t>
        </is>
      </c>
      <c r="B2401" s="88" t="inlineStr">
        <is>
          <t>Squadra A</t>
        </is>
      </c>
      <c r="C2401" s="10" t="n"/>
      <c r="D2401" s="88" t="inlineStr">
        <is>
          <t>Squadra B</t>
        </is>
      </c>
      <c r="E2401" s="10" t="n"/>
      <c r="F2401" s="88" t="inlineStr">
        <is>
          <t>Giorno</t>
        </is>
      </c>
      <c r="G2401" s="88" t="inlineStr">
        <is>
          <t>Data</t>
        </is>
      </c>
      <c r="H2401" s="88" t="inlineStr">
        <is>
          <t>Ora</t>
        </is>
      </c>
      <c r="I2401" s="10" t="n"/>
      <c r="J2401" s="88" t="inlineStr">
        <is>
          <t>Risultato</t>
        </is>
      </c>
      <c r="K2401" s="9" t="n"/>
      <c r="L2401" s="10" t="n"/>
      <c r="M2401" s="203" t="inlineStr">
        <is>
          <t>1o Arbitro</t>
        </is>
      </c>
      <c r="N2401" s="203" t="inlineStr">
        <is>
          <t>2o Arbitro</t>
        </is>
      </c>
      <c r="O2401" s="203" t="inlineStr">
        <is>
          <t>3o Arbitro/Tirocinante</t>
        </is>
      </c>
      <c r="P2401" s="203" t="inlineStr">
        <is>
          <t>Referto</t>
        </is>
      </c>
      <c r="Q2401" s="203" t="inlineStr">
        <is>
          <t>Cronometro</t>
        </is>
      </c>
      <c r="R2401" s="203" t="inlineStr">
        <is>
          <t>Foglio Tiri</t>
        </is>
      </c>
    </row>
    <row r="2402" ht="22" customHeight="1">
      <c r="A2402" s="90">
        <f>IF('Calendario D'!A482="","",'Calendario D'!A482)</f>
        <v/>
      </c>
      <c r="B2402" s="61">
        <f>IF('Calendario D'!B482="","",'Calendario D'!B482)</f>
        <v/>
      </c>
      <c r="C2402" s="62">
        <f>IF('Calendario D'!C482="","",'Calendario D'!C482)</f>
        <v/>
      </c>
      <c r="D2402" s="61">
        <f>IF('Calendario D'!D482="","",'Calendario D'!D482)</f>
        <v/>
      </c>
      <c r="E2402" s="62">
        <f>IF('Calendario D'!E482="","",'Calendario D'!E482)</f>
        <v/>
      </c>
      <c r="F2402" s="63">
        <f>IF('Calendario D'!F482="","",'Calendario D'!F482)</f>
        <v/>
      </c>
      <c r="G2402" s="9" t="n"/>
      <c r="H2402" s="9" t="n"/>
      <c r="I2402" s="10" t="n"/>
      <c r="J2402" s="195">
        <f>IF('Calendario D'!J482="","",'Calendario D'!J482)</f>
        <v/>
      </c>
      <c r="K2402" s="64" t="inlineStr">
        <is>
          <t>-</t>
        </is>
      </c>
      <c r="L2402" s="195">
        <f>IF('Calendario D'!L482="","",'Calendario D'!L482)</f>
        <v/>
      </c>
      <c r="M2402" s="196" t="inlineStr">
        <is>
          <t>GAUTHIER Alenka [Aest]</t>
        </is>
      </c>
      <c r="N2402" s="196" t="inlineStr">
        <is>
          <t>CONTARDI Lea [AAt]</t>
        </is>
      </c>
      <c r="O2402" s="196" t="inlineStr">
        <is>
          <t>LANGER Beatrice [Aest]</t>
        </is>
      </c>
      <c r="P2402" s="196" t="inlineStr">
        <is>
          <t>KRUGER Vid</t>
        </is>
      </c>
      <c r="Q2402" s="196" t="inlineStr">
        <is>
          <t>IGLESIAS Alenka</t>
        </is>
      </c>
      <c r="R2402" s="196" t="inlineStr">
        <is>
          <t>WEBER Filippo</t>
        </is>
      </c>
    </row>
    <row r="2403" ht="15" customHeight="1">
      <c r="A2403" s="141" t="n"/>
      <c r="B2403" s="69">
        <f>IF('Calendario D'!B483="","",'Calendario D'!B483)</f>
        <v/>
      </c>
      <c r="C2403" s="9" t="n"/>
      <c r="D2403" s="9" t="n"/>
      <c r="E2403" s="9" t="n"/>
      <c r="F2403" s="9" t="n"/>
      <c r="G2403" s="9" t="n"/>
      <c r="H2403" s="10" t="n"/>
      <c r="I2403" s="62">
        <f>IF('Calendario D'!I483="","",'Calendario D'!I483)</f>
        <v/>
      </c>
      <c r="J2403" s="141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</row>
    <row r="2404" ht="14" customHeight="1">
      <c r="A2404" s="88" t="inlineStr">
        <is>
          <t>Gara N.</t>
        </is>
      </c>
      <c r="B2404" s="88" t="inlineStr">
        <is>
          <t>Squadra A</t>
        </is>
      </c>
      <c r="C2404" s="10" t="n"/>
      <c r="D2404" s="88" t="inlineStr">
        <is>
          <t>Squadra B</t>
        </is>
      </c>
      <c r="E2404" s="10" t="n"/>
      <c r="F2404" s="88" t="inlineStr">
        <is>
          <t>Giorno</t>
        </is>
      </c>
      <c r="G2404" s="88" t="inlineStr">
        <is>
          <t>Data</t>
        </is>
      </c>
      <c r="H2404" s="88" t="inlineStr">
        <is>
          <t>Ora</t>
        </is>
      </c>
      <c r="I2404" s="10" t="n"/>
      <c r="J2404" s="88" t="inlineStr">
        <is>
          <t>Risultato</t>
        </is>
      </c>
      <c r="K2404" s="9" t="n"/>
      <c r="L2404" s="10" t="n"/>
      <c r="M2404" s="203" t="inlineStr">
        <is>
          <t>1o Arbitro</t>
        </is>
      </c>
      <c r="N2404" s="203" t="inlineStr">
        <is>
          <t>2o Arbitro</t>
        </is>
      </c>
      <c r="O2404" s="203" t="inlineStr">
        <is>
          <t>3o Arbitro/Tirocinante</t>
        </is>
      </c>
      <c r="P2404" s="203" t="inlineStr">
        <is>
          <t>Referto</t>
        </is>
      </c>
      <c r="Q2404" s="203" t="inlineStr">
        <is>
          <t>Cronometro</t>
        </is>
      </c>
      <c r="R2404" s="203" t="inlineStr">
        <is>
          <t>Foglio Tiri</t>
        </is>
      </c>
    </row>
    <row r="2405" ht="22" customHeight="1">
      <c r="A2405" s="90">
        <f>IF('Calendario D'!A485="","",'Calendario D'!A485)</f>
        <v/>
      </c>
      <c r="B2405" s="61">
        <f>IF('Calendario D'!B485="","",'Calendario D'!B485)</f>
        <v/>
      </c>
      <c r="C2405" s="62">
        <f>IF('Calendario D'!C485="","",'Calendario D'!C485)</f>
        <v/>
      </c>
      <c r="D2405" s="61">
        <f>IF('Calendario D'!D485="","",'Calendario D'!D485)</f>
        <v/>
      </c>
      <c r="E2405" s="62">
        <f>IF('Calendario D'!E485="","",'Calendario D'!E485)</f>
        <v/>
      </c>
      <c r="F2405" s="63">
        <f>IF('Calendario D'!F485="","",'Calendario D'!F485)</f>
        <v/>
      </c>
      <c r="G2405" s="9" t="n"/>
      <c r="H2405" s="9" t="n"/>
      <c r="I2405" s="10" t="n"/>
      <c r="J2405" s="195">
        <f>IF('Calendario D'!J485="","",'Calendario D'!J485)</f>
        <v/>
      </c>
      <c r="K2405" s="64" t="inlineStr">
        <is>
          <t>-</t>
        </is>
      </c>
      <c r="L2405" s="195">
        <f>IF('Calendario D'!L485="","",'Calendario D'!L485)</f>
        <v/>
      </c>
      <c r="M2405" s="196" t="inlineStr">
        <is>
          <t>VIDMAR Hugo [AAt]</t>
        </is>
      </c>
      <c r="N2405" s="196" t="inlineStr">
        <is>
          <t>HORVAT Ottavia [A]</t>
        </is>
      </c>
      <c r="O2405" s="196" t="inlineStr">
        <is>
          <t>AUBERT Lucia [AAt]</t>
        </is>
      </c>
      <c r="P2405" s="196" t="inlineStr">
        <is>
          <t>FERRANTE Greta</t>
        </is>
      </c>
      <c r="Q2405" s="196" t="inlineStr">
        <is>
          <t>LANGER Katrin</t>
        </is>
      </c>
      <c r="R2405" s="196" t="inlineStr">
        <is>
          <t>VOGEL Sofia</t>
        </is>
      </c>
    </row>
    <row r="2406" ht="15" customHeight="1">
      <c r="A2406" s="141" t="n"/>
      <c r="B2406" s="69">
        <f>IF('Calendario D'!B486="","",'Calendario D'!B486)</f>
        <v/>
      </c>
      <c r="C2406" s="9" t="n"/>
      <c r="D2406" s="9" t="n"/>
      <c r="E2406" s="9" t="n"/>
      <c r="F2406" s="9" t="n"/>
      <c r="G2406" s="9" t="n"/>
      <c r="H2406" s="10" t="n"/>
      <c r="I2406" s="62">
        <f>IF('Calendario D'!I486="","",'Calendario D'!I486)</f>
        <v/>
      </c>
      <c r="J2406" s="141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</row>
    <row r="2408" ht="20" customHeight="1">
      <c r="A2408" s="85">
        <f>IF('Calendario D'!A488="","",'Calendario D'!A488)</f>
        <v/>
      </c>
      <c r="B2408" s="86">
        <f>IF('Calendario D'!B488="","",'Calendario D'!B488)</f>
        <v/>
      </c>
      <c r="C2408" s="9" t="n"/>
      <c r="D2408" s="9" t="n"/>
      <c r="E2408" s="9" t="n"/>
      <c r="F2408" s="9" t="n"/>
      <c r="G2408" s="9" t="n"/>
      <c r="H2408" s="9" t="n"/>
      <c r="I2408" s="9" t="n"/>
      <c r="J2408" s="9" t="n"/>
      <c r="K2408" s="9" t="n"/>
      <c r="L2408" s="10" t="n"/>
      <c r="M2408" s="202" t="inlineStr">
        <is>
          <t>ARBITRI</t>
        </is>
      </c>
      <c r="N2408" s="9" t="n"/>
      <c r="O2408" s="10" t="n"/>
      <c r="P2408" s="202" t="inlineStr">
        <is>
          <t>UFFICIALI DI CAMPO</t>
        </is>
      </c>
      <c r="Q2408" s="9" t="n"/>
      <c r="R2408" s="10" t="n"/>
    </row>
    <row r="2409" ht="14" customHeight="1">
      <c r="A2409" s="88" t="inlineStr">
        <is>
          <t>Gara N.</t>
        </is>
      </c>
      <c r="B2409" s="88" t="inlineStr">
        <is>
          <t>Squadra A</t>
        </is>
      </c>
      <c r="C2409" s="10" t="n"/>
      <c r="D2409" s="88" t="inlineStr">
        <is>
          <t>Squadra B</t>
        </is>
      </c>
      <c r="E2409" s="10" t="n"/>
      <c r="F2409" s="88" t="inlineStr">
        <is>
          <t>Giorno</t>
        </is>
      </c>
      <c r="G2409" s="88" t="inlineStr">
        <is>
          <t>Data</t>
        </is>
      </c>
      <c r="H2409" s="88" t="inlineStr">
        <is>
          <t>Ora</t>
        </is>
      </c>
      <c r="I2409" s="10" t="n"/>
      <c r="J2409" s="88" t="inlineStr">
        <is>
          <t>Risultato</t>
        </is>
      </c>
      <c r="K2409" s="9" t="n"/>
      <c r="L2409" s="10" t="n"/>
      <c r="M2409" s="203" t="inlineStr">
        <is>
          <t>1o Arbitro</t>
        </is>
      </c>
      <c r="N2409" s="203" t="inlineStr">
        <is>
          <t>2o Arbitro</t>
        </is>
      </c>
      <c r="O2409" s="203" t="inlineStr">
        <is>
          <t>3o Arbitro/Tirocinante</t>
        </is>
      </c>
      <c r="P2409" s="203" t="inlineStr">
        <is>
          <t>Referto</t>
        </is>
      </c>
      <c r="Q2409" s="203" t="inlineStr">
        <is>
          <t>Cronometro</t>
        </is>
      </c>
      <c r="R2409" s="203" t="inlineStr">
        <is>
          <t>Foglio Tiri</t>
        </is>
      </c>
    </row>
    <row r="2410" ht="22" customHeight="1">
      <c r="A2410" s="90">
        <f>IF('Calendario D'!A490="","",'Calendario D'!A490)</f>
        <v/>
      </c>
      <c r="B2410" s="61">
        <f>IF('Calendario D'!B490="","",'Calendario D'!B490)</f>
        <v/>
      </c>
      <c r="C2410" s="62">
        <f>IF('Calendario D'!C490="","",'Calendario D'!C490)</f>
        <v/>
      </c>
      <c r="D2410" s="61">
        <f>IF('Calendario D'!D490="","",'Calendario D'!D490)</f>
        <v/>
      </c>
      <c r="E2410" s="62">
        <f>IF('Calendario D'!E490="","",'Calendario D'!E490)</f>
        <v/>
      </c>
      <c r="F2410" s="63">
        <f>IF('Calendario D'!F490="","",'Calendario D'!F490)</f>
        <v/>
      </c>
      <c r="G2410" s="9" t="n"/>
      <c r="H2410" s="9" t="n"/>
      <c r="I2410" s="10" t="n"/>
      <c r="J2410" s="195">
        <f>IF('Calendario D'!J490="","",'Calendario D'!J490)</f>
        <v/>
      </c>
      <c r="K2410" s="64" t="inlineStr">
        <is>
          <t>-</t>
        </is>
      </c>
      <c r="L2410" s="195">
        <f>IF('Calendario D'!L490="","",'Calendario D'!L490)</f>
        <v/>
      </c>
      <c r="M2410" s="196" t="inlineStr">
        <is>
          <t>LANGER Marta [A]</t>
        </is>
      </c>
      <c r="N2410" s="196" t="inlineStr">
        <is>
          <t>FUENTES Eva [A]</t>
        </is>
      </c>
      <c r="O2410" s="196" t="inlineStr">
        <is>
          <t>VIDMAR Greta [Aest]</t>
        </is>
      </c>
      <c r="P2410" s="196" t="inlineStr">
        <is>
          <t>IGLESIAS Chiara</t>
        </is>
      </c>
      <c r="Q2410" s="196" t="inlineStr">
        <is>
          <t>KRAJNC Greta</t>
        </is>
      </c>
      <c r="R2410" s="196" t="inlineStr">
        <is>
          <t>MARCHIONI Gaelle</t>
        </is>
      </c>
    </row>
    <row r="2411" ht="15" customHeight="1">
      <c r="A2411" s="141" t="n"/>
      <c r="B2411" s="69">
        <f>IF('Calendario D'!B491="","",'Calendario D'!B491)</f>
        <v/>
      </c>
      <c r="C2411" s="9" t="n"/>
      <c r="D2411" s="9" t="n"/>
      <c r="E2411" s="9" t="n"/>
      <c r="F2411" s="9" t="n"/>
      <c r="G2411" s="9" t="n"/>
      <c r="H2411" s="10" t="n"/>
      <c r="I2411" s="62">
        <f>IF('Calendario D'!I491="","",'Calendario D'!I491)</f>
        <v/>
      </c>
      <c r="J2411" s="141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</row>
    <row r="2412" ht="14" customHeight="1">
      <c r="A2412" s="88" t="inlineStr">
        <is>
          <t>Gara N.</t>
        </is>
      </c>
      <c r="B2412" s="88" t="inlineStr">
        <is>
          <t>Squadra A</t>
        </is>
      </c>
      <c r="C2412" s="10" t="n"/>
      <c r="D2412" s="88" t="inlineStr">
        <is>
          <t>Squadra B</t>
        </is>
      </c>
      <c r="E2412" s="10" t="n"/>
      <c r="F2412" s="88" t="inlineStr">
        <is>
          <t>Giorno</t>
        </is>
      </c>
      <c r="G2412" s="88" t="inlineStr">
        <is>
          <t>Data</t>
        </is>
      </c>
      <c r="H2412" s="88" t="inlineStr">
        <is>
          <t>Ora</t>
        </is>
      </c>
      <c r="I2412" s="10" t="n"/>
      <c r="J2412" s="88" t="inlineStr">
        <is>
          <t>Risultato</t>
        </is>
      </c>
      <c r="K2412" s="9" t="n"/>
      <c r="L2412" s="10" t="n"/>
      <c r="M2412" s="203" t="inlineStr">
        <is>
          <t>1o Arbitro</t>
        </is>
      </c>
      <c r="N2412" s="203" t="inlineStr">
        <is>
          <t>2o Arbitro</t>
        </is>
      </c>
      <c r="O2412" s="203" t="inlineStr">
        <is>
          <t>3o Arbitro/Tirocinante</t>
        </is>
      </c>
      <c r="P2412" s="203" t="inlineStr">
        <is>
          <t>Referto</t>
        </is>
      </c>
      <c r="Q2412" s="203" t="inlineStr">
        <is>
          <t>Cronometro</t>
        </is>
      </c>
      <c r="R2412" s="203" t="inlineStr">
        <is>
          <t>Foglio Tiri</t>
        </is>
      </c>
    </row>
    <row r="2413" ht="22" customHeight="1">
      <c r="A2413" s="90">
        <f>IF('Calendario D'!A493="","",'Calendario D'!A493)</f>
        <v/>
      </c>
      <c r="B2413" s="61">
        <f>IF('Calendario D'!B493="","",'Calendario D'!B493)</f>
        <v/>
      </c>
      <c r="C2413" s="62">
        <f>IF('Calendario D'!C493="","",'Calendario D'!C493)</f>
        <v/>
      </c>
      <c r="D2413" s="61">
        <f>IF('Calendario D'!D493="","",'Calendario D'!D493)</f>
        <v/>
      </c>
      <c r="E2413" s="62">
        <f>IF('Calendario D'!E493="","",'Calendario D'!E493)</f>
        <v/>
      </c>
      <c r="F2413" s="63">
        <f>IF('Calendario D'!F493="","",'Calendario D'!F493)</f>
        <v/>
      </c>
      <c r="G2413" s="9" t="n"/>
      <c r="H2413" s="9" t="n"/>
      <c r="I2413" s="10" t="n"/>
      <c r="J2413" s="195">
        <f>IF('Calendario D'!J493="","",'Calendario D'!J493)</f>
        <v/>
      </c>
      <c r="K2413" s="64" t="inlineStr">
        <is>
          <t>-</t>
        </is>
      </c>
      <c r="L2413" s="195">
        <f>IF('Calendario D'!L493="","",'Calendario D'!L493)</f>
        <v/>
      </c>
      <c r="M2413" s="196" t="inlineStr">
        <is>
          <t>HORVAT Lea [A]</t>
        </is>
      </c>
      <c r="N2413" s="196" t="inlineStr">
        <is>
          <t>CONTARDI Tommaso [AA]</t>
        </is>
      </c>
      <c r="O2413" s="196" t="inlineStr">
        <is>
          <t>OBLAK Lucia [AAt]</t>
        </is>
      </c>
      <c r="P2413" s="196" t="inlineStr">
        <is>
          <t>WEBER Matteo</t>
        </is>
      </c>
      <c r="Q2413" s="196" t="inlineStr">
        <is>
          <t>SCHAFER Katrin</t>
        </is>
      </c>
      <c r="R2413" s="196" t="inlineStr">
        <is>
          <t>ROSSINI Filippo</t>
        </is>
      </c>
    </row>
    <row r="2414" ht="15" customHeight="1">
      <c r="A2414" s="141" t="n"/>
      <c r="B2414" s="69">
        <f>IF('Calendario D'!B494="","",'Calendario D'!B494)</f>
        <v/>
      </c>
      <c r="C2414" s="9" t="n"/>
      <c r="D2414" s="9" t="n"/>
      <c r="E2414" s="9" t="n"/>
      <c r="F2414" s="9" t="n"/>
      <c r="G2414" s="9" t="n"/>
      <c r="H2414" s="10" t="n"/>
      <c r="I2414" s="62">
        <f>IF('Calendario D'!I494="","",'Calendario D'!I494)</f>
        <v/>
      </c>
      <c r="J2414" s="141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</row>
    <row r="2415" ht="14" customHeight="1">
      <c r="A2415" s="88" t="inlineStr">
        <is>
          <t>Gara N.</t>
        </is>
      </c>
      <c r="B2415" s="88" t="inlineStr">
        <is>
          <t>Squadra A</t>
        </is>
      </c>
      <c r="C2415" s="10" t="n"/>
      <c r="D2415" s="88" t="inlineStr">
        <is>
          <t>Squadra B</t>
        </is>
      </c>
      <c r="E2415" s="10" t="n"/>
      <c r="F2415" s="88" t="inlineStr">
        <is>
          <t>Giorno</t>
        </is>
      </c>
      <c r="G2415" s="88" t="inlineStr">
        <is>
          <t>Data</t>
        </is>
      </c>
      <c r="H2415" s="88" t="inlineStr">
        <is>
          <t>Ora</t>
        </is>
      </c>
      <c r="I2415" s="10" t="n"/>
      <c r="J2415" s="88" t="inlineStr">
        <is>
          <t>Risultato</t>
        </is>
      </c>
      <c r="K2415" s="9" t="n"/>
      <c r="L2415" s="10" t="n"/>
      <c r="M2415" s="203" t="inlineStr">
        <is>
          <t>1o Arbitro</t>
        </is>
      </c>
      <c r="N2415" s="203" t="inlineStr">
        <is>
          <t>2o Arbitro</t>
        </is>
      </c>
      <c r="O2415" s="203" t="inlineStr">
        <is>
          <t>3o Arbitro/Tirocinante</t>
        </is>
      </c>
      <c r="P2415" s="203" t="inlineStr">
        <is>
          <t>Referto</t>
        </is>
      </c>
      <c r="Q2415" s="203" t="inlineStr">
        <is>
          <t>Cronometro</t>
        </is>
      </c>
      <c r="R2415" s="203" t="inlineStr">
        <is>
          <t>Foglio Tiri</t>
        </is>
      </c>
    </row>
    <row r="2416" ht="22" customHeight="1">
      <c r="A2416" s="90">
        <f>IF('Calendario D'!A496="","",'Calendario D'!A496)</f>
        <v/>
      </c>
      <c r="B2416" s="61">
        <f>IF('Calendario D'!B496="","",'Calendario D'!B496)</f>
        <v/>
      </c>
      <c r="C2416" s="62">
        <f>IF('Calendario D'!C496="","",'Calendario D'!C496)</f>
        <v/>
      </c>
      <c r="D2416" s="61">
        <f>IF('Calendario D'!D496="","",'Calendario D'!D496)</f>
        <v/>
      </c>
      <c r="E2416" s="62">
        <f>IF('Calendario D'!E496="","",'Calendario D'!E496)</f>
        <v/>
      </c>
      <c r="F2416" s="63">
        <f>IF('Calendario D'!F496="","",'Calendario D'!F496)</f>
        <v/>
      </c>
      <c r="G2416" s="9" t="n"/>
      <c r="H2416" s="9" t="n"/>
      <c r="I2416" s="10" t="n"/>
      <c r="J2416" s="195">
        <f>IF('Calendario D'!J496="","",'Calendario D'!J496)</f>
        <v/>
      </c>
      <c r="K2416" s="64" t="inlineStr">
        <is>
          <t>-</t>
        </is>
      </c>
      <c r="L2416" s="195">
        <f>IF('Calendario D'!L496="","",'Calendario D'!L496)</f>
        <v/>
      </c>
      <c r="M2416" s="196" t="inlineStr">
        <is>
          <t>PETERLIN Filippo [AAt]</t>
        </is>
      </c>
      <c r="N2416" s="196" t="inlineStr">
        <is>
          <t>SOLER Mathilde [AA]</t>
        </is>
      </c>
      <c r="O2416" s="196" t="inlineStr">
        <is>
          <t>CARON Greta [AA]</t>
        </is>
      </c>
      <c r="P2416" s="196" t="inlineStr">
        <is>
          <t>WEBER Jonas</t>
        </is>
      </c>
      <c r="Q2416" s="196" t="inlineStr">
        <is>
          <t>FOURNIER Miha</t>
        </is>
      </c>
      <c r="R2416" s="196" t="inlineStr">
        <is>
          <t>CAMPOS Martina</t>
        </is>
      </c>
    </row>
    <row r="2417" ht="15" customHeight="1">
      <c r="A2417" s="141" t="n"/>
      <c r="B2417" s="69">
        <f>IF('Calendario D'!B497="","",'Calendario D'!B497)</f>
        <v/>
      </c>
      <c r="C2417" s="9" t="n"/>
      <c r="D2417" s="9" t="n"/>
      <c r="E2417" s="9" t="n"/>
      <c r="F2417" s="9" t="n"/>
      <c r="G2417" s="9" t="n"/>
      <c r="H2417" s="10" t="n"/>
      <c r="I2417" s="62">
        <f>IF('Calendario D'!I497="","",'Calendario D'!I497)</f>
        <v/>
      </c>
      <c r="J2417" s="141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</row>
    <row r="2418" ht="14" customHeight="1">
      <c r="A2418" s="88" t="inlineStr">
        <is>
          <t>Gara N.</t>
        </is>
      </c>
      <c r="B2418" s="88" t="inlineStr">
        <is>
          <t>Squadra A</t>
        </is>
      </c>
      <c r="C2418" s="10" t="n"/>
      <c r="D2418" s="88" t="inlineStr">
        <is>
          <t>Squadra B</t>
        </is>
      </c>
      <c r="E2418" s="10" t="n"/>
      <c r="F2418" s="88" t="inlineStr">
        <is>
          <t>Giorno</t>
        </is>
      </c>
      <c r="G2418" s="88" t="inlineStr">
        <is>
          <t>Data</t>
        </is>
      </c>
      <c r="H2418" s="88" t="inlineStr">
        <is>
          <t>Ora</t>
        </is>
      </c>
      <c r="I2418" s="10" t="n"/>
      <c r="J2418" s="88" t="inlineStr">
        <is>
          <t>Risultato</t>
        </is>
      </c>
      <c r="K2418" s="9" t="n"/>
      <c r="L2418" s="10" t="n"/>
      <c r="M2418" s="203" t="inlineStr">
        <is>
          <t>1o Arbitro</t>
        </is>
      </c>
      <c r="N2418" s="203" t="inlineStr">
        <is>
          <t>2o Arbitro</t>
        </is>
      </c>
      <c r="O2418" s="203" t="inlineStr">
        <is>
          <t>3o Arbitro/Tirocinante</t>
        </is>
      </c>
      <c r="P2418" s="203" t="inlineStr">
        <is>
          <t>Referto</t>
        </is>
      </c>
      <c r="Q2418" s="203" t="inlineStr">
        <is>
          <t>Cronometro</t>
        </is>
      </c>
      <c r="R2418" s="203" t="inlineStr">
        <is>
          <t>Foglio Tiri</t>
        </is>
      </c>
    </row>
    <row r="2419" ht="22" customHeight="1">
      <c r="A2419" s="90">
        <f>IF('Calendario D'!A499="","",'Calendario D'!A499)</f>
        <v/>
      </c>
      <c r="B2419" s="61">
        <f>IF('Calendario D'!B499="","",'Calendario D'!B499)</f>
        <v/>
      </c>
      <c r="C2419" s="62">
        <f>IF('Calendario D'!C499="","",'Calendario D'!C499)</f>
        <v/>
      </c>
      <c r="D2419" s="61">
        <f>IF('Calendario D'!D499="","",'Calendario D'!D499)</f>
        <v/>
      </c>
      <c r="E2419" s="62">
        <f>IF('Calendario D'!E499="","",'Calendario D'!E499)</f>
        <v/>
      </c>
      <c r="F2419" s="63">
        <f>IF('Calendario D'!F499="","",'Calendario D'!F499)</f>
        <v/>
      </c>
      <c r="G2419" s="9" t="n"/>
      <c r="H2419" s="9" t="n"/>
      <c r="I2419" s="10" t="n"/>
      <c r="J2419" s="195">
        <f>IF('Calendario D'!J499="","",'Calendario D'!J499)</f>
        <v/>
      </c>
      <c r="K2419" s="64" t="inlineStr">
        <is>
          <t>-</t>
        </is>
      </c>
      <c r="L2419" s="195">
        <f>IF('Calendario D'!L499="","",'Calendario D'!L499)</f>
        <v/>
      </c>
      <c r="M2419" s="196" t="inlineStr">
        <is>
          <t>HORVAT Giulia [A]</t>
        </is>
      </c>
      <c r="N2419" s="196" t="inlineStr">
        <is>
          <t>HORVAT Vid [A]</t>
        </is>
      </c>
      <c r="O2419" s="196" t="inlineStr">
        <is>
          <t>NOVAK Beatrice [Aest]</t>
        </is>
      </c>
      <c r="P2419" s="196" t="inlineStr">
        <is>
          <t>CONTARDI Valerie</t>
        </is>
      </c>
      <c r="Q2419" s="196" t="inlineStr">
        <is>
          <t>BELLANDI Lukas</t>
        </is>
      </c>
      <c r="R2419" s="196" t="inlineStr">
        <is>
          <t>NADAUD Andrea</t>
        </is>
      </c>
    </row>
    <row r="2420" ht="15" customHeight="1">
      <c r="A2420" s="141" t="n"/>
      <c r="B2420" s="69">
        <f>IF('Calendario D'!B500="","",'Calendario D'!B500)</f>
        <v/>
      </c>
      <c r="C2420" s="9" t="n"/>
      <c r="D2420" s="9" t="n"/>
      <c r="E2420" s="9" t="n"/>
      <c r="F2420" s="9" t="n"/>
      <c r="G2420" s="9" t="n"/>
      <c r="H2420" s="10" t="n"/>
      <c r="I2420" s="62">
        <f>IF('Calendario D'!I500="","",'Calendario D'!I500)</f>
        <v/>
      </c>
      <c r="J2420" s="141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</row>
    <row r="2421" ht="14" customHeight="1">
      <c r="A2421" s="88" t="inlineStr">
        <is>
          <t>Gara N.</t>
        </is>
      </c>
      <c r="B2421" s="88" t="inlineStr">
        <is>
          <t>Squadra A</t>
        </is>
      </c>
      <c r="C2421" s="10" t="n"/>
      <c r="D2421" s="88" t="inlineStr">
        <is>
          <t>Squadra B</t>
        </is>
      </c>
      <c r="E2421" s="10" t="n"/>
      <c r="F2421" s="88" t="inlineStr">
        <is>
          <t>Giorno</t>
        </is>
      </c>
      <c r="G2421" s="88" t="inlineStr">
        <is>
          <t>Data</t>
        </is>
      </c>
      <c r="H2421" s="88" t="inlineStr">
        <is>
          <t>Ora</t>
        </is>
      </c>
      <c r="I2421" s="10" t="n"/>
      <c r="J2421" s="88" t="inlineStr">
        <is>
          <t>Risultato</t>
        </is>
      </c>
      <c r="K2421" s="9" t="n"/>
      <c r="L2421" s="10" t="n"/>
      <c r="M2421" s="203" t="inlineStr">
        <is>
          <t>1o Arbitro</t>
        </is>
      </c>
      <c r="N2421" s="203" t="inlineStr">
        <is>
          <t>2o Arbitro</t>
        </is>
      </c>
      <c r="O2421" s="203" t="inlineStr">
        <is>
          <t>3o Arbitro/Tirocinante</t>
        </is>
      </c>
      <c r="P2421" s="203" t="inlineStr">
        <is>
          <t>Referto</t>
        </is>
      </c>
      <c r="Q2421" s="203" t="inlineStr">
        <is>
          <t>Cronometro</t>
        </is>
      </c>
      <c r="R2421" s="203" t="inlineStr">
        <is>
          <t>Foglio Tiri</t>
        </is>
      </c>
    </row>
    <row r="2422" ht="22" customHeight="1">
      <c r="A2422" s="90">
        <f>IF('Calendario D'!A502="","",'Calendario D'!A502)</f>
        <v/>
      </c>
      <c r="B2422" s="61">
        <f>IF('Calendario D'!B502="","",'Calendario D'!B502)</f>
        <v/>
      </c>
      <c r="C2422" s="62">
        <f>IF('Calendario D'!C502="","",'Calendario D'!C502)</f>
        <v/>
      </c>
      <c r="D2422" s="61">
        <f>IF('Calendario D'!D502="","",'Calendario D'!D502)</f>
        <v/>
      </c>
      <c r="E2422" s="62">
        <f>IF('Calendario D'!E502="","",'Calendario D'!E502)</f>
        <v/>
      </c>
      <c r="F2422" s="63">
        <f>IF('Calendario D'!F502="","",'Calendario D'!F502)</f>
        <v/>
      </c>
      <c r="G2422" s="9" t="n"/>
      <c r="H2422" s="9" t="n"/>
      <c r="I2422" s="10" t="n"/>
      <c r="J2422" s="195">
        <f>IF('Calendario D'!J502="","",'Calendario D'!J502)</f>
        <v/>
      </c>
      <c r="K2422" s="64" t="inlineStr">
        <is>
          <t>-</t>
        </is>
      </c>
      <c r="L2422" s="195">
        <f>IF('Calendario D'!L502="","",'Calendario D'!L502)</f>
        <v/>
      </c>
      <c r="M2422" s="196" t="inlineStr">
        <is>
          <t>FERRANTE Filippo [AAt]</t>
        </is>
      </c>
      <c r="N2422" s="196" t="inlineStr">
        <is>
          <t>AUBERT Diego [A]</t>
        </is>
      </c>
      <c r="O2422" s="196" t="inlineStr">
        <is>
          <t>HORVAT Ottavia [A]</t>
        </is>
      </c>
      <c r="P2422" s="196" t="inlineStr">
        <is>
          <t>NADAUD Nicola</t>
        </is>
      </c>
      <c r="Q2422" s="196" t="inlineStr">
        <is>
          <t>CAMPOS Anja</t>
        </is>
      </c>
      <c r="R2422" s="196" t="inlineStr">
        <is>
          <t>VOGEL Martina</t>
        </is>
      </c>
    </row>
    <row r="2423" ht="15" customHeight="1">
      <c r="A2423" s="141" t="n"/>
      <c r="B2423" s="69">
        <f>IF('Calendario D'!B503="","",'Calendario D'!B503)</f>
        <v/>
      </c>
      <c r="C2423" s="9" t="n"/>
      <c r="D2423" s="9" t="n"/>
      <c r="E2423" s="9" t="n"/>
      <c r="F2423" s="9" t="n"/>
      <c r="G2423" s="9" t="n"/>
      <c r="H2423" s="10" t="n"/>
      <c r="I2423" s="62">
        <f>IF('Calendario D'!I503="","",'Calendario D'!I503)</f>
        <v/>
      </c>
      <c r="J2423" s="141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</row>
    <row r="2424" ht="14" customHeight="1">
      <c r="A2424" s="88" t="inlineStr">
        <is>
          <t>Gara N.</t>
        </is>
      </c>
      <c r="B2424" s="88" t="inlineStr">
        <is>
          <t>Squadra A</t>
        </is>
      </c>
      <c r="C2424" s="10" t="n"/>
      <c r="D2424" s="88" t="inlineStr">
        <is>
          <t>Squadra B</t>
        </is>
      </c>
      <c r="E2424" s="10" t="n"/>
      <c r="F2424" s="88" t="inlineStr">
        <is>
          <t>Giorno</t>
        </is>
      </c>
      <c r="G2424" s="88" t="inlineStr">
        <is>
          <t>Data</t>
        </is>
      </c>
      <c r="H2424" s="88" t="inlineStr">
        <is>
          <t>Ora</t>
        </is>
      </c>
      <c r="I2424" s="10" t="n"/>
      <c r="J2424" s="88" t="inlineStr">
        <is>
          <t>Risultato</t>
        </is>
      </c>
      <c r="K2424" s="9" t="n"/>
      <c r="L2424" s="10" t="n"/>
      <c r="M2424" s="203" t="inlineStr">
        <is>
          <t>1o Arbitro</t>
        </is>
      </c>
      <c r="N2424" s="203" t="inlineStr">
        <is>
          <t>2o Arbitro</t>
        </is>
      </c>
      <c r="O2424" s="203" t="inlineStr">
        <is>
          <t>3o Arbitro/Tirocinante</t>
        </is>
      </c>
      <c r="P2424" s="203" t="inlineStr">
        <is>
          <t>Referto</t>
        </is>
      </c>
      <c r="Q2424" s="203" t="inlineStr">
        <is>
          <t>Cronometro</t>
        </is>
      </c>
      <c r="R2424" s="203" t="inlineStr">
        <is>
          <t>Foglio Tiri</t>
        </is>
      </c>
    </row>
    <row r="2425" ht="22" customHeight="1">
      <c r="A2425" s="90">
        <f>IF('Calendario D'!A505="","",'Calendario D'!A505)</f>
        <v/>
      </c>
      <c r="B2425" s="61">
        <f>IF('Calendario D'!B505="","",'Calendario D'!B505)</f>
        <v/>
      </c>
      <c r="C2425" s="62">
        <f>IF('Calendario D'!C505="","",'Calendario D'!C505)</f>
        <v/>
      </c>
      <c r="D2425" s="61">
        <f>IF('Calendario D'!D505="","",'Calendario D'!D505)</f>
        <v/>
      </c>
      <c r="E2425" s="62">
        <f>IF('Calendario D'!E505="","",'Calendario D'!E505)</f>
        <v/>
      </c>
      <c r="F2425" s="63">
        <f>IF('Calendario D'!F505="","",'Calendario D'!F505)</f>
        <v/>
      </c>
      <c r="G2425" s="9" t="n"/>
      <c r="H2425" s="9" t="n"/>
      <c r="I2425" s="10" t="n"/>
      <c r="J2425" s="195">
        <f>IF('Calendario D'!J505="","",'Calendario D'!J505)</f>
        <v/>
      </c>
      <c r="K2425" s="64" t="inlineStr">
        <is>
          <t>-</t>
        </is>
      </c>
      <c r="L2425" s="195">
        <f>IF('Calendario D'!L505="","",'Calendario D'!L505)</f>
        <v/>
      </c>
      <c r="M2425" s="196" t="inlineStr">
        <is>
          <t>CAMPOS Jonas [AAt]</t>
        </is>
      </c>
      <c r="N2425" s="196" t="inlineStr">
        <is>
          <t>OBLAK Beatrice [AA]</t>
        </is>
      </c>
      <c r="O2425" s="196" t="inlineStr">
        <is>
          <t>MOREAU Katrin [A]</t>
        </is>
      </c>
      <c r="P2425" s="196" t="inlineStr">
        <is>
          <t>HOFFMANN Diego</t>
        </is>
      </c>
      <c r="Q2425" s="196" t="inlineStr">
        <is>
          <t>FOURNIER Paula</t>
        </is>
      </c>
      <c r="R2425" s="196" t="inlineStr">
        <is>
          <t>IGLESIAS Jonas</t>
        </is>
      </c>
    </row>
    <row r="2426" ht="15" customHeight="1">
      <c r="A2426" s="141" t="n"/>
      <c r="B2426" s="69">
        <f>IF('Calendario D'!B506="","",'Calendario D'!B506)</f>
        <v/>
      </c>
      <c r="C2426" s="9" t="n"/>
      <c r="D2426" s="9" t="n"/>
      <c r="E2426" s="9" t="n"/>
      <c r="F2426" s="9" t="n"/>
      <c r="G2426" s="9" t="n"/>
      <c r="H2426" s="10" t="n"/>
      <c r="I2426" s="62">
        <f>IF('Calendario D'!I506="","",'Calendario D'!I506)</f>
        <v/>
      </c>
      <c r="J2426" s="141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</row>
    <row r="2427" ht="14" customHeight="1">
      <c r="A2427" s="88" t="inlineStr">
        <is>
          <t>Gara N.</t>
        </is>
      </c>
      <c r="B2427" s="88" t="inlineStr">
        <is>
          <t>Squadra A</t>
        </is>
      </c>
      <c r="C2427" s="10" t="n"/>
      <c r="D2427" s="88" t="inlineStr">
        <is>
          <t>Squadra B</t>
        </is>
      </c>
      <c r="E2427" s="10" t="n"/>
      <c r="F2427" s="88" t="inlineStr">
        <is>
          <t>Giorno</t>
        </is>
      </c>
      <c r="G2427" s="88" t="inlineStr">
        <is>
          <t>Data</t>
        </is>
      </c>
      <c r="H2427" s="88" t="inlineStr">
        <is>
          <t>Ora</t>
        </is>
      </c>
      <c r="I2427" s="10" t="n"/>
      <c r="J2427" s="88" t="inlineStr">
        <is>
          <t>Risultato</t>
        </is>
      </c>
      <c r="K2427" s="9" t="n"/>
      <c r="L2427" s="10" t="n"/>
      <c r="M2427" s="203" t="inlineStr">
        <is>
          <t>1o Arbitro</t>
        </is>
      </c>
      <c r="N2427" s="203" t="inlineStr">
        <is>
          <t>2o Arbitro</t>
        </is>
      </c>
      <c r="O2427" s="203" t="inlineStr">
        <is>
          <t>3o Arbitro/Tirocinante</t>
        </is>
      </c>
      <c r="P2427" s="203" t="inlineStr">
        <is>
          <t>Referto</t>
        </is>
      </c>
      <c r="Q2427" s="203" t="inlineStr">
        <is>
          <t>Cronometro</t>
        </is>
      </c>
      <c r="R2427" s="203" t="inlineStr">
        <is>
          <t>Foglio Tiri</t>
        </is>
      </c>
    </row>
    <row r="2428" ht="22" customHeight="1">
      <c r="A2428" s="90">
        <f>IF('Calendario D'!A508="","",'Calendario D'!A508)</f>
        <v/>
      </c>
      <c r="B2428" s="61">
        <f>IF('Calendario D'!B508="","",'Calendario D'!B508)</f>
        <v/>
      </c>
      <c r="C2428" s="62">
        <f>IF('Calendario D'!C508="","",'Calendario D'!C508)</f>
        <v/>
      </c>
      <c r="D2428" s="61">
        <f>IF('Calendario D'!D508="","",'Calendario D'!D508)</f>
        <v/>
      </c>
      <c r="E2428" s="62">
        <f>IF('Calendario D'!E508="","",'Calendario D'!E508)</f>
        <v/>
      </c>
      <c r="F2428" s="63">
        <f>IF('Calendario D'!F508="","",'Calendario D'!F508)</f>
        <v/>
      </c>
      <c r="G2428" s="9" t="n"/>
      <c r="H2428" s="9" t="n"/>
      <c r="I2428" s="10" t="n"/>
      <c r="J2428" s="195">
        <f>IF('Calendario D'!J508="","",'Calendario D'!J508)</f>
        <v/>
      </c>
      <c r="K2428" s="64" t="inlineStr">
        <is>
          <t>-</t>
        </is>
      </c>
      <c r="L2428" s="195">
        <f>IF('Calendario D'!L508="","",'Calendario D'!L508)</f>
        <v/>
      </c>
      <c r="M2428" s="196" t="inlineStr">
        <is>
          <t>BRANDT Felix [A]</t>
        </is>
      </c>
      <c r="N2428" s="196" t="inlineStr">
        <is>
          <t>BELLANDI Chiara [Aest]</t>
        </is>
      </c>
      <c r="O2428" s="196" t="inlineStr">
        <is>
          <t>SEVER Diego [A]</t>
        </is>
      </c>
      <c r="P2428" s="196" t="inlineStr">
        <is>
          <t>ZUPAN Lucia</t>
        </is>
      </c>
      <c r="Q2428" s="196" t="inlineStr">
        <is>
          <t>BIANCHELLI Mathilde</t>
        </is>
      </c>
      <c r="R2428" s="196" t="inlineStr">
        <is>
          <t>LEFEVRE Tommaso</t>
        </is>
      </c>
    </row>
    <row r="2429" ht="15" customHeight="1">
      <c r="A2429" s="141" t="n"/>
      <c r="B2429" s="69">
        <f>IF('Calendario D'!B509="","",'Calendario D'!B509)</f>
        <v/>
      </c>
      <c r="C2429" s="9" t="n"/>
      <c r="D2429" s="9" t="n"/>
      <c r="E2429" s="9" t="n"/>
      <c r="F2429" s="9" t="n"/>
      <c r="G2429" s="9" t="n"/>
      <c r="H2429" s="10" t="n"/>
      <c r="I2429" s="62">
        <f>IF('Calendario D'!I509="","",'Calendario D'!I509)</f>
        <v/>
      </c>
      <c r="J2429" s="141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</row>
    <row r="2430" ht="14" customHeight="1">
      <c r="A2430" s="88" t="inlineStr">
        <is>
          <t>Gara N.</t>
        </is>
      </c>
      <c r="B2430" s="88" t="inlineStr">
        <is>
          <t>Squadra A</t>
        </is>
      </c>
      <c r="C2430" s="10" t="n"/>
      <c r="D2430" s="88" t="inlineStr">
        <is>
          <t>Squadra B</t>
        </is>
      </c>
      <c r="E2430" s="10" t="n"/>
      <c r="F2430" s="88" t="inlineStr">
        <is>
          <t>Giorno</t>
        </is>
      </c>
      <c r="G2430" s="88" t="inlineStr">
        <is>
          <t>Data</t>
        </is>
      </c>
      <c r="H2430" s="88" t="inlineStr">
        <is>
          <t>Ora</t>
        </is>
      </c>
      <c r="I2430" s="10" t="n"/>
      <c r="J2430" s="88" t="inlineStr">
        <is>
          <t>Risultato</t>
        </is>
      </c>
      <c r="K2430" s="9" t="n"/>
      <c r="L2430" s="10" t="n"/>
      <c r="M2430" s="203" t="inlineStr">
        <is>
          <t>1o Arbitro</t>
        </is>
      </c>
      <c r="N2430" s="203" t="inlineStr">
        <is>
          <t>2o Arbitro</t>
        </is>
      </c>
      <c r="O2430" s="203" t="inlineStr">
        <is>
          <t>3o Arbitro/Tirocinante</t>
        </is>
      </c>
      <c r="P2430" s="203" t="inlineStr">
        <is>
          <t>Referto</t>
        </is>
      </c>
      <c r="Q2430" s="203" t="inlineStr">
        <is>
          <t>Cronometro</t>
        </is>
      </c>
      <c r="R2430" s="203" t="inlineStr">
        <is>
          <t>Foglio Tiri</t>
        </is>
      </c>
    </row>
    <row r="2431" ht="22" customHeight="1">
      <c r="A2431" s="90">
        <f>IF('Calendario D'!A511="","",'Calendario D'!A511)</f>
        <v/>
      </c>
      <c r="B2431" s="61">
        <f>IF('Calendario D'!B511="","",'Calendario D'!B511)</f>
        <v/>
      </c>
      <c r="C2431" s="62">
        <f>IF('Calendario D'!C511="","",'Calendario D'!C511)</f>
        <v/>
      </c>
      <c r="D2431" s="61">
        <f>IF('Calendario D'!D511="","",'Calendario D'!D511)</f>
        <v/>
      </c>
      <c r="E2431" s="62">
        <f>IF('Calendario D'!E511="","",'Calendario D'!E511)</f>
        <v/>
      </c>
      <c r="F2431" s="63">
        <f>IF('Calendario D'!F511="","",'Calendario D'!F511)</f>
        <v/>
      </c>
      <c r="G2431" s="9" t="n"/>
      <c r="H2431" s="9" t="n"/>
      <c r="I2431" s="10" t="n"/>
      <c r="J2431" s="195">
        <f>IF('Calendario D'!J511="","",'Calendario D'!J511)</f>
        <v/>
      </c>
      <c r="K2431" s="64" t="inlineStr">
        <is>
          <t>-</t>
        </is>
      </c>
      <c r="L2431" s="195">
        <f>IF('Calendario D'!L511="","",'Calendario D'!L511)</f>
        <v/>
      </c>
      <c r="M2431" s="196" t="inlineStr">
        <is>
          <t>KRAJNC Beatrice [Aest]</t>
        </is>
      </c>
      <c r="N2431" s="196" t="inlineStr">
        <is>
          <t>MODIC Matteo [AA]</t>
        </is>
      </c>
      <c r="O2431" s="196" t="inlineStr">
        <is>
          <t>KOVAC Miha [Aest]</t>
        </is>
      </c>
      <c r="P2431" s="196" t="inlineStr">
        <is>
          <t>HORVAT Pablo</t>
        </is>
      </c>
      <c r="Q2431" s="196" t="inlineStr">
        <is>
          <t>KELLER Stefano</t>
        </is>
      </c>
      <c r="R2431" s="196" t="inlineStr">
        <is>
          <t>ROMERO Elena</t>
        </is>
      </c>
    </row>
    <row r="2432" ht="15" customHeight="1">
      <c r="A2432" s="141" t="n"/>
      <c r="B2432" s="69">
        <f>IF('Calendario D'!B512="","",'Calendario D'!B512)</f>
        <v/>
      </c>
      <c r="C2432" s="9" t="n"/>
      <c r="D2432" s="9" t="n"/>
      <c r="E2432" s="9" t="n"/>
      <c r="F2432" s="9" t="n"/>
      <c r="G2432" s="9" t="n"/>
      <c r="H2432" s="10" t="n"/>
      <c r="I2432" s="62">
        <f>IF('Calendario D'!I512="","",'Calendario D'!I512)</f>
        <v/>
      </c>
      <c r="J2432" s="141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</row>
    <row r="2433" ht="14" customHeight="1">
      <c r="A2433" s="88" t="inlineStr">
        <is>
          <t>Gara N.</t>
        </is>
      </c>
      <c r="B2433" s="88" t="inlineStr">
        <is>
          <t>Squadra A</t>
        </is>
      </c>
      <c r="C2433" s="10" t="n"/>
      <c r="D2433" s="88" t="inlineStr">
        <is>
          <t>Squadra B</t>
        </is>
      </c>
      <c r="E2433" s="10" t="n"/>
      <c r="F2433" s="88" t="inlineStr">
        <is>
          <t>Giorno</t>
        </is>
      </c>
      <c r="G2433" s="88" t="inlineStr">
        <is>
          <t>Data</t>
        </is>
      </c>
      <c r="H2433" s="88" t="inlineStr">
        <is>
          <t>Ora</t>
        </is>
      </c>
      <c r="I2433" s="10" t="n"/>
      <c r="J2433" s="88" t="inlineStr">
        <is>
          <t>Risultato</t>
        </is>
      </c>
      <c r="K2433" s="9" t="n"/>
      <c r="L2433" s="10" t="n"/>
      <c r="M2433" s="203" t="inlineStr">
        <is>
          <t>1o Arbitro</t>
        </is>
      </c>
      <c r="N2433" s="203" t="inlineStr">
        <is>
          <t>2o Arbitro</t>
        </is>
      </c>
      <c r="O2433" s="203" t="inlineStr">
        <is>
          <t>3o Arbitro/Tirocinante</t>
        </is>
      </c>
      <c r="P2433" s="203" t="inlineStr">
        <is>
          <t>Referto</t>
        </is>
      </c>
      <c r="Q2433" s="203" t="inlineStr">
        <is>
          <t>Cronometro</t>
        </is>
      </c>
      <c r="R2433" s="203" t="inlineStr">
        <is>
          <t>Foglio Tiri</t>
        </is>
      </c>
    </row>
    <row r="2434" ht="22" customHeight="1">
      <c r="A2434" s="90">
        <f>IF('Calendario D'!A514="","",'Calendario D'!A514)</f>
        <v/>
      </c>
      <c r="B2434" s="61">
        <f>IF('Calendario D'!B514="","",'Calendario D'!B514)</f>
        <v/>
      </c>
      <c r="C2434" s="62">
        <f>IF('Calendario D'!C514="","",'Calendario D'!C514)</f>
        <v/>
      </c>
      <c r="D2434" s="61">
        <f>IF('Calendario D'!D514="","",'Calendario D'!D514)</f>
        <v/>
      </c>
      <c r="E2434" s="62">
        <f>IF('Calendario D'!E514="","",'Calendario D'!E514)</f>
        <v/>
      </c>
      <c r="F2434" s="63">
        <f>IF('Calendario D'!F514="","",'Calendario D'!F514)</f>
        <v/>
      </c>
      <c r="G2434" s="9" t="n"/>
      <c r="H2434" s="9" t="n"/>
      <c r="I2434" s="10" t="n"/>
      <c r="J2434" s="195">
        <f>IF('Calendario D'!J514="","",'Calendario D'!J514)</f>
        <v/>
      </c>
      <c r="K2434" s="64" t="inlineStr">
        <is>
          <t>-</t>
        </is>
      </c>
      <c r="L2434" s="195">
        <f>IF('Calendario D'!L514="","",'Calendario D'!L514)</f>
        <v/>
      </c>
      <c r="M2434" s="196" t="inlineStr">
        <is>
          <t>BELLANDI Paula [A]</t>
        </is>
      </c>
      <c r="N2434" s="196" t="inlineStr">
        <is>
          <t>ENGEL Gaelle [AAt]</t>
        </is>
      </c>
      <c r="O2434" s="196" t="inlineStr">
        <is>
          <t>IGLESIAS Jonas [AAt]</t>
        </is>
      </c>
      <c r="P2434" s="196" t="inlineStr">
        <is>
          <t>GALLINI Tommaso</t>
        </is>
      </c>
      <c r="Q2434" s="196" t="inlineStr">
        <is>
          <t>ROTH Andrea</t>
        </is>
      </c>
      <c r="R2434" s="196" t="inlineStr">
        <is>
          <t>OBLAK Hugo</t>
        </is>
      </c>
    </row>
    <row r="2435" ht="15" customHeight="1">
      <c r="A2435" s="141" t="n"/>
      <c r="B2435" s="69">
        <f>IF('Calendario D'!B515="","",'Calendario D'!B515)</f>
        <v/>
      </c>
      <c r="C2435" s="9" t="n"/>
      <c r="D2435" s="9" t="n"/>
      <c r="E2435" s="9" t="n"/>
      <c r="F2435" s="9" t="n"/>
      <c r="G2435" s="9" t="n"/>
      <c r="H2435" s="10" t="n"/>
      <c r="I2435" s="62">
        <f>IF('Calendario D'!I515="","",'Calendario D'!I515)</f>
        <v/>
      </c>
      <c r="J2435" s="141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</row>
    <row r="2436" ht="14" customHeight="1">
      <c r="A2436" s="88" t="inlineStr">
        <is>
          <t>Gara N.</t>
        </is>
      </c>
      <c r="B2436" s="88" t="inlineStr">
        <is>
          <t>Squadra A</t>
        </is>
      </c>
      <c r="C2436" s="10" t="n"/>
      <c r="D2436" s="88" t="inlineStr">
        <is>
          <t>Squadra B</t>
        </is>
      </c>
      <c r="E2436" s="10" t="n"/>
      <c r="F2436" s="88" t="inlineStr">
        <is>
          <t>Giorno</t>
        </is>
      </c>
      <c r="G2436" s="88" t="inlineStr">
        <is>
          <t>Data</t>
        </is>
      </c>
      <c r="H2436" s="88" t="inlineStr">
        <is>
          <t>Ora</t>
        </is>
      </c>
      <c r="I2436" s="10" t="n"/>
      <c r="J2436" s="88" t="inlineStr">
        <is>
          <t>Risultato</t>
        </is>
      </c>
      <c r="K2436" s="9" t="n"/>
      <c r="L2436" s="10" t="n"/>
      <c r="M2436" s="203" t="inlineStr">
        <is>
          <t>1o Arbitro</t>
        </is>
      </c>
      <c r="N2436" s="203" t="inlineStr">
        <is>
          <t>2o Arbitro</t>
        </is>
      </c>
      <c r="O2436" s="203" t="inlineStr">
        <is>
          <t>3o Arbitro/Tirocinante</t>
        </is>
      </c>
      <c r="P2436" s="203" t="inlineStr">
        <is>
          <t>Referto</t>
        </is>
      </c>
      <c r="Q2436" s="203" t="inlineStr">
        <is>
          <t>Cronometro</t>
        </is>
      </c>
      <c r="R2436" s="203" t="inlineStr">
        <is>
          <t>Foglio Tiri</t>
        </is>
      </c>
    </row>
    <row r="2437" ht="22" customHeight="1">
      <c r="A2437" s="90">
        <f>IF('Calendario D'!A517="","",'Calendario D'!A517)</f>
        <v/>
      </c>
      <c r="B2437" s="61">
        <f>IF('Calendario D'!B517="","",'Calendario D'!B517)</f>
        <v/>
      </c>
      <c r="C2437" s="62">
        <f>IF('Calendario D'!C517="","",'Calendario D'!C517)</f>
        <v/>
      </c>
      <c r="D2437" s="61">
        <f>IF('Calendario D'!D517="","",'Calendario D'!D517)</f>
        <v/>
      </c>
      <c r="E2437" s="62">
        <f>IF('Calendario D'!E517="","",'Calendario D'!E517)</f>
        <v/>
      </c>
      <c r="F2437" s="63">
        <f>IF('Calendario D'!F517="","",'Calendario D'!F517)</f>
        <v/>
      </c>
      <c r="G2437" s="9" t="n"/>
      <c r="H2437" s="9" t="n"/>
      <c r="I2437" s="10" t="n"/>
      <c r="J2437" s="195">
        <f>IF('Calendario D'!J517="","",'Calendario D'!J517)</f>
        <v/>
      </c>
      <c r="K2437" s="64" t="inlineStr">
        <is>
          <t>-</t>
        </is>
      </c>
      <c r="L2437" s="195">
        <f>IF('Calendario D'!L517="","",'Calendario D'!L517)</f>
        <v/>
      </c>
      <c r="M2437" s="196" t="inlineStr">
        <is>
          <t>NADAUD Paula [Aest]</t>
        </is>
      </c>
      <c r="N2437" s="196" t="inlineStr">
        <is>
          <t>ZUPAN Beatrice [AAt]</t>
        </is>
      </c>
      <c r="O2437" s="196" t="inlineStr">
        <is>
          <t>GAUTHIER Davide [AA]</t>
        </is>
      </c>
      <c r="P2437" s="196" t="inlineStr">
        <is>
          <t>VOGEL Davide</t>
        </is>
      </c>
      <c r="Q2437" s="196" t="inlineStr">
        <is>
          <t>FOURNIER Lea</t>
        </is>
      </c>
      <c r="R2437" s="196" t="inlineStr">
        <is>
          <t>KOVAC Nicola</t>
        </is>
      </c>
    </row>
    <row r="2438" ht="15" customHeight="1">
      <c r="A2438" s="141" t="n"/>
      <c r="B2438" s="69">
        <f>IF('Calendario D'!B518="","",'Calendario D'!B518)</f>
        <v/>
      </c>
      <c r="C2438" s="9" t="n"/>
      <c r="D2438" s="9" t="n"/>
      <c r="E2438" s="9" t="n"/>
      <c r="F2438" s="9" t="n"/>
      <c r="G2438" s="9" t="n"/>
      <c r="H2438" s="10" t="n"/>
      <c r="I2438" s="62">
        <f>IF('Calendario D'!I518="","",'Calendario D'!I518)</f>
        <v/>
      </c>
      <c r="J2438" s="141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</row>
    <row r="2440" ht="20" customHeight="1">
      <c r="A2440" s="85">
        <f>IF('Calendario D'!A520="","",'Calendario D'!A520)</f>
        <v/>
      </c>
      <c r="B2440" s="86">
        <f>IF('Calendario D'!B520="","",'Calendario D'!B520)</f>
        <v/>
      </c>
      <c r="C2440" s="9" t="n"/>
      <c r="D2440" s="9" t="n"/>
      <c r="E2440" s="9" t="n"/>
      <c r="F2440" s="9" t="n"/>
      <c r="G2440" s="9" t="n"/>
      <c r="H2440" s="9" t="n"/>
      <c r="I2440" s="9" t="n"/>
      <c r="J2440" s="9" t="n"/>
      <c r="K2440" s="9" t="n"/>
      <c r="L2440" s="10" t="n"/>
      <c r="M2440" s="202" t="inlineStr">
        <is>
          <t>ARBITRI</t>
        </is>
      </c>
      <c r="N2440" s="9" t="n"/>
      <c r="O2440" s="10" t="n"/>
      <c r="P2440" s="202" t="inlineStr">
        <is>
          <t>UFFICIALI DI CAMPO</t>
        </is>
      </c>
      <c r="Q2440" s="9" t="n"/>
      <c r="R2440" s="10" t="n"/>
    </row>
    <row r="2441" ht="14" customHeight="1">
      <c r="A2441" s="88" t="inlineStr">
        <is>
          <t>Gara N.</t>
        </is>
      </c>
      <c r="B2441" s="88" t="inlineStr">
        <is>
          <t>Squadra A</t>
        </is>
      </c>
      <c r="C2441" s="10" t="n"/>
      <c r="D2441" s="88" t="inlineStr">
        <is>
          <t>Squadra B</t>
        </is>
      </c>
      <c r="E2441" s="10" t="n"/>
      <c r="F2441" s="88" t="inlineStr">
        <is>
          <t>Giorno</t>
        </is>
      </c>
      <c r="G2441" s="88" t="inlineStr">
        <is>
          <t>Data</t>
        </is>
      </c>
      <c r="H2441" s="88" t="inlineStr">
        <is>
          <t>Ora</t>
        </is>
      </c>
      <c r="I2441" s="10" t="n"/>
      <c r="J2441" s="88" t="inlineStr">
        <is>
          <t>Risultato</t>
        </is>
      </c>
      <c r="K2441" s="9" t="n"/>
      <c r="L2441" s="10" t="n"/>
      <c r="M2441" s="203" t="inlineStr">
        <is>
          <t>1o Arbitro</t>
        </is>
      </c>
      <c r="N2441" s="203" t="inlineStr">
        <is>
          <t>2o Arbitro</t>
        </is>
      </c>
      <c r="O2441" s="203" t="inlineStr">
        <is>
          <t>3o Arbitro/Tirocinante</t>
        </is>
      </c>
      <c r="P2441" s="203" t="inlineStr">
        <is>
          <t>Referto</t>
        </is>
      </c>
      <c r="Q2441" s="203" t="inlineStr">
        <is>
          <t>Cronometro</t>
        </is>
      </c>
      <c r="R2441" s="203" t="inlineStr">
        <is>
          <t>Foglio Tiri</t>
        </is>
      </c>
    </row>
    <row r="2442" ht="22" customHeight="1">
      <c r="A2442" s="90">
        <f>IF('Calendario D'!A522="","",'Calendario D'!A522)</f>
        <v/>
      </c>
      <c r="B2442" s="61">
        <f>IF('Calendario D'!B522="","",'Calendario D'!B522)</f>
        <v/>
      </c>
      <c r="C2442" s="62">
        <f>IF('Calendario D'!C522="","",'Calendario D'!C522)</f>
        <v/>
      </c>
      <c r="D2442" s="61">
        <f>IF('Calendario D'!D522="","",'Calendario D'!D522)</f>
        <v/>
      </c>
      <c r="E2442" s="62">
        <f>IF('Calendario D'!E522="","",'Calendario D'!E522)</f>
        <v/>
      </c>
      <c r="F2442" s="63">
        <f>IF('Calendario D'!F522="","",'Calendario D'!F522)</f>
        <v/>
      </c>
      <c r="G2442" s="9" t="n"/>
      <c r="H2442" s="9" t="n"/>
      <c r="I2442" s="10" t="n"/>
      <c r="J2442" s="195">
        <f>IF('Calendario D'!J522="","",'Calendario D'!J522)</f>
        <v/>
      </c>
      <c r="K2442" s="64" t="inlineStr">
        <is>
          <t>-</t>
        </is>
      </c>
      <c r="L2442" s="195">
        <f>IF('Calendario D'!L522="","",'Calendario D'!L522)</f>
        <v/>
      </c>
      <c r="M2442" s="196" t="inlineStr">
        <is>
          <t>BLANCO Stefano [A]</t>
        </is>
      </c>
      <c r="N2442" s="196" t="inlineStr">
        <is>
          <t>VOGEL Martina [AA]</t>
        </is>
      </c>
      <c r="O2442" s="196" t="inlineStr">
        <is>
          <t>ENGEL Diego [A]</t>
        </is>
      </c>
      <c r="P2442" s="196" t="inlineStr">
        <is>
          <t>FUENTES Matteo</t>
        </is>
      </c>
      <c r="Q2442" s="196" t="inlineStr">
        <is>
          <t>SANTORI Gaelle</t>
        </is>
      </c>
      <c r="R2442" s="196" t="inlineStr">
        <is>
          <t>SCHAFER Gaelle</t>
        </is>
      </c>
    </row>
    <row r="2443" ht="15" customHeight="1">
      <c r="A2443" s="141" t="n"/>
      <c r="B2443" s="69">
        <f>IF('Calendario D'!B523="","",'Calendario D'!B523)</f>
        <v/>
      </c>
      <c r="C2443" s="9" t="n"/>
      <c r="D2443" s="9" t="n"/>
      <c r="E2443" s="9" t="n"/>
      <c r="F2443" s="9" t="n"/>
      <c r="G2443" s="9" t="n"/>
      <c r="H2443" s="10" t="n"/>
      <c r="I2443" s="62">
        <f>IF('Calendario D'!I523="","",'Calendario D'!I523)</f>
        <v/>
      </c>
      <c r="J2443" s="141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</row>
    <row r="2444" ht="14" customHeight="1">
      <c r="A2444" s="88" t="inlineStr">
        <is>
          <t>Gara N.</t>
        </is>
      </c>
      <c r="B2444" s="88" t="inlineStr">
        <is>
          <t>Squadra A</t>
        </is>
      </c>
      <c r="C2444" s="10" t="n"/>
      <c r="D2444" s="88" t="inlineStr">
        <is>
          <t>Squadra B</t>
        </is>
      </c>
      <c r="E2444" s="10" t="n"/>
      <c r="F2444" s="88" t="inlineStr">
        <is>
          <t>Giorno</t>
        </is>
      </c>
      <c r="G2444" s="88" t="inlineStr">
        <is>
          <t>Data</t>
        </is>
      </c>
      <c r="H2444" s="88" t="inlineStr">
        <is>
          <t>Ora</t>
        </is>
      </c>
      <c r="I2444" s="10" t="n"/>
      <c r="J2444" s="88" t="inlineStr">
        <is>
          <t>Risultato</t>
        </is>
      </c>
      <c r="K2444" s="9" t="n"/>
      <c r="L2444" s="10" t="n"/>
      <c r="M2444" s="203" t="inlineStr">
        <is>
          <t>1o Arbitro</t>
        </is>
      </c>
      <c r="N2444" s="203" t="inlineStr">
        <is>
          <t>2o Arbitro</t>
        </is>
      </c>
      <c r="O2444" s="203" t="inlineStr">
        <is>
          <t>3o Arbitro/Tirocinante</t>
        </is>
      </c>
      <c r="P2444" s="203" t="inlineStr">
        <is>
          <t>Referto</t>
        </is>
      </c>
      <c r="Q2444" s="203" t="inlineStr">
        <is>
          <t>Cronometro</t>
        </is>
      </c>
      <c r="R2444" s="203" t="inlineStr">
        <is>
          <t>Foglio Tiri</t>
        </is>
      </c>
    </row>
    <row r="2445" ht="22" customHeight="1">
      <c r="A2445" s="90">
        <f>IF('Calendario D'!A525="","",'Calendario D'!A525)</f>
        <v/>
      </c>
      <c r="B2445" s="61">
        <f>IF('Calendario D'!B525="","",'Calendario D'!B525)</f>
        <v/>
      </c>
      <c r="C2445" s="62">
        <f>IF('Calendario D'!C525="","",'Calendario D'!C525)</f>
        <v/>
      </c>
      <c r="D2445" s="61">
        <f>IF('Calendario D'!D525="","",'Calendario D'!D525)</f>
        <v/>
      </c>
      <c r="E2445" s="62">
        <f>IF('Calendario D'!E525="","",'Calendario D'!E525)</f>
        <v/>
      </c>
      <c r="F2445" s="63">
        <f>IF('Calendario D'!F525="","",'Calendario D'!F525)</f>
        <v/>
      </c>
      <c r="G2445" s="9" t="n"/>
      <c r="H2445" s="9" t="n"/>
      <c r="I2445" s="10" t="n"/>
      <c r="J2445" s="195">
        <f>IF('Calendario D'!J525="","",'Calendario D'!J525)</f>
        <v/>
      </c>
      <c r="K2445" s="64" t="inlineStr">
        <is>
          <t>-</t>
        </is>
      </c>
      <c r="L2445" s="195">
        <f>IF('Calendario D'!L525="","",'Calendario D'!L525)</f>
        <v/>
      </c>
      <c r="M2445" s="196" t="inlineStr">
        <is>
          <t>KRAJNC Beatrice [Aest]</t>
        </is>
      </c>
      <c r="N2445" s="196" t="inlineStr">
        <is>
          <t>BELLANDI Vid [Aest]</t>
        </is>
      </c>
      <c r="O2445" s="196" t="inlineStr">
        <is>
          <t>ENGEL Luca [AA]</t>
        </is>
      </c>
      <c r="P2445" s="196" t="inlineStr">
        <is>
          <t>SANTORI Eva</t>
        </is>
      </c>
      <c r="Q2445" s="196" t="inlineStr">
        <is>
          <t>VOGEL Martina</t>
        </is>
      </c>
      <c r="R2445" s="196" t="inlineStr">
        <is>
          <t>SEVER Marco</t>
        </is>
      </c>
    </row>
    <row r="2446" ht="15" customHeight="1">
      <c r="A2446" s="141" t="n"/>
      <c r="B2446" s="69">
        <f>IF('Calendario D'!B526="","",'Calendario D'!B526)</f>
        <v/>
      </c>
      <c r="C2446" s="9" t="n"/>
      <c r="D2446" s="9" t="n"/>
      <c r="E2446" s="9" t="n"/>
      <c r="F2446" s="9" t="n"/>
      <c r="G2446" s="9" t="n"/>
      <c r="H2446" s="10" t="n"/>
      <c r="I2446" s="62">
        <f>IF('Calendario D'!I526="","",'Calendario D'!I526)</f>
        <v/>
      </c>
      <c r="J2446" s="141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</row>
    <row r="2447" ht="14" customHeight="1">
      <c r="A2447" s="88" t="inlineStr">
        <is>
          <t>Gara N.</t>
        </is>
      </c>
      <c r="B2447" s="88" t="inlineStr">
        <is>
          <t>Squadra A</t>
        </is>
      </c>
      <c r="C2447" s="10" t="n"/>
      <c r="D2447" s="88" t="inlineStr">
        <is>
          <t>Squadra B</t>
        </is>
      </c>
      <c r="E2447" s="10" t="n"/>
      <c r="F2447" s="88" t="inlineStr">
        <is>
          <t>Giorno</t>
        </is>
      </c>
      <c r="G2447" s="88" t="inlineStr">
        <is>
          <t>Data</t>
        </is>
      </c>
      <c r="H2447" s="88" t="inlineStr">
        <is>
          <t>Ora</t>
        </is>
      </c>
      <c r="I2447" s="10" t="n"/>
      <c r="J2447" s="88" t="inlineStr">
        <is>
          <t>Risultato</t>
        </is>
      </c>
      <c r="K2447" s="9" t="n"/>
      <c r="L2447" s="10" t="n"/>
      <c r="M2447" s="203" t="inlineStr">
        <is>
          <t>1o Arbitro</t>
        </is>
      </c>
      <c r="N2447" s="203" t="inlineStr">
        <is>
          <t>2o Arbitro</t>
        </is>
      </c>
      <c r="O2447" s="203" t="inlineStr">
        <is>
          <t>3o Arbitro/Tirocinante</t>
        </is>
      </c>
      <c r="P2447" s="203" t="inlineStr">
        <is>
          <t>Referto</t>
        </is>
      </c>
      <c r="Q2447" s="203" t="inlineStr">
        <is>
          <t>Cronometro</t>
        </is>
      </c>
      <c r="R2447" s="203" t="inlineStr">
        <is>
          <t>Foglio Tiri</t>
        </is>
      </c>
    </row>
    <row r="2448" ht="22" customHeight="1">
      <c r="A2448" s="90">
        <f>IF('Calendario D'!A528="","",'Calendario D'!A528)</f>
        <v/>
      </c>
      <c r="B2448" s="61">
        <f>IF('Calendario D'!B528="","",'Calendario D'!B528)</f>
        <v/>
      </c>
      <c r="C2448" s="62">
        <f>IF('Calendario D'!C528="","",'Calendario D'!C528)</f>
        <v/>
      </c>
      <c r="D2448" s="61">
        <f>IF('Calendario D'!D528="","",'Calendario D'!D528)</f>
        <v/>
      </c>
      <c r="E2448" s="62">
        <f>IF('Calendario D'!E528="","",'Calendario D'!E528)</f>
        <v/>
      </c>
      <c r="F2448" s="63">
        <f>IF('Calendario D'!F528="","",'Calendario D'!F528)</f>
        <v/>
      </c>
      <c r="G2448" s="9" t="n"/>
      <c r="H2448" s="9" t="n"/>
      <c r="I2448" s="10" t="n"/>
      <c r="J2448" s="195">
        <f>IF('Calendario D'!J528="","",'Calendario D'!J528)</f>
        <v/>
      </c>
      <c r="K2448" s="64" t="inlineStr">
        <is>
          <t>-</t>
        </is>
      </c>
      <c r="L2448" s="195">
        <f>IF('Calendario D'!L528="","",'Calendario D'!L528)</f>
        <v/>
      </c>
      <c r="M2448" s="196" t="inlineStr">
        <is>
          <t>VOGEL Beatrice [AAt]</t>
        </is>
      </c>
      <c r="N2448" s="196" t="inlineStr">
        <is>
          <t>VALLET Felix [A]</t>
        </is>
      </c>
      <c r="O2448" s="196" t="inlineStr">
        <is>
          <t>ZUPAN Diego [AA]</t>
        </is>
      </c>
      <c r="P2448" s="196" t="inlineStr">
        <is>
          <t>HOFFMANN Matteo</t>
        </is>
      </c>
      <c r="Q2448" s="196" t="inlineStr">
        <is>
          <t>PELLEGRI Lea</t>
        </is>
      </c>
      <c r="R2448" s="196" t="inlineStr">
        <is>
          <t>ROTH Lucia</t>
        </is>
      </c>
    </row>
    <row r="2449" ht="15" customHeight="1">
      <c r="A2449" s="141" t="n"/>
      <c r="B2449" s="69">
        <f>IF('Calendario D'!B529="","",'Calendario D'!B529)</f>
        <v/>
      </c>
      <c r="C2449" s="9" t="n"/>
      <c r="D2449" s="9" t="n"/>
      <c r="E2449" s="9" t="n"/>
      <c r="F2449" s="9" t="n"/>
      <c r="G2449" s="9" t="n"/>
      <c r="H2449" s="10" t="n"/>
      <c r="I2449" s="62">
        <f>IF('Calendario D'!I529="","",'Calendario D'!I529)</f>
        <v/>
      </c>
      <c r="J2449" s="141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</row>
    <row r="2450" ht="14" customHeight="1">
      <c r="A2450" s="88" t="inlineStr">
        <is>
          <t>Gara N.</t>
        </is>
      </c>
      <c r="B2450" s="88" t="inlineStr">
        <is>
          <t>Squadra A</t>
        </is>
      </c>
      <c r="C2450" s="10" t="n"/>
      <c r="D2450" s="88" t="inlineStr">
        <is>
          <t>Squadra B</t>
        </is>
      </c>
      <c r="E2450" s="10" t="n"/>
      <c r="F2450" s="88" t="inlineStr">
        <is>
          <t>Giorno</t>
        </is>
      </c>
      <c r="G2450" s="88" t="inlineStr">
        <is>
          <t>Data</t>
        </is>
      </c>
      <c r="H2450" s="88" t="inlineStr">
        <is>
          <t>Ora</t>
        </is>
      </c>
      <c r="I2450" s="10" t="n"/>
      <c r="J2450" s="88" t="inlineStr">
        <is>
          <t>Risultato</t>
        </is>
      </c>
      <c r="K2450" s="9" t="n"/>
      <c r="L2450" s="10" t="n"/>
      <c r="M2450" s="203" t="inlineStr">
        <is>
          <t>1o Arbitro</t>
        </is>
      </c>
      <c r="N2450" s="203" t="inlineStr">
        <is>
          <t>2o Arbitro</t>
        </is>
      </c>
      <c r="O2450" s="203" t="inlineStr">
        <is>
          <t>3o Arbitro/Tirocinante</t>
        </is>
      </c>
      <c r="P2450" s="203" t="inlineStr">
        <is>
          <t>Referto</t>
        </is>
      </c>
      <c r="Q2450" s="203" t="inlineStr">
        <is>
          <t>Cronometro</t>
        </is>
      </c>
      <c r="R2450" s="203" t="inlineStr">
        <is>
          <t>Foglio Tiri</t>
        </is>
      </c>
    </row>
    <row r="2451" ht="22" customHeight="1">
      <c r="A2451" s="90">
        <f>IF('Calendario D'!A531="","",'Calendario D'!A531)</f>
        <v/>
      </c>
      <c r="B2451" s="61">
        <f>IF('Calendario D'!B531="","",'Calendario D'!B531)</f>
        <v/>
      </c>
      <c r="C2451" s="62">
        <f>IF('Calendario D'!C531="","",'Calendario D'!C531)</f>
        <v/>
      </c>
      <c r="D2451" s="61">
        <f>IF('Calendario D'!D531="","",'Calendario D'!D531)</f>
        <v/>
      </c>
      <c r="E2451" s="62">
        <f>IF('Calendario D'!E531="","",'Calendario D'!E531)</f>
        <v/>
      </c>
      <c r="F2451" s="63">
        <f>IF('Calendario D'!F531="","",'Calendario D'!F531)</f>
        <v/>
      </c>
      <c r="G2451" s="9" t="n"/>
      <c r="H2451" s="9" t="n"/>
      <c r="I2451" s="10" t="n"/>
      <c r="J2451" s="195">
        <f>IF('Calendario D'!J531="","",'Calendario D'!J531)</f>
        <v/>
      </c>
      <c r="K2451" s="64" t="inlineStr">
        <is>
          <t>-</t>
        </is>
      </c>
      <c r="L2451" s="195">
        <f>IF('Calendario D'!L531="","",'Calendario D'!L531)</f>
        <v/>
      </c>
      <c r="M2451" s="196" t="inlineStr">
        <is>
          <t>MORETTO Chiara [A]</t>
        </is>
      </c>
      <c r="N2451" s="196" t="inlineStr">
        <is>
          <t>NADAUD Paula [Aest]</t>
        </is>
      </c>
      <c r="O2451" s="196" t="inlineStr">
        <is>
          <t>CARON Greta [AA]</t>
        </is>
      </c>
      <c r="P2451" s="196" t="inlineStr">
        <is>
          <t>BLANCHET Paula</t>
        </is>
      </c>
      <c r="Q2451" s="196" t="inlineStr">
        <is>
          <t>NOVAK Lukas</t>
        </is>
      </c>
      <c r="R2451" s="196" t="inlineStr">
        <is>
          <t>ORTEGA Gaelle</t>
        </is>
      </c>
    </row>
    <row r="2452" ht="15" customHeight="1">
      <c r="A2452" s="141" t="n"/>
      <c r="B2452" s="69">
        <f>IF('Calendario D'!B532="","",'Calendario D'!B532)</f>
        <v/>
      </c>
      <c r="C2452" s="9" t="n"/>
      <c r="D2452" s="9" t="n"/>
      <c r="E2452" s="9" t="n"/>
      <c r="F2452" s="9" t="n"/>
      <c r="G2452" s="9" t="n"/>
      <c r="H2452" s="10" t="n"/>
      <c r="I2452" s="62">
        <f>IF('Calendario D'!I532="","",'Calendario D'!I532)</f>
        <v/>
      </c>
      <c r="J2452" s="141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</row>
    <row r="2453" ht="14" customHeight="1">
      <c r="A2453" s="88" t="inlineStr">
        <is>
          <t>Gara N.</t>
        </is>
      </c>
      <c r="B2453" s="88" t="inlineStr">
        <is>
          <t>Squadra A</t>
        </is>
      </c>
      <c r="C2453" s="10" t="n"/>
      <c r="D2453" s="88" t="inlineStr">
        <is>
          <t>Squadra B</t>
        </is>
      </c>
      <c r="E2453" s="10" t="n"/>
      <c r="F2453" s="88" t="inlineStr">
        <is>
          <t>Giorno</t>
        </is>
      </c>
      <c r="G2453" s="88" t="inlineStr">
        <is>
          <t>Data</t>
        </is>
      </c>
      <c r="H2453" s="88" t="inlineStr">
        <is>
          <t>Ora</t>
        </is>
      </c>
      <c r="I2453" s="10" t="n"/>
      <c r="J2453" s="88" t="inlineStr">
        <is>
          <t>Risultato</t>
        </is>
      </c>
      <c r="K2453" s="9" t="n"/>
      <c r="L2453" s="10" t="n"/>
      <c r="M2453" s="203" t="inlineStr">
        <is>
          <t>1o Arbitro</t>
        </is>
      </c>
      <c r="N2453" s="203" t="inlineStr">
        <is>
          <t>2o Arbitro</t>
        </is>
      </c>
      <c r="O2453" s="203" t="inlineStr">
        <is>
          <t>3o Arbitro/Tirocinante</t>
        </is>
      </c>
      <c r="P2453" s="203" t="inlineStr">
        <is>
          <t>Referto</t>
        </is>
      </c>
      <c r="Q2453" s="203" t="inlineStr">
        <is>
          <t>Cronometro</t>
        </is>
      </c>
      <c r="R2453" s="203" t="inlineStr">
        <is>
          <t>Foglio Tiri</t>
        </is>
      </c>
    </row>
    <row r="2454" ht="22" customHeight="1">
      <c r="A2454" s="90">
        <f>IF('Calendario D'!A534="","",'Calendario D'!A534)</f>
        <v/>
      </c>
      <c r="B2454" s="61">
        <f>IF('Calendario D'!B534="","",'Calendario D'!B534)</f>
        <v/>
      </c>
      <c r="C2454" s="62">
        <f>IF('Calendario D'!C534="","",'Calendario D'!C534)</f>
        <v/>
      </c>
      <c r="D2454" s="61">
        <f>IF('Calendario D'!D534="","",'Calendario D'!D534)</f>
        <v/>
      </c>
      <c r="E2454" s="62">
        <f>IF('Calendario D'!E534="","",'Calendario D'!E534)</f>
        <v/>
      </c>
      <c r="F2454" s="63">
        <f>IF('Calendario D'!F534="","",'Calendario D'!F534)</f>
        <v/>
      </c>
      <c r="G2454" s="9" t="n"/>
      <c r="H2454" s="9" t="n"/>
      <c r="I2454" s="10" t="n"/>
      <c r="J2454" s="195">
        <f>IF('Calendario D'!J534="","",'Calendario D'!J534)</f>
        <v/>
      </c>
      <c r="K2454" s="64" t="inlineStr">
        <is>
          <t>-</t>
        </is>
      </c>
      <c r="L2454" s="195">
        <f>IF('Calendario D'!L534="","",'Calendario D'!L534)</f>
        <v/>
      </c>
      <c r="M2454" s="196" t="inlineStr">
        <is>
          <t>SEVER Tommaso [AAt]</t>
        </is>
      </c>
      <c r="N2454" s="196" t="inlineStr">
        <is>
          <t>KRUGER Gaelle [AAt]</t>
        </is>
      </c>
      <c r="O2454" s="196" t="inlineStr">
        <is>
          <t>ENGEL Valerie [Aest]</t>
        </is>
      </c>
      <c r="P2454" s="196" t="inlineStr">
        <is>
          <t>NADAUD Mathilde</t>
        </is>
      </c>
      <c r="Q2454" s="196" t="inlineStr">
        <is>
          <t>HORVAT Irene</t>
        </is>
      </c>
      <c r="R2454" s="196" t="inlineStr">
        <is>
          <t>LEFEVRE Tommaso</t>
        </is>
      </c>
    </row>
    <row r="2455" ht="15" customHeight="1">
      <c r="A2455" s="141" t="n"/>
      <c r="B2455" s="69">
        <f>IF('Calendario D'!B535="","",'Calendario D'!B535)</f>
        <v/>
      </c>
      <c r="C2455" s="9" t="n"/>
      <c r="D2455" s="9" t="n"/>
      <c r="E2455" s="9" t="n"/>
      <c r="F2455" s="9" t="n"/>
      <c r="G2455" s="9" t="n"/>
      <c r="H2455" s="10" t="n"/>
      <c r="I2455" s="62">
        <f>IF('Calendario D'!I535="","",'Calendario D'!I535)</f>
        <v/>
      </c>
      <c r="J2455" s="141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</row>
    <row r="2456" ht="14" customHeight="1">
      <c r="A2456" s="88" t="inlineStr">
        <is>
          <t>Gara N.</t>
        </is>
      </c>
      <c r="B2456" s="88" t="inlineStr">
        <is>
          <t>Squadra A</t>
        </is>
      </c>
      <c r="C2456" s="10" t="n"/>
      <c r="D2456" s="88" t="inlineStr">
        <is>
          <t>Squadra B</t>
        </is>
      </c>
      <c r="E2456" s="10" t="n"/>
      <c r="F2456" s="88" t="inlineStr">
        <is>
          <t>Giorno</t>
        </is>
      </c>
      <c r="G2456" s="88" t="inlineStr">
        <is>
          <t>Data</t>
        </is>
      </c>
      <c r="H2456" s="88" t="inlineStr">
        <is>
          <t>Ora</t>
        </is>
      </c>
      <c r="I2456" s="10" t="n"/>
      <c r="J2456" s="88" t="inlineStr">
        <is>
          <t>Risultato</t>
        </is>
      </c>
      <c r="K2456" s="9" t="n"/>
      <c r="L2456" s="10" t="n"/>
      <c r="M2456" s="203" t="inlineStr">
        <is>
          <t>1o Arbitro</t>
        </is>
      </c>
      <c r="N2456" s="203" t="inlineStr">
        <is>
          <t>2o Arbitro</t>
        </is>
      </c>
      <c r="O2456" s="203" t="inlineStr">
        <is>
          <t>3o Arbitro/Tirocinante</t>
        </is>
      </c>
      <c r="P2456" s="203" t="inlineStr">
        <is>
          <t>Referto</t>
        </is>
      </c>
      <c r="Q2456" s="203" t="inlineStr">
        <is>
          <t>Cronometro</t>
        </is>
      </c>
      <c r="R2456" s="203" t="inlineStr">
        <is>
          <t>Foglio Tiri</t>
        </is>
      </c>
    </row>
    <row r="2457" ht="22" customHeight="1">
      <c r="A2457" s="90">
        <f>IF('Calendario D'!A537="","",'Calendario D'!A537)</f>
        <v/>
      </c>
      <c r="B2457" s="61">
        <f>IF('Calendario D'!B537="","",'Calendario D'!B537)</f>
        <v/>
      </c>
      <c r="C2457" s="62">
        <f>IF('Calendario D'!C537="","",'Calendario D'!C537)</f>
        <v/>
      </c>
      <c r="D2457" s="61">
        <f>IF('Calendario D'!D537="","",'Calendario D'!D537)</f>
        <v/>
      </c>
      <c r="E2457" s="62">
        <f>IF('Calendario D'!E537="","",'Calendario D'!E537)</f>
        <v/>
      </c>
      <c r="F2457" s="63">
        <f>IF('Calendario D'!F537="","",'Calendario D'!F537)</f>
        <v/>
      </c>
      <c r="G2457" s="9" t="n"/>
      <c r="H2457" s="9" t="n"/>
      <c r="I2457" s="10" t="n"/>
      <c r="J2457" s="195">
        <f>IF('Calendario D'!J537="","",'Calendario D'!J537)</f>
        <v/>
      </c>
      <c r="K2457" s="64" t="inlineStr">
        <is>
          <t>-</t>
        </is>
      </c>
      <c r="L2457" s="195">
        <f>IF('Calendario D'!L537="","",'Calendario D'!L537)</f>
        <v/>
      </c>
      <c r="M2457" s="196" t="inlineStr">
        <is>
          <t>OBLAK Jonas [AAt]</t>
        </is>
      </c>
      <c r="N2457" s="196" t="inlineStr">
        <is>
          <t>ZUPAN Felix [AAt]</t>
        </is>
      </c>
      <c r="O2457" s="196" t="inlineStr">
        <is>
          <t>GAUTHIER Davide [AA]</t>
        </is>
      </c>
      <c r="P2457" s="196" t="inlineStr">
        <is>
          <t>NADAUD Ilaria</t>
        </is>
      </c>
      <c r="Q2457" s="196" t="inlineStr">
        <is>
          <t>SEVER Giulia</t>
        </is>
      </c>
      <c r="R2457" s="196" t="inlineStr">
        <is>
          <t>MORETTO Anja</t>
        </is>
      </c>
    </row>
    <row r="2458" ht="15" customHeight="1">
      <c r="A2458" s="141" t="n"/>
      <c r="B2458" s="69">
        <f>IF('Calendario D'!B538="","",'Calendario D'!B538)</f>
        <v/>
      </c>
      <c r="C2458" s="9" t="n"/>
      <c r="D2458" s="9" t="n"/>
      <c r="E2458" s="9" t="n"/>
      <c r="F2458" s="9" t="n"/>
      <c r="G2458" s="9" t="n"/>
      <c r="H2458" s="10" t="n"/>
      <c r="I2458" s="62">
        <f>IF('Calendario D'!I538="","",'Calendario D'!I538)</f>
        <v/>
      </c>
      <c r="J2458" s="141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</row>
    <row r="2459" ht="14" customHeight="1">
      <c r="A2459" s="88" t="inlineStr">
        <is>
          <t>Gara N.</t>
        </is>
      </c>
      <c r="B2459" s="88" t="inlineStr">
        <is>
          <t>Squadra A</t>
        </is>
      </c>
      <c r="C2459" s="10" t="n"/>
      <c r="D2459" s="88" t="inlineStr">
        <is>
          <t>Squadra B</t>
        </is>
      </c>
      <c r="E2459" s="10" t="n"/>
      <c r="F2459" s="88" t="inlineStr">
        <is>
          <t>Giorno</t>
        </is>
      </c>
      <c r="G2459" s="88" t="inlineStr">
        <is>
          <t>Data</t>
        </is>
      </c>
      <c r="H2459" s="88" t="inlineStr">
        <is>
          <t>Ora</t>
        </is>
      </c>
      <c r="I2459" s="10" t="n"/>
      <c r="J2459" s="88" t="inlineStr">
        <is>
          <t>Risultato</t>
        </is>
      </c>
      <c r="K2459" s="9" t="n"/>
      <c r="L2459" s="10" t="n"/>
      <c r="M2459" s="203" t="inlineStr">
        <is>
          <t>1o Arbitro</t>
        </is>
      </c>
      <c r="N2459" s="203" t="inlineStr">
        <is>
          <t>2o Arbitro</t>
        </is>
      </c>
      <c r="O2459" s="203" t="inlineStr">
        <is>
          <t>3o Arbitro/Tirocinante</t>
        </is>
      </c>
      <c r="P2459" s="203" t="inlineStr">
        <is>
          <t>Referto</t>
        </is>
      </c>
      <c r="Q2459" s="203" t="inlineStr">
        <is>
          <t>Cronometro</t>
        </is>
      </c>
      <c r="R2459" s="203" t="inlineStr">
        <is>
          <t>Foglio Tiri</t>
        </is>
      </c>
    </row>
    <row r="2460" ht="22" customHeight="1">
      <c r="A2460" s="90">
        <f>IF('Calendario D'!A540="","",'Calendario D'!A540)</f>
        <v/>
      </c>
      <c r="B2460" s="61">
        <f>IF('Calendario D'!B540="","",'Calendario D'!B540)</f>
        <v/>
      </c>
      <c r="C2460" s="62">
        <f>IF('Calendario D'!C540="","",'Calendario D'!C540)</f>
        <v/>
      </c>
      <c r="D2460" s="61">
        <f>IF('Calendario D'!D540="","",'Calendario D'!D540)</f>
        <v/>
      </c>
      <c r="E2460" s="62">
        <f>IF('Calendario D'!E540="","",'Calendario D'!E540)</f>
        <v/>
      </c>
      <c r="F2460" s="63">
        <f>IF('Calendario D'!F540="","",'Calendario D'!F540)</f>
        <v/>
      </c>
      <c r="G2460" s="9" t="n"/>
      <c r="H2460" s="9" t="n"/>
      <c r="I2460" s="10" t="n"/>
      <c r="J2460" s="195">
        <f>IF('Calendario D'!J540="","",'Calendario D'!J540)</f>
        <v/>
      </c>
      <c r="K2460" s="64" t="inlineStr">
        <is>
          <t>-</t>
        </is>
      </c>
      <c r="L2460" s="195">
        <f>IF('Calendario D'!L540="","",'Calendario D'!L540)</f>
        <v/>
      </c>
      <c r="M2460" s="196" t="inlineStr">
        <is>
          <t>ROTH Sofia [A]</t>
        </is>
      </c>
      <c r="N2460" s="196" t="inlineStr">
        <is>
          <t>VALLET Gaelle [Aest]</t>
        </is>
      </c>
      <c r="O2460" s="196" t="inlineStr">
        <is>
          <t>NOVAK Felix [A]</t>
        </is>
      </c>
      <c r="P2460" s="196" t="inlineStr">
        <is>
          <t>CASTILLO Giulia</t>
        </is>
      </c>
      <c r="Q2460" s="196" t="inlineStr">
        <is>
          <t>MARCHIONI Miha</t>
        </is>
      </c>
      <c r="R2460" s="196" t="inlineStr">
        <is>
          <t>LANGER Katrin</t>
        </is>
      </c>
    </row>
    <row r="2461" ht="15" customHeight="1">
      <c r="A2461" s="141" t="n"/>
      <c r="B2461" s="69">
        <f>IF('Calendario D'!B541="","",'Calendario D'!B541)</f>
        <v/>
      </c>
      <c r="C2461" s="9" t="n"/>
      <c r="D2461" s="9" t="n"/>
      <c r="E2461" s="9" t="n"/>
      <c r="F2461" s="9" t="n"/>
      <c r="G2461" s="9" t="n"/>
      <c r="H2461" s="10" t="n"/>
      <c r="I2461" s="62">
        <f>IF('Calendario D'!I541="","",'Calendario D'!I541)</f>
        <v/>
      </c>
      <c r="J2461" s="141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</row>
    <row r="2462" ht="14" customHeight="1">
      <c r="A2462" s="88" t="inlineStr">
        <is>
          <t>Gara N.</t>
        </is>
      </c>
      <c r="B2462" s="88" t="inlineStr">
        <is>
          <t>Squadra A</t>
        </is>
      </c>
      <c r="C2462" s="10" t="n"/>
      <c r="D2462" s="88" t="inlineStr">
        <is>
          <t>Squadra B</t>
        </is>
      </c>
      <c r="E2462" s="10" t="n"/>
      <c r="F2462" s="88" t="inlineStr">
        <is>
          <t>Giorno</t>
        </is>
      </c>
      <c r="G2462" s="88" t="inlineStr">
        <is>
          <t>Data</t>
        </is>
      </c>
      <c r="H2462" s="88" t="inlineStr">
        <is>
          <t>Ora</t>
        </is>
      </c>
      <c r="I2462" s="10" t="n"/>
      <c r="J2462" s="88" t="inlineStr">
        <is>
          <t>Risultato</t>
        </is>
      </c>
      <c r="K2462" s="9" t="n"/>
      <c r="L2462" s="10" t="n"/>
      <c r="M2462" s="203" t="inlineStr">
        <is>
          <t>1o Arbitro</t>
        </is>
      </c>
      <c r="N2462" s="203" t="inlineStr">
        <is>
          <t>2o Arbitro</t>
        </is>
      </c>
      <c r="O2462" s="203" t="inlineStr">
        <is>
          <t>3o Arbitro/Tirocinante</t>
        </is>
      </c>
      <c r="P2462" s="203" t="inlineStr">
        <is>
          <t>Referto</t>
        </is>
      </c>
      <c r="Q2462" s="203" t="inlineStr">
        <is>
          <t>Cronometro</t>
        </is>
      </c>
      <c r="R2462" s="203" t="inlineStr">
        <is>
          <t>Foglio Tiri</t>
        </is>
      </c>
    </row>
    <row r="2463" ht="22" customHeight="1">
      <c r="A2463" s="90">
        <f>IF('Calendario D'!A543="","",'Calendario D'!A543)</f>
        <v/>
      </c>
      <c r="B2463" s="61">
        <f>IF('Calendario D'!B543="","",'Calendario D'!B543)</f>
        <v/>
      </c>
      <c r="C2463" s="62">
        <f>IF('Calendario D'!C543="","",'Calendario D'!C543)</f>
        <v/>
      </c>
      <c r="D2463" s="61">
        <f>IF('Calendario D'!D543="","",'Calendario D'!D543)</f>
        <v/>
      </c>
      <c r="E2463" s="62">
        <f>IF('Calendario D'!E543="","",'Calendario D'!E543)</f>
        <v/>
      </c>
      <c r="F2463" s="63">
        <f>IF('Calendario D'!F543="","",'Calendario D'!F543)</f>
        <v/>
      </c>
      <c r="G2463" s="9" t="n"/>
      <c r="H2463" s="9" t="n"/>
      <c r="I2463" s="10" t="n"/>
      <c r="J2463" s="195">
        <f>IF('Calendario D'!J543="","",'Calendario D'!J543)</f>
        <v/>
      </c>
      <c r="K2463" s="64" t="inlineStr">
        <is>
          <t>-</t>
        </is>
      </c>
      <c r="L2463" s="195">
        <f>IF('Calendario D'!L543="","",'Calendario D'!L543)</f>
        <v/>
      </c>
      <c r="M2463" s="196" t="inlineStr">
        <is>
          <t>MOREAU Martina [Aest]</t>
        </is>
      </c>
      <c r="N2463" s="196" t="inlineStr">
        <is>
          <t>ZUPAN Felix [AAt]</t>
        </is>
      </c>
      <c r="O2463" s="196" t="inlineStr">
        <is>
          <t>AUBERT Martina [AA]</t>
        </is>
      </c>
      <c r="P2463" s="196" t="inlineStr">
        <is>
          <t>PRADO Lea</t>
        </is>
      </c>
      <c r="Q2463" s="196" t="inlineStr">
        <is>
          <t>KOVAC Chiara</t>
        </is>
      </c>
      <c r="R2463" s="196" t="inlineStr">
        <is>
          <t>ZUPAN Irene</t>
        </is>
      </c>
    </row>
    <row r="2464" ht="15" customHeight="1">
      <c r="A2464" s="141" t="n"/>
      <c r="B2464" s="69">
        <f>IF('Calendario D'!B544="","",'Calendario D'!B544)</f>
        <v/>
      </c>
      <c r="C2464" s="9" t="n"/>
      <c r="D2464" s="9" t="n"/>
      <c r="E2464" s="9" t="n"/>
      <c r="F2464" s="9" t="n"/>
      <c r="G2464" s="9" t="n"/>
      <c r="H2464" s="10" t="n"/>
      <c r="I2464" s="62">
        <f>IF('Calendario D'!I544="","",'Calendario D'!I544)</f>
        <v/>
      </c>
      <c r="J2464" s="141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</row>
    <row r="2465" ht="14" customHeight="1">
      <c r="A2465" s="88" t="inlineStr">
        <is>
          <t>Gara N.</t>
        </is>
      </c>
      <c r="B2465" s="88" t="inlineStr">
        <is>
          <t>Squadra A</t>
        </is>
      </c>
      <c r="C2465" s="10" t="n"/>
      <c r="D2465" s="88" t="inlineStr">
        <is>
          <t>Squadra B</t>
        </is>
      </c>
      <c r="E2465" s="10" t="n"/>
      <c r="F2465" s="88" t="inlineStr">
        <is>
          <t>Giorno</t>
        </is>
      </c>
      <c r="G2465" s="88" t="inlineStr">
        <is>
          <t>Data</t>
        </is>
      </c>
      <c r="H2465" s="88" t="inlineStr">
        <is>
          <t>Ora</t>
        </is>
      </c>
      <c r="I2465" s="10" t="n"/>
      <c r="J2465" s="88" t="inlineStr">
        <is>
          <t>Risultato</t>
        </is>
      </c>
      <c r="K2465" s="9" t="n"/>
      <c r="L2465" s="10" t="n"/>
      <c r="M2465" s="203" t="inlineStr">
        <is>
          <t>1o Arbitro</t>
        </is>
      </c>
      <c r="N2465" s="203" t="inlineStr">
        <is>
          <t>2o Arbitro</t>
        </is>
      </c>
      <c r="O2465" s="203" t="inlineStr">
        <is>
          <t>3o Arbitro/Tirocinante</t>
        </is>
      </c>
      <c r="P2465" s="203" t="inlineStr">
        <is>
          <t>Referto</t>
        </is>
      </c>
      <c r="Q2465" s="203" t="inlineStr">
        <is>
          <t>Cronometro</t>
        </is>
      </c>
      <c r="R2465" s="203" t="inlineStr">
        <is>
          <t>Foglio Tiri</t>
        </is>
      </c>
    </row>
    <row r="2466" ht="22" customHeight="1">
      <c r="A2466" s="90">
        <f>IF('Calendario D'!A546="","",'Calendario D'!A546)</f>
        <v/>
      </c>
      <c r="B2466" s="61">
        <f>IF('Calendario D'!B546="","",'Calendario D'!B546)</f>
        <v/>
      </c>
      <c r="C2466" s="62">
        <f>IF('Calendario D'!C546="","",'Calendario D'!C546)</f>
        <v/>
      </c>
      <c r="D2466" s="61">
        <f>IF('Calendario D'!D546="","",'Calendario D'!D546)</f>
        <v/>
      </c>
      <c r="E2466" s="62">
        <f>IF('Calendario D'!E546="","",'Calendario D'!E546)</f>
        <v/>
      </c>
      <c r="F2466" s="63">
        <f>IF('Calendario D'!F546="","",'Calendario D'!F546)</f>
        <v/>
      </c>
      <c r="G2466" s="9" t="n"/>
      <c r="H2466" s="9" t="n"/>
      <c r="I2466" s="10" t="n"/>
      <c r="J2466" s="195">
        <f>IF('Calendario D'!J546="","",'Calendario D'!J546)</f>
        <v/>
      </c>
      <c r="K2466" s="64" t="inlineStr">
        <is>
          <t>-</t>
        </is>
      </c>
      <c r="L2466" s="195">
        <f>IF('Calendario D'!L546="","",'Calendario D'!L546)</f>
        <v/>
      </c>
      <c r="M2466" s="196" t="inlineStr">
        <is>
          <t>KELLER Marta [AAt]</t>
        </is>
      </c>
      <c r="N2466" s="196" t="inlineStr">
        <is>
          <t>CAMPOS Mathilde [Aest]</t>
        </is>
      </c>
      <c r="O2466" s="196" t="inlineStr">
        <is>
          <t>BLANCO Stefano [A]</t>
        </is>
      </c>
      <c r="P2466" s="196" t="inlineStr">
        <is>
          <t>ROSSINI Filippo</t>
        </is>
      </c>
      <c r="Q2466" s="196" t="inlineStr">
        <is>
          <t>FERRANTE Mathilde</t>
        </is>
      </c>
      <c r="R2466" s="196" t="inlineStr">
        <is>
          <t>PELLEGRI Lea</t>
        </is>
      </c>
    </row>
    <row r="2467" ht="15" customHeight="1">
      <c r="A2467" s="141" t="n"/>
      <c r="B2467" s="69">
        <f>IF('Calendario D'!B547="","",'Calendario D'!B547)</f>
        <v/>
      </c>
      <c r="C2467" s="9" t="n"/>
      <c r="D2467" s="9" t="n"/>
      <c r="E2467" s="9" t="n"/>
      <c r="F2467" s="9" t="n"/>
      <c r="G2467" s="9" t="n"/>
      <c r="H2467" s="10" t="n"/>
      <c r="I2467" s="62">
        <f>IF('Calendario D'!I547="","",'Calendario D'!I547)</f>
        <v/>
      </c>
      <c r="J2467" s="141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</row>
    <row r="2468" ht="14" customHeight="1">
      <c r="A2468" s="88" t="inlineStr">
        <is>
          <t>Gara N.</t>
        </is>
      </c>
      <c r="B2468" s="88" t="inlineStr">
        <is>
          <t>Squadra A</t>
        </is>
      </c>
      <c r="C2468" s="10" t="n"/>
      <c r="D2468" s="88" t="inlineStr">
        <is>
          <t>Squadra B</t>
        </is>
      </c>
      <c r="E2468" s="10" t="n"/>
      <c r="F2468" s="88" t="inlineStr">
        <is>
          <t>Giorno</t>
        </is>
      </c>
      <c r="G2468" s="88" t="inlineStr">
        <is>
          <t>Data</t>
        </is>
      </c>
      <c r="H2468" s="88" t="inlineStr">
        <is>
          <t>Ora</t>
        </is>
      </c>
      <c r="I2468" s="10" t="n"/>
      <c r="J2468" s="88" t="inlineStr">
        <is>
          <t>Risultato</t>
        </is>
      </c>
      <c r="K2468" s="9" t="n"/>
      <c r="L2468" s="10" t="n"/>
      <c r="M2468" s="203" t="inlineStr">
        <is>
          <t>1o Arbitro</t>
        </is>
      </c>
      <c r="N2468" s="203" t="inlineStr">
        <is>
          <t>2o Arbitro</t>
        </is>
      </c>
      <c r="O2468" s="203" t="inlineStr">
        <is>
          <t>3o Arbitro/Tirocinante</t>
        </is>
      </c>
      <c r="P2468" s="203" t="inlineStr">
        <is>
          <t>Referto</t>
        </is>
      </c>
      <c r="Q2468" s="203" t="inlineStr">
        <is>
          <t>Cronometro</t>
        </is>
      </c>
      <c r="R2468" s="203" t="inlineStr">
        <is>
          <t>Foglio Tiri</t>
        </is>
      </c>
    </row>
    <row r="2469" ht="22" customHeight="1">
      <c r="A2469" s="90">
        <f>IF('Calendario D'!A549="","",'Calendario D'!A549)</f>
        <v/>
      </c>
      <c r="B2469" s="61">
        <f>IF('Calendario D'!B549="","",'Calendario D'!B549)</f>
        <v/>
      </c>
      <c r="C2469" s="62">
        <f>IF('Calendario D'!C549="","",'Calendario D'!C549)</f>
        <v/>
      </c>
      <c r="D2469" s="61">
        <f>IF('Calendario D'!D549="","",'Calendario D'!D549)</f>
        <v/>
      </c>
      <c r="E2469" s="62">
        <f>IF('Calendario D'!E549="","",'Calendario D'!E549)</f>
        <v/>
      </c>
      <c r="F2469" s="63">
        <f>IF('Calendario D'!F549="","",'Calendario D'!F549)</f>
        <v/>
      </c>
      <c r="G2469" s="9" t="n"/>
      <c r="H2469" s="9" t="n"/>
      <c r="I2469" s="10" t="n"/>
      <c r="J2469" s="195">
        <f>IF('Calendario D'!J549="","",'Calendario D'!J549)</f>
        <v/>
      </c>
      <c r="K2469" s="64" t="inlineStr">
        <is>
          <t>-</t>
        </is>
      </c>
      <c r="L2469" s="195">
        <f>IF('Calendario D'!L549="","",'Calendario D'!L549)</f>
        <v/>
      </c>
      <c r="M2469" s="196" t="inlineStr">
        <is>
          <t>SANTORI Gaelle [AA]</t>
        </is>
      </c>
      <c r="N2469" s="196" t="inlineStr">
        <is>
          <t>FUENTES Valerie [AAt]</t>
        </is>
      </c>
      <c r="O2469" s="196" t="inlineStr">
        <is>
          <t>VOGEL Andrea [A]</t>
        </is>
      </c>
      <c r="P2469" s="196" t="inlineStr">
        <is>
          <t>SEVER Giulia</t>
        </is>
      </c>
      <c r="Q2469" s="196" t="inlineStr">
        <is>
          <t>GAUTHIER Diego</t>
        </is>
      </c>
      <c r="R2469" s="196" t="inlineStr">
        <is>
          <t>BRANDT Paolo</t>
        </is>
      </c>
    </row>
    <row r="2470" ht="15" customHeight="1">
      <c r="A2470" s="141" t="n"/>
      <c r="B2470" s="69">
        <f>IF('Calendario D'!B550="","",'Calendario D'!B550)</f>
        <v/>
      </c>
      <c r="C2470" s="9" t="n"/>
      <c r="D2470" s="9" t="n"/>
      <c r="E2470" s="9" t="n"/>
      <c r="F2470" s="9" t="n"/>
      <c r="G2470" s="9" t="n"/>
      <c r="H2470" s="10" t="n"/>
      <c r="I2470" s="62">
        <f>IF('Calendario D'!I550="","",'Calendario D'!I550)</f>
        <v/>
      </c>
      <c r="J2470" s="141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</row>
    <row r="2472" ht="20" customHeight="1">
      <c r="A2472" s="85">
        <f>IF('Calendario D'!A552="","",'Calendario D'!A552)</f>
        <v/>
      </c>
      <c r="B2472" s="86">
        <f>IF('Calendario D'!B552="","",'Calendario D'!B552)</f>
        <v/>
      </c>
      <c r="C2472" s="9" t="n"/>
      <c r="D2472" s="9" t="n"/>
      <c r="E2472" s="9" t="n"/>
      <c r="F2472" s="9" t="n"/>
      <c r="G2472" s="9" t="n"/>
      <c r="H2472" s="9" t="n"/>
      <c r="I2472" s="9" t="n"/>
      <c r="J2472" s="9" t="n"/>
      <c r="K2472" s="9" t="n"/>
      <c r="L2472" s="10" t="n"/>
      <c r="M2472" s="202" t="inlineStr">
        <is>
          <t>ARBITRI</t>
        </is>
      </c>
      <c r="N2472" s="9" t="n"/>
      <c r="O2472" s="10" t="n"/>
      <c r="P2472" s="202" t="inlineStr">
        <is>
          <t>UFFICIALI DI CAMPO</t>
        </is>
      </c>
      <c r="Q2472" s="9" t="n"/>
      <c r="R2472" s="10" t="n"/>
    </row>
    <row r="2473" ht="14" customHeight="1">
      <c r="A2473" s="88" t="inlineStr">
        <is>
          <t>Gara N.</t>
        </is>
      </c>
      <c r="B2473" s="88" t="inlineStr">
        <is>
          <t>Squadra A</t>
        </is>
      </c>
      <c r="C2473" s="10" t="n"/>
      <c r="D2473" s="88" t="inlineStr">
        <is>
          <t>Squadra B</t>
        </is>
      </c>
      <c r="E2473" s="10" t="n"/>
      <c r="F2473" s="88" t="inlineStr">
        <is>
          <t>Giorno</t>
        </is>
      </c>
      <c r="G2473" s="88" t="inlineStr">
        <is>
          <t>Data</t>
        </is>
      </c>
      <c r="H2473" s="88" t="inlineStr">
        <is>
          <t>Ora</t>
        </is>
      </c>
      <c r="I2473" s="10" t="n"/>
      <c r="J2473" s="88" t="inlineStr">
        <is>
          <t>Risultato</t>
        </is>
      </c>
      <c r="K2473" s="9" t="n"/>
      <c r="L2473" s="10" t="n"/>
      <c r="M2473" s="203" t="inlineStr">
        <is>
          <t>1o Arbitro</t>
        </is>
      </c>
      <c r="N2473" s="203" t="inlineStr">
        <is>
          <t>2o Arbitro</t>
        </is>
      </c>
      <c r="O2473" s="203" t="inlineStr">
        <is>
          <t>3o Arbitro/Tirocinante</t>
        </is>
      </c>
      <c r="P2473" s="203" t="inlineStr">
        <is>
          <t>Referto</t>
        </is>
      </c>
      <c r="Q2473" s="203" t="inlineStr">
        <is>
          <t>Cronometro</t>
        </is>
      </c>
      <c r="R2473" s="203" t="inlineStr">
        <is>
          <t>Foglio Tiri</t>
        </is>
      </c>
    </row>
    <row r="2474" ht="22" customHeight="1">
      <c r="A2474" s="90">
        <f>IF('Calendario D'!A554="","",'Calendario D'!A554)</f>
        <v/>
      </c>
      <c r="B2474" s="61">
        <f>IF('Calendario D'!B554="","",'Calendario D'!B554)</f>
        <v/>
      </c>
      <c r="C2474" s="62">
        <f>IF('Calendario D'!C554="","",'Calendario D'!C554)</f>
        <v/>
      </c>
      <c r="D2474" s="61">
        <f>IF('Calendario D'!D554="","",'Calendario D'!D554)</f>
        <v/>
      </c>
      <c r="E2474" s="62">
        <f>IF('Calendario D'!E554="","",'Calendario D'!E554)</f>
        <v/>
      </c>
      <c r="F2474" s="63">
        <f>IF('Calendario D'!F554="","",'Calendario D'!F554)</f>
        <v/>
      </c>
      <c r="G2474" s="9" t="n"/>
      <c r="H2474" s="9" t="n"/>
      <c r="I2474" s="10" t="n"/>
      <c r="J2474" s="195">
        <f>IF('Calendario D'!J554="","",'Calendario D'!J554)</f>
        <v/>
      </c>
      <c r="K2474" s="64" t="inlineStr">
        <is>
          <t>-</t>
        </is>
      </c>
      <c r="L2474" s="195">
        <f>IF('Calendario D'!L554="","",'Calendario D'!L554)</f>
        <v/>
      </c>
      <c r="M2474" s="196" t="inlineStr">
        <is>
          <t>BIANCHELLI Filippo [AAt]</t>
        </is>
      </c>
      <c r="N2474" s="196" t="inlineStr">
        <is>
          <t>SANTORI Eva [AAt]</t>
        </is>
      </c>
      <c r="O2474" s="196" t="inlineStr">
        <is>
          <t>FUENTES Marta [Aest]</t>
        </is>
      </c>
      <c r="P2474" s="196" t="inlineStr">
        <is>
          <t>ORTEGA Ilaria</t>
        </is>
      </c>
      <c r="Q2474" s="196" t="inlineStr">
        <is>
          <t>KELLER Jonas</t>
        </is>
      </c>
      <c r="R2474" s="196" t="inlineStr">
        <is>
          <t>LEROUX Beatrice</t>
        </is>
      </c>
    </row>
    <row r="2475" ht="15" customHeight="1">
      <c r="A2475" s="141" t="n"/>
      <c r="B2475" s="69">
        <f>IF('Calendario D'!B555="","",'Calendario D'!B555)</f>
        <v/>
      </c>
      <c r="C2475" s="9" t="n"/>
      <c r="D2475" s="9" t="n"/>
      <c r="E2475" s="9" t="n"/>
      <c r="F2475" s="9" t="n"/>
      <c r="G2475" s="9" t="n"/>
      <c r="H2475" s="10" t="n"/>
      <c r="I2475" s="62">
        <f>IF('Calendario D'!I555="","",'Calendario D'!I555)</f>
        <v/>
      </c>
      <c r="J2475" s="141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</row>
    <row r="2476" ht="14" customHeight="1">
      <c r="A2476" s="88" t="inlineStr">
        <is>
          <t>Gara N.</t>
        </is>
      </c>
      <c r="B2476" s="88" t="inlineStr">
        <is>
          <t>Squadra A</t>
        </is>
      </c>
      <c r="C2476" s="10" t="n"/>
      <c r="D2476" s="88" t="inlineStr">
        <is>
          <t>Squadra B</t>
        </is>
      </c>
      <c r="E2476" s="10" t="n"/>
      <c r="F2476" s="88" t="inlineStr">
        <is>
          <t>Giorno</t>
        </is>
      </c>
      <c r="G2476" s="88" t="inlineStr">
        <is>
          <t>Data</t>
        </is>
      </c>
      <c r="H2476" s="88" t="inlineStr">
        <is>
          <t>Ora</t>
        </is>
      </c>
      <c r="I2476" s="10" t="n"/>
      <c r="J2476" s="88" t="inlineStr">
        <is>
          <t>Risultato</t>
        </is>
      </c>
      <c r="K2476" s="9" t="n"/>
      <c r="L2476" s="10" t="n"/>
      <c r="M2476" s="203" t="inlineStr">
        <is>
          <t>1o Arbitro</t>
        </is>
      </c>
      <c r="N2476" s="203" t="inlineStr">
        <is>
          <t>2o Arbitro</t>
        </is>
      </c>
      <c r="O2476" s="203" t="inlineStr">
        <is>
          <t>3o Arbitro/Tirocinante</t>
        </is>
      </c>
      <c r="P2476" s="203" t="inlineStr">
        <is>
          <t>Referto</t>
        </is>
      </c>
      <c r="Q2476" s="203" t="inlineStr">
        <is>
          <t>Cronometro</t>
        </is>
      </c>
      <c r="R2476" s="203" t="inlineStr">
        <is>
          <t>Foglio Tiri</t>
        </is>
      </c>
    </row>
    <row r="2477" ht="22" customHeight="1">
      <c r="A2477" s="90">
        <f>IF('Calendario D'!A557="","",'Calendario D'!A557)</f>
        <v/>
      </c>
      <c r="B2477" s="61">
        <f>IF('Calendario D'!B557="","",'Calendario D'!B557)</f>
        <v/>
      </c>
      <c r="C2477" s="62">
        <f>IF('Calendario D'!C557="","",'Calendario D'!C557)</f>
        <v/>
      </c>
      <c r="D2477" s="61">
        <f>IF('Calendario D'!D557="","",'Calendario D'!D557)</f>
        <v/>
      </c>
      <c r="E2477" s="62">
        <f>IF('Calendario D'!E557="","",'Calendario D'!E557)</f>
        <v/>
      </c>
      <c r="F2477" s="63">
        <f>IF('Calendario D'!F557="","",'Calendario D'!F557)</f>
        <v/>
      </c>
      <c r="G2477" s="9" t="n"/>
      <c r="H2477" s="9" t="n"/>
      <c r="I2477" s="10" t="n"/>
      <c r="J2477" s="195">
        <f>IF('Calendario D'!J557="","",'Calendario D'!J557)</f>
        <v/>
      </c>
      <c r="K2477" s="64" t="inlineStr">
        <is>
          <t>-</t>
        </is>
      </c>
      <c r="L2477" s="195">
        <f>IF('Calendario D'!L557="","",'Calendario D'!L557)</f>
        <v/>
      </c>
      <c r="M2477" s="196" t="inlineStr">
        <is>
          <t>CASTILLO Jonas [AA]</t>
        </is>
      </c>
      <c r="N2477" s="196" t="inlineStr">
        <is>
          <t>NADAUD Hugo [AAt]</t>
        </is>
      </c>
      <c r="O2477" s="196" t="inlineStr">
        <is>
          <t>MOREAU Martina [Aest]</t>
        </is>
      </c>
      <c r="P2477" s="196" t="inlineStr">
        <is>
          <t>HORVAT Matteo</t>
        </is>
      </c>
      <c r="Q2477" s="196" t="inlineStr">
        <is>
          <t>MORETTO Jonas</t>
        </is>
      </c>
      <c r="R2477" s="196" t="inlineStr">
        <is>
          <t>SANTORI Jonas</t>
        </is>
      </c>
    </row>
    <row r="2478" ht="15" customHeight="1">
      <c r="A2478" s="141" t="n"/>
      <c r="B2478" s="69">
        <f>IF('Calendario D'!B558="","",'Calendario D'!B558)</f>
        <v/>
      </c>
      <c r="C2478" s="9" t="n"/>
      <c r="D2478" s="9" t="n"/>
      <c r="E2478" s="9" t="n"/>
      <c r="F2478" s="9" t="n"/>
      <c r="G2478" s="9" t="n"/>
      <c r="H2478" s="10" t="n"/>
      <c r="I2478" s="62">
        <f>IF('Calendario D'!I558="","",'Calendario D'!I558)</f>
        <v/>
      </c>
      <c r="J2478" s="141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</row>
    <row r="2479" ht="14" customHeight="1">
      <c r="A2479" s="88" t="inlineStr">
        <is>
          <t>Gara N.</t>
        </is>
      </c>
      <c r="B2479" s="88" t="inlineStr">
        <is>
          <t>Squadra A</t>
        </is>
      </c>
      <c r="C2479" s="10" t="n"/>
      <c r="D2479" s="88" t="inlineStr">
        <is>
          <t>Squadra B</t>
        </is>
      </c>
      <c r="E2479" s="10" t="n"/>
      <c r="F2479" s="88" t="inlineStr">
        <is>
          <t>Giorno</t>
        </is>
      </c>
      <c r="G2479" s="88" t="inlineStr">
        <is>
          <t>Data</t>
        </is>
      </c>
      <c r="H2479" s="88" t="inlineStr">
        <is>
          <t>Ora</t>
        </is>
      </c>
      <c r="I2479" s="10" t="n"/>
      <c r="J2479" s="88" t="inlineStr">
        <is>
          <t>Risultato</t>
        </is>
      </c>
      <c r="K2479" s="9" t="n"/>
      <c r="L2479" s="10" t="n"/>
      <c r="M2479" s="203" t="inlineStr">
        <is>
          <t>1o Arbitro</t>
        </is>
      </c>
      <c r="N2479" s="203" t="inlineStr">
        <is>
          <t>2o Arbitro</t>
        </is>
      </c>
      <c r="O2479" s="203" t="inlineStr">
        <is>
          <t>3o Arbitro/Tirocinante</t>
        </is>
      </c>
      <c r="P2479" s="203" t="inlineStr">
        <is>
          <t>Referto</t>
        </is>
      </c>
      <c r="Q2479" s="203" t="inlineStr">
        <is>
          <t>Cronometro</t>
        </is>
      </c>
      <c r="R2479" s="203" t="inlineStr">
        <is>
          <t>Foglio Tiri</t>
        </is>
      </c>
    </row>
    <row r="2480" ht="22" customHeight="1">
      <c r="A2480" s="90">
        <f>IF('Calendario D'!A560="","",'Calendario D'!A560)</f>
        <v/>
      </c>
      <c r="B2480" s="61">
        <f>IF('Calendario D'!B560="","",'Calendario D'!B560)</f>
        <v/>
      </c>
      <c r="C2480" s="62">
        <f>IF('Calendario D'!C560="","",'Calendario D'!C560)</f>
        <v/>
      </c>
      <c r="D2480" s="61">
        <f>IF('Calendario D'!D560="","",'Calendario D'!D560)</f>
        <v/>
      </c>
      <c r="E2480" s="62">
        <f>IF('Calendario D'!E560="","",'Calendario D'!E560)</f>
        <v/>
      </c>
      <c r="F2480" s="63">
        <f>IF('Calendario D'!F560="","",'Calendario D'!F560)</f>
        <v/>
      </c>
      <c r="G2480" s="9" t="n"/>
      <c r="H2480" s="9" t="n"/>
      <c r="I2480" s="10" t="n"/>
      <c r="J2480" s="195">
        <f>IF('Calendario D'!J560="","",'Calendario D'!J560)</f>
        <v/>
      </c>
      <c r="K2480" s="64" t="inlineStr">
        <is>
          <t>-</t>
        </is>
      </c>
      <c r="L2480" s="195">
        <f>IF('Calendario D'!L560="","",'Calendario D'!L560)</f>
        <v/>
      </c>
      <c r="M2480" s="196" t="inlineStr">
        <is>
          <t>LANGER Marta [A]</t>
        </is>
      </c>
      <c r="N2480" s="196" t="inlineStr">
        <is>
          <t>FOURNIER Tommaso [AA]</t>
        </is>
      </c>
      <c r="O2480" s="196" t="inlineStr">
        <is>
          <t>HORVAT Marco [AA]</t>
        </is>
      </c>
      <c r="P2480" s="196" t="inlineStr">
        <is>
          <t>SEVER Nicola</t>
        </is>
      </c>
      <c r="Q2480" s="196" t="inlineStr">
        <is>
          <t>GAUTHIER Davide</t>
        </is>
      </c>
      <c r="R2480" s="196" t="inlineStr">
        <is>
          <t>IGLESIAS Eva</t>
        </is>
      </c>
    </row>
    <row r="2481" ht="15" customHeight="1">
      <c r="A2481" s="141" t="n"/>
      <c r="B2481" s="69">
        <f>IF('Calendario D'!B561="","",'Calendario D'!B561)</f>
        <v/>
      </c>
      <c r="C2481" s="9" t="n"/>
      <c r="D2481" s="9" t="n"/>
      <c r="E2481" s="9" t="n"/>
      <c r="F2481" s="9" t="n"/>
      <c r="G2481" s="9" t="n"/>
      <c r="H2481" s="10" t="n"/>
      <c r="I2481" s="62">
        <f>IF('Calendario D'!I561="","",'Calendario D'!I561)</f>
        <v/>
      </c>
      <c r="J2481" s="141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</row>
    <row r="2482" ht="14" customHeight="1">
      <c r="A2482" s="88" t="inlineStr">
        <is>
          <t>Gara N.</t>
        </is>
      </c>
      <c r="B2482" s="88" t="inlineStr">
        <is>
          <t>Squadra A</t>
        </is>
      </c>
      <c r="C2482" s="10" t="n"/>
      <c r="D2482" s="88" t="inlineStr">
        <is>
          <t>Squadra B</t>
        </is>
      </c>
      <c r="E2482" s="10" t="n"/>
      <c r="F2482" s="88" t="inlineStr">
        <is>
          <t>Giorno</t>
        </is>
      </c>
      <c r="G2482" s="88" t="inlineStr">
        <is>
          <t>Data</t>
        </is>
      </c>
      <c r="H2482" s="88" t="inlineStr">
        <is>
          <t>Ora</t>
        </is>
      </c>
      <c r="I2482" s="10" t="n"/>
      <c r="J2482" s="88" t="inlineStr">
        <is>
          <t>Risultato</t>
        </is>
      </c>
      <c r="K2482" s="9" t="n"/>
      <c r="L2482" s="10" t="n"/>
      <c r="M2482" s="203" t="inlineStr">
        <is>
          <t>1o Arbitro</t>
        </is>
      </c>
      <c r="N2482" s="203" t="inlineStr">
        <is>
          <t>2o Arbitro</t>
        </is>
      </c>
      <c r="O2482" s="203" t="inlineStr">
        <is>
          <t>3o Arbitro/Tirocinante</t>
        </is>
      </c>
      <c r="P2482" s="203" t="inlineStr">
        <is>
          <t>Referto</t>
        </is>
      </c>
      <c r="Q2482" s="203" t="inlineStr">
        <is>
          <t>Cronometro</t>
        </is>
      </c>
      <c r="R2482" s="203" t="inlineStr">
        <is>
          <t>Foglio Tiri</t>
        </is>
      </c>
    </row>
    <row r="2483" ht="22" customHeight="1">
      <c r="A2483" s="90">
        <f>IF('Calendario D'!A563="","",'Calendario D'!A563)</f>
        <v/>
      </c>
      <c r="B2483" s="61">
        <f>IF('Calendario D'!B563="","",'Calendario D'!B563)</f>
        <v/>
      </c>
      <c r="C2483" s="62">
        <f>IF('Calendario D'!C563="","",'Calendario D'!C563)</f>
        <v/>
      </c>
      <c r="D2483" s="61">
        <f>IF('Calendario D'!D563="","",'Calendario D'!D563)</f>
        <v/>
      </c>
      <c r="E2483" s="62">
        <f>IF('Calendario D'!E563="","",'Calendario D'!E563)</f>
        <v/>
      </c>
      <c r="F2483" s="63">
        <f>IF('Calendario D'!F563="","",'Calendario D'!F563)</f>
        <v/>
      </c>
      <c r="G2483" s="9" t="n"/>
      <c r="H2483" s="9" t="n"/>
      <c r="I2483" s="10" t="n"/>
      <c r="J2483" s="195">
        <f>IF('Calendario D'!J563="","",'Calendario D'!J563)</f>
        <v/>
      </c>
      <c r="K2483" s="64" t="inlineStr">
        <is>
          <t>-</t>
        </is>
      </c>
      <c r="L2483" s="195">
        <f>IF('Calendario D'!L563="","",'Calendario D'!L563)</f>
        <v/>
      </c>
      <c r="M2483" s="196" t="inlineStr">
        <is>
          <t>MOREAU Katrin [A]</t>
        </is>
      </c>
      <c r="N2483" s="196" t="inlineStr">
        <is>
          <t>LANGER Beatrice [Aest]</t>
        </is>
      </c>
      <c r="O2483" s="196" t="inlineStr">
        <is>
          <t>LANGER Sofia [A]</t>
        </is>
      </c>
      <c r="P2483" s="196" t="inlineStr">
        <is>
          <t>FOURNIER Paula</t>
        </is>
      </c>
      <c r="Q2483" s="196" t="inlineStr">
        <is>
          <t>PRADO Lea</t>
        </is>
      </c>
      <c r="R2483" s="196" t="inlineStr">
        <is>
          <t>WEBER Ilaria</t>
        </is>
      </c>
    </row>
    <row r="2484" ht="15" customHeight="1">
      <c r="A2484" s="141" t="n"/>
      <c r="B2484" s="69">
        <f>IF('Calendario D'!B564="","",'Calendario D'!B564)</f>
        <v/>
      </c>
      <c r="C2484" s="9" t="n"/>
      <c r="D2484" s="9" t="n"/>
      <c r="E2484" s="9" t="n"/>
      <c r="F2484" s="9" t="n"/>
      <c r="G2484" s="9" t="n"/>
      <c r="H2484" s="10" t="n"/>
      <c r="I2484" s="62">
        <f>IF('Calendario D'!I564="","",'Calendario D'!I564)</f>
        <v/>
      </c>
      <c r="J2484" s="141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</row>
    <row r="2485" ht="14" customHeight="1">
      <c r="A2485" s="88" t="inlineStr">
        <is>
          <t>Gara N.</t>
        </is>
      </c>
      <c r="B2485" s="88" t="inlineStr">
        <is>
          <t>Squadra A</t>
        </is>
      </c>
      <c r="C2485" s="10" t="n"/>
      <c r="D2485" s="88" t="inlineStr">
        <is>
          <t>Squadra B</t>
        </is>
      </c>
      <c r="E2485" s="10" t="n"/>
      <c r="F2485" s="88" t="inlineStr">
        <is>
          <t>Giorno</t>
        </is>
      </c>
      <c r="G2485" s="88" t="inlineStr">
        <is>
          <t>Data</t>
        </is>
      </c>
      <c r="H2485" s="88" t="inlineStr">
        <is>
          <t>Ora</t>
        </is>
      </c>
      <c r="I2485" s="10" t="n"/>
      <c r="J2485" s="88" t="inlineStr">
        <is>
          <t>Risultato</t>
        </is>
      </c>
      <c r="K2485" s="9" t="n"/>
      <c r="L2485" s="10" t="n"/>
      <c r="M2485" s="203" t="inlineStr">
        <is>
          <t>1o Arbitro</t>
        </is>
      </c>
      <c r="N2485" s="203" t="inlineStr">
        <is>
          <t>2o Arbitro</t>
        </is>
      </c>
      <c r="O2485" s="203" t="inlineStr">
        <is>
          <t>3o Arbitro/Tirocinante</t>
        </is>
      </c>
      <c r="P2485" s="203" t="inlineStr">
        <is>
          <t>Referto</t>
        </is>
      </c>
      <c r="Q2485" s="203" t="inlineStr">
        <is>
          <t>Cronometro</t>
        </is>
      </c>
      <c r="R2485" s="203" t="inlineStr">
        <is>
          <t>Foglio Tiri</t>
        </is>
      </c>
    </row>
    <row r="2486" ht="22" customHeight="1">
      <c r="A2486" s="90">
        <f>IF('Calendario D'!A566="","",'Calendario D'!A566)</f>
        <v/>
      </c>
      <c r="B2486" s="61">
        <f>IF('Calendario D'!B566="","",'Calendario D'!B566)</f>
        <v/>
      </c>
      <c r="C2486" s="62">
        <f>IF('Calendario D'!C566="","",'Calendario D'!C566)</f>
        <v/>
      </c>
      <c r="D2486" s="61">
        <f>IF('Calendario D'!D566="","",'Calendario D'!D566)</f>
        <v/>
      </c>
      <c r="E2486" s="62">
        <f>IF('Calendario D'!E566="","",'Calendario D'!E566)</f>
        <v/>
      </c>
      <c r="F2486" s="63">
        <f>IF('Calendario D'!F566="","",'Calendario D'!F566)</f>
        <v/>
      </c>
      <c r="G2486" s="9" t="n"/>
      <c r="H2486" s="9" t="n"/>
      <c r="I2486" s="10" t="n"/>
      <c r="J2486" s="195">
        <f>IF('Calendario D'!J566="","",'Calendario D'!J566)</f>
        <v/>
      </c>
      <c r="K2486" s="64" t="inlineStr">
        <is>
          <t>-</t>
        </is>
      </c>
      <c r="L2486" s="195">
        <f>IF('Calendario D'!L566="","",'Calendario D'!L566)</f>
        <v/>
      </c>
      <c r="M2486" s="196" t="inlineStr">
        <is>
          <t>SEVER Tommaso [AAt]</t>
        </is>
      </c>
      <c r="N2486" s="196" t="inlineStr">
        <is>
          <t>HOFFMANN Mathilde [AAt]</t>
        </is>
      </c>
      <c r="O2486" s="196" t="inlineStr">
        <is>
          <t>ROMERO Matteo [Aest]</t>
        </is>
      </c>
      <c r="P2486" s="196" t="inlineStr">
        <is>
          <t>SCHAFER Sofia</t>
        </is>
      </c>
      <c r="Q2486" s="196" t="inlineStr">
        <is>
          <t>FOURNIER Lea</t>
        </is>
      </c>
      <c r="R2486" s="196" t="inlineStr">
        <is>
          <t>BELLANDI Lukas</t>
        </is>
      </c>
    </row>
    <row r="2487" ht="15" customHeight="1">
      <c r="A2487" s="141" t="n"/>
      <c r="B2487" s="69">
        <f>IF('Calendario D'!B567="","",'Calendario D'!B567)</f>
        <v/>
      </c>
      <c r="C2487" s="9" t="n"/>
      <c r="D2487" s="9" t="n"/>
      <c r="E2487" s="9" t="n"/>
      <c r="F2487" s="9" t="n"/>
      <c r="G2487" s="9" t="n"/>
      <c r="H2487" s="10" t="n"/>
      <c r="I2487" s="62">
        <f>IF('Calendario D'!I567="","",'Calendario D'!I567)</f>
        <v/>
      </c>
      <c r="J2487" s="141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</row>
    <row r="2488" ht="14" customHeight="1">
      <c r="A2488" s="88" t="inlineStr">
        <is>
          <t>Gara N.</t>
        </is>
      </c>
      <c r="B2488" s="88" t="inlineStr">
        <is>
          <t>Squadra A</t>
        </is>
      </c>
      <c r="C2488" s="10" t="n"/>
      <c r="D2488" s="88" t="inlineStr">
        <is>
          <t>Squadra B</t>
        </is>
      </c>
      <c r="E2488" s="10" t="n"/>
      <c r="F2488" s="88" t="inlineStr">
        <is>
          <t>Giorno</t>
        </is>
      </c>
      <c r="G2488" s="88" t="inlineStr">
        <is>
          <t>Data</t>
        </is>
      </c>
      <c r="H2488" s="88" t="inlineStr">
        <is>
          <t>Ora</t>
        </is>
      </c>
      <c r="I2488" s="10" t="n"/>
      <c r="J2488" s="88" t="inlineStr">
        <is>
          <t>Risultato</t>
        </is>
      </c>
      <c r="K2488" s="9" t="n"/>
      <c r="L2488" s="10" t="n"/>
      <c r="M2488" s="203" t="inlineStr">
        <is>
          <t>1o Arbitro</t>
        </is>
      </c>
      <c r="N2488" s="203" t="inlineStr">
        <is>
          <t>2o Arbitro</t>
        </is>
      </c>
      <c r="O2488" s="203" t="inlineStr">
        <is>
          <t>3o Arbitro/Tirocinante</t>
        </is>
      </c>
      <c r="P2488" s="203" t="inlineStr">
        <is>
          <t>Referto</t>
        </is>
      </c>
      <c r="Q2488" s="203" t="inlineStr">
        <is>
          <t>Cronometro</t>
        </is>
      </c>
      <c r="R2488" s="203" t="inlineStr">
        <is>
          <t>Foglio Tiri</t>
        </is>
      </c>
    </row>
    <row r="2489" ht="22" customHeight="1">
      <c r="A2489" s="90">
        <f>IF('Calendario D'!A569="","",'Calendario D'!A569)</f>
        <v/>
      </c>
      <c r="B2489" s="61">
        <f>IF('Calendario D'!B569="","",'Calendario D'!B569)</f>
        <v/>
      </c>
      <c r="C2489" s="62">
        <f>IF('Calendario D'!C569="","",'Calendario D'!C569)</f>
        <v/>
      </c>
      <c r="D2489" s="61">
        <f>IF('Calendario D'!D569="","",'Calendario D'!D569)</f>
        <v/>
      </c>
      <c r="E2489" s="62">
        <f>IF('Calendario D'!E569="","",'Calendario D'!E569)</f>
        <v/>
      </c>
      <c r="F2489" s="63">
        <f>IF('Calendario D'!F569="","",'Calendario D'!F569)</f>
        <v/>
      </c>
      <c r="G2489" s="9" t="n"/>
      <c r="H2489" s="9" t="n"/>
      <c r="I2489" s="10" t="n"/>
      <c r="J2489" s="195">
        <f>IF('Calendario D'!J569="","",'Calendario D'!J569)</f>
        <v/>
      </c>
      <c r="K2489" s="64" t="inlineStr">
        <is>
          <t>-</t>
        </is>
      </c>
      <c r="L2489" s="195">
        <f>IF('Calendario D'!L569="","",'Calendario D'!L569)</f>
        <v/>
      </c>
      <c r="M2489" s="196" t="inlineStr">
        <is>
          <t>NOVAK Mathilde [Aest]</t>
        </is>
      </c>
      <c r="N2489" s="196" t="inlineStr">
        <is>
          <t>GALLINI Gaelle [A]</t>
        </is>
      </c>
      <c r="O2489" s="196" t="inlineStr">
        <is>
          <t>BELLANDI Andrea [AA]</t>
        </is>
      </c>
      <c r="P2489" s="196" t="inlineStr">
        <is>
          <t>ZUPAN Greta</t>
        </is>
      </c>
      <c r="Q2489" s="196" t="inlineStr">
        <is>
          <t>SEVER Giulia</t>
        </is>
      </c>
      <c r="R2489" s="196" t="inlineStr">
        <is>
          <t>BELLANDI Lukas</t>
        </is>
      </c>
    </row>
    <row r="2490" ht="15" customHeight="1">
      <c r="A2490" s="141" t="n"/>
      <c r="B2490" s="69">
        <f>IF('Calendario D'!B570="","",'Calendario D'!B570)</f>
        <v/>
      </c>
      <c r="C2490" s="9" t="n"/>
      <c r="D2490" s="9" t="n"/>
      <c r="E2490" s="9" t="n"/>
      <c r="F2490" s="9" t="n"/>
      <c r="G2490" s="9" t="n"/>
      <c r="H2490" s="10" t="n"/>
      <c r="I2490" s="62">
        <f>IF('Calendario D'!I570="","",'Calendario D'!I570)</f>
        <v/>
      </c>
      <c r="J2490" s="141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</row>
    <row r="2491" ht="14" customHeight="1">
      <c r="A2491" s="88" t="inlineStr">
        <is>
          <t>Gara N.</t>
        </is>
      </c>
      <c r="B2491" s="88" t="inlineStr">
        <is>
          <t>Squadra A</t>
        </is>
      </c>
      <c r="C2491" s="10" t="n"/>
      <c r="D2491" s="88" t="inlineStr">
        <is>
          <t>Squadra B</t>
        </is>
      </c>
      <c r="E2491" s="10" t="n"/>
      <c r="F2491" s="88" t="inlineStr">
        <is>
          <t>Giorno</t>
        </is>
      </c>
      <c r="G2491" s="88" t="inlineStr">
        <is>
          <t>Data</t>
        </is>
      </c>
      <c r="H2491" s="88" t="inlineStr">
        <is>
          <t>Ora</t>
        </is>
      </c>
      <c r="I2491" s="10" t="n"/>
      <c r="J2491" s="88" t="inlineStr">
        <is>
          <t>Risultato</t>
        </is>
      </c>
      <c r="K2491" s="9" t="n"/>
      <c r="L2491" s="10" t="n"/>
      <c r="M2491" s="203" t="inlineStr">
        <is>
          <t>1o Arbitro</t>
        </is>
      </c>
      <c r="N2491" s="203" t="inlineStr">
        <is>
          <t>2o Arbitro</t>
        </is>
      </c>
      <c r="O2491" s="203" t="inlineStr">
        <is>
          <t>3o Arbitro/Tirocinante</t>
        </is>
      </c>
      <c r="P2491" s="203" t="inlineStr">
        <is>
          <t>Referto</t>
        </is>
      </c>
      <c r="Q2491" s="203" t="inlineStr">
        <is>
          <t>Cronometro</t>
        </is>
      </c>
      <c r="R2491" s="203" t="inlineStr">
        <is>
          <t>Foglio Tiri</t>
        </is>
      </c>
    </row>
    <row r="2492" ht="22" customHeight="1">
      <c r="A2492" s="90">
        <f>IF('Calendario D'!A572="","",'Calendario D'!A572)</f>
        <v/>
      </c>
      <c r="B2492" s="61">
        <f>IF('Calendario D'!B572="","",'Calendario D'!B572)</f>
        <v/>
      </c>
      <c r="C2492" s="62">
        <f>IF('Calendario D'!C572="","",'Calendario D'!C572)</f>
        <v/>
      </c>
      <c r="D2492" s="61">
        <f>IF('Calendario D'!D572="","",'Calendario D'!D572)</f>
        <v/>
      </c>
      <c r="E2492" s="62">
        <f>IF('Calendario D'!E572="","",'Calendario D'!E572)</f>
        <v/>
      </c>
      <c r="F2492" s="63">
        <f>IF('Calendario D'!F572="","",'Calendario D'!F572)</f>
        <v/>
      </c>
      <c r="G2492" s="9" t="n"/>
      <c r="H2492" s="9" t="n"/>
      <c r="I2492" s="10" t="n"/>
      <c r="J2492" s="195">
        <f>IF('Calendario D'!J572="","",'Calendario D'!J572)</f>
        <v/>
      </c>
      <c r="K2492" s="64" t="inlineStr">
        <is>
          <t>-</t>
        </is>
      </c>
      <c r="L2492" s="195">
        <f>IF('Calendario D'!L572="","",'Calendario D'!L572)</f>
        <v/>
      </c>
      <c r="M2492" s="196" t="inlineStr">
        <is>
          <t>GALLINI Valerie [AA]</t>
        </is>
      </c>
      <c r="N2492" s="196" t="inlineStr">
        <is>
          <t>BELLANDI Ottavia [Aest]</t>
        </is>
      </c>
      <c r="O2492" s="196" t="inlineStr">
        <is>
          <t>PETERLIN Luca [Aest]</t>
        </is>
      </c>
      <c r="P2492" s="196" t="inlineStr">
        <is>
          <t>SEVER Giulia</t>
        </is>
      </c>
      <c r="Q2492" s="196" t="inlineStr">
        <is>
          <t>SOLER Irene</t>
        </is>
      </c>
      <c r="R2492" s="196" t="inlineStr">
        <is>
          <t>HORVAT Irene</t>
        </is>
      </c>
    </row>
    <row r="2493" ht="15" customHeight="1">
      <c r="A2493" s="141" t="n"/>
      <c r="B2493" s="69">
        <f>IF('Calendario D'!B573="","",'Calendario D'!B573)</f>
        <v/>
      </c>
      <c r="C2493" s="9" t="n"/>
      <c r="D2493" s="9" t="n"/>
      <c r="E2493" s="9" t="n"/>
      <c r="F2493" s="9" t="n"/>
      <c r="G2493" s="9" t="n"/>
      <c r="H2493" s="10" t="n"/>
      <c r="I2493" s="62">
        <f>IF('Calendario D'!I573="","",'Calendario D'!I573)</f>
        <v/>
      </c>
      <c r="J2493" s="141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</row>
    <row r="2494" ht="14" customHeight="1">
      <c r="A2494" s="88" t="inlineStr">
        <is>
          <t>Gara N.</t>
        </is>
      </c>
      <c r="B2494" s="88" t="inlineStr">
        <is>
          <t>Squadra A</t>
        </is>
      </c>
      <c r="C2494" s="10" t="n"/>
      <c r="D2494" s="88" t="inlineStr">
        <is>
          <t>Squadra B</t>
        </is>
      </c>
      <c r="E2494" s="10" t="n"/>
      <c r="F2494" s="88" t="inlineStr">
        <is>
          <t>Giorno</t>
        </is>
      </c>
      <c r="G2494" s="88" t="inlineStr">
        <is>
          <t>Data</t>
        </is>
      </c>
      <c r="H2494" s="88" t="inlineStr">
        <is>
          <t>Ora</t>
        </is>
      </c>
      <c r="I2494" s="10" t="n"/>
      <c r="J2494" s="88" t="inlineStr">
        <is>
          <t>Risultato</t>
        </is>
      </c>
      <c r="K2494" s="9" t="n"/>
      <c r="L2494" s="10" t="n"/>
      <c r="M2494" s="203" t="inlineStr">
        <is>
          <t>1o Arbitro</t>
        </is>
      </c>
      <c r="N2494" s="203" t="inlineStr">
        <is>
          <t>2o Arbitro</t>
        </is>
      </c>
      <c r="O2494" s="203" t="inlineStr">
        <is>
          <t>3o Arbitro/Tirocinante</t>
        </is>
      </c>
      <c r="P2494" s="203" t="inlineStr">
        <is>
          <t>Referto</t>
        </is>
      </c>
      <c r="Q2494" s="203" t="inlineStr">
        <is>
          <t>Cronometro</t>
        </is>
      </c>
      <c r="R2494" s="203" t="inlineStr">
        <is>
          <t>Foglio Tiri</t>
        </is>
      </c>
    </row>
    <row r="2495" ht="22" customHeight="1">
      <c r="A2495" s="90">
        <f>IF('Calendario D'!A575="","",'Calendario D'!A575)</f>
        <v/>
      </c>
      <c r="B2495" s="61">
        <f>IF('Calendario D'!B575="","",'Calendario D'!B575)</f>
        <v/>
      </c>
      <c r="C2495" s="62">
        <f>IF('Calendario D'!C575="","",'Calendario D'!C575)</f>
        <v/>
      </c>
      <c r="D2495" s="61">
        <f>IF('Calendario D'!D575="","",'Calendario D'!D575)</f>
        <v/>
      </c>
      <c r="E2495" s="62">
        <f>IF('Calendario D'!E575="","",'Calendario D'!E575)</f>
        <v/>
      </c>
      <c r="F2495" s="63">
        <f>IF('Calendario D'!F575="","",'Calendario D'!F575)</f>
        <v/>
      </c>
      <c r="G2495" s="9" t="n"/>
      <c r="H2495" s="9" t="n"/>
      <c r="I2495" s="10" t="n"/>
      <c r="J2495" s="195">
        <f>IF('Calendario D'!J575="","",'Calendario D'!J575)</f>
        <v/>
      </c>
      <c r="K2495" s="64" t="inlineStr">
        <is>
          <t>-</t>
        </is>
      </c>
      <c r="L2495" s="195">
        <f>IF('Calendario D'!L575="","",'Calendario D'!L575)</f>
        <v/>
      </c>
      <c r="M2495" s="196" t="inlineStr">
        <is>
          <t>SOLER Davide [A]</t>
        </is>
      </c>
      <c r="N2495" s="196" t="inlineStr">
        <is>
          <t>ROSSINI Alenka [AAt]</t>
        </is>
      </c>
      <c r="O2495" s="196" t="inlineStr">
        <is>
          <t>CAMPOS Mathilde [Aest]</t>
        </is>
      </c>
      <c r="P2495" s="196" t="inlineStr">
        <is>
          <t>BIANCHELLI Valerie</t>
        </is>
      </c>
      <c r="Q2495" s="196" t="inlineStr">
        <is>
          <t>CARON Pablo</t>
        </is>
      </c>
      <c r="R2495" s="196" t="inlineStr">
        <is>
          <t>ZUPAN Alenka</t>
        </is>
      </c>
    </row>
    <row r="2496" ht="15" customHeight="1">
      <c r="A2496" s="141" t="n"/>
      <c r="B2496" s="69">
        <f>IF('Calendario D'!B576="","",'Calendario D'!B576)</f>
        <v/>
      </c>
      <c r="C2496" s="9" t="n"/>
      <c r="D2496" s="9" t="n"/>
      <c r="E2496" s="9" t="n"/>
      <c r="F2496" s="9" t="n"/>
      <c r="G2496" s="9" t="n"/>
      <c r="H2496" s="10" t="n"/>
      <c r="I2496" s="62">
        <f>IF('Calendario D'!I576="","",'Calendario D'!I576)</f>
        <v/>
      </c>
      <c r="J2496" s="141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</row>
    <row r="2497" ht="14" customHeight="1">
      <c r="A2497" s="88" t="inlineStr">
        <is>
          <t>Gara N.</t>
        </is>
      </c>
      <c r="B2497" s="88" t="inlineStr">
        <is>
          <t>Squadra A</t>
        </is>
      </c>
      <c r="C2497" s="10" t="n"/>
      <c r="D2497" s="88" t="inlineStr">
        <is>
          <t>Squadra B</t>
        </is>
      </c>
      <c r="E2497" s="10" t="n"/>
      <c r="F2497" s="88" t="inlineStr">
        <is>
          <t>Giorno</t>
        </is>
      </c>
      <c r="G2497" s="88" t="inlineStr">
        <is>
          <t>Data</t>
        </is>
      </c>
      <c r="H2497" s="88" t="inlineStr">
        <is>
          <t>Ora</t>
        </is>
      </c>
      <c r="I2497" s="10" t="n"/>
      <c r="J2497" s="88" t="inlineStr">
        <is>
          <t>Risultato</t>
        </is>
      </c>
      <c r="K2497" s="9" t="n"/>
      <c r="L2497" s="10" t="n"/>
      <c r="M2497" s="203" t="inlineStr">
        <is>
          <t>1o Arbitro</t>
        </is>
      </c>
      <c r="N2497" s="203" t="inlineStr">
        <is>
          <t>2o Arbitro</t>
        </is>
      </c>
      <c r="O2497" s="203" t="inlineStr">
        <is>
          <t>3o Arbitro/Tirocinante</t>
        </is>
      </c>
      <c r="P2497" s="203" t="inlineStr">
        <is>
          <t>Referto</t>
        </is>
      </c>
      <c r="Q2497" s="203" t="inlineStr">
        <is>
          <t>Cronometro</t>
        </is>
      </c>
      <c r="R2497" s="203" t="inlineStr">
        <is>
          <t>Foglio Tiri</t>
        </is>
      </c>
    </row>
    <row r="2498" ht="22" customHeight="1">
      <c r="A2498" s="90">
        <f>IF('Calendario D'!A578="","",'Calendario D'!A578)</f>
        <v/>
      </c>
      <c r="B2498" s="61">
        <f>IF('Calendario D'!B578="","",'Calendario D'!B578)</f>
        <v/>
      </c>
      <c r="C2498" s="62">
        <f>IF('Calendario D'!C578="","",'Calendario D'!C578)</f>
        <v/>
      </c>
      <c r="D2498" s="61">
        <f>IF('Calendario D'!D578="","",'Calendario D'!D578)</f>
        <v/>
      </c>
      <c r="E2498" s="62">
        <f>IF('Calendario D'!E578="","",'Calendario D'!E578)</f>
        <v/>
      </c>
      <c r="F2498" s="63">
        <f>IF('Calendario D'!F578="","",'Calendario D'!F578)</f>
        <v/>
      </c>
      <c r="G2498" s="9" t="n"/>
      <c r="H2498" s="9" t="n"/>
      <c r="I2498" s="10" t="n"/>
      <c r="J2498" s="195">
        <f>IF('Calendario D'!J578="","",'Calendario D'!J578)</f>
        <v/>
      </c>
      <c r="K2498" s="64" t="inlineStr">
        <is>
          <t>-</t>
        </is>
      </c>
      <c r="L2498" s="195">
        <f>IF('Calendario D'!L578="","",'Calendario D'!L578)</f>
        <v/>
      </c>
      <c r="M2498" s="196" t="inlineStr">
        <is>
          <t>NAVARRO Katrin [A]</t>
        </is>
      </c>
      <c r="N2498" s="196" t="inlineStr">
        <is>
          <t>LANGER Marta [A]</t>
        </is>
      </c>
      <c r="O2498" s="196" t="inlineStr">
        <is>
          <t>SOLER Alenka [A]</t>
        </is>
      </c>
      <c r="P2498" s="196" t="inlineStr">
        <is>
          <t>SOLER Marta</t>
        </is>
      </c>
      <c r="Q2498" s="196" t="inlineStr">
        <is>
          <t>IGLESIAS Jonas</t>
        </is>
      </c>
      <c r="R2498" s="196" t="inlineStr">
        <is>
          <t>NADAUD Marco</t>
        </is>
      </c>
    </row>
    <row r="2499" ht="15" customHeight="1">
      <c r="A2499" s="141" t="n"/>
      <c r="B2499" s="69">
        <f>IF('Calendario D'!B579="","",'Calendario D'!B579)</f>
        <v/>
      </c>
      <c r="C2499" s="9" t="n"/>
      <c r="D2499" s="9" t="n"/>
      <c r="E2499" s="9" t="n"/>
      <c r="F2499" s="9" t="n"/>
      <c r="G2499" s="9" t="n"/>
      <c r="H2499" s="10" t="n"/>
      <c r="I2499" s="62">
        <f>IF('Calendario D'!I579="","",'Calendario D'!I579)</f>
        <v/>
      </c>
      <c r="J2499" s="141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</row>
    <row r="2500" ht="14" customHeight="1">
      <c r="A2500" s="88" t="inlineStr">
        <is>
          <t>Gara N.</t>
        </is>
      </c>
      <c r="B2500" s="88" t="inlineStr">
        <is>
          <t>Squadra A</t>
        </is>
      </c>
      <c r="C2500" s="10" t="n"/>
      <c r="D2500" s="88" t="inlineStr">
        <is>
          <t>Squadra B</t>
        </is>
      </c>
      <c r="E2500" s="10" t="n"/>
      <c r="F2500" s="88" t="inlineStr">
        <is>
          <t>Giorno</t>
        </is>
      </c>
      <c r="G2500" s="88" t="inlineStr">
        <is>
          <t>Data</t>
        </is>
      </c>
      <c r="H2500" s="88" t="inlineStr">
        <is>
          <t>Ora</t>
        </is>
      </c>
      <c r="I2500" s="10" t="n"/>
      <c r="J2500" s="88" t="inlineStr">
        <is>
          <t>Risultato</t>
        </is>
      </c>
      <c r="K2500" s="9" t="n"/>
      <c r="L2500" s="10" t="n"/>
      <c r="M2500" s="203" t="inlineStr">
        <is>
          <t>1o Arbitro</t>
        </is>
      </c>
      <c r="N2500" s="203" t="inlineStr">
        <is>
          <t>2o Arbitro</t>
        </is>
      </c>
      <c r="O2500" s="203" t="inlineStr">
        <is>
          <t>3o Arbitro/Tirocinante</t>
        </is>
      </c>
      <c r="P2500" s="203" t="inlineStr">
        <is>
          <t>Referto</t>
        </is>
      </c>
      <c r="Q2500" s="203" t="inlineStr">
        <is>
          <t>Cronometro</t>
        </is>
      </c>
      <c r="R2500" s="203" t="inlineStr">
        <is>
          <t>Foglio Tiri</t>
        </is>
      </c>
    </row>
    <row r="2501" ht="22" customHeight="1">
      <c r="A2501" s="90">
        <f>IF('Calendario D'!A581="","",'Calendario D'!A581)</f>
        <v/>
      </c>
      <c r="B2501" s="61">
        <f>IF('Calendario D'!B581="","",'Calendario D'!B581)</f>
        <v/>
      </c>
      <c r="C2501" s="62">
        <f>IF('Calendario D'!C581="","",'Calendario D'!C581)</f>
        <v/>
      </c>
      <c r="D2501" s="61">
        <f>IF('Calendario D'!D581="","",'Calendario D'!D581)</f>
        <v/>
      </c>
      <c r="E2501" s="62">
        <f>IF('Calendario D'!E581="","",'Calendario D'!E581)</f>
        <v/>
      </c>
      <c r="F2501" s="63">
        <f>IF('Calendario D'!F581="","",'Calendario D'!F581)</f>
        <v/>
      </c>
      <c r="G2501" s="9" t="n"/>
      <c r="H2501" s="9" t="n"/>
      <c r="I2501" s="10" t="n"/>
      <c r="J2501" s="195">
        <f>IF('Calendario D'!J581="","",'Calendario D'!J581)</f>
        <v/>
      </c>
      <c r="K2501" s="64" t="inlineStr">
        <is>
          <t>-</t>
        </is>
      </c>
      <c r="L2501" s="195">
        <f>IF('Calendario D'!L581="","",'Calendario D'!L581)</f>
        <v/>
      </c>
      <c r="M2501" s="196" t="inlineStr">
        <is>
          <t>PRADO Eva [AAt]</t>
        </is>
      </c>
      <c r="N2501" s="196" t="inlineStr">
        <is>
          <t>GALLINI Sofia [AA]</t>
        </is>
      </c>
      <c r="O2501" s="196" t="inlineStr">
        <is>
          <t>KRAJNC Nicola [A]</t>
        </is>
      </c>
      <c r="P2501" s="196" t="inlineStr">
        <is>
          <t>CARON Pablo</t>
        </is>
      </c>
      <c r="Q2501" s="196" t="inlineStr">
        <is>
          <t>ROMERO Elena</t>
        </is>
      </c>
      <c r="R2501" s="196" t="inlineStr">
        <is>
          <t>SOLER Gaelle</t>
        </is>
      </c>
    </row>
    <row r="2502" ht="15" customHeight="1">
      <c r="A2502" s="141" t="n"/>
      <c r="B2502" s="69">
        <f>IF('Calendario D'!B582="","",'Calendario D'!B582)</f>
        <v/>
      </c>
      <c r="C2502" s="9" t="n"/>
      <c r="D2502" s="9" t="n"/>
      <c r="E2502" s="9" t="n"/>
      <c r="F2502" s="9" t="n"/>
      <c r="G2502" s="9" t="n"/>
      <c r="H2502" s="10" t="n"/>
      <c r="I2502" s="62">
        <f>IF('Calendario D'!I582="","",'Calendario D'!I582)</f>
        <v/>
      </c>
      <c r="J2502" s="141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</row>
    <row r="2504" ht="20" customHeight="1">
      <c r="A2504" s="85">
        <f>IF('Calendario D'!A584="","",'Calendario D'!A584)</f>
        <v/>
      </c>
      <c r="B2504" s="86">
        <f>IF('Calendario D'!B584="","",'Calendario D'!B584)</f>
        <v/>
      </c>
      <c r="C2504" s="9" t="n"/>
      <c r="D2504" s="9" t="n"/>
      <c r="E2504" s="9" t="n"/>
      <c r="F2504" s="9" t="n"/>
      <c r="G2504" s="9" t="n"/>
      <c r="H2504" s="9" t="n"/>
      <c r="I2504" s="9" t="n"/>
      <c r="J2504" s="9" t="n"/>
      <c r="K2504" s="9" t="n"/>
      <c r="L2504" s="10" t="n"/>
      <c r="M2504" s="202" t="inlineStr">
        <is>
          <t>ARBITRI</t>
        </is>
      </c>
      <c r="N2504" s="9" t="n"/>
      <c r="O2504" s="10" t="n"/>
      <c r="P2504" s="202" t="inlineStr">
        <is>
          <t>UFFICIALI DI CAMPO</t>
        </is>
      </c>
      <c r="Q2504" s="9" t="n"/>
      <c r="R2504" s="10" t="n"/>
    </row>
    <row r="2505" ht="14" customHeight="1">
      <c r="A2505" s="88" t="inlineStr">
        <is>
          <t>Gara N.</t>
        </is>
      </c>
      <c r="B2505" s="88" t="inlineStr">
        <is>
          <t>Squadra A</t>
        </is>
      </c>
      <c r="C2505" s="10" t="n"/>
      <c r="D2505" s="88" t="inlineStr">
        <is>
          <t>Squadra B</t>
        </is>
      </c>
      <c r="E2505" s="10" t="n"/>
      <c r="F2505" s="88" t="inlineStr">
        <is>
          <t>Giorno</t>
        </is>
      </c>
      <c r="G2505" s="88" t="inlineStr">
        <is>
          <t>Data</t>
        </is>
      </c>
      <c r="H2505" s="88" t="inlineStr">
        <is>
          <t>Ora</t>
        </is>
      </c>
      <c r="I2505" s="10" t="n"/>
      <c r="J2505" s="88" t="inlineStr">
        <is>
          <t>Risultato</t>
        </is>
      </c>
      <c r="K2505" s="9" t="n"/>
      <c r="L2505" s="10" t="n"/>
      <c r="M2505" s="203" t="inlineStr">
        <is>
          <t>1o Arbitro</t>
        </is>
      </c>
      <c r="N2505" s="203" t="inlineStr">
        <is>
          <t>2o Arbitro</t>
        </is>
      </c>
      <c r="O2505" s="203" t="inlineStr">
        <is>
          <t>3o Arbitro/Tirocinante</t>
        </is>
      </c>
      <c r="P2505" s="203" t="inlineStr">
        <is>
          <t>Referto</t>
        </is>
      </c>
      <c r="Q2505" s="203" t="inlineStr">
        <is>
          <t>Cronometro</t>
        </is>
      </c>
      <c r="R2505" s="203" t="inlineStr">
        <is>
          <t>Foglio Tiri</t>
        </is>
      </c>
    </row>
    <row r="2506" ht="22" customHeight="1">
      <c r="A2506" s="90">
        <f>IF('Calendario D'!A586="","",'Calendario D'!A586)</f>
        <v/>
      </c>
      <c r="B2506" s="61">
        <f>IF('Calendario D'!B586="","",'Calendario D'!B586)</f>
        <v/>
      </c>
      <c r="C2506" s="62">
        <f>IF('Calendario D'!C586="","",'Calendario D'!C586)</f>
        <v/>
      </c>
      <c r="D2506" s="61">
        <f>IF('Calendario D'!D586="","",'Calendario D'!D586)</f>
        <v/>
      </c>
      <c r="E2506" s="62">
        <f>IF('Calendario D'!E586="","",'Calendario D'!E586)</f>
        <v/>
      </c>
      <c r="F2506" s="63">
        <f>IF('Calendario D'!F586="","",'Calendario D'!F586)</f>
        <v/>
      </c>
      <c r="G2506" s="9" t="n"/>
      <c r="H2506" s="9" t="n"/>
      <c r="I2506" s="10" t="n"/>
      <c r="J2506" s="195">
        <f>IF('Calendario D'!J586="","",'Calendario D'!J586)</f>
        <v/>
      </c>
      <c r="K2506" s="64" t="inlineStr">
        <is>
          <t>-</t>
        </is>
      </c>
      <c r="L2506" s="195">
        <f>IF('Calendario D'!L586="","",'Calendario D'!L586)</f>
        <v/>
      </c>
      <c r="M2506" s="196" t="inlineStr">
        <is>
          <t>FERRANTE Filippo [AAt]</t>
        </is>
      </c>
      <c r="N2506" s="196" t="inlineStr">
        <is>
          <t>OBLAK Valerie [AA]</t>
        </is>
      </c>
      <c r="O2506" s="196" t="inlineStr">
        <is>
          <t>VIDMAR Eva [AA]</t>
        </is>
      </c>
      <c r="P2506" s="196" t="inlineStr">
        <is>
          <t>MODIC Lea</t>
        </is>
      </c>
      <c r="Q2506" s="196" t="inlineStr">
        <is>
          <t>WEBER Ilaria</t>
        </is>
      </c>
      <c r="R2506" s="196" t="inlineStr">
        <is>
          <t>ENGEL Tommaso</t>
        </is>
      </c>
    </row>
    <row r="2507" ht="15" customHeight="1">
      <c r="A2507" s="141" t="n"/>
      <c r="B2507" s="69">
        <f>IF('Calendario D'!B587="","",'Calendario D'!B587)</f>
        <v/>
      </c>
      <c r="C2507" s="9" t="n"/>
      <c r="D2507" s="9" t="n"/>
      <c r="E2507" s="9" t="n"/>
      <c r="F2507" s="9" t="n"/>
      <c r="G2507" s="9" t="n"/>
      <c r="H2507" s="10" t="n"/>
      <c r="I2507" s="62">
        <f>IF('Calendario D'!I587="","",'Calendario D'!I587)</f>
        <v/>
      </c>
      <c r="J2507" s="141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</row>
    <row r="2508" ht="14" customHeight="1">
      <c r="A2508" s="88" t="inlineStr">
        <is>
          <t>Gara N.</t>
        </is>
      </c>
      <c r="B2508" s="88" t="inlineStr">
        <is>
          <t>Squadra A</t>
        </is>
      </c>
      <c r="C2508" s="10" t="n"/>
      <c r="D2508" s="88" t="inlineStr">
        <is>
          <t>Squadra B</t>
        </is>
      </c>
      <c r="E2508" s="10" t="n"/>
      <c r="F2508" s="88" t="inlineStr">
        <is>
          <t>Giorno</t>
        </is>
      </c>
      <c r="G2508" s="88" t="inlineStr">
        <is>
          <t>Data</t>
        </is>
      </c>
      <c r="H2508" s="88" t="inlineStr">
        <is>
          <t>Ora</t>
        </is>
      </c>
      <c r="I2508" s="10" t="n"/>
      <c r="J2508" s="88" t="inlineStr">
        <is>
          <t>Risultato</t>
        </is>
      </c>
      <c r="K2508" s="9" t="n"/>
      <c r="L2508" s="10" t="n"/>
      <c r="M2508" s="203" t="inlineStr">
        <is>
          <t>1o Arbitro</t>
        </is>
      </c>
      <c r="N2508" s="203" t="inlineStr">
        <is>
          <t>2o Arbitro</t>
        </is>
      </c>
      <c r="O2508" s="203" t="inlineStr">
        <is>
          <t>3o Arbitro/Tirocinante</t>
        </is>
      </c>
      <c r="P2508" s="203" t="inlineStr">
        <is>
          <t>Referto</t>
        </is>
      </c>
      <c r="Q2508" s="203" t="inlineStr">
        <is>
          <t>Cronometro</t>
        </is>
      </c>
      <c r="R2508" s="203" t="inlineStr">
        <is>
          <t>Foglio Tiri</t>
        </is>
      </c>
    </row>
    <row r="2509" ht="22" customHeight="1">
      <c r="A2509" s="90">
        <f>IF('Calendario D'!A589="","",'Calendario D'!A589)</f>
        <v/>
      </c>
      <c r="B2509" s="61">
        <f>IF('Calendario D'!B589="","",'Calendario D'!B589)</f>
        <v/>
      </c>
      <c r="C2509" s="62">
        <f>IF('Calendario D'!C589="","",'Calendario D'!C589)</f>
        <v/>
      </c>
      <c r="D2509" s="61">
        <f>IF('Calendario D'!D589="","",'Calendario D'!D589)</f>
        <v/>
      </c>
      <c r="E2509" s="62">
        <f>IF('Calendario D'!E589="","",'Calendario D'!E589)</f>
        <v/>
      </c>
      <c r="F2509" s="63">
        <f>IF('Calendario D'!F589="","",'Calendario D'!F589)</f>
        <v/>
      </c>
      <c r="G2509" s="9" t="n"/>
      <c r="H2509" s="9" t="n"/>
      <c r="I2509" s="10" t="n"/>
      <c r="J2509" s="195">
        <f>IF('Calendario D'!J589="","",'Calendario D'!J589)</f>
        <v/>
      </c>
      <c r="K2509" s="64" t="inlineStr">
        <is>
          <t>-</t>
        </is>
      </c>
      <c r="L2509" s="195">
        <f>IF('Calendario D'!L589="","",'Calendario D'!L589)</f>
        <v/>
      </c>
      <c r="M2509" s="196" t="inlineStr">
        <is>
          <t>KRUGER Sofia [A]</t>
        </is>
      </c>
      <c r="N2509" s="196" t="inlineStr">
        <is>
          <t>MARCHIONI Lukas [AAt]</t>
        </is>
      </c>
      <c r="O2509" s="196" t="inlineStr">
        <is>
          <t>MODIC Miha [A]</t>
        </is>
      </c>
      <c r="P2509" s="196" t="inlineStr">
        <is>
          <t>BLANCHET Alenka</t>
        </is>
      </c>
      <c r="Q2509" s="196" t="inlineStr">
        <is>
          <t>HORVAT Matteo</t>
        </is>
      </c>
      <c r="R2509" s="196" t="inlineStr">
        <is>
          <t>FOURNIER Lea</t>
        </is>
      </c>
    </row>
    <row r="2510" ht="15" customHeight="1">
      <c r="A2510" s="141" t="n"/>
      <c r="B2510" s="69">
        <f>IF('Calendario D'!B590="","",'Calendario D'!B590)</f>
        <v/>
      </c>
      <c r="C2510" s="9" t="n"/>
      <c r="D2510" s="9" t="n"/>
      <c r="E2510" s="9" t="n"/>
      <c r="F2510" s="9" t="n"/>
      <c r="G2510" s="9" t="n"/>
      <c r="H2510" s="10" t="n"/>
      <c r="I2510" s="62">
        <f>IF('Calendario D'!I590="","",'Calendario D'!I590)</f>
        <v/>
      </c>
      <c r="J2510" s="141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</row>
    <row r="2511" ht="14" customHeight="1">
      <c r="A2511" s="88" t="inlineStr">
        <is>
          <t>Gara N.</t>
        </is>
      </c>
      <c r="B2511" s="88" t="inlineStr">
        <is>
          <t>Squadra A</t>
        </is>
      </c>
      <c r="C2511" s="10" t="n"/>
      <c r="D2511" s="88" t="inlineStr">
        <is>
          <t>Squadra B</t>
        </is>
      </c>
      <c r="E2511" s="10" t="n"/>
      <c r="F2511" s="88" t="inlineStr">
        <is>
          <t>Giorno</t>
        </is>
      </c>
      <c r="G2511" s="88" t="inlineStr">
        <is>
          <t>Data</t>
        </is>
      </c>
      <c r="H2511" s="88" t="inlineStr">
        <is>
          <t>Ora</t>
        </is>
      </c>
      <c r="I2511" s="10" t="n"/>
      <c r="J2511" s="88" t="inlineStr">
        <is>
          <t>Risultato</t>
        </is>
      </c>
      <c r="K2511" s="9" t="n"/>
      <c r="L2511" s="10" t="n"/>
      <c r="M2511" s="203" t="inlineStr">
        <is>
          <t>1o Arbitro</t>
        </is>
      </c>
      <c r="N2511" s="203" t="inlineStr">
        <is>
          <t>2o Arbitro</t>
        </is>
      </c>
      <c r="O2511" s="203" t="inlineStr">
        <is>
          <t>3o Arbitro/Tirocinante</t>
        </is>
      </c>
      <c r="P2511" s="203" t="inlineStr">
        <is>
          <t>Referto</t>
        </is>
      </c>
      <c r="Q2511" s="203" t="inlineStr">
        <is>
          <t>Cronometro</t>
        </is>
      </c>
      <c r="R2511" s="203" t="inlineStr">
        <is>
          <t>Foglio Tiri</t>
        </is>
      </c>
    </row>
    <row r="2512" ht="22" customHeight="1">
      <c r="A2512" s="90">
        <f>IF('Calendario D'!A592="","",'Calendario D'!A592)</f>
        <v/>
      </c>
      <c r="B2512" s="61">
        <f>IF('Calendario D'!B592="","",'Calendario D'!B592)</f>
        <v/>
      </c>
      <c r="C2512" s="62">
        <f>IF('Calendario D'!C592="","",'Calendario D'!C592)</f>
        <v/>
      </c>
      <c r="D2512" s="61">
        <f>IF('Calendario D'!D592="","",'Calendario D'!D592)</f>
        <v/>
      </c>
      <c r="E2512" s="62">
        <f>IF('Calendario D'!E592="","",'Calendario D'!E592)</f>
        <v/>
      </c>
      <c r="F2512" s="63">
        <f>IF('Calendario D'!F592="","",'Calendario D'!F592)</f>
        <v/>
      </c>
      <c r="G2512" s="9" t="n"/>
      <c r="H2512" s="9" t="n"/>
      <c r="I2512" s="10" t="n"/>
      <c r="J2512" s="195">
        <f>IF('Calendario D'!J592="","",'Calendario D'!J592)</f>
        <v/>
      </c>
      <c r="K2512" s="64" t="inlineStr">
        <is>
          <t>-</t>
        </is>
      </c>
      <c r="L2512" s="195">
        <f>IF('Calendario D'!L592="","",'Calendario D'!L592)</f>
        <v/>
      </c>
      <c r="M2512" s="196" t="inlineStr">
        <is>
          <t>CAMPOS Ilaria [A]</t>
        </is>
      </c>
      <c r="N2512" s="196" t="inlineStr">
        <is>
          <t>FOURNIER Lucia [AA]</t>
        </is>
      </c>
      <c r="O2512" s="196" t="inlineStr">
        <is>
          <t>BLANCO Sofia [AA]</t>
        </is>
      </c>
      <c r="P2512" s="196" t="inlineStr">
        <is>
          <t>SANTORI Marco</t>
        </is>
      </c>
      <c r="Q2512" s="196" t="inlineStr">
        <is>
          <t>KRAJNC Tommaso</t>
        </is>
      </c>
      <c r="R2512" s="196" t="inlineStr">
        <is>
          <t>ORTEGA Luca</t>
        </is>
      </c>
    </row>
    <row r="2513" ht="15" customHeight="1">
      <c r="A2513" s="141" t="n"/>
      <c r="B2513" s="69">
        <f>IF('Calendario D'!B593="","",'Calendario D'!B593)</f>
        <v/>
      </c>
      <c r="C2513" s="9" t="n"/>
      <c r="D2513" s="9" t="n"/>
      <c r="E2513" s="9" t="n"/>
      <c r="F2513" s="9" t="n"/>
      <c r="G2513" s="9" t="n"/>
      <c r="H2513" s="10" t="n"/>
      <c r="I2513" s="62">
        <f>IF('Calendario D'!I593="","",'Calendario D'!I593)</f>
        <v/>
      </c>
      <c r="J2513" s="141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</row>
    <row r="2514" ht="14" customHeight="1">
      <c r="A2514" s="88" t="inlineStr">
        <is>
          <t>Gara N.</t>
        </is>
      </c>
      <c r="B2514" s="88" t="inlineStr">
        <is>
          <t>Squadra A</t>
        </is>
      </c>
      <c r="C2514" s="10" t="n"/>
      <c r="D2514" s="88" t="inlineStr">
        <is>
          <t>Squadra B</t>
        </is>
      </c>
      <c r="E2514" s="10" t="n"/>
      <c r="F2514" s="88" t="inlineStr">
        <is>
          <t>Giorno</t>
        </is>
      </c>
      <c r="G2514" s="88" t="inlineStr">
        <is>
          <t>Data</t>
        </is>
      </c>
      <c r="H2514" s="88" t="inlineStr">
        <is>
          <t>Ora</t>
        </is>
      </c>
      <c r="I2514" s="10" t="n"/>
      <c r="J2514" s="88" t="inlineStr">
        <is>
          <t>Risultato</t>
        </is>
      </c>
      <c r="K2514" s="9" t="n"/>
      <c r="L2514" s="10" t="n"/>
      <c r="M2514" s="203" t="inlineStr">
        <is>
          <t>1o Arbitro</t>
        </is>
      </c>
      <c r="N2514" s="203" t="inlineStr">
        <is>
          <t>2o Arbitro</t>
        </is>
      </c>
      <c r="O2514" s="203" t="inlineStr">
        <is>
          <t>3o Arbitro/Tirocinante</t>
        </is>
      </c>
      <c r="P2514" s="203" t="inlineStr">
        <is>
          <t>Referto</t>
        </is>
      </c>
      <c r="Q2514" s="203" t="inlineStr">
        <is>
          <t>Cronometro</t>
        </is>
      </c>
      <c r="R2514" s="203" t="inlineStr">
        <is>
          <t>Foglio Tiri</t>
        </is>
      </c>
    </row>
    <row r="2515" ht="22" customHeight="1">
      <c r="A2515" s="90">
        <f>IF('Calendario D'!A595="","",'Calendario D'!A595)</f>
        <v/>
      </c>
      <c r="B2515" s="61">
        <f>IF('Calendario D'!B595="","",'Calendario D'!B595)</f>
        <v/>
      </c>
      <c r="C2515" s="62">
        <f>IF('Calendario D'!C595="","",'Calendario D'!C595)</f>
        <v/>
      </c>
      <c r="D2515" s="61">
        <f>IF('Calendario D'!D595="","",'Calendario D'!D595)</f>
        <v/>
      </c>
      <c r="E2515" s="62">
        <f>IF('Calendario D'!E595="","",'Calendario D'!E595)</f>
        <v/>
      </c>
      <c r="F2515" s="63">
        <f>IF('Calendario D'!F595="","",'Calendario D'!F595)</f>
        <v/>
      </c>
      <c r="G2515" s="9" t="n"/>
      <c r="H2515" s="9" t="n"/>
      <c r="I2515" s="10" t="n"/>
      <c r="J2515" s="195">
        <f>IF('Calendario D'!J595="","",'Calendario D'!J595)</f>
        <v/>
      </c>
      <c r="K2515" s="64" t="inlineStr">
        <is>
          <t>-</t>
        </is>
      </c>
      <c r="L2515" s="195">
        <f>IF('Calendario D'!L595="","",'Calendario D'!L595)</f>
        <v/>
      </c>
      <c r="M2515" s="196" t="inlineStr">
        <is>
          <t>PETERLIN Filippo [AAt]</t>
        </is>
      </c>
      <c r="N2515" s="196" t="inlineStr">
        <is>
          <t>CAMPOS Ilaria [A]</t>
        </is>
      </c>
      <c r="O2515" s="196" t="inlineStr">
        <is>
          <t>AUBERT Beatrice [AA]</t>
        </is>
      </c>
      <c r="P2515" s="196" t="inlineStr">
        <is>
          <t>MORETTO Jonas</t>
        </is>
      </c>
      <c r="Q2515" s="196" t="inlineStr">
        <is>
          <t>FERRANTE Nicola</t>
        </is>
      </c>
      <c r="R2515" s="196" t="inlineStr">
        <is>
          <t>VOGEL Pablo</t>
        </is>
      </c>
    </row>
    <row r="2516" ht="15" customHeight="1">
      <c r="A2516" s="141" t="n"/>
      <c r="B2516" s="69">
        <f>IF('Calendario D'!B596="","",'Calendario D'!B596)</f>
        <v/>
      </c>
      <c r="C2516" s="9" t="n"/>
      <c r="D2516" s="9" t="n"/>
      <c r="E2516" s="9" t="n"/>
      <c r="F2516" s="9" t="n"/>
      <c r="G2516" s="9" t="n"/>
      <c r="H2516" s="10" t="n"/>
      <c r="I2516" s="62">
        <f>IF('Calendario D'!I596="","",'Calendario D'!I596)</f>
        <v/>
      </c>
      <c r="J2516" s="141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</row>
    <row r="2517" ht="14" customHeight="1">
      <c r="A2517" s="88" t="inlineStr">
        <is>
          <t>Gara N.</t>
        </is>
      </c>
      <c r="B2517" s="88" t="inlineStr">
        <is>
          <t>Squadra A</t>
        </is>
      </c>
      <c r="C2517" s="10" t="n"/>
      <c r="D2517" s="88" t="inlineStr">
        <is>
          <t>Squadra B</t>
        </is>
      </c>
      <c r="E2517" s="10" t="n"/>
      <c r="F2517" s="88" t="inlineStr">
        <is>
          <t>Giorno</t>
        </is>
      </c>
      <c r="G2517" s="88" t="inlineStr">
        <is>
          <t>Data</t>
        </is>
      </c>
      <c r="H2517" s="88" t="inlineStr">
        <is>
          <t>Ora</t>
        </is>
      </c>
      <c r="I2517" s="10" t="n"/>
      <c r="J2517" s="88" t="inlineStr">
        <is>
          <t>Risultato</t>
        </is>
      </c>
      <c r="K2517" s="9" t="n"/>
      <c r="L2517" s="10" t="n"/>
      <c r="M2517" s="203" t="inlineStr">
        <is>
          <t>1o Arbitro</t>
        </is>
      </c>
      <c r="N2517" s="203" t="inlineStr">
        <is>
          <t>2o Arbitro</t>
        </is>
      </c>
      <c r="O2517" s="203" t="inlineStr">
        <is>
          <t>3o Arbitro/Tirocinante</t>
        </is>
      </c>
      <c r="P2517" s="203" t="inlineStr">
        <is>
          <t>Referto</t>
        </is>
      </c>
      <c r="Q2517" s="203" t="inlineStr">
        <is>
          <t>Cronometro</t>
        </is>
      </c>
      <c r="R2517" s="203" t="inlineStr">
        <is>
          <t>Foglio Tiri</t>
        </is>
      </c>
    </row>
    <row r="2518" ht="22" customHeight="1">
      <c r="A2518" s="90">
        <f>IF('Calendario D'!A598="","",'Calendario D'!A598)</f>
        <v/>
      </c>
      <c r="B2518" s="61">
        <f>IF('Calendario D'!B598="","",'Calendario D'!B598)</f>
        <v/>
      </c>
      <c r="C2518" s="62">
        <f>IF('Calendario D'!C598="","",'Calendario D'!C598)</f>
        <v/>
      </c>
      <c r="D2518" s="61">
        <f>IF('Calendario D'!D598="","",'Calendario D'!D598)</f>
        <v/>
      </c>
      <c r="E2518" s="62">
        <f>IF('Calendario D'!E598="","",'Calendario D'!E598)</f>
        <v/>
      </c>
      <c r="F2518" s="63">
        <f>IF('Calendario D'!F598="","",'Calendario D'!F598)</f>
        <v/>
      </c>
      <c r="G2518" s="9" t="n"/>
      <c r="H2518" s="9" t="n"/>
      <c r="I2518" s="10" t="n"/>
      <c r="J2518" s="195">
        <f>IF('Calendario D'!J598="","",'Calendario D'!J598)</f>
        <v/>
      </c>
      <c r="K2518" s="64" t="inlineStr">
        <is>
          <t>-</t>
        </is>
      </c>
      <c r="L2518" s="195">
        <f>IF('Calendario D'!L598="","",'Calendario D'!L598)</f>
        <v/>
      </c>
      <c r="M2518" s="196" t="inlineStr">
        <is>
          <t>WEBER Marco [AAt]</t>
        </is>
      </c>
      <c r="N2518" s="196" t="inlineStr">
        <is>
          <t>VALLET Martina [Aest]</t>
        </is>
      </c>
      <c r="O2518" s="196" t="inlineStr">
        <is>
          <t>PELLEGRI Eva [AA]</t>
        </is>
      </c>
      <c r="P2518" s="196" t="inlineStr">
        <is>
          <t>KELLER Matteo</t>
        </is>
      </c>
      <c r="Q2518" s="196" t="inlineStr">
        <is>
          <t>FOURNIER Elena</t>
        </is>
      </c>
      <c r="R2518" s="196" t="inlineStr">
        <is>
          <t>BRANDT Beatrice</t>
        </is>
      </c>
    </row>
    <row r="2519" ht="15" customHeight="1">
      <c r="A2519" s="141" t="n"/>
      <c r="B2519" s="69">
        <f>IF('Calendario D'!B599="","",'Calendario D'!B599)</f>
        <v/>
      </c>
      <c r="C2519" s="9" t="n"/>
      <c r="D2519" s="9" t="n"/>
      <c r="E2519" s="9" t="n"/>
      <c r="F2519" s="9" t="n"/>
      <c r="G2519" s="9" t="n"/>
      <c r="H2519" s="10" t="n"/>
      <c r="I2519" s="62">
        <f>IF('Calendario D'!I599="","",'Calendario D'!I599)</f>
        <v/>
      </c>
      <c r="J2519" s="141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</row>
    <row r="2520" ht="14" customHeight="1">
      <c r="A2520" s="88" t="inlineStr">
        <is>
          <t>Gara N.</t>
        </is>
      </c>
      <c r="B2520" s="88" t="inlineStr">
        <is>
          <t>Squadra A</t>
        </is>
      </c>
      <c r="C2520" s="10" t="n"/>
      <c r="D2520" s="88" t="inlineStr">
        <is>
          <t>Squadra B</t>
        </is>
      </c>
      <c r="E2520" s="10" t="n"/>
      <c r="F2520" s="88" t="inlineStr">
        <is>
          <t>Giorno</t>
        </is>
      </c>
      <c r="G2520" s="88" t="inlineStr">
        <is>
          <t>Data</t>
        </is>
      </c>
      <c r="H2520" s="88" t="inlineStr">
        <is>
          <t>Ora</t>
        </is>
      </c>
      <c r="I2520" s="10" t="n"/>
      <c r="J2520" s="88" t="inlineStr">
        <is>
          <t>Risultato</t>
        </is>
      </c>
      <c r="K2520" s="9" t="n"/>
      <c r="L2520" s="10" t="n"/>
      <c r="M2520" s="203" t="inlineStr">
        <is>
          <t>1o Arbitro</t>
        </is>
      </c>
      <c r="N2520" s="203" t="inlineStr">
        <is>
          <t>2o Arbitro</t>
        </is>
      </c>
      <c r="O2520" s="203" t="inlineStr">
        <is>
          <t>3o Arbitro/Tirocinante</t>
        </is>
      </c>
      <c r="P2520" s="203" t="inlineStr">
        <is>
          <t>Referto</t>
        </is>
      </c>
      <c r="Q2520" s="203" t="inlineStr">
        <is>
          <t>Cronometro</t>
        </is>
      </c>
      <c r="R2520" s="203" t="inlineStr">
        <is>
          <t>Foglio Tiri</t>
        </is>
      </c>
    </row>
    <row r="2521" ht="22" customHeight="1">
      <c r="A2521" s="90">
        <f>IF('Calendario D'!A601="","",'Calendario D'!A601)</f>
        <v/>
      </c>
      <c r="B2521" s="61">
        <f>IF('Calendario D'!B601="","",'Calendario D'!B601)</f>
        <v/>
      </c>
      <c r="C2521" s="62">
        <f>IF('Calendario D'!C601="","",'Calendario D'!C601)</f>
        <v/>
      </c>
      <c r="D2521" s="61">
        <f>IF('Calendario D'!D601="","",'Calendario D'!D601)</f>
        <v/>
      </c>
      <c r="E2521" s="62">
        <f>IF('Calendario D'!E601="","",'Calendario D'!E601)</f>
        <v/>
      </c>
      <c r="F2521" s="63">
        <f>IF('Calendario D'!F601="","",'Calendario D'!F601)</f>
        <v/>
      </c>
      <c r="G2521" s="9" t="n"/>
      <c r="H2521" s="9" t="n"/>
      <c r="I2521" s="10" t="n"/>
      <c r="J2521" s="195">
        <f>IF('Calendario D'!J601="","",'Calendario D'!J601)</f>
        <v/>
      </c>
      <c r="K2521" s="64" t="inlineStr">
        <is>
          <t>-</t>
        </is>
      </c>
      <c r="L2521" s="195">
        <f>IF('Calendario D'!L601="","",'Calendario D'!L601)</f>
        <v/>
      </c>
      <c r="M2521" s="196" t="inlineStr">
        <is>
          <t>CONTARDI Marta [Aest]</t>
        </is>
      </c>
      <c r="N2521" s="196" t="inlineStr">
        <is>
          <t>MORETTO Chiara [A]</t>
        </is>
      </c>
      <c r="O2521" s="196" t="inlineStr">
        <is>
          <t>BLANCO Ottavia [AA]</t>
        </is>
      </c>
      <c r="P2521" s="196" t="inlineStr">
        <is>
          <t>FUENTES Anja</t>
        </is>
      </c>
      <c r="Q2521" s="196" t="inlineStr">
        <is>
          <t>FOURNIER Elena</t>
        </is>
      </c>
      <c r="R2521" s="196" t="inlineStr">
        <is>
          <t>CASTILLO Noemi</t>
        </is>
      </c>
    </row>
    <row r="2522" ht="15" customHeight="1">
      <c r="A2522" s="141" t="n"/>
      <c r="B2522" s="69">
        <f>IF('Calendario D'!B602="","",'Calendario D'!B602)</f>
        <v/>
      </c>
      <c r="C2522" s="9" t="n"/>
      <c r="D2522" s="9" t="n"/>
      <c r="E2522" s="9" t="n"/>
      <c r="F2522" s="9" t="n"/>
      <c r="G2522" s="9" t="n"/>
      <c r="H2522" s="10" t="n"/>
      <c r="I2522" s="62">
        <f>IF('Calendario D'!I602="","",'Calendario D'!I602)</f>
        <v/>
      </c>
      <c r="J2522" s="141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</row>
    <row r="2523" ht="14" customHeight="1">
      <c r="A2523" s="88" t="inlineStr">
        <is>
          <t>Gara N.</t>
        </is>
      </c>
      <c r="B2523" s="88" t="inlineStr">
        <is>
          <t>Squadra A</t>
        </is>
      </c>
      <c r="C2523" s="10" t="n"/>
      <c r="D2523" s="88" t="inlineStr">
        <is>
          <t>Squadra B</t>
        </is>
      </c>
      <c r="E2523" s="10" t="n"/>
      <c r="F2523" s="88" t="inlineStr">
        <is>
          <t>Giorno</t>
        </is>
      </c>
      <c r="G2523" s="88" t="inlineStr">
        <is>
          <t>Data</t>
        </is>
      </c>
      <c r="H2523" s="88" t="inlineStr">
        <is>
          <t>Ora</t>
        </is>
      </c>
      <c r="I2523" s="10" t="n"/>
      <c r="J2523" s="88" t="inlineStr">
        <is>
          <t>Risultato</t>
        </is>
      </c>
      <c r="K2523" s="9" t="n"/>
      <c r="L2523" s="10" t="n"/>
      <c r="M2523" s="203" t="inlineStr">
        <is>
          <t>1o Arbitro</t>
        </is>
      </c>
      <c r="N2523" s="203" t="inlineStr">
        <is>
          <t>2o Arbitro</t>
        </is>
      </c>
      <c r="O2523" s="203" t="inlineStr">
        <is>
          <t>3o Arbitro/Tirocinante</t>
        </is>
      </c>
      <c r="P2523" s="203" t="inlineStr">
        <is>
          <t>Referto</t>
        </is>
      </c>
      <c r="Q2523" s="203" t="inlineStr">
        <is>
          <t>Cronometro</t>
        </is>
      </c>
      <c r="R2523" s="203" t="inlineStr">
        <is>
          <t>Foglio Tiri</t>
        </is>
      </c>
    </row>
    <row r="2524" ht="22" customHeight="1">
      <c r="A2524" s="90">
        <f>IF('Calendario D'!A604="","",'Calendario D'!A604)</f>
        <v/>
      </c>
      <c r="B2524" s="61">
        <f>IF('Calendario D'!B604="","",'Calendario D'!B604)</f>
        <v/>
      </c>
      <c r="C2524" s="62">
        <f>IF('Calendario D'!C604="","",'Calendario D'!C604)</f>
        <v/>
      </c>
      <c r="D2524" s="61">
        <f>IF('Calendario D'!D604="","",'Calendario D'!D604)</f>
        <v/>
      </c>
      <c r="E2524" s="62">
        <f>IF('Calendario D'!E604="","",'Calendario D'!E604)</f>
        <v/>
      </c>
      <c r="F2524" s="63">
        <f>IF('Calendario D'!F604="","",'Calendario D'!F604)</f>
        <v/>
      </c>
      <c r="G2524" s="9" t="n"/>
      <c r="H2524" s="9" t="n"/>
      <c r="I2524" s="10" t="n"/>
      <c r="J2524" s="195">
        <f>IF('Calendario D'!J604="","",'Calendario D'!J604)</f>
        <v/>
      </c>
      <c r="K2524" s="64" t="inlineStr">
        <is>
          <t>-</t>
        </is>
      </c>
      <c r="L2524" s="195">
        <f>IF('Calendario D'!L604="","",'Calendario D'!L604)</f>
        <v/>
      </c>
      <c r="M2524" s="196" t="inlineStr">
        <is>
          <t>ROSSINI Paula [AAt]</t>
        </is>
      </c>
      <c r="N2524" s="196" t="inlineStr">
        <is>
          <t>KELLER Felix [AAt]</t>
        </is>
      </c>
      <c r="O2524" s="196" t="inlineStr">
        <is>
          <t>CARON Giulia [AAt]</t>
        </is>
      </c>
      <c r="P2524" s="196" t="inlineStr">
        <is>
          <t>VIDMAR Matteo</t>
        </is>
      </c>
      <c r="Q2524" s="196" t="inlineStr">
        <is>
          <t>HOFFMANN Matteo</t>
        </is>
      </c>
      <c r="R2524" s="196" t="inlineStr">
        <is>
          <t>SOLER Gaelle</t>
        </is>
      </c>
    </row>
    <row r="2525" ht="15" customHeight="1">
      <c r="A2525" s="141" t="n"/>
      <c r="B2525" s="69">
        <f>IF('Calendario D'!B605="","",'Calendario D'!B605)</f>
        <v/>
      </c>
      <c r="C2525" s="9" t="n"/>
      <c r="D2525" s="9" t="n"/>
      <c r="E2525" s="9" t="n"/>
      <c r="F2525" s="9" t="n"/>
      <c r="G2525" s="9" t="n"/>
      <c r="H2525" s="10" t="n"/>
      <c r="I2525" s="62">
        <f>IF('Calendario D'!I605="","",'Calendario D'!I605)</f>
        <v/>
      </c>
      <c r="J2525" s="141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</row>
    <row r="2526" ht="14" customHeight="1">
      <c r="A2526" s="88" t="inlineStr">
        <is>
          <t>Gara N.</t>
        </is>
      </c>
      <c r="B2526" s="88" t="inlineStr">
        <is>
          <t>Squadra A</t>
        </is>
      </c>
      <c r="C2526" s="10" t="n"/>
      <c r="D2526" s="88" t="inlineStr">
        <is>
          <t>Squadra B</t>
        </is>
      </c>
      <c r="E2526" s="10" t="n"/>
      <c r="F2526" s="88" t="inlineStr">
        <is>
          <t>Giorno</t>
        </is>
      </c>
      <c r="G2526" s="88" t="inlineStr">
        <is>
          <t>Data</t>
        </is>
      </c>
      <c r="H2526" s="88" t="inlineStr">
        <is>
          <t>Ora</t>
        </is>
      </c>
      <c r="I2526" s="10" t="n"/>
      <c r="J2526" s="88" t="inlineStr">
        <is>
          <t>Risultato</t>
        </is>
      </c>
      <c r="K2526" s="9" t="n"/>
      <c r="L2526" s="10" t="n"/>
      <c r="M2526" s="203" t="inlineStr">
        <is>
          <t>1o Arbitro</t>
        </is>
      </c>
      <c r="N2526" s="203" t="inlineStr">
        <is>
          <t>2o Arbitro</t>
        </is>
      </c>
      <c r="O2526" s="203" t="inlineStr">
        <is>
          <t>3o Arbitro/Tirocinante</t>
        </is>
      </c>
      <c r="P2526" s="203" t="inlineStr">
        <is>
          <t>Referto</t>
        </is>
      </c>
      <c r="Q2526" s="203" t="inlineStr">
        <is>
          <t>Cronometro</t>
        </is>
      </c>
      <c r="R2526" s="203" t="inlineStr">
        <is>
          <t>Foglio Tiri</t>
        </is>
      </c>
    </row>
    <row r="2527" ht="22" customHeight="1">
      <c r="A2527" s="90">
        <f>IF('Calendario D'!A607="","",'Calendario D'!A607)</f>
        <v/>
      </c>
      <c r="B2527" s="61">
        <f>IF('Calendario D'!B607="","",'Calendario D'!B607)</f>
        <v/>
      </c>
      <c r="C2527" s="62">
        <f>IF('Calendario D'!C607="","",'Calendario D'!C607)</f>
        <v/>
      </c>
      <c r="D2527" s="61">
        <f>IF('Calendario D'!D607="","",'Calendario D'!D607)</f>
        <v/>
      </c>
      <c r="E2527" s="62">
        <f>IF('Calendario D'!E607="","",'Calendario D'!E607)</f>
        <v/>
      </c>
      <c r="F2527" s="63">
        <f>IF('Calendario D'!F607="","",'Calendario D'!F607)</f>
        <v/>
      </c>
      <c r="G2527" s="9" t="n"/>
      <c r="H2527" s="9" t="n"/>
      <c r="I2527" s="10" t="n"/>
      <c r="J2527" s="195">
        <f>IF('Calendario D'!J607="","",'Calendario D'!J607)</f>
        <v/>
      </c>
      <c r="K2527" s="64" t="inlineStr">
        <is>
          <t>-</t>
        </is>
      </c>
      <c r="L2527" s="195">
        <f>IF('Calendario D'!L607="","",'Calendario D'!L607)</f>
        <v/>
      </c>
      <c r="M2527" s="196" t="inlineStr">
        <is>
          <t>KRUGER Ilaria [A]</t>
        </is>
      </c>
      <c r="N2527" s="196" t="inlineStr">
        <is>
          <t>ROSSINI Sofia [AA]</t>
        </is>
      </c>
      <c r="O2527" s="196" t="inlineStr">
        <is>
          <t>PELLEGRI Chiara [AAt]</t>
        </is>
      </c>
      <c r="P2527" s="196" t="inlineStr">
        <is>
          <t>SEVER Giulia</t>
        </is>
      </c>
      <c r="Q2527" s="196" t="inlineStr">
        <is>
          <t>KRUGER Paolo</t>
        </is>
      </c>
      <c r="R2527" s="196" t="inlineStr">
        <is>
          <t>MORETTO Beatrice</t>
        </is>
      </c>
    </row>
    <row r="2528" ht="15" customHeight="1">
      <c r="A2528" s="141" t="n"/>
      <c r="B2528" s="69">
        <f>IF('Calendario D'!B608="","",'Calendario D'!B608)</f>
        <v/>
      </c>
      <c r="C2528" s="9" t="n"/>
      <c r="D2528" s="9" t="n"/>
      <c r="E2528" s="9" t="n"/>
      <c r="F2528" s="9" t="n"/>
      <c r="G2528" s="9" t="n"/>
      <c r="H2528" s="10" t="n"/>
      <c r="I2528" s="62">
        <f>IF('Calendario D'!I608="","",'Calendario D'!I608)</f>
        <v/>
      </c>
      <c r="J2528" s="141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</row>
    <row r="2529" ht="14" customHeight="1">
      <c r="A2529" s="88" t="inlineStr">
        <is>
          <t>Gara N.</t>
        </is>
      </c>
      <c r="B2529" s="88" t="inlineStr">
        <is>
          <t>Squadra A</t>
        </is>
      </c>
      <c r="C2529" s="10" t="n"/>
      <c r="D2529" s="88" t="inlineStr">
        <is>
          <t>Squadra B</t>
        </is>
      </c>
      <c r="E2529" s="10" t="n"/>
      <c r="F2529" s="88" t="inlineStr">
        <is>
          <t>Giorno</t>
        </is>
      </c>
      <c r="G2529" s="88" t="inlineStr">
        <is>
          <t>Data</t>
        </is>
      </c>
      <c r="H2529" s="88" t="inlineStr">
        <is>
          <t>Ora</t>
        </is>
      </c>
      <c r="I2529" s="10" t="n"/>
      <c r="J2529" s="88" t="inlineStr">
        <is>
          <t>Risultato</t>
        </is>
      </c>
      <c r="K2529" s="9" t="n"/>
      <c r="L2529" s="10" t="n"/>
      <c r="M2529" s="203" t="inlineStr">
        <is>
          <t>1o Arbitro</t>
        </is>
      </c>
      <c r="N2529" s="203" t="inlineStr">
        <is>
          <t>2o Arbitro</t>
        </is>
      </c>
      <c r="O2529" s="203" t="inlineStr">
        <is>
          <t>3o Arbitro/Tirocinante</t>
        </is>
      </c>
      <c r="P2529" s="203" t="inlineStr">
        <is>
          <t>Referto</t>
        </is>
      </c>
      <c r="Q2529" s="203" t="inlineStr">
        <is>
          <t>Cronometro</t>
        </is>
      </c>
      <c r="R2529" s="203" t="inlineStr">
        <is>
          <t>Foglio Tiri</t>
        </is>
      </c>
    </row>
    <row r="2530" ht="22" customHeight="1">
      <c r="A2530" s="90">
        <f>IF('Calendario D'!A610="","",'Calendario D'!A610)</f>
        <v/>
      </c>
      <c r="B2530" s="61">
        <f>IF('Calendario D'!B610="","",'Calendario D'!B610)</f>
        <v/>
      </c>
      <c r="C2530" s="62">
        <f>IF('Calendario D'!C610="","",'Calendario D'!C610)</f>
        <v/>
      </c>
      <c r="D2530" s="61">
        <f>IF('Calendario D'!D610="","",'Calendario D'!D610)</f>
        <v/>
      </c>
      <c r="E2530" s="62">
        <f>IF('Calendario D'!E610="","",'Calendario D'!E610)</f>
        <v/>
      </c>
      <c r="F2530" s="63">
        <f>IF('Calendario D'!F610="","",'Calendario D'!F610)</f>
        <v/>
      </c>
      <c r="G2530" s="9" t="n"/>
      <c r="H2530" s="9" t="n"/>
      <c r="I2530" s="10" t="n"/>
      <c r="J2530" s="195">
        <f>IF('Calendario D'!J610="","",'Calendario D'!J610)</f>
        <v/>
      </c>
      <c r="K2530" s="64" t="inlineStr">
        <is>
          <t>-</t>
        </is>
      </c>
      <c r="L2530" s="195">
        <f>IF('Calendario D'!L610="","",'Calendario D'!L610)</f>
        <v/>
      </c>
      <c r="M2530" s="196" t="inlineStr">
        <is>
          <t>BELLANDI Matteo [AA]</t>
        </is>
      </c>
      <c r="N2530" s="196" t="inlineStr">
        <is>
          <t>ENGEL Lea [AAt]</t>
        </is>
      </c>
      <c r="O2530" s="196" t="inlineStr">
        <is>
          <t>GAUTHIER Lukas [AA]</t>
        </is>
      </c>
      <c r="P2530" s="196" t="inlineStr">
        <is>
          <t>GAUTHIER Filippo</t>
        </is>
      </c>
      <c r="Q2530" s="196" t="inlineStr">
        <is>
          <t>FOURNIER Stefano</t>
        </is>
      </c>
      <c r="R2530" s="196" t="inlineStr">
        <is>
          <t>FERRANTE Andrea</t>
        </is>
      </c>
    </row>
    <row r="2531" ht="15" customHeight="1">
      <c r="A2531" s="141" t="n"/>
      <c r="B2531" s="69">
        <f>IF('Calendario D'!B611="","",'Calendario D'!B611)</f>
        <v/>
      </c>
      <c r="C2531" s="9" t="n"/>
      <c r="D2531" s="9" t="n"/>
      <c r="E2531" s="9" t="n"/>
      <c r="F2531" s="9" t="n"/>
      <c r="G2531" s="9" t="n"/>
      <c r="H2531" s="10" t="n"/>
      <c r="I2531" s="62">
        <f>IF('Calendario D'!I611="","",'Calendario D'!I611)</f>
        <v/>
      </c>
      <c r="J2531" s="141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</row>
    <row r="2532" ht="14" customHeight="1">
      <c r="A2532" s="88" t="inlineStr">
        <is>
          <t>Gara N.</t>
        </is>
      </c>
      <c r="B2532" s="88" t="inlineStr">
        <is>
          <t>Squadra A</t>
        </is>
      </c>
      <c r="C2532" s="10" t="n"/>
      <c r="D2532" s="88" t="inlineStr">
        <is>
          <t>Squadra B</t>
        </is>
      </c>
      <c r="E2532" s="10" t="n"/>
      <c r="F2532" s="88" t="inlineStr">
        <is>
          <t>Giorno</t>
        </is>
      </c>
      <c r="G2532" s="88" t="inlineStr">
        <is>
          <t>Data</t>
        </is>
      </c>
      <c r="H2532" s="88" t="inlineStr">
        <is>
          <t>Ora</t>
        </is>
      </c>
      <c r="I2532" s="10" t="n"/>
      <c r="J2532" s="88" t="inlineStr">
        <is>
          <t>Risultato</t>
        </is>
      </c>
      <c r="K2532" s="9" t="n"/>
      <c r="L2532" s="10" t="n"/>
      <c r="M2532" s="203" t="inlineStr">
        <is>
          <t>1o Arbitro</t>
        </is>
      </c>
      <c r="N2532" s="203" t="inlineStr">
        <is>
          <t>2o Arbitro</t>
        </is>
      </c>
      <c r="O2532" s="203" t="inlineStr">
        <is>
          <t>3o Arbitro/Tirocinante</t>
        </is>
      </c>
      <c r="P2532" s="203" t="inlineStr">
        <is>
          <t>Referto</t>
        </is>
      </c>
      <c r="Q2532" s="203" t="inlineStr">
        <is>
          <t>Cronometro</t>
        </is>
      </c>
      <c r="R2532" s="203" t="inlineStr">
        <is>
          <t>Foglio Tiri</t>
        </is>
      </c>
    </row>
    <row r="2533" ht="22" customHeight="1">
      <c r="A2533" s="90">
        <f>IF('Calendario D'!A613="","",'Calendario D'!A613)</f>
        <v/>
      </c>
      <c r="B2533" s="61">
        <f>IF('Calendario D'!B613="","",'Calendario D'!B613)</f>
        <v/>
      </c>
      <c r="C2533" s="62">
        <f>IF('Calendario D'!C613="","",'Calendario D'!C613)</f>
        <v/>
      </c>
      <c r="D2533" s="61">
        <f>IF('Calendario D'!D613="","",'Calendario D'!D613)</f>
        <v/>
      </c>
      <c r="E2533" s="62">
        <f>IF('Calendario D'!E613="","",'Calendario D'!E613)</f>
        <v/>
      </c>
      <c r="F2533" s="63">
        <f>IF('Calendario D'!F613="","",'Calendario D'!F613)</f>
        <v/>
      </c>
      <c r="G2533" s="9" t="n"/>
      <c r="H2533" s="9" t="n"/>
      <c r="I2533" s="10" t="n"/>
      <c r="J2533" s="195">
        <f>IF('Calendario D'!J613="","",'Calendario D'!J613)</f>
        <v/>
      </c>
      <c r="K2533" s="64" t="inlineStr">
        <is>
          <t>-</t>
        </is>
      </c>
      <c r="L2533" s="195">
        <f>IF('Calendario D'!L613="","",'Calendario D'!L613)</f>
        <v/>
      </c>
      <c r="M2533" s="196" t="inlineStr">
        <is>
          <t>BELLANDI Paula [A]</t>
        </is>
      </c>
      <c r="N2533" s="196" t="inlineStr">
        <is>
          <t>ROTH Eva [A]</t>
        </is>
      </c>
      <c r="O2533" s="196" t="inlineStr">
        <is>
          <t>KOVAC Valerie [AAt]</t>
        </is>
      </c>
      <c r="P2533" s="196" t="inlineStr">
        <is>
          <t>OBLAK Anja</t>
        </is>
      </c>
      <c r="Q2533" s="196" t="inlineStr">
        <is>
          <t>NOVAK Filippo</t>
        </is>
      </c>
      <c r="R2533" s="196" t="inlineStr">
        <is>
          <t>ROTH Paula</t>
        </is>
      </c>
    </row>
    <row r="2534" ht="15" customHeight="1">
      <c r="A2534" s="141" t="n"/>
      <c r="B2534" s="69">
        <f>IF('Calendario D'!B614="","",'Calendario D'!B614)</f>
        <v/>
      </c>
      <c r="C2534" s="9" t="n"/>
      <c r="D2534" s="9" t="n"/>
      <c r="E2534" s="9" t="n"/>
      <c r="F2534" s="9" t="n"/>
      <c r="G2534" s="9" t="n"/>
      <c r="H2534" s="10" t="n"/>
      <c r="I2534" s="62">
        <f>IF('Calendario D'!I614="","",'Calendario D'!I614)</f>
        <v/>
      </c>
      <c r="J2534" s="141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</row>
    <row r="2568" ht="20" customHeight="1">
      <c r="A2568" s="216">
        <f>IF('Playoff'!A8="","",'Playoff'!A8)</f>
        <v/>
      </c>
      <c r="B2568" s="133">
        <f>IF('Playoff'!B8="","",'Playoff'!B8)</f>
        <v/>
      </c>
      <c r="C2568" s="9" t="n"/>
      <c r="D2568" s="9" t="n"/>
      <c r="E2568" s="9" t="n"/>
      <c r="F2568" s="9" t="n"/>
      <c r="G2568" s="9" t="n"/>
      <c r="H2568" s="9" t="n"/>
      <c r="I2568" s="9" t="n"/>
      <c r="J2568" s="9" t="n"/>
      <c r="K2568" s="9" t="n"/>
      <c r="L2568" s="10" t="n"/>
      <c r="M2568" s="217" t="inlineStr">
        <is>
          <t>ARBITRI</t>
        </is>
      </c>
      <c r="N2568" s="9" t="n"/>
      <c r="O2568" s="10" t="n"/>
      <c r="P2568" s="217" t="inlineStr">
        <is>
          <t>UFFICIALI DI CAMPO</t>
        </is>
      </c>
      <c r="Q2568" s="9" t="n"/>
      <c r="R2568" s="10" t="n"/>
    </row>
    <row r="2569" ht="14" customHeight="1">
      <c r="A2569" s="135" t="inlineStr">
        <is>
          <t>Gara N.</t>
        </is>
      </c>
      <c r="B2569" s="135" t="inlineStr">
        <is>
          <t>Squadra A</t>
        </is>
      </c>
      <c r="C2569" s="10" t="n"/>
      <c r="D2569" s="135" t="inlineStr">
        <is>
          <t>Squadra B</t>
        </is>
      </c>
      <c r="E2569" s="10" t="n"/>
      <c r="F2569" s="135" t="inlineStr">
        <is>
          <t>Giorno</t>
        </is>
      </c>
      <c r="G2569" s="135" t="inlineStr">
        <is>
          <t>Data</t>
        </is>
      </c>
      <c r="H2569" s="135" t="inlineStr">
        <is>
          <t>Ora</t>
        </is>
      </c>
      <c r="I2569" s="10" t="n"/>
      <c r="J2569" s="135" t="inlineStr">
        <is>
          <t>Risultato</t>
        </is>
      </c>
      <c r="K2569" s="9" t="n"/>
      <c r="L2569" s="10" t="n"/>
      <c r="M2569" s="218" t="inlineStr">
        <is>
          <t>1o Arbitro</t>
        </is>
      </c>
      <c r="N2569" s="218" t="inlineStr">
        <is>
          <t>2o Arbitro</t>
        </is>
      </c>
      <c r="O2569" s="218" t="inlineStr">
        <is>
          <t>3o Arbitro/Tirocinante</t>
        </is>
      </c>
      <c r="P2569" s="218" t="inlineStr">
        <is>
          <t>Referto</t>
        </is>
      </c>
      <c r="Q2569" s="218" t="inlineStr">
        <is>
          <t>Cronometro</t>
        </is>
      </c>
      <c r="R2569" s="218" t="inlineStr">
        <is>
          <t>Foglio Tiri</t>
        </is>
      </c>
    </row>
    <row r="2570" ht="22" customHeight="1">
      <c r="A2570" s="137">
        <f>IF('Playoff'!A10="","",'Playoff'!A10)</f>
        <v/>
      </c>
      <c r="B2570" s="61">
        <f>IF('Playoff'!B10="","",'Playoff'!B10)</f>
        <v/>
      </c>
      <c r="C2570" s="62">
        <f>IF('Playoff'!C10="","",'Playoff'!C10)</f>
        <v/>
      </c>
      <c r="D2570" s="61">
        <f>IF('Playoff'!D10="","",'Playoff'!D10)</f>
        <v/>
      </c>
      <c r="E2570" s="62">
        <f>IF('Playoff'!E10="","",'Playoff'!E10)</f>
        <v/>
      </c>
      <c r="F2570" s="63">
        <f>IF('Playoff'!F10="","",'Playoff'!F10)</f>
        <v/>
      </c>
      <c r="G2570" s="9" t="n"/>
      <c r="H2570" s="9" t="n"/>
      <c r="I2570" s="10" t="n"/>
      <c r="J2570" s="195">
        <f>IF('Playoff'!J10="","",'Playoff'!J10)</f>
        <v/>
      </c>
      <c r="K2570" s="64" t="inlineStr">
        <is>
          <t>-</t>
        </is>
      </c>
      <c r="L2570" s="195">
        <f>IF('Playoff'!L10="","",'Playoff'!L10)</f>
        <v/>
      </c>
      <c r="M2570" s="196" t="inlineStr">
        <is>
          <t>VALLET Felix [A]</t>
        </is>
      </c>
      <c r="N2570" s="196" t="inlineStr">
        <is>
          <t>FERRANTE Filippo [AAt]</t>
        </is>
      </c>
      <c r="O2570" s="196" t="inlineStr">
        <is>
          <t>CASTILLO Lucia [AA]</t>
        </is>
      </c>
      <c r="P2570" s="196" t="inlineStr">
        <is>
          <t>LANGER Andrea</t>
        </is>
      </c>
      <c r="Q2570" s="196" t="inlineStr">
        <is>
          <t>ROSSINI Sofia</t>
        </is>
      </c>
      <c r="R2570" s="196" t="inlineStr">
        <is>
          <t>KELLER Ottavia</t>
        </is>
      </c>
    </row>
    <row r="2571" ht="15" customHeight="1">
      <c r="A2571" s="141" t="n"/>
      <c r="B2571" s="69">
        <f>IF('Playoff'!B11="","",'Playoff'!B11)</f>
        <v/>
      </c>
      <c r="C2571" s="9" t="n"/>
      <c r="D2571" s="9" t="n"/>
      <c r="E2571" s="9" t="n"/>
      <c r="F2571" s="9" t="n"/>
      <c r="G2571" s="9" t="n"/>
      <c r="H2571" s="10" t="n"/>
      <c r="I2571" s="62">
        <f>IF('Playoff'!I11="","",'Playoff'!I11)</f>
        <v/>
      </c>
      <c r="J2571" s="141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</row>
    <row r="2572" ht="14" customHeight="1">
      <c r="A2572" s="135" t="inlineStr">
        <is>
          <t>Gara N.</t>
        </is>
      </c>
      <c r="B2572" s="135" t="inlineStr">
        <is>
          <t>Squadra A</t>
        </is>
      </c>
      <c r="C2572" s="10" t="n"/>
      <c r="D2572" s="135" t="inlineStr">
        <is>
          <t>Squadra B</t>
        </is>
      </c>
      <c r="E2572" s="10" t="n"/>
      <c r="F2572" s="135" t="inlineStr">
        <is>
          <t>Giorno</t>
        </is>
      </c>
      <c r="G2572" s="135" t="inlineStr">
        <is>
          <t>Data</t>
        </is>
      </c>
      <c r="H2572" s="135" t="inlineStr">
        <is>
          <t>Ora</t>
        </is>
      </c>
      <c r="I2572" s="10" t="n"/>
      <c r="J2572" s="135" t="inlineStr">
        <is>
          <t>Risultato</t>
        </is>
      </c>
      <c r="K2572" s="9" t="n"/>
      <c r="L2572" s="10" t="n"/>
      <c r="M2572" s="218" t="inlineStr">
        <is>
          <t>1o Arbitro</t>
        </is>
      </c>
      <c r="N2572" s="218" t="inlineStr">
        <is>
          <t>2o Arbitro</t>
        </is>
      </c>
      <c r="O2572" s="218" t="inlineStr">
        <is>
          <t>3o Arbitro/Tirocinante</t>
        </is>
      </c>
      <c r="P2572" s="218" t="inlineStr">
        <is>
          <t>Referto</t>
        </is>
      </c>
      <c r="Q2572" s="218" t="inlineStr">
        <is>
          <t>Cronometro</t>
        </is>
      </c>
      <c r="R2572" s="218" t="inlineStr">
        <is>
          <t>Foglio Tiri</t>
        </is>
      </c>
    </row>
    <row r="2573" ht="22" customHeight="1">
      <c r="A2573" s="137">
        <f>IF('Playoff'!A13="","",'Playoff'!A13)</f>
        <v/>
      </c>
      <c r="B2573" s="61">
        <f>IF('Playoff'!B13="","",'Playoff'!B13)</f>
        <v/>
      </c>
      <c r="C2573" s="62">
        <f>IF('Playoff'!C13="","",'Playoff'!C13)</f>
        <v/>
      </c>
      <c r="D2573" s="61">
        <f>IF('Playoff'!D13="","",'Playoff'!D13)</f>
        <v/>
      </c>
      <c r="E2573" s="62">
        <f>IF('Playoff'!E13="","",'Playoff'!E13)</f>
        <v/>
      </c>
      <c r="F2573" s="63">
        <f>IF('Playoff'!F13="","",'Playoff'!F13)</f>
        <v/>
      </c>
      <c r="G2573" s="9" t="n"/>
      <c r="H2573" s="9" t="n"/>
      <c r="I2573" s="10" t="n"/>
      <c r="J2573" s="195">
        <f>IF('Playoff'!J13="","",'Playoff'!J13)</f>
        <v/>
      </c>
      <c r="K2573" s="64" t="inlineStr">
        <is>
          <t>-</t>
        </is>
      </c>
      <c r="L2573" s="195">
        <f>IF('Playoff'!L13="","",'Playoff'!L13)</f>
        <v/>
      </c>
      <c r="M2573" s="196" t="inlineStr">
        <is>
          <t>FUENTES Eva [A]</t>
        </is>
      </c>
      <c r="N2573" s="196" t="inlineStr">
        <is>
          <t>ROMERO Elena [A]</t>
        </is>
      </c>
      <c r="O2573" s="196" t="inlineStr">
        <is>
          <t>WEBER Nicola [AAt]</t>
        </is>
      </c>
      <c r="P2573" s="196" t="inlineStr">
        <is>
          <t>SEVER Ottavia</t>
        </is>
      </c>
      <c r="Q2573" s="196" t="inlineStr">
        <is>
          <t>SEVER Davide</t>
        </is>
      </c>
      <c r="R2573" s="196" t="inlineStr">
        <is>
          <t>ROTH Lukas</t>
        </is>
      </c>
    </row>
    <row r="2574" ht="15" customHeight="1">
      <c r="A2574" s="141" t="n"/>
      <c r="B2574" s="69">
        <f>IF('Playoff'!B14="","",'Playoff'!B14)</f>
        <v/>
      </c>
      <c r="C2574" s="9" t="n"/>
      <c r="D2574" s="9" t="n"/>
      <c r="E2574" s="9" t="n"/>
      <c r="F2574" s="9" t="n"/>
      <c r="G2574" s="9" t="n"/>
      <c r="H2574" s="10" t="n"/>
      <c r="I2574" s="62">
        <f>IF('Playoff'!I14="","",'Playoff'!I14)</f>
        <v/>
      </c>
      <c r="J2574" s="141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</row>
    <row r="2575" ht="14" customHeight="1">
      <c r="A2575" s="135" t="inlineStr">
        <is>
          <t>Gara N.</t>
        </is>
      </c>
      <c r="B2575" s="135" t="inlineStr">
        <is>
          <t>Squadra A</t>
        </is>
      </c>
      <c r="C2575" s="10" t="n"/>
      <c r="D2575" s="135" t="inlineStr">
        <is>
          <t>Squadra B</t>
        </is>
      </c>
      <c r="E2575" s="10" t="n"/>
      <c r="F2575" s="135" t="inlineStr">
        <is>
          <t>Giorno</t>
        </is>
      </c>
      <c r="G2575" s="135" t="inlineStr">
        <is>
          <t>Data</t>
        </is>
      </c>
      <c r="H2575" s="135" t="inlineStr">
        <is>
          <t>Ora</t>
        </is>
      </c>
      <c r="I2575" s="10" t="n"/>
      <c r="J2575" s="135" t="inlineStr">
        <is>
          <t>Risultato</t>
        </is>
      </c>
      <c r="K2575" s="9" t="n"/>
      <c r="L2575" s="10" t="n"/>
      <c r="M2575" s="218" t="inlineStr">
        <is>
          <t>1o Arbitro</t>
        </is>
      </c>
      <c r="N2575" s="218" t="inlineStr">
        <is>
          <t>2o Arbitro</t>
        </is>
      </c>
      <c r="O2575" s="218" t="inlineStr">
        <is>
          <t>3o Arbitro/Tirocinante</t>
        </is>
      </c>
      <c r="P2575" s="218" t="inlineStr">
        <is>
          <t>Referto</t>
        </is>
      </c>
      <c r="Q2575" s="218" t="inlineStr">
        <is>
          <t>Cronometro</t>
        </is>
      </c>
      <c r="R2575" s="218" t="inlineStr">
        <is>
          <t>Foglio Tiri</t>
        </is>
      </c>
    </row>
    <row r="2576" ht="22" customHeight="1">
      <c r="A2576" s="137">
        <f>IF('Playoff'!A16="","",'Playoff'!A16)</f>
        <v/>
      </c>
      <c r="B2576" s="61">
        <f>IF('Playoff'!B16="","",'Playoff'!B16)</f>
        <v/>
      </c>
      <c r="C2576" s="62">
        <f>IF('Playoff'!C16="","",'Playoff'!C16)</f>
        <v/>
      </c>
      <c r="D2576" s="61">
        <f>IF('Playoff'!D16="","",'Playoff'!D16)</f>
        <v/>
      </c>
      <c r="E2576" s="62">
        <f>IF('Playoff'!E16="","",'Playoff'!E16)</f>
        <v/>
      </c>
      <c r="F2576" s="63">
        <f>IF('Playoff'!F16="","",'Playoff'!F16)</f>
        <v/>
      </c>
      <c r="G2576" s="9" t="n"/>
      <c r="H2576" s="9" t="n"/>
      <c r="I2576" s="10" t="n"/>
      <c r="J2576" s="195">
        <f>IF('Playoff'!J16="","",'Playoff'!J16)</f>
        <v/>
      </c>
      <c r="K2576" s="64" t="inlineStr">
        <is>
          <t>-</t>
        </is>
      </c>
      <c r="L2576" s="195">
        <f>IF('Playoff'!L16="","",'Playoff'!L16)</f>
        <v/>
      </c>
      <c r="M2576" s="196" t="inlineStr">
        <is>
          <t>ROMERO Stefano [Aest]</t>
        </is>
      </c>
      <c r="N2576" s="196" t="inlineStr">
        <is>
          <t>LEROUX Elena [AA]</t>
        </is>
      </c>
      <c r="O2576" s="196" t="inlineStr">
        <is>
          <t>SANTORI Nicola [AA]</t>
        </is>
      </c>
      <c r="P2576" s="196" t="inlineStr">
        <is>
          <t>FUENTES Chiara</t>
        </is>
      </c>
      <c r="Q2576" s="196" t="inlineStr">
        <is>
          <t>BLANCO Valerie</t>
        </is>
      </c>
      <c r="R2576" s="196" t="inlineStr">
        <is>
          <t>BLANCHET Tommaso</t>
        </is>
      </c>
    </row>
    <row r="2577" ht="15" customHeight="1">
      <c r="A2577" s="141" t="n"/>
      <c r="B2577" s="69">
        <f>IF('Playoff'!B17="","",'Playoff'!B17)</f>
        <v/>
      </c>
      <c r="C2577" s="9" t="n"/>
      <c r="D2577" s="9" t="n"/>
      <c r="E2577" s="9" t="n"/>
      <c r="F2577" s="9" t="n"/>
      <c r="G2577" s="9" t="n"/>
      <c r="H2577" s="10" t="n"/>
      <c r="I2577" s="62">
        <f>IF('Playoff'!I17="","",'Playoff'!I17)</f>
        <v/>
      </c>
      <c r="J2577" s="141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</row>
    <row r="2578" ht="14" customHeight="1">
      <c r="A2578" s="135" t="inlineStr">
        <is>
          <t>Gara N.</t>
        </is>
      </c>
      <c r="B2578" s="135" t="inlineStr">
        <is>
          <t>Squadra A</t>
        </is>
      </c>
      <c r="C2578" s="10" t="n"/>
      <c r="D2578" s="135" t="inlineStr">
        <is>
          <t>Squadra B</t>
        </is>
      </c>
      <c r="E2578" s="10" t="n"/>
      <c r="F2578" s="135" t="inlineStr">
        <is>
          <t>Giorno</t>
        </is>
      </c>
      <c r="G2578" s="135" t="inlineStr">
        <is>
          <t>Data</t>
        </is>
      </c>
      <c r="H2578" s="135" t="inlineStr">
        <is>
          <t>Ora</t>
        </is>
      </c>
      <c r="I2578" s="10" t="n"/>
      <c r="J2578" s="135" t="inlineStr">
        <is>
          <t>Risultato</t>
        </is>
      </c>
      <c r="K2578" s="9" t="n"/>
      <c r="L2578" s="10" t="n"/>
      <c r="M2578" s="218" t="inlineStr">
        <is>
          <t>1o Arbitro</t>
        </is>
      </c>
      <c r="N2578" s="218" t="inlineStr">
        <is>
          <t>2o Arbitro</t>
        </is>
      </c>
      <c r="O2578" s="218" t="inlineStr">
        <is>
          <t>3o Arbitro/Tirocinante</t>
        </is>
      </c>
      <c r="P2578" s="218" t="inlineStr">
        <is>
          <t>Referto</t>
        </is>
      </c>
      <c r="Q2578" s="218" t="inlineStr">
        <is>
          <t>Cronometro</t>
        </is>
      </c>
      <c r="R2578" s="218" t="inlineStr">
        <is>
          <t>Foglio Tiri</t>
        </is>
      </c>
    </row>
    <row r="2579" ht="22" customHeight="1">
      <c r="A2579" s="137">
        <f>IF('Playoff'!A19="","",'Playoff'!A19)</f>
        <v/>
      </c>
      <c r="B2579" s="61">
        <f>IF('Playoff'!B19="","",'Playoff'!B19)</f>
        <v/>
      </c>
      <c r="C2579" s="62">
        <f>IF('Playoff'!C19="","",'Playoff'!C19)</f>
        <v/>
      </c>
      <c r="D2579" s="61">
        <f>IF('Playoff'!D19="","",'Playoff'!D19)</f>
        <v/>
      </c>
      <c r="E2579" s="62">
        <f>IF('Playoff'!E19="","",'Playoff'!E19)</f>
        <v/>
      </c>
      <c r="F2579" s="63">
        <f>IF('Playoff'!F19="","",'Playoff'!F19)</f>
        <v/>
      </c>
      <c r="G2579" s="9" t="n"/>
      <c r="H2579" s="9" t="n"/>
      <c r="I2579" s="10" t="n"/>
      <c r="J2579" s="195">
        <f>IF('Playoff'!J19="","",'Playoff'!J19)</f>
        <v/>
      </c>
      <c r="K2579" s="64" t="inlineStr">
        <is>
          <t>-</t>
        </is>
      </c>
      <c r="L2579" s="195">
        <f>IF('Playoff'!L19="","",'Playoff'!L19)</f>
        <v/>
      </c>
      <c r="M2579" s="196" t="inlineStr">
        <is>
          <t>MARCHIONI Katrin [AA]</t>
        </is>
      </c>
      <c r="N2579" s="196" t="inlineStr">
        <is>
          <t>VIDMAR Noemi [AA]</t>
        </is>
      </c>
      <c r="O2579" s="196" t="inlineStr">
        <is>
          <t>BELLANDI Vid [Aest]</t>
        </is>
      </c>
      <c r="P2579" s="196" t="inlineStr">
        <is>
          <t>SANTORI Filippo</t>
        </is>
      </c>
      <c r="Q2579" s="196" t="inlineStr">
        <is>
          <t>VOGEL Sofia</t>
        </is>
      </c>
      <c r="R2579" s="196" t="inlineStr">
        <is>
          <t>BLANCO Stefano</t>
        </is>
      </c>
    </row>
    <row r="2580" ht="15" customHeight="1">
      <c r="A2580" s="141" t="n"/>
      <c r="B2580" s="69">
        <f>IF('Playoff'!B20="","",'Playoff'!B20)</f>
        <v/>
      </c>
      <c r="C2580" s="9" t="n"/>
      <c r="D2580" s="9" t="n"/>
      <c r="E2580" s="9" t="n"/>
      <c r="F2580" s="9" t="n"/>
      <c r="G2580" s="9" t="n"/>
      <c r="H2580" s="10" t="n"/>
      <c r="I2580" s="62">
        <f>IF('Playoff'!I20="","",'Playoff'!I20)</f>
        <v/>
      </c>
      <c r="J2580" s="141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</row>
    <row r="2581" ht="14" customHeight="1">
      <c r="A2581" s="135" t="inlineStr">
        <is>
          <t>Gara N.</t>
        </is>
      </c>
      <c r="B2581" s="135" t="inlineStr">
        <is>
          <t>Squadra A</t>
        </is>
      </c>
      <c r="C2581" s="10" t="n"/>
      <c r="D2581" s="135" t="inlineStr">
        <is>
          <t>Squadra B</t>
        </is>
      </c>
      <c r="E2581" s="10" t="n"/>
      <c r="F2581" s="135" t="inlineStr">
        <is>
          <t>Giorno</t>
        </is>
      </c>
      <c r="G2581" s="135" t="inlineStr">
        <is>
          <t>Data</t>
        </is>
      </c>
      <c r="H2581" s="135" t="inlineStr">
        <is>
          <t>Ora</t>
        </is>
      </c>
      <c r="I2581" s="10" t="n"/>
      <c r="J2581" s="135" t="inlineStr">
        <is>
          <t>Risultato</t>
        </is>
      </c>
      <c r="K2581" s="9" t="n"/>
      <c r="L2581" s="10" t="n"/>
      <c r="M2581" s="218" t="inlineStr">
        <is>
          <t>1o Arbitro</t>
        </is>
      </c>
      <c r="N2581" s="218" t="inlineStr">
        <is>
          <t>2o Arbitro</t>
        </is>
      </c>
      <c r="O2581" s="218" t="inlineStr">
        <is>
          <t>3o Arbitro/Tirocinante</t>
        </is>
      </c>
      <c r="P2581" s="218" t="inlineStr">
        <is>
          <t>Referto</t>
        </is>
      </c>
      <c r="Q2581" s="218" t="inlineStr">
        <is>
          <t>Cronometro</t>
        </is>
      </c>
      <c r="R2581" s="218" t="inlineStr">
        <is>
          <t>Foglio Tiri</t>
        </is>
      </c>
    </row>
    <row r="2582" ht="22" customHeight="1">
      <c r="A2582" s="137">
        <f>IF('Playoff'!A22="","",'Playoff'!A22)</f>
        <v/>
      </c>
      <c r="B2582" s="61">
        <f>IF('Playoff'!B22="","",'Playoff'!B22)</f>
        <v/>
      </c>
      <c r="C2582" s="62">
        <f>IF('Playoff'!C22="","",'Playoff'!C22)</f>
        <v/>
      </c>
      <c r="D2582" s="61">
        <f>IF('Playoff'!D22="","",'Playoff'!D22)</f>
        <v/>
      </c>
      <c r="E2582" s="62">
        <f>IF('Playoff'!E22="","",'Playoff'!E22)</f>
        <v/>
      </c>
      <c r="F2582" s="63">
        <f>IF('Playoff'!F22="","",'Playoff'!F22)</f>
        <v/>
      </c>
      <c r="G2582" s="9" t="n"/>
      <c r="H2582" s="9" t="n"/>
      <c r="I2582" s="10" t="n"/>
      <c r="J2582" s="195">
        <f>IF('Playoff'!J22="","",'Playoff'!J22)</f>
        <v/>
      </c>
      <c r="K2582" s="64" t="inlineStr">
        <is>
          <t>-</t>
        </is>
      </c>
      <c r="L2582" s="195">
        <f>IF('Playoff'!L22="","",'Playoff'!L22)</f>
        <v/>
      </c>
      <c r="M2582" s="196" t="inlineStr">
        <is>
          <t>GALLINI Valerie [AA]</t>
        </is>
      </c>
      <c r="N2582" s="196" t="inlineStr">
        <is>
          <t>MARCHIONI Lukas [AAt]</t>
        </is>
      </c>
      <c r="O2582" s="196" t="inlineStr">
        <is>
          <t>LEFEVRE Paula [A]</t>
        </is>
      </c>
      <c r="P2582" s="196" t="inlineStr">
        <is>
          <t>ORTEGA Filippo</t>
        </is>
      </c>
      <c r="Q2582" s="196" t="inlineStr">
        <is>
          <t>GAUTHIER Andrea</t>
        </is>
      </c>
      <c r="R2582" s="196" t="inlineStr">
        <is>
          <t>BIANCHELLI Valerie</t>
        </is>
      </c>
    </row>
    <row r="2583" ht="15" customHeight="1">
      <c r="A2583" s="141" t="n"/>
      <c r="B2583" s="69">
        <f>IF('Playoff'!B23="","",'Playoff'!B23)</f>
        <v/>
      </c>
      <c r="C2583" s="9" t="n"/>
      <c r="D2583" s="9" t="n"/>
      <c r="E2583" s="9" t="n"/>
      <c r="F2583" s="9" t="n"/>
      <c r="G2583" s="9" t="n"/>
      <c r="H2583" s="10" t="n"/>
      <c r="I2583" s="62">
        <f>IF('Playoff'!I23="","",'Playoff'!I23)</f>
        <v/>
      </c>
      <c r="J2583" s="141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</row>
    <row r="2584" ht="14" customHeight="1">
      <c r="A2584" s="135" t="inlineStr">
        <is>
          <t>Gara N.</t>
        </is>
      </c>
      <c r="B2584" s="135" t="inlineStr">
        <is>
          <t>Squadra A</t>
        </is>
      </c>
      <c r="C2584" s="10" t="n"/>
      <c r="D2584" s="135" t="inlineStr">
        <is>
          <t>Squadra B</t>
        </is>
      </c>
      <c r="E2584" s="10" t="n"/>
      <c r="F2584" s="135" t="inlineStr">
        <is>
          <t>Giorno</t>
        </is>
      </c>
      <c r="G2584" s="135" t="inlineStr">
        <is>
          <t>Data</t>
        </is>
      </c>
      <c r="H2584" s="135" t="inlineStr">
        <is>
          <t>Ora</t>
        </is>
      </c>
      <c r="I2584" s="10" t="n"/>
      <c r="J2584" s="135" t="inlineStr">
        <is>
          <t>Risultato</t>
        </is>
      </c>
      <c r="K2584" s="9" t="n"/>
      <c r="L2584" s="10" t="n"/>
      <c r="M2584" s="218" t="inlineStr">
        <is>
          <t>1o Arbitro</t>
        </is>
      </c>
      <c r="N2584" s="218" t="inlineStr">
        <is>
          <t>2o Arbitro</t>
        </is>
      </c>
      <c r="O2584" s="218" t="inlineStr">
        <is>
          <t>3o Arbitro/Tirocinante</t>
        </is>
      </c>
      <c r="P2584" s="218" t="inlineStr">
        <is>
          <t>Referto</t>
        </is>
      </c>
      <c r="Q2584" s="218" t="inlineStr">
        <is>
          <t>Cronometro</t>
        </is>
      </c>
      <c r="R2584" s="218" t="inlineStr">
        <is>
          <t>Foglio Tiri</t>
        </is>
      </c>
    </row>
    <row r="2585" ht="22" customHeight="1">
      <c r="A2585" s="137">
        <f>IF('Playoff'!A25="","",'Playoff'!A25)</f>
        <v/>
      </c>
      <c r="B2585" s="61">
        <f>IF('Playoff'!B25="","",'Playoff'!B25)</f>
        <v/>
      </c>
      <c r="C2585" s="62">
        <f>IF('Playoff'!C25="","",'Playoff'!C25)</f>
        <v/>
      </c>
      <c r="D2585" s="61">
        <f>IF('Playoff'!D25="","",'Playoff'!D25)</f>
        <v/>
      </c>
      <c r="E2585" s="62">
        <f>IF('Playoff'!E25="","",'Playoff'!E25)</f>
        <v/>
      </c>
      <c r="F2585" s="63">
        <f>IF('Playoff'!F25="","",'Playoff'!F25)</f>
        <v/>
      </c>
      <c r="G2585" s="9" t="n"/>
      <c r="H2585" s="9" t="n"/>
      <c r="I2585" s="10" t="n"/>
      <c r="J2585" s="195">
        <f>IF('Playoff'!J25="","",'Playoff'!J25)</f>
        <v/>
      </c>
      <c r="K2585" s="64" t="inlineStr">
        <is>
          <t>-</t>
        </is>
      </c>
      <c r="L2585" s="195">
        <f>IF('Playoff'!L25="","",'Playoff'!L25)</f>
        <v/>
      </c>
      <c r="M2585" s="196" t="inlineStr">
        <is>
          <t>BELLANDI Andrea [AA]</t>
        </is>
      </c>
      <c r="N2585" s="196" t="inlineStr">
        <is>
          <t>CARON Elena [A]</t>
        </is>
      </c>
      <c r="O2585" s="196" t="inlineStr">
        <is>
          <t>SEVER Diego [A]</t>
        </is>
      </c>
      <c r="P2585" s="196" t="inlineStr">
        <is>
          <t>KRUGER Irene</t>
        </is>
      </c>
      <c r="Q2585" s="196" t="inlineStr">
        <is>
          <t>GALLINI Irene</t>
        </is>
      </c>
      <c r="R2585" s="196" t="inlineStr">
        <is>
          <t>CAMPOS Noemi</t>
        </is>
      </c>
    </row>
    <row r="2586" ht="15" customHeight="1">
      <c r="A2586" s="141" t="n"/>
      <c r="B2586" s="69">
        <f>IF('Playoff'!B26="","",'Playoff'!B26)</f>
        <v/>
      </c>
      <c r="C2586" s="9" t="n"/>
      <c r="D2586" s="9" t="n"/>
      <c r="E2586" s="9" t="n"/>
      <c r="F2586" s="9" t="n"/>
      <c r="G2586" s="9" t="n"/>
      <c r="H2586" s="10" t="n"/>
      <c r="I2586" s="62">
        <f>IF('Playoff'!I26="","",'Playoff'!I26)</f>
        <v/>
      </c>
      <c r="J2586" s="141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</row>
    <row r="2587" ht="14" customHeight="1">
      <c r="A2587" s="135" t="inlineStr">
        <is>
          <t>Gara N.</t>
        </is>
      </c>
      <c r="B2587" s="135" t="inlineStr">
        <is>
          <t>Squadra A</t>
        </is>
      </c>
      <c r="C2587" s="10" t="n"/>
      <c r="D2587" s="135" t="inlineStr">
        <is>
          <t>Squadra B</t>
        </is>
      </c>
      <c r="E2587" s="10" t="n"/>
      <c r="F2587" s="135" t="inlineStr">
        <is>
          <t>Giorno</t>
        </is>
      </c>
      <c r="G2587" s="135" t="inlineStr">
        <is>
          <t>Data</t>
        </is>
      </c>
      <c r="H2587" s="135" t="inlineStr">
        <is>
          <t>Ora</t>
        </is>
      </c>
      <c r="I2587" s="10" t="n"/>
      <c r="J2587" s="135" t="inlineStr">
        <is>
          <t>Risultato</t>
        </is>
      </c>
      <c r="K2587" s="9" t="n"/>
      <c r="L2587" s="10" t="n"/>
      <c r="M2587" s="218" t="inlineStr">
        <is>
          <t>1o Arbitro</t>
        </is>
      </c>
      <c r="N2587" s="218" t="inlineStr">
        <is>
          <t>2o Arbitro</t>
        </is>
      </c>
      <c r="O2587" s="218" t="inlineStr">
        <is>
          <t>3o Arbitro/Tirocinante</t>
        </is>
      </c>
      <c r="P2587" s="218" t="inlineStr">
        <is>
          <t>Referto</t>
        </is>
      </c>
      <c r="Q2587" s="218" t="inlineStr">
        <is>
          <t>Cronometro</t>
        </is>
      </c>
      <c r="R2587" s="218" t="inlineStr">
        <is>
          <t>Foglio Tiri</t>
        </is>
      </c>
    </row>
    <row r="2588" ht="22" customHeight="1">
      <c r="A2588" s="137">
        <f>IF('Playoff'!A28="","",'Playoff'!A28)</f>
        <v/>
      </c>
      <c r="B2588" s="61">
        <f>IF('Playoff'!B28="","",'Playoff'!B28)</f>
        <v/>
      </c>
      <c r="C2588" s="62">
        <f>IF('Playoff'!C28="","",'Playoff'!C28)</f>
        <v/>
      </c>
      <c r="D2588" s="61">
        <f>IF('Playoff'!D28="","",'Playoff'!D28)</f>
        <v/>
      </c>
      <c r="E2588" s="62">
        <f>IF('Playoff'!E28="","",'Playoff'!E28)</f>
        <v/>
      </c>
      <c r="F2588" s="63">
        <f>IF('Playoff'!F28="","",'Playoff'!F28)</f>
        <v/>
      </c>
      <c r="G2588" s="9" t="n"/>
      <c r="H2588" s="9" t="n"/>
      <c r="I2588" s="10" t="n"/>
      <c r="J2588" s="195">
        <f>IF('Playoff'!J28="","",'Playoff'!J28)</f>
        <v/>
      </c>
      <c r="K2588" s="64" t="inlineStr">
        <is>
          <t>-</t>
        </is>
      </c>
      <c r="L2588" s="195">
        <f>IF('Playoff'!L28="","",'Playoff'!L28)</f>
        <v/>
      </c>
      <c r="M2588" s="196" t="inlineStr">
        <is>
          <t>KELLER Marco [Aest]</t>
        </is>
      </c>
      <c r="N2588" s="196" t="inlineStr">
        <is>
          <t>ORTEGA Katrin [Aest]</t>
        </is>
      </c>
      <c r="O2588" s="196" t="inlineStr">
        <is>
          <t>AUBERT Greta [Aest]</t>
        </is>
      </c>
      <c r="P2588" s="196" t="inlineStr">
        <is>
          <t>GAUTHIER Luca</t>
        </is>
      </c>
      <c r="Q2588" s="196" t="inlineStr">
        <is>
          <t>IGLESIAS Greta</t>
        </is>
      </c>
      <c r="R2588" s="196" t="inlineStr">
        <is>
          <t>MORETTO Ilaria</t>
        </is>
      </c>
    </row>
    <row r="2589" ht="15" customHeight="1">
      <c r="A2589" s="141" t="n"/>
      <c r="B2589" s="69">
        <f>IF('Playoff'!B29="","",'Playoff'!B29)</f>
        <v/>
      </c>
      <c r="C2589" s="9" t="n"/>
      <c r="D2589" s="9" t="n"/>
      <c r="E2589" s="9" t="n"/>
      <c r="F2589" s="9" t="n"/>
      <c r="G2589" s="9" t="n"/>
      <c r="H2589" s="10" t="n"/>
      <c r="I2589" s="62">
        <f>IF('Playoff'!I29="","",'Playoff'!I29)</f>
        <v/>
      </c>
      <c r="J2589" s="141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</row>
    <row r="2590" ht="14" customHeight="1">
      <c r="A2590" s="135" t="inlineStr">
        <is>
          <t>Gara N.</t>
        </is>
      </c>
      <c r="B2590" s="135" t="inlineStr">
        <is>
          <t>Squadra A</t>
        </is>
      </c>
      <c r="C2590" s="10" t="n"/>
      <c r="D2590" s="135" t="inlineStr">
        <is>
          <t>Squadra B</t>
        </is>
      </c>
      <c r="E2590" s="10" t="n"/>
      <c r="F2590" s="135" t="inlineStr">
        <is>
          <t>Giorno</t>
        </is>
      </c>
      <c r="G2590" s="135" t="inlineStr">
        <is>
          <t>Data</t>
        </is>
      </c>
      <c r="H2590" s="135" t="inlineStr">
        <is>
          <t>Ora</t>
        </is>
      </c>
      <c r="I2590" s="10" t="n"/>
      <c r="J2590" s="135" t="inlineStr">
        <is>
          <t>Risultato</t>
        </is>
      </c>
      <c r="K2590" s="9" t="n"/>
      <c r="L2590" s="10" t="n"/>
      <c r="M2590" s="218" t="inlineStr">
        <is>
          <t>1o Arbitro</t>
        </is>
      </c>
      <c r="N2590" s="218" t="inlineStr">
        <is>
          <t>2o Arbitro</t>
        </is>
      </c>
      <c r="O2590" s="218" t="inlineStr">
        <is>
          <t>3o Arbitro/Tirocinante</t>
        </is>
      </c>
      <c r="P2590" s="218" t="inlineStr">
        <is>
          <t>Referto</t>
        </is>
      </c>
      <c r="Q2590" s="218" t="inlineStr">
        <is>
          <t>Cronometro</t>
        </is>
      </c>
      <c r="R2590" s="218" t="inlineStr">
        <is>
          <t>Foglio Tiri</t>
        </is>
      </c>
    </row>
    <row r="2591" ht="22" customHeight="1">
      <c r="A2591" s="137">
        <f>IF('Playoff'!A31="","",'Playoff'!A31)</f>
        <v/>
      </c>
      <c r="B2591" s="61">
        <f>IF('Playoff'!B31="","",'Playoff'!B31)</f>
        <v/>
      </c>
      <c r="C2591" s="62">
        <f>IF('Playoff'!C31="","",'Playoff'!C31)</f>
        <v/>
      </c>
      <c r="D2591" s="61">
        <f>IF('Playoff'!D31="","",'Playoff'!D31)</f>
        <v/>
      </c>
      <c r="E2591" s="62">
        <f>IF('Playoff'!E31="","",'Playoff'!E31)</f>
        <v/>
      </c>
      <c r="F2591" s="63">
        <f>IF('Playoff'!F31="","",'Playoff'!F31)</f>
        <v/>
      </c>
      <c r="G2591" s="9" t="n"/>
      <c r="H2591" s="9" t="n"/>
      <c r="I2591" s="10" t="n"/>
      <c r="J2591" s="195">
        <f>IF('Playoff'!J31="","",'Playoff'!J31)</f>
        <v/>
      </c>
      <c r="K2591" s="64" t="inlineStr">
        <is>
          <t>-</t>
        </is>
      </c>
      <c r="L2591" s="195">
        <f>IF('Playoff'!L31="","",'Playoff'!L31)</f>
        <v/>
      </c>
      <c r="M2591" s="196" t="inlineStr">
        <is>
          <t>CASTILLO Lucia [AA]</t>
        </is>
      </c>
      <c r="N2591" s="196" t="inlineStr">
        <is>
          <t>BELLANDI Paula [A]</t>
        </is>
      </c>
      <c r="O2591" s="196" t="inlineStr">
        <is>
          <t>ROSSINI Paula [AAt]</t>
        </is>
      </c>
      <c r="P2591" s="196" t="inlineStr">
        <is>
          <t>BIANCHELLI Mathilde</t>
        </is>
      </c>
      <c r="Q2591" s="196" t="inlineStr">
        <is>
          <t>KRAJNC Tommaso</t>
        </is>
      </c>
      <c r="R2591" s="196" t="inlineStr">
        <is>
          <t>WEBER Sofia</t>
        </is>
      </c>
    </row>
    <row r="2592" ht="15" customHeight="1">
      <c r="A2592" s="141" t="n"/>
      <c r="B2592" s="69">
        <f>IF('Playoff'!B32="","",'Playoff'!B32)</f>
        <v/>
      </c>
      <c r="C2592" s="9" t="n"/>
      <c r="D2592" s="9" t="n"/>
      <c r="E2592" s="9" t="n"/>
      <c r="F2592" s="9" t="n"/>
      <c r="G2592" s="9" t="n"/>
      <c r="H2592" s="10" t="n"/>
      <c r="I2592" s="62">
        <f>IF('Playoff'!I32="","",'Playoff'!I32)</f>
        <v/>
      </c>
      <c r="J2592" s="141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</row>
    <row r="2594" ht="20" customHeight="1">
      <c r="A2594" s="216">
        <f>IF('Playoff'!A34="","",'Playoff'!A34)</f>
        <v/>
      </c>
      <c r="B2594" s="133">
        <f>IF('Playoff'!B34="","",'Playoff'!B34)</f>
        <v/>
      </c>
      <c r="C2594" s="9" t="n"/>
      <c r="D2594" s="9" t="n"/>
      <c r="E2594" s="9" t="n"/>
      <c r="F2594" s="9" t="n"/>
      <c r="G2594" s="9" t="n"/>
      <c r="H2594" s="9" t="n"/>
      <c r="I2594" s="9" t="n"/>
      <c r="J2594" s="9" t="n"/>
      <c r="K2594" s="9" t="n"/>
      <c r="L2594" s="10" t="n"/>
      <c r="M2594" s="217" t="inlineStr">
        <is>
          <t>ARBITRI</t>
        </is>
      </c>
      <c r="N2594" s="9" t="n"/>
      <c r="O2594" s="10" t="n"/>
      <c r="P2594" s="217" t="inlineStr">
        <is>
          <t>UFFICIALI DI CAMPO</t>
        </is>
      </c>
      <c r="Q2594" s="9" t="n"/>
      <c r="R2594" s="10" t="n"/>
    </row>
    <row r="2595" ht="14" customHeight="1">
      <c r="A2595" s="135" t="inlineStr">
        <is>
          <t>Gara N.</t>
        </is>
      </c>
      <c r="B2595" s="135" t="inlineStr">
        <is>
          <t>Squadra A</t>
        </is>
      </c>
      <c r="C2595" s="10" t="n"/>
      <c r="D2595" s="135" t="inlineStr">
        <is>
          <t>Squadra B</t>
        </is>
      </c>
      <c r="E2595" s="10" t="n"/>
      <c r="F2595" s="135" t="inlineStr">
        <is>
          <t>Giorno</t>
        </is>
      </c>
      <c r="G2595" s="135" t="inlineStr">
        <is>
          <t>Data</t>
        </is>
      </c>
      <c r="H2595" s="135" t="inlineStr">
        <is>
          <t>Ora</t>
        </is>
      </c>
      <c r="I2595" s="10" t="n"/>
      <c r="J2595" s="135" t="inlineStr">
        <is>
          <t>Risultato</t>
        </is>
      </c>
      <c r="K2595" s="9" t="n"/>
      <c r="L2595" s="10" t="n"/>
      <c r="M2595" s="218" t="inlineStr">
        <is>
          <t>1o Arbitro</t>
        </is>
      </c>
      <c r="N2595" s="218" t="inlineStr">
        <is>
          <t>2o Arbitro</t>
        </is>
      </c>
      <c r="O2595" s="218" t="inlineStr">
        <is>
          <t>3o Arbitro/Tirocinante</t>
        </is>
      </c>
      <c r="P2595" s="218" t="inlineStr">
        <is>
          <t>Referto</t>
        </is>
      </c>
      <c r="Q2595" s="218" t="inlineStr">
        <is>
          <t>Cronometro</t>
        </is>
      </c>
      <c r="R2595" s="218" t="inlineStr">
        <is>
          <t>Foglio Tiri</t>
        </is>
      </c>
    </row>
    <row r="2596" ht="22" customHeight="1">
      <c r="A2596" s="137">
        <f>IF('Playoff'!A36="","",'Playoff'!A36)</f>
        <v/>
      </c>
      <c r="B2596" s="61">
        <f>IF('Playoff'!B36="","",'Playoff'!B36)</f>
        <v/>
      </c>
      <c r="C2596" s="62">
        <f>IF('Playoff'!C36="","",'Playoff'!C36)</f>
        <v/>
      </c>
      <c r="D2596" s="61">
        <f>IF('Playoff'!D36="","",'Playoff'!D36)</f>
        <v/>
      </c>
      <c r="E2596" s="62">
        <f>IF('Playoff'!E36="","",'Playoff'!E36)</f>
        <v/>
      </c>
      <c r="F2596" s="63">
        <f>IF('Playoff'!F36="","",'Playoff'!F36)</f>
        <v/>
      </c>
      <c r="G2596" s="9" t="n"/>
      <c r="H2596" s="9" t="n"/>
      <c r="I2596" s="10" t="n"/>
      <c r="J2596" s="195">
        <f>IF('Playoff'!J36="","",'Playoff'!J36)</f>
        <v/>
      </c>
      <c r="K2596" s="64" t="inlineStr">
        <is>
          <t>-</t>
        </is>
      </c>
      <c r="L2596" s="195">
        <f>IF('Playoff'!L36="","",'Playoff'!L36)</f>
        <v/>
      </c>
      <c r="M2596" s="196" t="inlineStr">
        <is>
          <t>CARON Giulia [AAt]</t>
        </is>
      </c>
      <c r="N2596" s="196" t="inlineStr">
        <is>
          <t>CONTARDI Lucia [AA]</t>
        </is>
      </c>
      <c r="O2596" s="196" t="inlineStr">
        <is>
          <t>BRANDT Stefano [AAt]</t>
        </is>
      </c>
      <c r="P2596" s="196" t="inlineStr">
        <is>
          <t>MORETTO Ilaria</t>
        </is>
      </c>
      <c r="Q2596" s="196" t="inlineStr">
        <is>
          <t>AUBERT Giulia</t>
        </is>
      </c>
      <c r="R2596" s="196" t="inlineStr">
        <is>
          <t>MORETTO Jonas</t>
        </is>
      </c>
    </row>
    <row r="2597" ht="15" customHeight="1">
      <c r="A2597" s="141" t="n"/>
      <c r="B2597" s="69">
        <f>IF('Playoff'!B37="","",'Playoff'!B37)</f>
        <v/>
      </c>
      <c r="C2597" s="9" t="n"/>
      <c r="D2597" s="9" t="n"/>
      <c r="E2597" s="9" t="n"/>
      <c r="F2597" s="9" t="n"/>
      <c r="G2597" s="9" t="n"/>
      <c r="H2597" s="10" t="n"/>
      <c r="I2597" s="62">
        <f>IF('Playoff'!I37="","",'Playoff'!I37)</f>
        <v/>
      </c>
      <c r="J2597" s="141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</row>
    <row r="2598" ht="14" customHeight="1">
      <c r="A2598" s="135" t="inlineStr">
        <is>
          <t>Gara N.</t>
        </is>
      </c>
      <c r="B2598" s="135" t="inlineStr">
        <is>
          <t>Squadra A</t>
        </is>
      </c>
      <c r="C2598" s="10" t="n"/>
      <c r="D2598" s="135" t="inlineStr">
        <is>
          <t>Squadra B</t>
        </is>
      </c>
      <c r="E2598" s="10" t="n"/>
      <c r="F2598" s="135" t="inlineStr">
        <is>
          <t>Giorno</t>
        </is>
      </c>
      <c r="G2598" s="135" t="inlineStr">
        <is>
          <t>Data</t>
        </is>
      </c>
      <c r="H2598" s="135" t="inlineStr">
        <is>
          <t>Ora</t>
        </is>
      </c>
      <c r="I2598" s="10" t="n"/>
      <c r="J2598" s="135" t="inlineStr">
        <is>
          <t>Risultato</t>
        </is>
      </c>
      <c r="K2598" s="9" t="n"/>
      <c r="L2598" s="10" t="n"/>
      <c r="M2598" s="218" t="inlineStr">
        <is>
          <t>1o Arbitro</t>
        </is>
      </c>
      <c r="N2598" s="218" t="inlineStr">
        <is>
          <t>2o Arbitro</t>
        </is>
      </c>
      <c r="O2598" s="218" t="inlineStr">
        <is>
          <t>3o Arbitro/Tirocinante</t>
        </is>
      </c>
      <c r="P2598" s="218" t="inlineStr">
        <is>
          <t>Referto</t>
        </is>
      </c>
      <c r="Q2598" s="218" t="inlineStr">
        <is>
          <t>Cronometro</t>
        </is>
      </c>
      <c r="R2598" s="218" t="inlineStr">
        <is>
          <t>Foglio Tiri</t>
        </is>
      </c>
    </row>
    <row r="2599" ht="22" customHeight="1">
      <c r="A2599" s="137">
        <f>IF('Playoff'!A39="","",'Playoff'!A39)</f>
        <v/>
      </c>
      <c r="B2599" s="61">
        <f>IF('Playoff'!B39="","",'Playoff'!B39)</f>
        <v/>
      </c>
      <c r="C2599" s="62">
        <f>IF('Playoff'!C39="","",'Playoff'!C39)</f>
        <v/>
      </c>
      <c r="D2599" s="61">
        <f>IF('Playoff'!D39="","",'Playoff'!D39)</f>
        <v/>
      </c>
      <c r="E2599" s="62">
        <f>IF('Playoff'!E39="","",'Playoff'!E39)</f>
        <v/>
      </c>
      <c r="F2599" s="63">
        <f>IF('Playoff'!F39="","",'Playoff'!F39)</f>
        <v/>
      </c>
      <c r="G2599" s="9" t="n"/>
      <c r="H2599" s="9" t="n"/>
      <c r="I2599" s="10" t="n"/>
      <c r="J2599" s="195">
        <f>IF('Playoff'!J39="","",'Playoff'!J39)</f>
        <v/>
      </c>
      <c r="K2599" s="64" t="inlineStr">
        <is>
          <t>-</t>
        </is>
      </c>
      <c r="L2599" s="195">
        <f>IF('Playoff'!L39="","",'Playoff'!L39)</f>
        <v/>
      </c>
      <c r="M2599" s="196" t="inlineStr">
        <is>
          <t>SOLER Stefano [A]</t>
        </is>
      </c>
      <c r="N2599" s="196" t="inlineStr">
        <is>
          <t>ROTH Sofia [A]</t>
        </is>
      </c>
      <c r="O2599" s="196" t="inlineStr">
        <is>
          <t>WEBER Filippo [AA]</t>
        </is>
      </c>
      <c r="P2599" s="196" t="inlineStr">
        <is>
          <t>NAVARRO Luca</t>
        </is>
      </c>
      <c r="Q2599" s="196" t="inlineStr">
        <is>
          <t>LEFEVRE Noemi</t>
        </is>
      </c>
      <c r="R2599" s="196" t="inlineStr">
        <is>
          <t>BLANCO Valerie</t>
        </is>
      </c>
    </row>
    <row r="2600" ht="15" customHeight="1">
      <c r="A2600" s="141" t="n"/>
      <c r="B2600" s="69">
        <f>IF('Playoff'!B40="","",'Playoff'!B40)</f>
        <v/>
      </c>
      <c r="C2600" s="9" t="n"/>
      <c r="D2600" s="9" t="n"/>
      <c r="E2600" s="9" t="n"/>
      <c r="F2600" s="9" t="n"/>
      <c r="G2600" s="9" t="n"/>
      <c r="H2600" s="10" t="n"/>
      <c r="I2600" s="62">
        <f>IF('Playoff'!I40="","",'Playoff'!I40)</f>
        <v/>
      </c>
      <c r="J2600" s="141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</row>
    <row r="2601" ht="14" customHeight="1">
      <c r="A2601" s="135" t="inlineStr">
        <is>
          <t>Gara N.</t>
        </is>
      </c>
      <c r="B2601" s="135" t="inlineStr">
        <is>
          <t>Squadra A</t>
        </is>
      </c>
      <c r="C2601" s="10" t="n"/>
      <c r="D2601" s="135" t="inlineStr">
        <is>
          <t>Squadra B</t>
        </is>
      </c>
      <c r="E2601" s="10" t="n"/>
      <c r="F2601" s="135" t="inlineStr">
        <is>
          <t>Giorno</t>
        </is>
      </c>
      <c r="G2601" s="135" t="inlineStr">
        <is>
          <t>Data</t>
        </is>
      </c>
      <c r="H2601" s="135" t="inlineStr">
        <is>
          <t>Ora</t>
        </is>
      </c>
      <c r="I2601" s="10" t="n"/>
      <c r="J2601" s="135" t="inlineStr">
        <is>
          <t>Risultato</t>
        </is>
      </c>
      <c r="K2601" s="9" t="n"/>
      <c r="L2601" s="10" t="n"/>
      <c r="M2601" s="218" t="inlineStr">
        <is>
          <t>1o Arbitro</t>
        </is>
      </c>
      <c r="N2601" s="218" t="inlineStr">
        <is>
          <t>2o Arbitro</t>
        </is>
      </c>
      <c r="O2601" s="218" t="inlineStr">
        <is>
          <t>3o Arbitro/Tirocinante</t>
        </is>
      </c>
      <c r="P2601" s="218" t="inlineStr">
        <is>
          <t>Referto</t>
        </is>
      </c>
      <c r="Q2601" s="218" t="inlineStr">
        <is>
          <t>Cronometro</t>
        </is>
      </c>
      <c r="R2601" s="218" t="inlineStr">
        <is>
          <t>Foglio Tiri</t>
        </is>
      </c>
    </row>
    <row r="2602" ht="22" customHeight="1">
      <c r="A2602" s="137">
        <f>IF('Playoff'!A42="","",'Playoff'!A42)</f>
        <v/>
      </c>
      <c r="B2602" s="61">
        <f>IF('Playoff'!B42="","",'Playoff'!B42)</f>
        <v/>
      </c>
      <c r="C2602" s="62">
        <f>IF('Playoff'!C42="","",'Playoff'!C42)</f>
        <v/>
      </c>
      <c r="D2602" s="61">
        <f>IF('Playoff'!D42="","",'Playoff'!D42)</f>
        <v/>
      </c>
      <c r="E2602" s="62">
        <f>IF('Playoff'!E42="","",'Playoff'!E42)</f>
        <v/>
      </c>
      <c r="F2602" s="63">
        <f>IF('Playoff'!F42="","",'Playoff'!F42)</f>
        <v/>
      </c>
      <c r="G2602" s="9" t="n"/>
      <c r="H2602" s="9" t="n"/>
      <c r="I2602" s="10" t="n"/>
      <c r="J2602" s="195">
        <f>IF('Playoff'!J42="","",'Playoff'!J42)</f>
        <v/>
      </c>
      <c r="K2602" s="64" t="inlineStr">
        <is>
          <t>-</t>
        </is>
      </c>
      <c r="L2602" s="195">
        <f>IF('Playoff'!L42="","",'Playoff'!L42)</f>
        <v/>
      </c>
      <c r="M2602" s="196" t="inlineStr">
        <is>
          <t>BLANCHET Anja [AA]</t>
        </is>
      </c>
      <c r="N2602" s="196" t="inlineStr">
        <is>
          <t>MODIC Matteo [AA]</t>
        </is>
      </c>
      <c r="O2602" s="196" t="inlineStr">
        <is>
          <t>ROSSINI Paula [AAt]</t>
        </is>
      </c>
      <c r="P2602" s="196" t="inlineStr">
        <is>
          <t>CAMPOS Noemi</t>
        </is>
      </c>
      <c r="Q2602" s="196" t="inlineStr">
        <is>
          <t>BIANCHELLI Mathilde</t>
        </is>
      </c>
      <c r="R2602" s="196" t="inlineStr">
        <is>
          <t>WEBER Filippo</t>
        </is>
      </c>
    </row>
    <row r="2603" ht="15" customHeight="1">
      <c r="A2603" s="141" t="n"/>
      <c r="B2603" s="69">
        <f>IF('Playoff'!B43="","",'Playoff'!B43)</f>
        <v/>
      </c>
      <c r="C2603" s="9" t="n"/>
      <c r="D2603" s="9" t="n"/>
      <c r="E2603" s="9" t="n"/>
      <c r="F2603" s="9" t="n"/>
      <c r="G2603" s="9" t="n"/>
      <c r="H2603" s="10" t="n"/>
      <c r="I2603" s="62">
        <f>IF('Playoff'!I43="","",'Playoff'!I43)</f>
        <v/>
      </c>
      <c r="J2603" s="141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</row>
    <row r="2604" ht="14" customHeight="1">
      <c r="A2604" s="135" t="inlineStr">
        <is>
          <t>Gara N.</t>
        </is>
      </c>
      <c r="B2604" s="135" t="inlineStr">
        <is>
          <t>Squadra A</t>
        </is>
      </c>
      <c r="C2604" s="10" t="n"/>
      <c r="D2604" s="135" t="inlineStr">
        <is>
          <t>Squadra B</t>
        </is>
      </c>
      <c r="E2604" s="10" t="n"/>
      <c r="F2604" s="135" t="inlineStr">
        <is>
          <t>Giorno</t>
        </is>
      </c>
      <c r="G2604" s="135" t="inlineStr">
        <is>
          <t>Data</t>
        </is>
      </c>
      <c r="H2604" s="135" t="inlineStr">
        <is>
          <t>Ora</t>
        </is>
      </c>
      <c r="I2604" s="10" t="n"/>
      <c r="J2604" s="135" t="inlineStr">
        <is>
          <t>Risultato</t>
        </is>
      </c>
      <c r="K2604" s="9" t="n"/>
      <c r="L2604" s="10" t="n"/>
      <c r="M2604" s="218" t="inlineStr">
        <is>
          <t>1o Arbitro</t>
        </is>
      </c>
      <c r="N2604" s="218" t="inlineStr">
        <is>
          <t>2o Arbitro</t>
        </is>
      </c>
      <c r="O2604" s="218" t="inlineStr">
        <is>
          <t>3o Arbitro/Tirocinante</t>
        </is>
      </c>
      <c r="P2604" s="218" t="inlineStr">
        <is>
          <t>Referto</t>
        </is>
      </c>
      <c r="Q2604" s="218" t="inlineStr">
        <is>
          <t>Cronometro</t>
        </is>
      </c>
      <c r="R2604" s="218" t="inlineStr">
        <is>
          <t>Foglio Tiri</t>
        </is>
      </c>
    </row>
    <row r="2605" ht="22" customHeight="1">
      <c r="A2605" s="137">
        <f>IF('Playoff'!A45="","",'Playoff'!A45)</f>
        <v/>
      </c>
      <c r="B2605" s="61">
        <f>IF('Playoff'!B45="","",'Playoff'!B45)</f>
        <v/>
      </c>
      <c r="C2605" s="62">
        <f>IF('Playoff'!C45="","",'Playoff'!C45)</f>
        <v/>
      </c>
      <c r="D2605" s="61">
        <f>IF('Playoff'!D45="","",'Playoff'!D45)</f>
        <v/>
      </c>
      <c r="E2605" s="62">
        <f>IF('Playoff'!E45="","",'Playoff'!E45)</f>
        <v/>
      </c>
      <c r="F2605" s="63">
        <f>IF('Playoff'!F45="","",'Playoff'!F45)</f>
        <v/>
      </c>
      <c r="G2605" s="9" t="n"/>
      <c r="H2605" s="9" t="n"/>
      <c r="I2605" s="10" t="n"/>
      <c r="J2605" s="195">
        <f>IF('Playoff'!J45="","",'Playoff'!J45)</f>
        <v/>
      </c>
      <c r="K2605" s="64" t="inlineStr">
        <is>
          <t>-</t>
        </is>
      </c>
      <c r="L2605" s="195">
        <f>IF('Playoff'!L45="","",'Playoff'!L45)</f>
        <v/>
      </c>
      <c r="M2605" s="196" t="inlineStr">
        <is>
          <t>VIDMAR Pablo [Aest]</t>
        </is>
      </c>
      <c r="N2605" s="196" t="inlineStr">
        <is>
          <t>VALLET Tommaso [AAt]</t>
        </is>
      </c>
      <c r="O2605" s="196" t="inlineStr">
        <is>
          <t>KRUGER Greta [A]</t>
        </is>
      </c>
      <c r="P2605" s="196" t="inlineStr">
        <is>
          <t>GAUTHIER Luca</t>
        </is>
      </c>
      <c r="Q2605" s="196" t="inlineStr">
        <is>
          <t>VIDMAR Matteo</t>
        </is>
      </c>
      <c r="R2605" s="196" t="inlineStr">
        <is>
          <t>KRUGER Paolo</t>
        </is>
      </c>
    </row>
    <row r="2606" ht="15" customHeight="1">
      <c r="A2606" s="141" t="n"/>
      <c r="B2606" s="69">
        <f>IF('Playoff'!B46="","",'Playoff'!B46)</f>
        <v/>
      </c>
      <c r="C2606" s="9" t="n"/>
      <c r="D2606" s="9" t="n"/>
      <c r="E2606" s="9" t="n"/>
      <c r="F2606" s="9" t="n"/>
      <c r="G2606" s="9" t="n"/>
      <c r="H2606" s="10" t="n"/>
      <c r="I2606" s="62">
        <f>IF('Playoff'!I46="","",'Playoff'!I46)</f>
        <v/>
      </c>
      <c r="J2606" s="141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</row>
    <row r="2608" ht="20" customHeight="1">
      <c r="A2608" s="216">
        <f>IF('Playoff'!A48="","",'Playoff'!A48)</f>
        <v/>
      </c>
      <c r="B2608" s="133">
        <f>IF('Playoff'!B48="","",'Playoff'!B48)</f>
        <v/>
      </c>
      <c r="C2608" s="9" t="n"/>
      <c r="D2608" s="9" t="n"/>
      <c r="E2608" s="9" t="n"/>
      <c r="F2608" s="9" t="n"/>
      <c r="G2608" s="9" t="n"/>
      <c r="H2608" s="9" t="n"/>
      <c r="I2608" s="9" t="n"/>
      <c r="J2608" s="9" t="n"/>
      <c r="K2608" s="9" t="n"/>
      <c r="L2608" s="10" t="n"/>
      <c r="M2608" s="217" t="inlineStr">
        <is>
          <t>ARBITRI</t>
        </is>
      </c>
      <c r="N2608" s="9" t="n"/>
      <c r="O2608" s="10" t="n"/>
      <c r="P2608" s="217" t="inlineStr">
        <is>
          <t>UFFICIALI DI CAMPO</t>
        </is>
      </c>
      <c r="Q2608" s="9" t="n"/>
      <c r="R2608" s="10" t="n"/>
    </row>
    <row r="2609" ht="14" customHeight="1">
      <c r="A2609" s="135" t="inlineStr">
        <is>
          <t>Gara N.</t>
        </is>
      </c>
      <c r="B2609" s="135" t="inlineStr">
        <is>
          <t>Squadra A</t>
        </is>
      </c>
      <c r="C2609" s="10" t="n"/>
      <c r="D2609" s="135" t="inlineStr">
        <is>
          <t>Squadra B</t>
        </is>
      </c>
      <c r="E2609" s="10" t="n"/>
      <c r="F2609" s="135" t="inlineStr">
        <is>
          <t>Giorno</t>
        </is>
      </c>
      <c r="G2609" s="135" t="inlineStr">
        <is>
          <t>Data</t>
        </is>
      </c>
      <c r="H2609" s="135" t="inlineStr">
        <is>
          <t>Ora</t>
        </is>
      </c>
      <c r="I2609" s="10" t="n"/>
      <c r="J2609" s="135" t="inlineStr">
        <is>
          <t>Risultato</t>
        </is>
      </c>
      <c r="K2609" s="9" t="n"/>
      <c r="L2609" s="10" t="n"/>
      <c r="M2609" s="218" t="inlineStr">
        <is>
          <t>1o Arbitro</t>
        </is>
      </c>
      <c r="N2609" s="218" t="inlineStr">
        <is>
          <t>2o Arbitro</t>
        </is>
      </c>
      <c r="O2609" s="218" t="inlineStr">
        <is>
          <t>3o Arbitro/Tirocinante</t>
        </is>
      </c>
      <c r="P2609" s="218" t="inlineStr">
        <is>
          <t>Referto</t>
        </is>
      </c>
      <c r="Q2609" s="218" t="inlineStr">
        <is>
          <t>Cronometro</t>
        </is>
      </c>
      <c r="R2609" s="218" t="inlineStr">
        <is>
          <t>Foglio Tiri</t>
        </is>
      </c>
    </row>
    <row r="2610" ht="22" customHeight="1">
      <c r="A2610" s="137">
        <f>IF('Playoff'!A50="","",'Playoff'!A50)</f>
        <v/>
      </c>
      <c r="B2610" s="61">
        <f>IF('Playoff'!B50="","",'Playoff'!B50)</f>
        <v/>
      </c>
      <c r="C2610" s="62">
        <f>IF('Playoff'!C50="","",'Playoff'!C50)</f>
        <v/>
      </c>
      <c r="D2610" s="61">
        <f>IF('Playoff'!D50="","",'Playoff'!D50)</f>
        <v/>
      </c>
      <c r="E2610" s="62">
        <f>IF('Playoff'!E50="","",'Playoff'!E50)</f>
        <v/>
      </c>
      <c r="F2610" s="63">
        <f>IF('Playoff'!F50="","",'Playoff'!F50)</f>
        <v/>
      </c>
      <c r="G2610" s="9" t="n"/>
      <c r="H2610" s="9" t="n"/>
      <c r="I2610" s="10" t="n"/>
      <c r="J2610" s="195">
        <f>IF('Playoff'!J50="","",'Playoff'!J50)</f>
        <v/>
      </c>
      <c r="K2610" s="64" t="inlineStr">
        <is>
          <t>-</t>
        </is>
      </c>
      <c r="L2610" s="195">
        <f>IF('Playoff'!L50="","",'Playoff'!L50)</f>
        <v/>
      </c>
      <c r="M2610" s="196" t="inlineStr">
        <is>
          <t>CONTARDI Marta [Aest]</t>
        </is>
      </c>
      <c r="N2610" s="196" t="inlineStr">
        <is>
          <t>PRADO Marco [AAt]</t>
        </is>
      </c>
      <c r="O2610" s="196" t="inlineStr">
        <is>
          <t>CASTILLO Lucia [AA]</t>
        </is>
      </c>
      <c r="P2610" s="196" t="inlineStr">
        <is>
          <t>OBLAK Chiara</t>
        </is>
      </c>
      <c r="Q2610" s="196" t="inlineStr">
        <is>
          <t>ZUPAN Noemi</t>
        </is>
      </c>
      <c r="R2610" s="196" t="inlineStr">
        <is>
          <t>AUBERT Pablo</t>
        </is>
      </c>
    </row>
    <row r="2611" ht="15" customHeight="1">
      <c r="A2611" s="141" t="n"/>
      <c r="B2611" s="69">
        <f>IF('Playoff'!B51="","",'Playoff'!B51)</f>
        <v/>
      </c>
      <c r="C2611" s="9" t="n"/>
      <c r="D2611" s="9" t="n"/>
      <c r="E2611" s="9" t="n"/>
      <c r="F2611" s="9" t="n"/>
      <c r="G2611" s="9" t="n"/>
      <c r="H2611" s="10" t="n"/>
      <c r="I2611" s="62">
        <f>IF('Playoff'!I51="","",'Playoff'!I51)</f>
        <v/>
      </c>
      <c r="J2611" s="141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</row>
    <row r="2612" ht="14" customHeight="1">
      <c r="A2612" s="135" t="inlineStr">
        <is>
          <t>Gara N.</t>
        </is>
      </c>
      <c r="B2612" s="135" t="inlineStr">
        <is>
          <t>Squadra A</t>
        </is>
      </c>
      <c r="C2612" s="10" t="n"/>
      <c r="D2612" s="135" t="inlineStr">
        <is>
          <t>Squadra B</t>
        </is>
      </c>
      <c r="E2612" s="10" t="n"/>
      <c r="F2612" s="135" t="inlineStr">
        <is>
          <t>Giorno</t>
        </is>
      </c>
      <c r="G2612" s="135" t="inlineStr">
        <is>
          <t>Data</t>
        </is>
      </c>
      <c r="H2612" s="135" t="inlineStr">
        <is>
          <t>Ora</t>
        </is>
      </c>
      <c r="I2612" s="10" t="n"/>
      <c r="J2612" s="135" t="inlineStr">
        <is>
          <t>Risultato</t>
        </is>
      </c>
      <c r="K2612" s="9" t="n"/>
      <c r="L2612" s="10" t="n"/>
      <c r="M2612" s="218" t="inlineStr">
        <is>
          <t>1o Arbitro</t>
        </is>
      </c>
      <c r="N2612" s="218" t="inlineStr">
        <is>
          <t>2o Arbitro</t>
        </is>
      </c>
      <c r="O2612" s="218" t="inlineStr">
        <is>
          <t>3o Arbitro/Tirocinante</t>
        </is>
      </c>
      <c r="P2612" s="218" t="inlineStr">
        <is>
          <t>Referto</t>
        </is>
      </c>
      <c r="Q2612" s="218" t="inlineStr">
        <is>
          <t>Cronometro</t>
        </is>
      </c>
      <c r="R2612" s="218" t="inlineStr">
        <is>
          <t>Foglio Tiri</t>
        </is>
      </c>
    </row>
    <row r="2613" ht="22" customHeight="1">
      <c r="A2613" s="137">
        <f>IF('Playoff'!A53="","",'Playoff'!A53)</f>
        <v/>
      </c>
      <c r="B2613" s="61">
        <f>IF('Playoff'!B53="","",'Playoff'!B53)</f>
        <v/>
      </c>
      <c r="C2613" s="62">
        <f>IF('Playoff'!C53="","",'Playoff'!C53)</f>
        <v/>
      </c>
      <c r="D2613" s="61">
        <f>IF('Playoff'!D53="","",'Playoff'!D53)</f>
        <v/>
      </c>
      <c r="E2613" s="62">
        <f>IF('Playoff'!E53="","",'Playoff'!E53)</f>
        <v/>
      </c>
      <c r="F2613" s="63">
        <f>IF('Playoff'!F53="","",'Playoff'!F53)</f>
        <v/>
      </c>
      <c r="G2613" s="9" t="n"/>
      <c r="H2613" s="9" t="n"/>
      <c r="I2613" s="10" t="n"/>
      <c r="J2613" s="195">
        <f>IF('Playoff'!J53="","",'Playoff'!J53)</f>
        <v/>
      </c>
      <c r="K2613" s="64" t="inlineStr">
        <is>
          <t>-</t>
        </is>
      </c>
      <c r="L2613" s="195">
        <f>IF('Playoff'!L53="","",'Playoff'!L53)</f>
        <v/>
      </c>
      <c r="M2613" s="196" t="inlineStr">
        <is>
          <t>HOFFMANN Tommaso [A]</t>
        </is>
      </c>
      <c r="N2613" s="196" t="inlineStr">
        <is>
          <t>ROSSINI Alenka [AAt]</t>
        </is>
      </c>
      <c r="O2613" s="196" t="inlineStr">
        <is>
          <t>AUBERT Lucia [AAt]</t>
        </is>
      </c>
      <c r="P2613" s="196" t="inlineStr">
        <is>
          <t>SOLER Gaelle</t>
        </is>
      </c>
      <c r="Q2613" s="196" t="inlineStr">
        <is>
          <t>LEROUX Stefano</t>
        </is>
      </c>
      <c r="R2613" s="196" t="inlineStr">
        <is>
          <t>IGLESIAS Irene</t>
        </is>
      </c>
    </row>
    <row r="2614" ht="15" customHeight="1">
      <c r="A2614" s="141" t="n"/>
      <c r="B2614" s="69">
        <f>IF('Playoff'!B54="","",'Playoff'!B54)</f>
        <v/>
      </c>
      <c r="C2614" s="9" t="n"/>
      <c r="D2614" s="9" t="n"/>
      <c r="E2614" s="9" t="n"/>
      <c r="F2614" s="9" t="n"/>
      <c r="G2614" s="9" t="n"/>
      <c r="H2614" s="10" t="n"/>
      <c r="I2614" s="62">
        <f>IF('Playoff'!I54="","",'Playoff'!I54)</f>
        <v/>
      </c>
      <c r="J2614" s="141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</row>
    <row r="2616" ht="20" customHeight="1">
      <c r="A2616" s="216">
        <f>IF('Playoff'!A56="","",'Playoff'!A56)</f>
        <v/>
      </c>
      <c r="B2616" s="133">
        <f>IF('Playoff'!B56="","",'Playoff'!B56)</f>
        <v/>
      </c>
      <c r="C2616" s="9" t="n"/>
      <c r="D2616" s="9" t="n"/>
      <c r="E2616" s="9" t="n"/>
      <c r="F2616" s="9" t="n"/>
      <c r="G2616" s="9" t="n"/>
      <c r="H2616" s="9" t="n"/>
      <c r="I2616" s="9" t="n"/>
      <c r="J2616" s="9" t="n"/>
      <c r="K2616" s="9" t="n"/>
      <c r="L2616" s="10" t="n"/>
      <c r="M2616" s="217" t="inlineStr">
        <is>
          <t>ARBITRI</t>
        </is>
      </c>
      <c r="N2616" s="9" t="n"/>
      <c r="O2616" s="10" t="n"/>
      <c r="P2616" s="217" t="inlineStr">
        <is>
          <t>UFFICIALI DI CAMPO</t>
        </is>
      </c>
      <c r="Q2616" s="9" t="n"/>
      <c r="R2616" s="10" t="n"/>
    </row>
    <row r="2617" ht="14" customHeight="1">
      <c r="A2617" s="135" t="inlineStr">
        <is>
          <t>Gara N.</t>
        </is>
      </c>
      <c r="B2617" s="135" t="inlineStr">
        <is>
          <t>Squadra A</t>
        </is>
      </c>
      <c r="C2617" s="10" t="n"/>
      <c r="D2617" s="135" t="inlineStr">
        <is>
          <t>Squadra B</t>
        </is>
      </c>
      <c r="E2617" s="10" t="n"/>
      <c r="F2617" s="135" t="inlineStr">
        <is>
          <t>Giorno</t>
        </is>
      </c>
      <c r="G2617" s="135" t="inlineStr">
        <is>
          <t>Data</t>
        </is>
      </c>
      <c r="H2617" s="135" t="inlineStr">
        <is>
          <t>Ora</t>
        </is>
      </c>
      <c r="I2617" s="10" t="n"/>
      <c r="J2617" s="135" t="inlineStr">
        <is>
          <t>Risultato</t>
        </is>
      </c>
      <c r="K2617" s="9" t="n"/>
      <c r="L2617" s="10" t="n"/>
      <c r="M2617" s="218" t="inlineStr">
        <is>
          <t>1o Arbitro</t>
        </is>
      </c>
      <c r="N2617" s="218" t="inlineStr">
        <is>
          <t>2o Arbitro</t>
        </is>
      </c>
      <c r="O2617" s="218" t="inlineStr">
        <is>
          <t>3o Arbitro/Tirocinante</t>
        </is>
      </c>
      <c r="P2617" s="218" t="inlineStr">
        <is>
          <t>Referto</t>
        </is>
      </c>
      <c r="Q2617" s="218" t="inlineStr">
        <is>
          <t>Cronometro</t>
        </is>
      </c>
      <c r="R2617" s="218" t="inlineStr">
        <is>
          <t>Foglio Tiri</t>
        </is>
      </c>
    </row>
    <row r="2618" ht="22" customHeight="1">
      <c r="A2618" s="137">
        <f>IF('Playoff'!A58="","",'Playoff'!A58)</f>
        <v/>
      </c>
      <c r="B2618" s="61">
        <f>IF('Playoff'!B58="","",'Playoff'!B58)</f>
        <v/>
      </c>
      <c r="C2618" s="62">
        <f>IF('Playoff'!C58="","",'Playoff'!C58)</f>
        <v/>
      </c>
      <c r="D2618" s="61">
        <f>IF('Playoff'!D58="","",'Playoff'!D58)</f>
        <v/>
      </c>
      <c r="E2618" s="62">
        <f>IF('Playoff'!E58="","",'Playoff'!E58)</f>
        <v/>
      </c>
      <c r="F2618" s="63">
        <f>IF('Playoff'!F58="","",'Playoff'!F58)</f>
        <v/>
      </c>
      <c r="G2618" s="9" t="n"/>
      <c r="H2618" s="9" t="n"/>
      <c r="I2618" s="10" t="n"/>
      <c r="J2618" s="195">
        <f>IF('Playoff'!J58="","",'Playoff'!J58)</f>
        <v/>
      </c>
      <c r="K2618" s="64" t="inlineStr">
        <is>
          <t>-</t>
        </is>
      </c>
      <c r="L2618" s="195">
        <f>IF('Playoff'!L58="","",'Playoff'!L58)</f>
        <v/>
      </c>
      <c r="M2618" s="196" t="inlineStr">
        <is>
          <t>CONTARDI Tommaso [AA]</t>
        </is>
      </c>
      <c r="N2618" s="196" t="inlineStr">
        <is>
          <t>WEBER Andrea [AAt]</t>
        </is>
      </c>
      <c r="O2618" s="196" t="inlineStr">
        <is>
          <t>HOFFMANN Mathilde [AAt]</t>
        </is>
      </c>
      <c r="P2618" s="196" t="inlineStr">
        <is>
          <t>ZUPAN Irene</t>
        </is>
      </c>
      <c r="Q2618" s="196" t="inlineStr">
        <is>
          <t>BELLANDI Hugo</t>
        </is>
      </c>
      <c r="R2618" s="196" t="inlineStr">
        <is>
          <t>WEBER Lea</t>
        </is>
      </c>
    </row>
    <row r="2619" ht="15" customHeight="1">
      <c r="A2619" s="141" t="n"/>
      <c r="B2619" s="69">
        <f>IF('Playoff'!B59="","",'Playoff'!B59)</f>
        <v/>
      </c>
      <c r="C2619" s="9" t="n"/>
      <c r="D2619" s="9" t="n"/>
      <c r="E2619" s="9" t="n"/>
      <c r="F2619" s="9" t="n"/>
      <c r="G2619" s="9" t="n"/>
      <c r="H2619" s="10" t="n"/>
      <c r="I2619" s="62">
        <f>IF('Playoff'!I59="","",'Playoff'!I59)</f>
        <v/>
      </c>
      <c r="J2619" s="141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</row>
    <row r="2620" ht="14" customHeight="1">
      <c r="A2620" s="135" t="inlineStr">
        <is>
          <t>Gara N.</t>
        </is>
      </c>
      <c r="B2620" s="135" t="inlineStr">
        <is>
          <t>Squadra A</t>
        </is>
      </c>
      <c r="C2620" s="10" t="n"/>
      <c r="D2620" s="135" t="inlineStr">
        <is>
          <t>Squadra B</t>
        </is>
      </c>
      <c r="E2620" s="10" t="n"/>
      <c r="F2620" s="135" t="inlineStr">
        <is>
          <t>Giorno</t>
        </is>
      </c>
      <c r="G2620" s="135" t="inlineStr">
        <is>
          <t>Data</t>
        </is>
      </c>
      <c r="H2620" s="135" t="inlineStr">
        <is>
          <t>Ora</t>
        </is>
      </c>
      <c r="I2620" s="10" t="n"/>
      <c r="J2620" s="135" t="inlineStr">
        <is>
          <t>Risultato</t>
        </is>
      </c>
      <c r="K2620" s="9" t="n"/>
      <c r="L2620" s="10" t="n"/>
      <c r="M2620" s="218" t="inlineStr">
        <is>
          <t>1o Arbitro</t>
        </is>
      </c>
      <c r="N2620" s="218" t="inlineStr">
        <is>
          <t>2o Arbitro</t>
        </is>
      </c>
      <c r="O2620" s="218" t="inlineStr">
        <is>
          <t>3o Arbitro/Tirocinante</t>
        </is>
      </c>
      <c r="P2620" s="218" t="inlineStr">
        <is>
          <t>Referto</t>
        </is>
      </c>
      <c r="Q2620" s="218" t="inlineStr">
        <is>
          <t>Cronometro</t>
        </is>
      </c>
      <c r="R2620" s="218" t="inlineStr">
        <is>
          <t>Foglio Tiri</t>
        </is>
      </c>
    </row>
    <row r="2621" ht="22" customHeight="1">
      <c r="A2621" s="137">
        <f>IF('Playoff'!A61="","",'Playoff'!A61)</f>
        <v/>
      </c>
      <c r="B2621" s="61">
        <f>IF('Playoff'!B61="","",'Playoff'!B61)</f>
        <v/>
      </c>
      <c r="C2621" s="62">
        <f>IF('Playoff'!C61="","",'Playoff'!C61)</f>
        <v/>
      </c>
      <c r="D2621" s="61">
        <f>IF('Playoff'!D61="","",'Playoff'!D61)</f>
        <v/>
      </c>
      <c r="E2621" s="62">
        <f>IF('Playoff'!E61="","",'Playoff'!E61)</f>
        <v/>
      </c>
      <c r="F2621" s="63">
        <f>IF('Playoff'!F61="","",'Playoff'!F61)</f>
        <v/>
      </c>
      <c r="G2621" s="9" t="n"/>
      <c r="H2621" s="9" t="n"/>
      <c r="I2621" s="10" t="n"/>
      <c r="J2621" s="195">
        <f>IF('Playoff'!J61="","",'Playoff'!J61)</f>
        <v/>
      </c>
      <c r="K2621" s="64" t="inlineStr">
        <is>
          <t>-</t>
        </is>
      </c>
      <c r="L2621" s="195">
        <f>IF('Playoff'!L61="","",'Playoff'!L61)</f>
        <v/>
      </c>
      <c r="M2621" s="196" t="inlineStr">
        <is>
          <t>LANGER Ilaria [Aest]</t>
        </is>
      </c>
      <c r="N2621" s="196" t="inlineStr">
        <is>
          <t>NADAUD Mathilde [AA]</t>
        </is>
      </c>
      <c r="O2621" s="196" t="inlineStr">
        <is>
          <t>LEFEVRE Lukas [Aest]</t>
        </is>
      </c>
      <c r="P2621" s="196" t="inlineStr">
        <is>
          <t>VIDMAR Ilaria</t>
        </is>
      </c>
      <c r="Q2621" s="196" t="inlineStr">
        <is>
          <t>ROTH Katrin</t>
        </is>
      </c>
      <c r="R2621" s="196" t="inlineStr">
        <is>
          <t>OBLAK Chiara</t>
        </is>
      </c>
    </row>
    <row r="2622" ht="15" customHeight="1">
      <c r="A2622" s="141" t="n"/>
      <c r="B2622" s="69">
        <f>IF('Playoff'!B62="","",'Playoff'!B62)</f>
        <v/>
      </c>
      <c r="C2622" s="9" t="n"/>
      <c r="D2622" s="9" t="n"/>
      <c r="E2622" s="9" t="n"/>
      <c r="F2622" s="9" t="n"/>
      <c r="G2622" s="9" t="n"/>
      <c r="H2622" s="10" t="n"/>
      <c r="I2622" s="62">
        <f>IF('Playoff'!I62="","",'Playoff'!I62)</f>
        <v/>
      </c>
      <c r="J2622" s="141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</row>
    <row r="2625">
      <c r="A2625" s="51" t="inlineStr">
        <is>
          <t>Designazioni da compilare. Elenchi a discesa dai fogli 'Arbitri' e 'UdC'.</t>
        </is>
      </c>
    </row>
    <row r="2626">
      <c r="A2626" s="51" t="inlineStr">
        <is>
          <t>Formattazione condizionale attiva su tutte le 776 gare predisposte: evidenzia in rosa la stessa persona designata due volte nella stessa gara.</t>
        </is>
      </c>
    </row>
  </sheetData>
  <mergeCells count="12660">
    <mergeCell ref="J2267:L2267"/>
    <mergeCell ref="Q2419:Q2420"/>
    <mergeCell ref="B1158:H1158"/>
    <mergeCell ref="A2070:A2071"/>
    <mergeCell ref="Q2114:Q2115"/>
    <mergeCell ref="P749:P750"/>
    <mergeCell ref="M924:M925"/>
    <mergeCell ref="M467:M468"/>
    <mergeCell ref="F1410:I1410"/>
    <mergeCell ref="M461:M462"/>
    <mergeCell ref="J1537:L1537"/>
    <mergeCell ref="J2367:J2368"/>
    <mergeCell ref="M581:M582"/>
    <mergeCell ref="H993:I993"/>
    <mergeCell ref="B248:C248"/>
    <mergeCell ref="P1049:P1050"/>
    <mergeCell ref="H530:I530"/>
    <mergeCell ref="N1462:N1463"/>
    <mergeCell ref="O2495:O2496"/>
    <mergeCell ref="O2038:O2039"/>
    <mergeCell ref="N1648:N1649"/>
    <mergeCell ref="L2213:L2214"/>
    <mergeCell ref="K848:K849"/>
    <mergeCell ref="D1825:E1825"/>
    <mergeCell ref="N1762:N1763"/>
    <mergeCell ref="D1362:E1362"/>
    <mergeCell ref="L211:L212"/>
    <mergeCell ref="K543:K544"/>
    <mergeCell ref="Q1773:Q1774"/>
    <mergeCell ref="K1605:K1606"/>
    <mergeCell ref="K1148:K1149"/>
    <mergeCell ref="A432:A433"/>
    <mergeCell ref="B574:C574"/>
    <mergeCell ref="J815:L815"/>
    <mergeCell ref="D1662:E1662"/>
    <mergeCell ref="L511:L512"/>
    <mergeCell ref="B887:H887"/>
    <mergeCell ref="K1517:K1518"/>
    <mergeCell ref="J2620:L2620"/>
    <mergeCell ref="J2595:L2595"/>
    <mergeCell ref="H888:I888"/>
    <mergeCell ref="M1066:M1067"/>
    <mergeCell ref="N1974:N1975"/>
    <mergeCell ref="J784:J785"/>
    <mergeCell ref="Q1858:Q1859"/>
    <mergeCell ref="F1765:I1765"/>
    <mergeCell ref="H1188:I1188"/>
    <mergeCell ref="L2355:L2356"/>
    <mergeCell ref="Q1695:Q1696"/>
    <mergeCell ref="D1967:E1967"/>
    <mergeCell ref="R1037:R1038"/>
    <mergeCell ref="O1212:O1213"/>
    <mergeCell ref="B1114:H1114"/>
    <mergeCell ref="A2570:A2571"/>
    <mergeCell ref="M1293:M1294"/>
    <mergeCell ref="F2390:I2390"/>
    <mergeCell ref="A2265:A2266"/>
    <mergeCell ref="B716:C716"/>
    <mergeCell ref="P1750:P1751"/>
    <mergeCell ref="J984:L984"/>
    <mergeCell ref="B1414:H1414"/>
    <mergeCell ref="M531:M532"/>
    <mergeCell ref="H943:I943"/>
    <mergeCell ref="A1200:A1201"/>
    <mergeCell ref="P1445:P1446"/>
    <mergeCell ref="M1593:M1594"/>
    <mergeCell ref="K48:K49"/>
    <mergeCell ref="M1136:M1137"/>
    <mergeCell ref="L255:L256"/>
    <mergeCell ref="A901:A902"/>
    <mergeCell ref="K2291:K2292"/>
    <mergeCell ref="K2285:K2286"/>
    <mergeCell ref="P2181:P2182"/>
    <mergeCell ref="H1662:I1662"/>
    <mergeCell ref="Q2000:Q2001"/>
    <mergeCell ref="A569:A570"/>
    <mergeCell ref="H1243:I1243"/>
    <mergeCell ref="K1986:K1987"/>
    <mergeCell ref="K2591:K2592"/>
    <mergeCell ref="Q57:Q58"/>
    <mergeCell ref="H2031:I2031"/>
    <mergeCell ref="Q2300:Q2301"/>
    <mergeCell ref="O749:O750"/>
    <mergeCell ref="Q1837:Q1838"/>
    <mergeCell ref="L467:L468"/>
    <mergeCell ref="D536:E536"/>
    <mergeCell ref="N2143:N2144"/>
    <mergeCell ref="O1354:O1355"/>
    <mergeCell ref="L598:L599"/>
    <mergeCell ref="D79:E79"/>
    <mergeCell ref="Q357:Q358"/>
    <mergeCell ref="A496:A497"/>
    <mergeCell ref="H2331:I2331"/>
    <mergeCell ref="L581:L582"/>
    <mergeCell ref="J879:L879"/>
    <mergeCell ref="H1868:I1868"/>
    <mergeCell ref="O1049:O1050"/>
    <mergeCell ref="R781:R782"/>
    <mergeCell ref="B2019:H2019"/>
    <mergeCell ref="L767:L768"/>
    <mergeCell ref="D836:E836"/>
    <mergeCell ref="B1562:H1562"/>
    <mergeCell ref="B1556:H1556"/>
    <mergeCell ref="D379:E379"/>
    <mergeCell ref="A796:A797"/>
    <mergeCell ref="R476:R477"/>
    <mergeCell ref="J1179:L1179"/>
    <mergeCell ref="J848:J849"/>
    <mergeCell ref="L1555:L1556"/>
    <mergeCell ref="B460:C460"/>
    <mergeCell ref="M1436:M1437"/>
    <mergeCell ref="M1430:M1431"/>
    <mergeCell ref="P1773:P1774"/>
    <mergeCell ref="J1148:J1149"/>
    <mergeCell ref="B760:C760"/>
    <mergeCell ref="D1467:E1467"/>
    <mergeCell ref="R1564:R1565"/>
    <mergeCell ref="R1107:R1108"/>
    <mergeCell ref="R1145:R1146"/>
    <mergeCell ref="M1064:O1064"/>
    <mergeCell ref="Q831:Q832"/>
    <mergeCell ref="N69:N70"/>
    <mergeCell ref="J1353:L1353"/>
    <mergeCell ref="B244:H244"/>
    <mergeCell ref="N674:N675"/>
    <mergeCell ref="K2003:K2004"/>
    <mergeCell ref="J1048:L1048"/>
    <mergeCell ref="B1848:C1848"/>
    <mergeCell ref="B1429:C1429"/>
    <mergeCell ref="B2030:H2030"/>
    <mergeCell ref="N2460:N2461"/>
    <mergeCell ref="D2517:E2517"/>
    <mergeCell ref="B2161:H2161"/>
    <mergeCell ref="J1653:L1653"/>
    <mergeCell ref="L909:L910"/>
    <mergeCell ref="F650:I650"/>
    <mergeCell ref="B550:H550"/>
    <mergeCell ref="A1875:A1876"/>
    <mergeCell ref="H1612:I1612"/>
    <mergeCell ref="B544:H544"/>
    <mergeCell ref="P2131:P2132"/>
    <mergeCell ref="K2355:K2356"/>
    <mergeCell ref="B87:H87"/>
    <mergeCell ref="J1348:L1348"/>
    <mergeCell ref="Q1500:Q1501"/>
    <mergeCell ref="B2148:C2148"/>
    <mergeCell ref="B2330:H2330"/>
    <mergeCell ref="N700:N701"/>
    <mergeCell ref="A1570:A1571"/>
    <mergeCell ref="B2461:H2461"/>
    <mergeCell ref="J1953:L1953"/>
    <mergeCell ref="F333:I333"/>
    <mergeCell ref="J1290:J1291"/>
    <mergeCell ref="L1997:L1998"/>
    <mergeCell ref="J1865:L1865"/>
    <mergeCell ref="O1881:O1882"/>
    <mergeCell ref="O1424:O1425"/>
    <mergeCell ref="O1418:O1419"/>
    <mergeCell ref="L662:L663"/>
    <mergeCell ref="Q421:Q422"/>
    <mergeCell ref="L1599:L1600"/>
    <mergeCell ref="P2457:P2458"/>
    <mergeCell ref="L1136:L1137"/>
    <mergeCell ref="O1119:O1120"/>
    <mergeCell ref="D748:E748"/>
    <mergeCell ref="O2181:O2182"/>
    <mergeCell ref="O1724:O1725"/>
    <mergeCell ref="L962:L963"/>
    <mergeCell ref="D443:E443"/>
    <mergeCell ref="J1249:L1249"/>
    <mergeCell ref="L1567:L1568"/>
    <mergeCell ref="P57:P58"/>
    <mergeCell ref="F1308:I1308"/>
    <mergeCell ref="K229:K230"/>
    <mergeCell ref="B2203:C2203"/>
    <mergeCell ref="M264:O264"/>
    <mergeCell ref="M2149:M2150"/>
    <mergeCell ref="K1017:K1018"/>
    <mergeCell ref="B260:C260"/>
    <mergeCell ref="K598:K599"/>
    <mergeCell ref="P357:P358"/>
    <mergeCell ref="N1354:N1355"/>
    <mergeCell ref="K554:K555"/>
    <mergeCell ref="N1055:N1056"/>
    <mergeCell ref="Q781:Q782"/>
    <mergeCell ref="R2277:R2278"/>
    <mergeCell ref="K1186:K1187"/>
    <mergeCell ref="M2474:M2475"/>
    <mergeCell ref="K1317:K1318"/>
    <mergeCell ref="L1741:L1742"/>
    <mergeCell ref="Q1212:Q1213"/>
    <mergeCell ref="L1436:L1437"/>
    <mergeCell ref="H181:I181"/>
    <mergeCell ref="J953:J954"/>
    <mergeCell ref="B1224:L1224"/>
    <mergeCell ref="R118:R119"/>
    <mergeCell ref="B614:H614"/>
    <mergeCell ref="F1782:I1782"/>
    <mergeCell ref="L2041:L2042"/>
    <mergeCell ref="N650:N651"/>
    <mergeCell ref="J490:J491"/>
    <mergeCell ref="F1776:I1776"/>
    <mergeCell ref="B2098:C2098"/>
    <mergeCell ref="A1651:A1652"/>
    <mergeCell ref="Q1564:Q1565"/>
    <mergeCell ref="B2411:H2411"/>
    <mergeCell ref="B2417:H2417"/>
    <mergeCell ref="B800:H800"/>
    <mergeCell ref="M374:M375"/>
    <mergeCell ref="J2017:L2017"/>
    <mergeCell ref="P2501:P2502"/>
    <mergeCell ref="N950:N951"/>
    <mergeCell ref="A1951:A1952"/>
    <mergeCell ref="F1619:I1619"/>
    <mergeCell ref="B402:C402"/>
    <mergeCell ref="P499:P500"/>
    <mergeCell ref="M674:M675"/>
    <mergeCell ref="J2003:J2004"/>
    <mergeCell ref="M217:M218"/>
    <mergeCell ref="J2117:J2118"/>
    <mergeCell ref="R2419:R2420"/>
    <mergeCell ref="R1962:R1963"/>
    <mergeCell ref="L1794:L1795"/>
    <mergeCell ref="M700:M701"/>
    <mergeCell ref="H655:I655"/>
    <mergeCell ref="R2262:R2263"/>
    <mergeCell ref="J418:J419"/>
    <mergeCell ref="H649:I649"/>
    <mergeCell ref="B2572:C2572"/>
    <mergeCell ref="B24:C24"/>
    <mergeCell ref="A2125:A2126"/>
    <mergeCell ref="B337:H337"/>
    <mergeCell ref="M328:O328"/>
    <mergeCell ref="H955:I955"/>
    <mergeCell ref="B942:H942"/>
    <mergeCell ref="A182:A183"/>
    <mergeCell ref="N1424:N1425"/>
    <mergeCell ref="B324:C324"/>
    <mergeCell ref="J565:L565"/>
    <mergeCell ref="N1555:N1556"/>
    <mergeCell ref="A2425:A2426"/>
    <mergeCell ref="N2029:N2030"/>
    <mergeCell ref="D2244:E2244"/>
    <mergeCell ref="J260:L260"/>
    <mergeCell ref="N1724:N1725"/>
    <mergeCell ref="N1855:N1856"/>
    <mergeCell ref="J591:L591"/>
    <mergeCell ref="K1567:K1568"/>
    <mergeCell ref="R950:R951"/>
    <mergeCell ref="D548:E548"/>
    <mergeCell ref="R188:R189"/>
    <mergeCell ref="O336:O337"/>
    <mergeCell ref="J1017:J1018"/>
    <mergeCell ref="H1313:I1313"/>
    <mergeCell ref="L2105:L2106"/>
    <mergeCell ref="J560:J561"/>
    <mergeCell ref="R1250:R1251"/>
    <mergeCell ref="D1717:E1717"/>
    <mergeCell ref="F1846:I1846"/>
    <mergeCell ref="B2481:H2481"/>
    <mergeCell ref="O2579:O2580"/>
    <mergeCell ref="J1622:J1623"/>
    <mergeCell ref="O31:O32"/>
    <mergeCell ref="J434:L434"/>
    <mergeCell ref="B815:C815"/>
    <mergeCell ref="B995:H995"/>
    <mergeCell ref="J1317:J1318"/>
    <mergeCell ref="H1097:I1097"/>
    <mergeCell ref="F2146:I2146"/>
    <mergeCell ref="D2017:E2017"/>
    <mergeCell ref="A2021:A2022"/>
    <mergeCell ref="F1727:I1727"/>
    <mergeCell ref="B472:C472"/>
    <mergeCell ref="B466:C466"/>
    <mergeCell ref="K1741:K1742"/>
    <mergeCell ref="J734:L734"/>
    <mergeCell ref="N86:N87"/>
    <mergeCell ref="A19:A20"/>
    <mergeCell ref="A956:A957"/>
    <mergeCell ref="P1212:P1213"/>
    <mergeCell ref="D2386:E2386"/>
    <mergeCell ref="D1929:E1929"/>
    <mergeCell ref="H367:I367"/>
    <mergeCell ref="N1866:N1867"/>
    <mergeCell ref="K2041:K2042"/>
    <mergeCell ref="M1718:M1719"/>
    <mergeCell ref="D2229:E2229"/>
    <mergeCell ref="H667:I667"/>
    <mergeCell ref="A2621:A2622"/>
    <mergeCell ref="O2501:O2502"/>
    <mergeCell ref="L48:L49"/>
    <mergeCell ref="H1781:I1781"/>
    <mergeCell ref="J946:L946"/>
    <mergeCell ref="P1843:P1844"/>
    <mergeCell ref="O962:O963"/>
    <mergeCell ref="H1324:I1324"/>
    <mergeCell ref="M2018:M2019"/>
    <mergeCell ref="O505:O506"/>
    <mergeCell ref="H1455:I1455"/>
    <mergeCell ref="O499:O500"/>
    <mergeCell ref="B1469:H1469"/>
    <mergeCell ref="L217:L218"/>
    <mergeCell ref="H1150:I1150"/>
    <mergeCell ref="L348:L349"/>
    <mergeCell ref="H2081:I2081"/>
    <mergeCell ref="H1624:I1624"/>
    <mergeCell ref="Q1962:Q1963"/>
    <mergeCell ref="M1802:M1803"/>
    <mergeCell ref="O805:O806"/>
    <mergeCell ref="F1869:I1869"/>
    <mergeCell ref="Q482:Q483"/>
    <mergeCell ref="Q19:Q20"/>
    <mergeCell ref="Q2262:Q2263"/>
    <mergeCell ref="K1637:K1638"/>
    <mergeCell ref="D917:E917"/>
    <mergeCell ref="K98:K99"/>
    <mergeCell ref="D460:E460"/>
    <mergeCell ref="M1186:M1187"/>
    <mergeCell ref="P1529:P1530"/>
    <mergeCell ref="D612:E612"/>
    <mergeCell ref="R1200:R1201"/>
    <mergeCell ref="L1605:L1606"/>
    <mergeCell ref="P2317:P2318"/>
    <mergeCell ref="D1217:E1217"/>
    <mergeCell ref="A1221:A1222"/>
    <mergeCell ref="R1314:R1315"/>
    <mergeCell ref="M1555:M1556"/>
    <mergeCell ref="B1981:H1981"/>
    <mergeCell ref="P2012:P2013"/>
    <mergeCell ref="M2160:M2161"/>
    <mergeCell ref="J1103:L1103"/>
    <mergeCell ref="M1855:M1856"/>
    <mergeCell ref="N1066:N1067"/>
    <mergeCell ref="B1484:C1484"/>
    <mergeCell ref="P69:P70"/>
    <mergeCell ref="M1398:M1399"/>
    <mergeCell ref="J1567:J1568"/>
    <mergeCell ref="B1185:C1185"/>
    <mergeCell ref="F2396:I2396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2579:N2580"/>
    <mergeCell ref="N450:N451"/>
    <mergeCell ref="Q793:Q794"/>
    <mergeCell ref="B212:H212"/>
    <mergeCell ref="A575:A576"/>
    <mergeCell ref="B206:H206"/>
    <mergeCell ref="L717:L718"/>
    <mergeCell ref="A1363:A1364"/>
    <mergeCell ref="J1615:L1615"/>
    <mergeCell ref="B2123:H2123"/>
    <mergeCell ref="J1872:J1873"/>
    <mergeCell ref="O1631:O1632"/>
    <mergeCell ref="O1218:O1219"/>
    <mergeCell ref="M86:M87"/>
    <mergeCell ref="O1174:O1175"/>
    <mergeCell ref="L418:L419"/>
    <mergeCell ref="M1866:M1867"/>
    <mergeCell ref="O869:O870"/>
    <mergeCell ref="B2423:H2423"/>
    <mergeCell ref="F758:I758"/>
    <mergeCell ref="Q546:Q547"/>
    <mergeCell ref="M386:M387"/>
    <mergeCell ref="J1715:J1716"/>
    <mergeCell ref="J1709:J1710"/>
    <mergeCell ref="R2000:R2001"/>
    <mergeCell ref="F453:I453"/>
    <mergeCell ref="B1321:C1321"/>
    <mergeCell ref="K467:K468"/>
    <mergeCell ref="N810:N811"/>
    <mergeCell ref="F2239:I2239"/>
    <mergeCell ref="F1058:I1058"/>
    <mergeCell ref="O1843:O1844"/>
    <mergeCell ref="Q330:Q331"/>
    <mergeCell ref="N505:N506"/>
    <mergeCell ref="K653:K654"/>
    <mergeCell ref="R2300:R2301"/>
    <mergeCell ref="K767:K768"/>
    <mergeCell ref="N173:N174"/>
    <mergeCell ref="K354:K355"/>
    <mergeCell ref="N1110:N1111"/>
    <mergeCell ref="K348:K349"/>
    <mergeCell ref="D1167:E1167"/>
    <mergeCell ref="M1800:O1800"/>
    <mergeCell ref="B2284:C2284"/>
    <mergeCell ref="O2143:O2144"/>
    <mergeCell ref="D868:E868"/>
    <mergeCell ref="B2597:H2597"/>
    <mergeCell ref="N805:N806"/>
    <mergeCell ref="B1979:C1979"/>
    <mergeCell ref="J2220:L2220"/>
    <mergeCell ref="M2230:M2231"/>
    <mergeCell ref="P482:P483"/>
    <mergeCell ref="P1352:R1352"/>
    <mergeCell ref="B2584:C2584"/>
    <mergeCell ref="R31:R32"/>
    <mergeCell ref="J2073:J2074"/>
    <mergeCell ref="H1874:I1874"/>
    <mergeCell ref="N2198:N2199"/>
    <mergeCell ref="J1637:J1638"/>
    <mergeCell ref="M2530:M2531"/>
    <mergeCell ref="H236:I236"/>
    <mergeCell ref="M2524:M2525"/>
    <mergeCell ref="B1249:C1249"/>
    <mergeCell ref="K979:K980"/>
    <mergeCell ref="J98:J99"/>
    <mergeCell ref="L1186:L1187"/>
    <mergeCell ref="M2067:M2068"/>
    <mergeCell ref="H2479:I2479"/>
    <mergeCell ref="F927:I927"/>
    <mergeCell ref="B1854:C1854"/>
    <mergeCell ref="N863:N864"/>
    <mergeCell ref="J703:J704"/>
    <mergeCell ref="H2180:I2180"/>
    <mergeCell ref="F1532:I1532"/>
    <mergeCell ref="H2174:I2174"/>
    <mergeCell ref="B2167:H2167"/>
    <mergeCell ref="A1407:A1408"/>
    <mergeCell ref="P2440:R2440"/>
    <mergeCell ref="A944:A945"/>
    <mergeCell ref="M2152:O2152"/>
    <mergeCell ref="L2160:L2161"/>
    <mergeCell ref="N706:N707"/>
    <mergeCell ref="B2467:H2467"/>
    <mergeCell ref="L1817:L1818"/>
    <mergeCell ref="P255:P256"/>
    <mergeCell ref="L1855:L1856"/>
    <mergeCell ref="J2142:L2142"/>
    <mergeCell ref="O2285:O2286"/>
    <mergeCell ref="M2616:O2616"/>
    <mergeCell ref="D1010:E1010"/>
    <mergeCell ref="A1427:A1428"/>
    <mergeCell ref="D2072:E2072"/>
    <mergeCell ref="B2612:C2612"/>
    <mergeCell ref="B707:H707"/>
    <mergeCell ref="D1615:E1615"/>
    <mergeCell ref="H105:I105"/>
    <mergeCell ref="R1712:R1713"/>
    <mergeCell ref="O1887:O1888"/>
    <mergeCell ref="M336:M337"/>
    <mergeCell ref="P1229:P1230"/>
    <mergeCell ref="D1310:E1310"/>
    <mergeCell ref="R1407:R1408"/>
    <mergeCell ref="K1453:K1454"/>
    <mergeCell ref="H2532:I2532"/>
    <mergeCell ref="M450:M451"/>
    <mergeCell ref="J1779:J1780"/>
    <mergeCell ref="P924:P925"/>
    <mergeCell ref="H405:I405"/>
    <mergeCell ref="H536:I536"/>
    <mergeCell ref="J293:J294"/>
    <mergeCell ref="N1005:N1006"/>
    <mergeCell ref="K723:K724"/>
    <mergeCell ref="R2381:R2382"/>
    <mergeCell ref="H705:I705"/>
    <mergeCell ref="D2398:E2398"/>
    <mergeCell ref="P552:R552"/>
    <mergeCell ref="H836:I836"/>
    <mergeCell ref="N1174:N1175"/>
    <mergeCell ref="K418:K419"/>
    <mergeCell ref="N1305:N1306"/>
    <mergeCell ref="Q1648:Q1649"/>
    <mergeCell ref="O2213:O2214"/>
    <mergeCell ref="K1023:K1024"/>
    <mergeCell ref="J41:L41"/>
    <mergeCell ref="B1067:H1067"/>
    <mergeCell ref="D1537:E1537"/>
    <mergeCell ref="A2506:A2507"/>
    <mergeCell ref="N1605:N1606"/>
    <mergeCell ref="J804:L804"/>
    <mergeCell ref="B718:H718"/>
    <mergeCell ref="J341:L341"/>
    <mergeCell ref="B1367:H1367"/>
    <mergeCell ref="A607:A608"/>
    <mergeCell ref="O2029:O2030"/>
    <mergeCell ref="P1398:P1399"/>
    <mergeCell ref="B1062:H1062"/>
    <mergeCell ref="N1517:N1518"/>
    <mergeCell ref="A2387:A2388"/>
    <mergeCell ref="J773:J774"/>
    <mergeCell ref="J767:J768"/>
    <mergeCell ref="M1241:M1242"/>
    <mergeCell ref="J1854:L1854"/>
    <mergeCell ref="P1698:P1699"/>
    <mergeCell ref="L2230:L2231"/>
    <mergeCell ref="B565:C565"/>
    <mergeCell ref="P205:P206"/>
    <mergeCell ref="H847:I847"/>
    <mergeCell ref="J610:J611"/>
    <mergeCell ref="O569:O570"/>
    <mergeCell ref="R912:R913"/>
    <mergeCell ref="Q1701:Q1702"/>
    <mergeCell ref="B2531:H2531"/>
    <mergeCell ref="O2355:O2356"/>
    <mergeCell ref="L2530:L2531"/>
    <mergeCell ref="D2142:E2142"/>
    <mergeCell ref="M520:O520"/>
    <mergeCell ref="B591:C591"/>
    <mergeCell ref="R1212:R1213"/>
    <mergeCell ref="D1679:E1679"/>
    <mergeCell ref="J396:L396"/>
    <mergeCell ref="B1196:C1196"/>
    <mergeCell ref="P1293:P1294"/>
    <mergeCell ref="M1468:M1469"/>
    <mergeCell ref="A749:A750"/>
    <mergeCell ref="J1001:L1001"/>
    <mergeCell ref="B891:C891"/>
    <mergeCell ref="P988:P989"/>
    <mergeCell ref="A444:A445"/>
    <mergeCell ref="J696:L696"/>
    <mergeCell ref="K1834:K1835"/>
    <mergeCell ref="P1593:P1594"/>
    <mergeCell ref="M837:M838"/>
    <mergeCell ref="K1817:K1818"/>
    <mergeCell ref="O255:O256"/>
    <mergeCell ref="H1205:I1205"/>
    <mergeCell ref="N2291:N2292"/>
    <mergeCell ref="H900:I900"/>
    <mergeCell ref="Q2175:Q2176"/>
    <mergeCell ref="B2404:C2404"/>
    <mergeCell ref="Q1712:Q1713"/>
    <mergeCell ref="F1625:I1625"/>
    <mergeCell ref="L886:L887"/>
    <mergeCell ref="D367:E367"/>
    <mergeCell ref="O1229:O1230"/>
    <mergeCell ref="J1784:L1784"/>
    <mergeCell ref="L429:L430"/>
    <mergeCell ref="J754:L754"/>
    <mergeCell ref="O924:O925"/>
    <mergeCell ref="L1061:L1062"/>
    <mergeCell ref="L124:L125"/>
    <mergeCell ref="H1417:I1417"/>
    <mergeCell ref="R1354:R1355"/>
    <mergeCell ref="L2367:L2368"/>
    <mergeCell ref="D667:E667"/>
    <mergeCell ref="A671:A672"/>
    <mergeCell ref="B1431:H1431"/>
    <mergeCell ref="R351:R352"/>
    <mergeCell ref="L729:L730"/>
    <mergeCell ref="J1054:L1054"/>
    <mergeCell ref="B1365:C1365"/>
    <mergeCell ref="B2036:H2036"/>
    <mergeCell ref="F2294:I2294"/>
    <mergeCell ref="A2582:A2583"/>
    <mergeCell ref="B1033:C1033"/>
    <mergeCell ref="P2067:P2068"/>
    <mergeCell ref="M1311:M1312"/>
    <mergeCell ref="B1731:H1731"/>
    <mergeCell ref="M848:M849"/>
    <mergeCell ref="J1023:J1024"/>
    <mergeCell ref="O1555:O1556"/>
    <mergeCell ref="B1665:C1665"/>
    <mergeCell ref="D222:E222"/>
    <mergeCell ref="J1154:J1155"/>
    <mergeCell ref="K365:K366"/>
    <mergeCell ref="B1333:C1333"/>
    <mergeCell ref="M1605:M1606"/>
    <mergeCell ref="R976:R977"/>
    <mergeCell ref="K60:K61"/>
    <mergeCell ref="M1148:M1149"/>
    <mergeCell ref="Q2370:Q2371"/>
    <mergeCell ref="M1936:M1937"/>
    <mergeCell ref="Q374:Q375"/>
    <mergeCell ref="H2348:I2348"/>
    <mergeCell ref="P1064:R1064"/>
    <mergeCell ref="A25:A26"/>
    <mergeCell ref="F281:I281"/>
    <mergeCell ref="N2335:N2336"/>
    <mergeCell ref="Q69:Q70"/>
    <mergeCell ref="L1203:L1204"/>
    <mergeCell ref="L784:L785"/>
    <mergeCell ref="M2236:M2237"/>
    <mergeCell ref="Q674:Q675"/>
    <mergeCell ref="A813:A814"/>
    <mergeCell ref="J1065:L1065"/>
    <mergeCell ref="J1196:L1196"/>
    <mergeCell ref="B93:H93"/>
    <mergeCell ref="A1418:A1419"/>
    <mergeCell ref="A508:A509"/>
    <mergeCell ref="B2336:H2336"/>
    <mergeCell ref="J891:L891"/>
    <mergeCell ref="L1084:L1085"/>
    <mergeCell ref="B1873:H1873"/>
    <mergeCell ref="Q586:Q587"/>
    <mergeCell ref="A1113:A1114"/>
    <mergeCell ref="J1496:L1496"/>
    <mergeCell ref="B262:H262"/>
    <mergeCell ref="J1165:J1166"/>
    <mergeCell ref="L1872:L1873"/>
    <mergeCell ref="P310:P311"/>
    <mergeCell ref="K2204:K2205"/>
    <mergeCell ref="K2198:K2199"/>
    <mergeCell ref="R1581:R1582"/>
    <mergeCell ref="A1413:A1414"/>
    <mergeCell ref="O1299:O1300"/>
    <mergeCell ref="B2568:L2568"/>
    <mergeCell ref="R1424:R1425"/>
    <mergeCell ref="D1321:E1321"/>
    <mergeCell ref="J2253:J2254"/>
    <mergeCell ref="O1599:O1600"/>
    <mergeCell ref="J1834:J1835"/>
    <mergeCell ref="N234:N235"/>
    <mergeCell ref="L837:L838"/>
    <mergeCell ref="D318:E318"/>
    <mergeCell ref="M48:M49"/>
    <mergeCell ref="O1593:O1594"/>
    <mergeCell ref="N255:N256"/>
    <mergeCell ref="R2486:R2487"/>
    <mergeCell ref="H2244:I2244"/>
    <mergeCell ref="F1183:I1183"/>
    <mergeCell ref="B2034:C2034"/>
    <mergeCell ref="Q1517:Q1518"/>
    <mergeCell ref="B1289:C1289"/>
    <mergeCell ref="M1980:M1981"/>
    <mergeCell ref="P1386:P1387"/>
    <mergeCell ref="J1970:L1970"/>
    <mergeCell ref="K429:K430"/>
    <mergeCell ref="P2448:P2449"/>
    <mergeCell ref="B404:H404"/>
    <mergeCell ref="J1823:J1824"/>
    <mergeCell ref="P2143:P2144"/>
    <mergeCell ref="Q1354:Q1355"/>
    <mergeCell ref="N598:N599"/>
    <mergeCell ref="P1686:P1687"/>
    <mergeCell ref="M1608:O1608"/>
    <mergeCell ref="K729:K730"/>
    <mergeCell ref="P2474:P2475"/>
    <mergeCell ref="R298:R299"/>
    <mergeCell ref="L1311:L1312"/>
    <mergeCell ref="L848:L849"/>
    <mergeCell ref="O1741:O1742"/>
    <mergeCell ref="H2255:I2255"/>
    <mergeCell ref="A1526:A1527"/>
    <mergeCell ref="F1194:I1194"/>
    <mergeCell ref="O1436:O1437"/>
    <mergeCell ref="B157:H157"/>
    <mergeCell ref="D1065:E1065"/>
    <mergeCell ref="F1325:I1325"/>
    <mergeCell ref="J1892:L1892"/>
    <mergeCell ref="R293:R294"/>
    <mergeCell ref="D760:E760"/>
    <mergeCell ref="A1826:A1827"/>
    <mergeCell ref="P380:P381"/>
    <mergeCell ref="B277:C277"/>
    <mergeCell ref="F1494:I1494"/>
    <mergeCell ref="P374:P375"/>
    <mergeCell ref="L1936:L1937"/>
    <mergeCell ref="F1162:I1162"/>
    <mergeCell ref="B2243:H2243"/>
    <mergeCell ref="K1203:K1204"/>
    <mergeCell ref="R2250:R2251"/>
    <mergeCell ref="P674:P675"/>
    <mergeCell ref="P217:P218"/>
    <mergeCell ref="H286:I286"/>
    <mergeCell ref="D1391:E1391"/>
    <mergeCell ref="Q1098:Q1099"/>
    <mergeCell ref="K1503:K1504"/>
    <mergeCell ref="D2453:E2453"/>
    <mergeCell ref="R2137:R2138"/>
    <mergeCell ref="P1005:P1006"/>
    <mergeCell ref="R2131:R2132"/>
    <mergeCell ref="P586:P587"/>
    <mergeCell ref="L1506:L1507"/>
    <mergeCell ref="J2204:J2205"/>
    <mergeCell ref="P2088:R2088"/>
    <mergeCell ref="R2437:R2438"/>
    <mergeCell ref="B817:H817"/>
    <mergeCell ref="A57:A58"/>
    <mergeCell ref="Q2186:Q2187"/>
    <mergeCell ref="H498:I498"/>
    <mergeCell ref="B2421:C2421"/>
    <mergeCell ref="L2358:L2359"/>
    <mergeCell ref="B2415:C2415"/>
    <mergeCell ref="P2518:P2519"/>
    <mergeCell ref="B512:H512"/>
    <mergeCell ref="A1837:A1838"/>
    <mergeCell ref="J2226:L2226"/>
    <mergeCell ref="B468:H468"/>
    <mergeCell ref="A1968:A1969"/>
    <mergeCell ref="Q1881:Q1882"/>
    <mergeCell ref="B2116:C2116"/>
    <mergeCell ref="P2213:P2214"/>
    <mergeCell ref="Q1424:Q1425"/>
    <mergeCell ref="B1117:H1117"/>
    <mergeCell ref="A357:A358"/>
    <mergeCell ref="F1794:I1794"/>
    <mergeCell ref="M234:M235"/>
    <mergeCell ref="N1730:N1731"/>
    <mergeCell ref="Q2486:Q2487"/>
    <mergeCell ref="Q2181:Q2182"/>
    <mergeCell ref="R368:R369"/>
    <mergeCell ref="D265:E265"/>
    <mergeCell ref="R362:R363"/>
    <mergeCell ref="R2605:R2606"/>
    <mergeCell ref="F601:I601"/>
    <mergeCell ref="L1980:L1981"/>
    <mergeCell ref="J766:L766"/>
    <mergeCell ref="O2454:O2455"/>
    <mergeCell ref="M1322:M1323"/>
    <mergeCell ref="O325:O326"/>
    <mergeCell ref="O319:O320"/>
    <mergeCell ref="F1389:I1389"/>
    <mergeCell ref="B1480:L1480"/>
    <mergeCell ref="M1017:M1018"/>
    <mergeCell ref="O2105:O2106"/>
    <mergeCell ref="J2346:J2347"/>
    <mergeCell ref="H972:I972"/>
    <mergeCell ref="J735:J736"/>
    <mergeCell ref="D1892:E1892"/>
    <mergeCell ref="M1622:M1623"/>
    <mergeCell ref="B347:C347"/>
    <mergeCell ref="B341:C341"/>
    <mergeCell ref="F1689:I1689"/>
    <mergeCell ref="O2474:O2475"/>
    <mergeCell ref="P1087:P1088"/>
    <mergeCell ref="M287:M288"/>
    <mergeCell ref="A499:A500"/>
    <mergeCell ref="N1741:N1742"/>
    <mergeCell ref="F1989:I1989"/>
    <mergeCell ref="R2506:R2507"/>
    <mergeCell ref="K1590:K1591"/>
    <mergeCell ref="A194:A195"/>
    <mergeCell ref="K1584:K1585"/>
    <mergeCell ref="F2621:I2621"/>
    <mergeCell ref="D2104:E2104"/>
    <mergeCell ref="R2201:R2202"/>
    <mergeCell ref="N2041:N2042"/>
    <mergeCell ref="J2573:J2574"/>
    <mergeCell ref="A2610:A2611"/>
    <mergeCell ref="P1718:P1719"/>
    <mergeCell ref="L2122:L2123"/>
    <mergeCell ref="O380:O381"/>
    <mergeCell ref="J908:L908"/>
    <mergeCell ref="D2404:E2404"/>
    <mergeCell ref="R2501:R2502"/>
    <mergeCell ref="O48:O49"/>
    <mergeCell ref="L223:L224"/>
    <mergeCell ref="L179:L180"/>
    <mergeCell ref="B1585:H1585"/>
    <mergeCell ref="P2018:P2019"/>
    <mergeCell ref="R505:R506"/>
    <mergeCell ref="B2485:C2485"/>
    <mergeCell ref="L2422:L2423"/>
    <mergeCell ref="H1630:I1630"/>
    <mergeCell ref="J877:J878"/>
    <mergeCell ref="O674:O675"/>
    <mergeCell ref="R1567:R1568"/>
    <mergeCell ref="A2038:A2039"/>
    <mergeCell ref="F1744:I1744"/>
    <mergeCell ref="B489:C489"/>
    <mergeCell ref="H1167:I1167"/>
    <mergeCell ref="F2163:I2163"/>
    <mergeCell ref="B1181:H1181"/>
    <mergeCell ref="A421:A422"/>
    <mergeCell ref="F2349:I2349"/>
    <mergeCell ref="B1312:H1312"/>
    <mergeCell ref="Q2137:Q2138"/>
    <mergeCell ref="O1005:O1006"/>
    <mergeCell ref="F2463:I2463"/>
    <mergeCell ref="F2050:I2050"/>
    <mergeCell ref="A2338:A2339"/>
    <mergeCell ref="F2044:I2044"/>
    <mergeCell ref="N2399:N2400"/>
    <mergeCell ref="K2058:K2059"/>
    <mergeCell ref="N1942:N1943"/>
    <mergeCell ref="M1061:M1062"/>
    <mergeCell ref="N272:N273"/>
    <mergeCell ref="D2572:E2572"/>
    <mergeCell ref="Q2437:Q2438"/>
    <mergeCell ref="O1305:O1306"/>
    <mergeCell ref="N1637:N1638"/>
    <mergeCell ref="K115:K116"/>
    <mergeCell ref="R1189:R1190"/>
    <mergeCell ref="K2358:K2359"/>
    <mergeCell ref="M1386:M1387"/>
    <mergeCell ref="O575:O576"/>
    <mergeCell ref="P1555:P1556"/>
    <mergeCell ref="H1036:I1036"/>
    <mergeCell ref="L234:L235"/>
    <mergeCell ref="A880:A881"/>
    <mergeCell ref="M1730:M1731"/>
    <mergeCell ref="M1686:M1687"/>
    <mergeCell ref="P2029:P2030"/>
    <mergeCell ref="H2098:I2098"/>
    <mergeCell ref="K141:K142"/>
    <mergeCell ref="P2160:P2161"/>
    <mergeCell ref="H1641:I1641"/>
    <mergeCell ref="J347:L347"/>
    <mergeCell ref="P1855:P1856"/>
    <mergeCell ref="H1336:I1336"/>
    <mergeCell ref="A563:A564"/>
    <mergeCell ref="F406:I406"/>
    <mergeCell ref="J952:L952"/>
    <mergeCell ref="L1322:L1323"/>
    <mergeCell ref="B1316:C1316"/>
    <mergeCell ref="N325:N326"/>
    <mergeCell ref="K1654:K1655"/>
    <mergeCell ref="B2086:H2086"/>
    <mergeCell ref="Q799:Q800"/>
    <mergeCell ref="B1629:H1629"/>
    <mergeCell ref="A869:A870"/>
    <mergeCell ref="D2168:E2168"/>
    <mergeCell ref="K2259:K2260"/>
    <mergeCell ref="Q336:Q337"/>
    <mergeCell ref="L1017:L1018"/>
    <mergeCell ref="Q2579:Q2580"/>
    <mergeCell ref="F243:I243"/>
    <mergeCell ref="L1622:L1623"/>
    <mergeCell ref="K1954:K1955"/>
    <mergeCell ref="B2608:L2608"/>
    <mergeCell ref="D815:E815"/>
    <mergeCell ref="J1621:L1621"/>
    <mergeCell ref="J1604:L1604"/>
    <mergeCell ref="D472:E472"/>
    <mergeCell ref="B55:H55"/>
    <mergeCell ref="R1637:R1638"/>
    <mergeCell ref="L892:L893"/>
    <mergeCell ref="A1538:A1539"/>
    <mergeCell ref="H1694:I1694"/>
    <mergeCell ref="B2298:H2298"/>
    <mergeCell ref="P86:P87"/>
    <mergeCell ref="R1174:R1175"/>
    <mergeCell ref="J1590:J1591"/>
    <mergeCell ref="O1349:O1350"/>
    <mergeCell ref="F933:I933"/>
    <mergeCell ref="M1715:M1716"/>
    <mergeCell ref="J1890:J1891"/>
    <mergeCell ref="B1496:C1496"/>
    <mergeCell ref="Q810:Q811"/>
    <mergeCell ref="B1039:C1039"/>
    <mergeCell ref="N48:N49"/>
    <mergeCell ref="P1136:P1137"/>
    <mergeCell ref="M2088:O2088"/>
    <mergeCell ref="F717:I717"/>
    <mergeCell ref="K179:K180"/>
    <mergeCell ref="Q505:Q506"/>
    <mergeCell ref="N653:N654"/>
    <mergeCell ref="Q1567:Q1568"/>
    <mergeCell ref="J2095:L2095"/>
    <mergeCell ref="J2089:L2089"/>
    <mergeCell ref="N348:N349"/>
    <mergeCell ref="B2614:H2614"/>
    <mergeCell ref="B529:H529"/>
    <mergeCell ref="B2590:C2590"/>
    <mergeCell ref="B523:H523"/>
    <mergeCell ref="H2168:I2168"/>
    <mergeCell ref="P2230:P2231"/>
    <mergeCell ref="B2127:C2127"/>
    <mergeCell ref="P2224:P2225"/>
    <mergeCell ref="M2405:M2406"/>
    <mergeCell ref="A1549:A1550"/>
    <mergeCell ref="M2399:M2400"/>
    <mergeCell ref="L1034:L1035"/>
    <mergeCell ref="A1680:A1681"/>
    <mergeCell ref="J1932:L1932"/>
    <mergeCell ref="M1942:M1943"/>
    <mergeCell ref="M403:M404"/>
    <mergeCell ref="H2468:I2468"/>
    <mergeCell ref="P2524:P2525"/>
    <mergeCell ref="F13:I13"/>
    <mergeCell ref="F944:I944"/>
    <mergeCell ref="K1154:K1155"/>
    <mergeCell ref="O1186:O1187"/>
    <mergeCell ref="M2242:M2243"/>
    <mergeCell ref="F1075:I1075"/>
    <mergeCell ref="Q863:Q864"/>
    <mergeCell ref="M703:M704"/>
    <mergeCell ref="R74:R75"/>
    <mergeCell ref="R2317:R2318"/>
    <mergeCell ref="F770:I770"/>
    <mergeCell ref="Q1468:Q1469"/>
    <mergeCell ref="F313:I313"/>
    <mergeCell ref="P130:P131"/>
    <mergeCell ref="P2152:R2152"/>
    <mergeCell ref="B2583:H2583"/>
    <mergeCell ref="O2160:O2161"/>
    <mergeCell ref="J1685:L1685"/>
    <mergeCell ref="B1192:L1192"/>
    <mergeCell ref="J1228:L1228"/>
    <mergeCell ref="D1490:E1490"/>
    <mergeCell ref="R1587:R1588"/>
    <mergeCell ref="D1484:E1484"/>
    <mergeCell ref="P2616:R2616"/>
    <mergeCell ref="D1604:E1604"/>
    <mergeCell ref="D1185:E1185"/>
    <mergeCell ref="A1602:A1603"/>
    <mergeCell ref="B53:C53"/>
    <mergeCell ref="R101:R102"/>
    <mergeCell ref="F1401:I1401"/>
    <mergeCell ref="J1985:L1985"/>
    <mergeCell ref="M325:M326"/>
    <mergeCell ref="P799:P800"/>
    <mergeCell ref="R1887:R1888"/>
    <mergeCell ref="P755:P756"/>
    <mergeCell ref="J2259:J2260"/>
    <mergeCell ref="P336:P337"/>
    <mergeCell ref="P2579:P2580"/>
    <mergeCell ref="J1954:J1955"/>
    <mergeCell ref="B1566:C1566"/>
    <mergeCell ref="K1296:K1297"/>
    <mergeCell ref="B2171:C2171"/>
    <mergeCell ref="H248:I248"/>
    <mergeCell ref="N1180:N1181"/>
    <mergeCell ref="F781:I781"/>
    <mergeCell ref="P2268:P2269"/>
    <mergeCell ref="N723:N724"/>
    <mergeCell ref="K2509:K2510"/>
    <mergeCell ref="Q1637:Q1638"/>
    <mergeCell ref="J2159:L2159"/>
    <mergeCell ref="O86:O87"/>
    <mergeCell ref="Q1174:Q1175"/>
    <mergeCell ref="N418:N419"/>
    <mergeCell ref="O691:O692"/>
    <mergeCell ref="B593:H593"/>
    <mergeCell ref="N1023:N1024"/>
    <mergeCell ref="J673:L673"/>
    <mergeCell ref="B1655:H1655"/>
    <mergeCell ref="A2076:A2077"/>
    <mergeCell ref="B2191:C2191"/>
    <mergeCell ref="J2459:L2459"/>
    <mergeCell ref="J2590:L2590"/>
    <mergeCell ref="H306:I306"/>
    <mergeCell ref="B1350:H1350"/>
    <mergeCell ref="R243:R244"/>
    <mergeCell ref="B893:H893"/>
    <mergeCell ref="P941:P942"/>
    <mergeCell ref="J516:L516"/>
    <mergeCell ref="R2029:R2030"/>
    <mergeCell ref="M1072:M1073"/>
    <mergeCell ref="J316:J317"/>
    <mergeCell ref="M659:M660"/>
    <mergeCell ref="M653:M654"/>
    <mergeCell ref="Q2448:Q2449"/>
    <mergeCell ref="M773:M774"/>
    <mergeCell ref="J2096:J2097"/>
    <mergeCell ref="D2284:E2284"/>
    <mergeCell ref="H722:I722"/>
    <mergeCell ref="J485:J486"/>
    <mergeCell ref="F1445:I1445"/>
    <mergeCell ref="R901:R902"/>
    <mergeCell ref="F1439:I1439"/>
    <mergeCell ref="O2230:O2231"/>
    <mergeCell ref="J2396:J2397"/>
    <mergeCell ref="L1942:L1943"/>
    <mergeCell ref="L2073:L2074"/>
    <mergeCell ref="D1554:E1554"/>
    <mergeCell ref="O2530:O2531"/>
    <mergeCell ref="B1071:C1071"/>
    <mergeCell ref="L77:L78"/>
    <mergeCell ref="P1168:P1169"/>
    <mergeCell ref="K1340:K1341"/>
    <mergeCell ref="B766:C766"/>
    <mergeCell ref="D1854:E1854"/>
    <mergeCell ref="L2373:L2374"/>
    <mergeCell ref="F2114:I2114"/>
    <mergeCell ref="B1035:H1035"/>
    <mergeCell ref="P1468:P1469"/>
    <mergeCell ref="O130:O131"/>
    <mergeCell ref="J658:L658"/>
    <mergeCell ref="B1684:H1684"/>
    <mergeCell ref="N2166:N2167"/>
    <mergeCell ref="D2617:E2617"/>
    <mergeCell ref="A461:A462"/>
    <mergeCell ref="K2428:K2429"/>
    <mergeCell ref="N1834:N1835"/>
    <mergeCell ref="H318:I318"/>
    <mergeCell ref="R255:R256"/>
    <mergeCell ref="H1380:I1380"/>
    <mergeCell ref="Q1718:Q1719"/>
    <mergeCell ref="L304:L305"/>
    <mergeCell ref="D2612:E2612"/>
    <mergeCell ref="D527:E527"/>
    <mergeCell ref="Q1887:Q1888"/>
    <mergeCell ref="O755:O756"/>
    <mergeCell ref="Q2018:Q2019"/>
    <mergeCell ref="R1229:R1230"/>
    <mergeCell ref="B539:C539"/>
    <mergeCell ref="L604:L605"/>
    <mergeCell ref="D210:E210"/>
    <mergeCell ref="A214:A215"/>
    <mergeCell ref="J1296:J1297"/>
    <mergeCell ref="F2125:I2125"/>
    <mergeCell ref="B908:C908"/>
    <mergeCell ref="D1996:E1996"/>
    <mergeCell ref="M723:M724"/>
    <mergeCell ref="B1513:C1513"/>
    <mergeCell ref="D516:E516"/>
    <mergeCell ref="P1610:P1611"/>
    <mergeCell ref="J985:J986"/>
    <mergeCell ref="M1328:M1329"/>
    <mergeCell ref="P1311:P1312"/>
    <mergeCell ref="B1208:C1208"/>
    <mergeCell ref="P1305:P1306"/>
    <mergeCell ref="M1023:M1024"/>
    <mergeCell ref="P1605:P1606"/>
    <mergeCell ref="R1157:R1158"/>
    <mergeCell ref="F156:I156"/>
    <mergeCell ref="R825:R826"/>
    <mergeCell ref="Q2029:Q2030"/>
    <mergeCell ref="L1078:L1079"/>
    <mergeCell ref="L1072:L1073"/>
    <mergeCell ref="O1546:O1547"/>
    <mergeCell ref="Q549:Q550"/>
    <mergeCell ref="A688:A689"/>
    <mergeCell ref="L773:L774"/>
    <mergeCell ref="J1071:L1071"/>
    <mergeCell ref="H2060:I2060"/>
    <mergeCell ref="O784:O785"/>
    <mergeCell ref="H1761:I1761"/>
    <mergeCell ref="J309:L309"/>
    <mergeCell ref="A988:A989"/>
    <mergeCell ref="B1748:H1748"/>
    <mergeCell ref="N2230:N2231"/>
    <mergeCell ref="D565:E565"/>
    <mergeCell ref="A531:A532"/>
    <mergeCell ref="B1291:H1291"/>
    <mergeCell ref="J1371:L1371"/>
    <mergeCell ref="D108:E108"/>
    <mergeCell ref="J1040:J1041"/>
    <mergeCell ref="R205:R206"/>
    <mergeCell ref="A1593:A1594"/>
    <mergeCell ref="K2073:K2074"/>
    <mergeCell ref="F482:I482"/>
    <mergeCell ref="B2048:H2048"/>
    <mergeCell ref="N2530:N2531"/>
    <mergeCell ref="K77:K78"/>
    <mergeCell ref="M1165:M1166"/>
    <mergeCell ref="J1340:J1341"/>
    <mergeCell ref="O842:O843"/>
    <mergeCell ref="D1659:E1659"/>
    <mergeCell ref="K2373:K2374"/>
    <mergeCell ref="R1756:R1757"/>
    <mergeCell ref="R1299:R1300"/>
    <mergeCell ref="D1196:E1196"/>
    <mergeCell ref="J2128:J2129"/>
    <mergeCell ref="R1293:R1294"/>
    <mergeCell ref="O1142:O1143"/>
    <mergeCell ref="B1252:C1252"/>
    <mergeCell ref="M2122:M2123"/>
    <mergeCell ref="B2106:H2106"/>
    <mergeCell ref="Q691:Q692"/>
    <mergeCell ref="J2428:J2429"/>
    <mergeCell ref="M1834:M1835"/>
    <mergeCell ref="O837:O838"/>
    <mergeCell ref="J1240:L1240"/>
    <mergeCell ref="B2280:L2280"/>
    <mergeCell ref="Q255:Q256"/>
    <mergeCell ref="J1965:J1966"/>
    <mergeCell ref="B1583:C1583"/>
    <mergeCell ref="B1621:C1621"/>
    <mergeCell ref="B1577:C1577"/>
    <mergeCell ref="O1442:O1443"/>
    <mergeCell ref="J1845:L1845"/>
    <mergeCell ref="K304:K305"/>
    <mergeCell ref="A1130:A1131"/>
    <mergeCell ref="J1513:L1513"/>
    <mergeCell ref="B279:H279"/>
    <mergeCell ref="B2340:C2340"/>
    <mergeCell ref="P2437:P2438"/>
    <mergeCell ref="B410:H410"/>
    <mergeCell ref="A825:A826"/>
    <mergeCell ref="P1980:P1981"/>
    <mergeCell ref="N886:N887"/>
    <mergeCell ref="J2145:L2145"/>
    <mergeCell ref="B584:L584"/>
    <mergeCell ref="N429:N430"/>
    <mergeCell ref="K604:K605"/>
    <mergeCell ref="A1430:A1431"/>
    <mergeCell ref="L485:L486"/>
    <mergeCell ref="L2189:L2190"/>
    <mergeCell ref="F226:I226"/>
    <mergeCell ref="K2521:K2522"/>
    <mergeCell ref="K2515:K2516"/>
    <mergeCell ref="P1608:R1608"/>
    <mergeCell ref="M2613:M2614"/>
    <mergeCell ref="R287:R288"/>
    <mergeCell ref="O1616:O1617"/>
    <mergeCell ref="O1610:O1611"/>
    <mergeCell ref="Q613:Q614"/>
    <mergeCell ref="H2130:I2130"/>
    <mergeCell ref="O1311:O1312"/>
    <mergeCell ref="L1459:L1460"/>
    <mergeCell ref="D940:E940"/>
    <mergeCell ref="F63:I63"/>
    <mergeCell ref="L1154:L1155"/>
    <mergeCell ref="M365:M366"/>
    <mergeCell ref="J1441:L1441"/>
    <mergeCell ref="H2430:I2430"/>
    <mergeCell ref="F851:I851"/>
    <mergeCell ref="L1759:L1760"/>
    <mergeCell ref="J1808:J1809"/>
    <mergeCell ref="P249:P250"/>
    <mergeCell ref="F1500:I1500"/>
    <mergeCell ref="F1037:I1037"/>
    <mergeCell ref="J44:L44"/>
    <mergeCell ref="F1151:I1151"/>
    <mergeCell ref="P549:P550"/>
    <mergeCell ref="K746:K747"/>
    <mergeCell ref="P92:P93"/>
    <mergeCell ref="D1723:E1723"/>
    <mergeCell ref="P1337:P1338"/>
    <mergeCell ref="K1509:K1510"/>
    <mergeCell ref="O1206:O1207"/>
    <mergeCell ref="K1046:K1047"/>
    <mergeCell ref="M2509:M2510"/>
    <mergeCell ref="R2306:R2307"/>
    <mergeCell ref="H792:I792"/>
    <mergeCell ref="O1506:O1507"/>
    <mergeCell ref="H786:I786"/>
    <mergeCell ref="H373:I373"/>
    <mergeCell ref="L1165:L1166"/>
    <mergeCell ref="F906:I906"/>
    <mergeCell ref="H329:I329"/>
    <mergeCell ref="B806:H806"/>
    <mergeCell ref="B1416:L1416"/>
    <mergeCell ref="O2058:O2059"/>
    <mergeCell ref="N842:N843"/>
    <mergeCell ref="J682:J683"/>
    <mergeCell ref="B2290:C2290"/>
    <mergeCell ref="B343:H343"/>
    <mergeCell ref="A1843:A1844"/>
    <mergeCell ref="H2572:I2572"/>
    <mergeCell ref="B474:H474"/>
    <mergeCell ref="Q1299:Q1300"/>
    <mergeCell ref="J2209:L2209"/>
    <mergeCell ref="M109:M110"/>
    <mergeCell ref="H673:I673"/>
    <mergeCell ref="F1206:I1206"/>
    <mergeCell ref="N1142:N1143"/>
    <mergeCell ref="A2143:A2144"/>
    <mergeCell ref="F1811:I1811"/>
    <mergeCell ref="B594:C594"/>
    <mergeCell ref="B774:H774"/>
    <mergeCell ref="P691:P692"/>
    <mergeCell ref="Q1599:Q1600"/>
    <mergeCell ref="P234:P235"/>
    <mergeCell ref="Q1730:Q1731"/>
    <mergeCell ref="J2121:L2121"/>
    <mergeCell ref="J66:J67"/>
    <mergeCell ref="M409:M410"/>
    <mergeCell ref="N1442:N1443"/>
    <mergeCell ref="A2474:A2475"/>
    <mergeCell ref="R2154:R2155"/>
    <mergeCell ref="R211:R212"/>
    <mergeCell ref="O1980:O1981"/>
    <mergeCell ref="R2454:R2455"/>
    <mergeCell ref="R2448:R2449"/>
    <mergeCell ref="M1497:M1498"/>
    <mergeCell ref="L1829:L1830"/>
    <mergeCell ref="B216:C216"/>
    <mergeCell ref="L1823:L1824"/>
    <mergeCell ref="M1034:M1035"/>
    <mergeCell ref="J278:J279"/>
    <mergeCell ref="F1564:I1564"/>
    <mergeCell ref="A2469:A2470"/>
    <mergeCell ref="J2521:J2522"/>
    <mergeCell ref="B821:C821"/>
    <mergeCell ref="J152:L152"/>
    <mergeCell ref="B1134:H1134"/>
    <mergeCell ref="B516:C516"/>
    <mergeCell ref="J578:J579"/>
    <mergeCell ref="B59:C59"/>
    <mergeCell ref="F1407:I1407"/>
    <mergeCell ref="B190:C190"/>
    <mergeCell ref="A69:A70"/>
    <mergeCell ref="Q2204:Q2205"/>
    <mergeCell ref="L127:L128"/>
    <mergeCell ref="K1459:K1460"/>
    <mergeCell ref="J452:L452"/>
    <mergeCell ref="Q1741:Q1742"/>
    <mergeCell ref="A674:A675"/>
    <mergeCell ref="K1573:K1574"/>
    <mergeCell ref="N2047:N2048"/>
    <mergeCell ref="K2178:K2179"/>
    <mergeCell ref="A394:A395"/>
    <mergeCell ref="N1584:N1585"/>
    <mergeCell ref="K1759:K1760"/>
    <mergeCell ref="H1772:I1772"/>
    <mergeCell ref="O953:O954"/>
    <mergeCell ref="Q2041:Q2042"/>
    <mergeCell ref="M2573:M2574"/>
    <mergeCell ref="Q1011:Q1012"/>
    <mergeCell ref="R837:R838"/>
    <mergeCell ref="L54:L55"/>
    <mergeCell ref="A700:A701"/>
    <mergeCell ref="B1460:H1460"/>
    <mergeCell ref="R380:R381"/>
    <mergeCell ref="D277:E277"/>
    <mergeCell ref="H437:I437"/>
    <mergeCell ref="R374:R375"/>
    <mergeCell ref="L2297:L2298"/>
    <mergeCell ref="J752:J753"/>
    <mergeCell ref="F2038:I2038"/>
    <mergeCell ref="B2360:C2360"/>
    <mergeCell ref="J746:J747"/>
    <mergeCell ref="H1042:I1042"/>
    <mergeCell ref="O223:O224"/>
    <mergeCell ref="Q2431:Q2432"/>
    <mergeCell ref="A2512:A2513"/>
    <mergeCell ref="J1509:J1510"/>
    <mergeCell ref="J1052:J1053"/>
    <mergeCell ref="F2338:I2338"/>
    <mergeCell ref="Q2099:Q2100"/>
    <mergeCell ref="J1046:J1047"/>
    <mergeCell ref="A2213:A2214"/>
    <mergeCell ref="B664:C664"/>
    <mergeCell ref="H1342:I1342"/>
    <mergeCell ref="F1875:I1875"/>
    <mergeCell ref="B658:C658"/>
    <mergeCell ref="A1750:A1751"/>
    <mergeCell ref="B201:C201"/>
    <mergeCell ref="Q1794:Q1795"/>
    <mergeCell ref="D335:E335"/>
    <mergeCell ref="L2509:L2510"/>
    <mergeCell ref="D2121:E2121"/>
    <mergeCell ref="Q2399:Q2400"/>
    <mergeCell ref="N2058:N2059"/>
    <mergeCell ref="P1061:P1062"/>
    <mergeCell ref="D178:E178"/>
    <mergeCell ref="R275:R276"/>
    <mergeCell ref="N115:N116"/>
    <mergeCell ref="D172:E172"/>
    <mergeCell ref="D2421:E2421"/>
    <mergeCell ref="R2518:R2519"/>
    <mergeCell ref="N2358:N2359"/>
    <mergeCell ref="D2415:E2415"/>
    <mergeCell ref="P2035:P2036"/>
    <mergeCell ref="H1516:I1516"/>
    <mergeCell ref="J1410:J1411"/>
    <mergeCell ref="R575:R576"/>
    <mergeCell ref="O234:O235"/>
    <mergeCell ref="P1730:P1731"/>
    <mergeCell ref="H1816:I1816"/>
    <mergeCell ref="F237:I237"/>
    <mergeCell ref="J821:L821"/>
    <mergeCell ref="H879:I879"/>
    <mergeCell ref="Q2154:Q2155"/>
    <mergeCell ref="J1194:J1195"/>
    <mergeCell ref="H1484:I1484"/>
    <mergeCell ref="B2497:C2497"/>
    <mergeCell ref="B1504:H1504"/>
    <mergeCell ref="P1320:R1320"/>
    <mergeCell ref="A738:A739"/>
    <mergeCell ref="F537:I537"/>
    <mergeCell ref="N2111:N2112"/>
    <mergeCell ref="O1322:O1323"/>
    <mergeCell ref="Q2454:Q2455"/>
    <mergeCell ref="F118:I118"/>
    <mergeCell ref="Q325:Q326"/>
    <mergeCell ref="K1829:K1830"/>
    <mergeCell ref="D652:E652"/>
    <mergeCell ref="D804:E804"/>
    <mergeCell ref="O1622:O1623"/>
    <mergeCell ref="D347:E347"/>
    <mergeCell ref="B2592:H2592"/>
    <mergeCell ref="O592:O593"/>
    <mergeCell ref="J1147:L1147"/>
    <mergeCell ref="D1409:E1409"/>
    <mergeCell ref="H1569:I1569"/>
    <mergeCell ref="R1506:R1507"/>
    <mergeCell ref="B2173:H2173"/>
    <mergeCell ref="B2586:H2586"/>
    <mergeCell ref="B648:L648"/>
    <mergeCell ref="J1878:J1879"/>
    <mergeCell ref="K127:K128"/>
    <mergeCell ref="O892:O893"/>
    <mergeCell ref="H1353:I1353"/>
    <mergeCell ref="H172:I172"/>
    <mergeCell ref="M2047:M2048"/>
    <mergeCell ref="P261:P262"/>
    <mergeCell ref="R1349:R1350"/>
    <mergeCell ref="K458:K459"/>
    <mergeCell ref="M1584:M1585"/>
    <mergeCell ref="M1590:M1591"/>
    <mergeCell ref="J2178:J2179"/>
    <mergeCell ref="J1721:J1722"/>
    <mergeCell ref="B1371:C1371"/>
    <mergeCell ref="N342:N343"/>
    <mergeCell ref="B1094:H1094"/>
    <mergeCell ref="O1375:O1376"/>
    <mergeCell ref="R1718:R1719"/>
    <mergeCell ref="K185:K186"/>
    <mergeCell ref="N528:N529"/>
    <mergeCell ref="B160:H160"/>
    <mergeCell ref="K1971:K1972"/>
    <mergeCell ref="N223:N224"/>
    <mergeCell ref="Q1116:Q1117"/>
    <mergeCell ref="N179:N180"/>
    <mergeCell ref="D2485:E2485"/>
    <mergeCell ref="Q653:Q654"/>
    <mergeCell ref="N2422:N2423"/>
    <mergeCell ref="J2390:J2391"/>
    <mergeCell ref="N828:N829"/>
    <mergeCell ref="B2002:C2002"/>
    <mergeCell ref="D489:E489"/>
    <mergeCell ref="P2099:P2100"/>
    <mergeCell ref="K2271:K2272"/>
    <mergeCell ref="B2315:H2315"/>
    <mergeCell ref="A1555:A1556"/>
    <mergeCell ref="O1366:O1367"/>
    <mergeCell ref="P2405:P2406"/>
    <mergeCell ref="B2302:C2302"/>
    <mergeCell ref="D789:E789"/>
    <mergeCell ref="P2399:P2400"/>
    <mergeCell ref="P1942:P1943"/>
    <mergeCell ref="O1061:O1062"/>
    <mergeCell ref="H2011:I2011"/>
    <mergeCell ref="A1855:A1856"/>
    <mergeCell ref="M115:M116"/>
    <mergeCell ref="L447:L448"/>
    <mergeCell ref="F188:I188"/>
    <mergeCell ref="F1250:I1250"/>
    <mergeCell ref="L1235:L1236"/>
    <mergeCell ref="O1578:O1579"/>
    <mergeCell ref="R2160:R2161"/>
    <mergeCell ref="P2573:P2574"/>
    <mergeCell ref="D1473:E1473"/>
    <mergeCell ref="L1535:L1536"/>
    <mergeCell ref="J1860:L1860"/>
    <mergeCell ref="B1839:C1839"/>
    <mergeCell ref="A80:A81"/>
    <mergeCell ref="B228:C228"/>
    <mergeCell ref="D1316:E1316"/>
    <mergeCell ref="P325:P326"/>
    <mergeCell ref="M1654:M1655"/>
    <mergeCell ref="B2313:C2313"/>
    <mergeCell ref="A2329:A2330"/>
    <mergeCell ref="B2444:C2444"/>
    <mergeCell ref="A1866:A1867"/>
    <mergeCell ref="B1441:C1441"/>
    <mergeCell ref="R1125:R1126"/>
    <mergeCell ref="K1171:K1172"/>
    <mergeCell ref="A1997:A1998"/>
    <mergeCell ref="J164:L164"/>
    <mergeCell ref="M2259:M2260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L2009:L2010"/>
    <mergeCell ref="L1590:L1591"/>
    <mergeCell ref="Q1349:Q1350"/>
    <mergeCell ref="J1871:L1871"/>
    <mergeCell ref="J2002:L2002"/>
    <mergeCell ref="M648:O648"/>
    <mergeCell ref="D1807:E1807"/>
    <mergeCell ref="P816:P817"/>
    <mergeCell ref="A2224:A2225"/>
    <mergeCell ref="B2372:C2372"/>
    <mergeCell ref="L2309:L2310"/>
    <mergeCell ref="B436:H436"/>
    <mergeCell ref="M947:M948"/>
    <mergeCell ref="D1458:E1458"/>
    <mergeCell ref="J2302:L2302"/>
    <mergeCell ref="J1971:J1972"/>
    <mergeCell ref="A2524:A2525"/>
    <mergeCell ref="P1116:P1117"/>
    <mergeCell ref="J333:J334"/>
    <mergeCell ref="J2576:J2577"/>
    <mergeCell ref="P653:P654"/>
    <mergeCell ref="H265:I265"/>
    <mergeCell ref="J28:J29"/>
    <mergeCell ref="J2271:J2272"/>
    <mergeCell ref="M485:M486"/>
    <mergeCell ref="R444:R445"/>
    <mergeCell ref="K1613:K1614"/>
    <mergeCell ref="D2590:E2590"/>
    <mergeCell ref="R2230:R2231"/>
    <mergeCell ref="H565:I565"/>
    <mergeCell ref="O2405:O2406"/>
    <mergeCell ref="N1040:N1041"/>
    <mergeCell ref="N1034:N1035"/>
    <mergeCell ref="J233:L233"/>
    <mergeCell ref="J2476:L2476"/>
    <mergeCell ref="D1860:E1860"/>
    <mergeCell ref="B728:C728"/>
    <mergeCell ref="N1797:N1798"/>
    <mergeCell ref="B910:H910"/>
    <mergeCell ref="A150:A151"/>
    <mergeCell ref="N1340:N1341"/>
    <mergeCell ref="J533:L533"/>
    <mergeCell ref="H1522:I1522"/>
    <mergeCell ref="B1515:H1515"/>
    <mergeCell ref="P2192:P2193"/>
    <mergeCell ref="H492:I492"/>
    <mergeCell ref="K1235:K1236"/>
    <mergeCell ref="N2128:N2129"/>
    <mergeCell ref="J228:L228"/>
    <mergeCell ref="B1028:C1028"/>
    <mergeCell ref="B1210:H1210"/>
    <mergeCell ref="A450:A451"/>
    <mergeCell ref="R130:R131"/>
    <mergeCell ref="J833:L833"/>
    <mergeCell ref="F1157:I1157"/>
    <mergeCell ref="Q1893:Q1894"/>
    <mergeCell ref="J802:J803"/>
    <mergeCell ref="O761:O762"/>
    <mergeCell ref="Q1849:Q1850"/>
    <mergeCell ref="L2090:L2091"/>
    <mergeCell ref="J933:J934"/>
    <mergeCell ref="O304:O305"/>
    <mergeCell ref="B414:C414"/>
    <mergeCell ref="O298:O299"/>
    <mergeCell ref="L479:L480"/>
    <mergeCell ref="L2259:L2260"/>
    <mergeCell ref="M712:O712"/>
    <mergeCell ref="L2390:L2391"/>
    <mergeCell ref="D1871:E1871"/>
    <mergeCell ref="P1485:P1486"/>
    <mergeCell ref="L2085:L2086"/>
    <mergeCell ref="D1566:E1566"/>
    <mergeCell ref="D385:E385"/>
    <mergeCell ref="J2372:L2372"/>
    <mergeCell ref="R25:R26"/>
    <mergeCell ref="B1083:C1083"/>
    <mergeCell ref="D2171:E2171"/>
    <mergeCell ref="K2314:K2315"/>
    <mergeCell ref="P723:P724"/>
    <mergeCell ref="P1785:P1786"/>
    <mergeCell ref="M1029:M1030"/>
    <mergeCell ref="K2009:K2010"/>
    <mergeCell ref="N2483:N2484"/>
    <mergeCell ref="H940:I940"/>
    <mergeCell ref="K1677:K1678"/>
    <mergeCell ref="H1092:I1092"/>
    <mergeCell ref="K197:K198"/>
    <mergeCell ref="K2309:K2310"/>
    <mergeCell ref="J944:J945"/>
    <mergeCell ref="J1060:L1060"/>
    <mergeCell ref="L316:L317"/>
    <mergeCell ref="O659:O660"/>
    <mergeCell ref="H1609:I1609"/>
    <mergeCell ref="R1546:R1547"/>
    <mergeCell ref="P2111:P2112"/>
    <mergeCell ref="D2529:E2529"/>
    <mergeCell ref="H1723:I1723"/>
    <mergeCell ref="B104:L104"/>
    <mergeCell ref="L921:L922"/>
    <mergeCell ref="F662:I662"/>
    <mergeCell ref="J1246:L1246"/>
    <mergeCell ref="A400:A401"/>
    <mergeCell ref="Q444:Q445"/>
    <mergeCell ref="J1613:J1614"/>
    <mergeCell ref="F2442:I2442"/>
    <mergeCell ref="B2342:H2342"/>
    <mergeCell ref="D228:E228"/>
    <mergeCell ref="J897:L897"/>
    <mergeCell ref="A2317:A2318"/>
    <mergeCell ref="N2378:N2379"/>
    <mergeCell ref="P1381:P1382"/>
    <mergeCell ref="M1040:M1041"/>
    <mergeCell ref="K557:K558"/>
    <mergeCell ref="M1797:M1798"/>
    <mergeCell ref="R1168:R1169"/>
    <mergeCell ref="K252:K253"/>
    <mergeCell ref="M1340:M1341"/>
    <mergeCell ref="N92:N93"/>
    <mergeCell ref="M2128:M2129"/>
    <mergeCell ref="R1474:R1475"/>
    <mergeCell ref="R1468:R1469"/>
    <mergeCell ref="J1846:J1847"/>
    <mergeCell ref="B1452:C1452"/>
    <mergeCell ref="J1514:J1515"/>
    <mergeCell ref="K1721:K1722"/>
    <mergeCell ref="M2428:M2429"/>
    <mergeCell ref="Q866:Q867"/>
    <mergeCell ref="A1005:A1006"/>
    <mergeCell ref="J1388:L1388"/>
    <mergeCell ref="H2377:I2377"/>
    <mergeCell ref="F2495:I2495"/>
    <mergeCell ref="F368:I368"/>
    <mergeCell ref="B1752:C1752"/>
    <mergeCell ref="H2078:I2078"/>
    <mergeCell ref="B1295:C1295"/>
    <mergeCell ref="N304:N305"/>
    <mergeCell ref="B2065:H2065"/>
    <mergeCell ref="Q778:Q779"/>
    <mergeCell ref="A1305:A1306"/>
    <mergeCell ref="A848:A849"/>
    <mergeCell ref="J1688:L1688"/>
    <mergeCell ref="M1698:M1699"/>
    <mergeCell ref="M2056:O2056"/>
    <mergeCell ref="K147:K148"/>
    <mergeCell ref="K2390:K2391"/>
    <mergeCell ref="N604:N605"/>
    <mergeCell ref="A1605:A1606"/>
    <mergeCell ref="D1976:E1976"/>
    <mergeCell ref="R2073:R2074"/>
    <mergeCell ref="P2613:P2614"/>
    <mergeCell ref="R1616:R1617"/>
    <mergeCell ref="D1513:E1513"/>
    <mergeCell ref="A1517:A1518"/>
    <mergeCell ref="R1610:R1611"/>
    <mergeCell ref="H1673:I1673"/>
    <mergeCell ref="L1029:L1030"/>
    <mergeCell ref="L985:L986"/>
    <mergeCell ref="O1328:O1329"/>
    <mergeCell ref="R1311:R1312"/>
    <mergeCell ref="O1459:O1460"/>
    <mergeCell ref="J2140:J2141"/>
    <mergeCell ref="J2014:L2014"/>
    <mergeCell ref="B2292:H2292"/>
    <mergeCell ref="H2436:I2436"/>
    <mergeCell ref="J502:J503"/>
    <mergeCell ref="R2373:R2374"/>
    <mergeCell ref="H1973:I1973"/>
    <mergeCell ref="O1154:O1155"/>
    <mergeCell ref="J197:J198"/>
    <mergeCell ref="J1983:J1984"/>
    <mergeCell ref="D478:E478"/>
    <mergeCell ref="B1595:C1595"/>
    <mergeCell ref="B596:H596"/>
    <mergeCell ref="K1226:K1227"/>
    <mergeCell ref="K316:K317"/>
    <mergeCell ref="N1209:N1210"/>
    <mergeCell ref="Q1546:Q1547"/>
    <mergeCell ref="B291:H291"/>
    <mergeCell ref="N746:N747"/>
    <mergeCell ref="K921:K922"/>
    <mergeCell ref="D1441:E1441"/>
    <mergeCell ref="M2378:M2379"/>
    <mergeCell ref="H661:I661"/>
    <mergeCell ref="L1040:L1041"/>
    <mergeCell ref="M2492:M2493"/>
    <mergeCell ref="Q930:Q931"/>
    <mergeCell ref="H2447:I2447"/>
    <mergeCell ref="H2578:I2578"/>
    <mergeCell ref="B349:H349"/>
    <mergeCell ref="A1674:A1675"/>
    <mergeCell ref="J2341:J2342"/>
    <mergeCell ref="L1340:L1341"/>
    <mergeCell ref="Q842:Q843"/>
    <mergeCell ref="M682:M683"/>
    <mergeCell ref="J1758:L1758"/>
    <mergeCell ref="P2594:R2594"/>
    <mergeCell ref="F749:I749"/>
    <mergeCell ref="J1295:L1295"/>
    <mergeCell ref="P566:P567"/>
    <mergeCell ref="L2128:L2129"/>
    <mergeCell ref="B192:H192"/>
    <mergeCell ref="P109:P110"/>
    <mergeCell ref="F1354:I1354"/>
    <mergeCell ref="B2435:H2435"/>
    <mergeCell ref="Q1142:Q1143"/>
    <mergeCell ref="A1669:A1670"/>
    <mergeCell ref="K517:K518"/>
    <mergeCell ref="L2428:L2429"/>
    <mergeCell ref="P866:P867"/>
    <mergeCell ref="P409:P410"/>
    <mergeCell ref="D2040:E2040"/>
    <mergeCell ref="D1583:E1583"/>
    <mergeCell ref="R2329:R2330"/>
    <mergeCell ref="P1197:P1198"/>
    <mergeCell ref="R2323:R2324"/>
    <mergeCell ref="D97:E97"/>
    <mergeCell ref="P778:P779"/>
    <mergeCell ref="R194:R195"/>
    <mergeCell ref="B861:H861"/>
    <mergeCell ref="O2460:O2461"/>
    <mergeCell ref="L1698:L1699"/>
    <mergeCell ref="D2340:E2340"/>
    <mergeCell ref="R1980:R1981"/>
    <mergeCell ref="O159:O160"/>
    <mergeCell ref="B364:C364"/>
    <mergeCell ref="H1109:I1109"/>
    <mergeCell ref="B1545:C1545"/>
    <mergeCell ref="H690:I690"/>
    <mergeCell ref="B65:C65"/>
    <mergeCell ref="P162:P163"/>
    <mergeCell ref="B660:H660"/>
    <mergeCell ref="Q1616:Q1617"/>
    <mergeCell ref="Q435:Q436"/>
    <mergeCell ref="B1845:C1845"/>
    <mergeCell ref="N1878:N1879"/>
    <mergeCell ref="M2568:O2568"/>
    <mergeCell ref="N1459:N1460"/>
    <mergeCell ref="J383:J384"/>
    <mergeCell ref="N2178:N2179"/>
    <mergeCell ref="B1329:H1329"/>
    <mergeCell ref="N1759:N1760"/>
    <mergeCell ref="J958:L958"/>
    <mergeCell ref="B1003:H1003"/>
    <mergeCell ref="O511:O512"/>
    <mergeCell ref="O54:O55"/>
    <mergeCell ref="R397:R398"/>
    <mergeCell ref="L229:L230"/>
    <mergeCell ref="M1209:M1210"/>
    <mergeCell ref="B1635:H1635"/>
    <mergeCell ref="O2297:O2298"/>
    <mergeCell ref="M752:M753"/>
    <mergeCell ref="Q1974:Q1975"/>
    <mergeCell ref="M1814:M1815"/>
    <mergeCell ref="L2146:L2147"/>
    <mergeCell ref="R223:R224"/>
    <mergeCell ref="B533:C533"/>
    <mergeCell ref="J595:J596"/>
    <mergeCell ref="F1881:I1881"/>
    <mergeCell ref="F1424:I1424"/>
    <mergeCell ref="M1509:M1510"/>
    <mergeCell ref="R880:R881"/>
    <mergeCell ref="F1418:I1418"/>
    <mergeCell ref="Q2274:Q2275"/>
    <mergeCell ref="N1933:N1934"/>
    <mergeCell ref="B833:C833"/>
    <mergeCell ref="F2181:I2181"/>
    <mergeCell ref="B376:C376"/>
    <mergeCell ref="D2595:E2595"/>
    <mergeCell ref="K1776:K1777"/>
    <mergeCell ref="M680:O680"/>
    <mergeCell ref="D2296:E2296"/>
    <mergeCell ref="B1164:C1164"/>
    <mergeCell ref="N2233:N2234"/>
    <mergeCell ref="R2393:R2394"/>
    <mergeCell ref="B745:C745"/>
    <mergeCell ref="K1433:K1434"/>
    <mergeCell ref="J1100:L1100"/>
    <mergeCell ref="M1104:M1105"/>
    <mergeCell ref="P232:R232"/>
    <mergeCell ref="P1561:P1562"/>
    <mergeCell ref="K1733:K1734"/>
    <mergeCell ref="L371:L372"/>
    <mergeCell ref="B1777:H1777"/>
    <mergeCell ref="P2210:P2211"/>
    <mergeCell ref="H754:I754"/>
    <mergeCell ref="J1526:J1527"/>
    <mergeCell ref="B747:H747"/>
    <mergeCell ref="M1410:M1411"/>
    <mergeCell ref="J1069:J1070"/>
    <mergeCell ref="M1404:M1405"/>
    <mergeCell ref="B129:C129"/>
    <mergeCell ref="P1747:P1748"/>
    <mergeCell ref="L66:L67"/>
    <mergeCell ref="O409:O410"/>
    <mergeCell ref="H1359:I1359"/>
    <mergeCell ref="K2102:K2103"/>
    <mergeCell ref="P1861:P1862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A2530:A2531"/>
    <mergeCell ref="O1802:O1803"/>
    <mergeCell ref="N2134:N2135"/>
    <mergeCell ref="A2067:A2068"/>
    <mergeCell ref="B1347:H1347"/>
    <mergeCell ref="O1497:O1498"/>
    <mergeCell ref="N1829:N1830"/>
    <mergeCell ref="L697:L698"/>
    <mergeCell ref="K307:K308"/>
    <mergeCell ref="J1022:L1022"/>
    <mergeCell ref="M1578:M1579"/>
    <mergeCell ref="O581:O582"/>
    <mergeCell ref="B2135:H2135"/>
    <mergeCell ref="O1797:O1798"/>
    <mergeCell ref="B2440:L2440"/>
    <mergeCell ref="H1228:I1228"/>
    <mergeCell ref="M1884:M1885"/>
    <mergeCell ref="M1878:M1879"/>
    <mergeCell ref="M1459:M1460"/>
    <mergeCell ref="H1833:I1833"/>
    <mergeCell ref="P2352:P2353"/>
    <mergeCell ref="J659:J660"/>
    <mergeCell ref="H1528:I1528"/>
    <mergeCell ref="M2178:M2179"/>
    <mergeCell ref="A755:A756"/>
    <mergeCell ref="M1512:O1512"/>
    <mergeCell ref="M1765:M1766"/>
    <mergeCell ref="M1759:M1760"/>
    <mergeCell ref="H2133:I2133"/>
    <mergeCell ref="B1508:C1508"/>
    <mergeCell ref="N517:N518"/>
    <mergeCell ref="K1846:K1847"/>
    <mergeCell ref="N2602:N2603"/>
    <mergeCell ref="H1828:I1828"/>
    <mergeCell ref="N54:N55"/>
    <mergeCell ref="Q947:Q948"/>
    <mergeCell ref="J376:L376"/>
    <mergeCell ref="Q528:Q529"/>
    <mergeCell ref="N2297:N2298"/>
    <mergeCell ref="L752:L753"/>
    <mergeCell ref="F435:I435"/>
    <mergeCell ref="K2146:K2147"/>
    <mergeCell ref="Q223:Q224"/>
    <mergeCell ref="J1164:L1164"/>
    <mergeCell ref="K1683:K1684"/>
    <mergeCell ref="Q828:Q829"/>
    <mergeCell ref="J1769:L1769"/>
    <mergeCell ref="B1841:H1841"/>
    <mergeCell ref="D664:E664"/>
    <mergeCell ref="P2274:P2275"/>
    <mergeCell ref="O909:O910"/>
    <mergeCell ref="J1464:L1464"/>
    <mergeCell ref="D1726:E1726"/>
    <mergeCell ref="A1730:A1731"/>
    <mergeCell ref="H1886:I1886"/>
    <mergeCell ref="B2446:H2446"/>
    <mergeCell ref="B2490:H2490"/>
    <mergeCell ref="P278:P279"/>
    <mergeCell ref="R1366:R1367"/>
    <mergeCell ref="B552:L552"/>
    <mergeCell ref="O604:O605"/>
    <mergeCell ref="D964:E964"/>
    <mergeCell ref="R1061:R1062"/>
    <mergeCell ref="J1764:L1764"/>
    <mergeCell ref="J1433:J1434"/>
    <mergeCell ref="H1729:I1729"/>
    <mergeCell ref="P578:P579"/>
    <mergeCell ref="O1997:O1998"/>
    <mergeCell ref="B1650:C1650"/>
    <mergeCell ref="Q1002:Q1003"/>
    <mergeCell ref="J1733:J1734"/>
    <mergeCell ref="O1692:O1693"/>
    <mergeCell ref="R2035:R2036"/>
    <mergeCell ref="K371:K372"/>
    <mergeCell ref="B1345:C1345"/>
    <mergeCell ref="N845:N846"/>
    <mergeCell ref="L1410:L1411"/>
    <mergeCell ref="D1022:E1022"/>
    <mergeCell ref="Q1302:Q1303"/>
    <mergeCell ref="D559:E559"/>
    <mergeCell ref="K677:K678"/>
    <mergeCell ref="B76:C76"/>
    <mergeCell ref="P173:P174"/>
    <mergeCell ref="B2319:C2319"/>
    <mergeCell ref="P2416:P2417"/>
    <mergeCell ref="D859:E859"/>
    <mergeCell ref="J1791:J1792"/>
    <mergeCell ref="A1872:A1873"/>
    <mergeCell ref="J2124:L2124"/>
    <mergeCell ref="B2014:C2014"/>
    <mergeCell ref="P473:P474"/>
    <mergeCell ref="M1829:M1830"/>
    <mergeCell ref="H2197:I2197"/>
    <mergeCell ref="N1171:N1172"/>
    <mergeCell ref="P2259:P2260"/>
    <mergeCell ref="H2328:I2328"/>
    <mergeCell ref="M2434:M2435"/>
    <mergeCell ref="F810:I810"/>
    <mergeCell ref="M895:M896"/>
    <mergeCell ref="Q1055:Q1056"/>
    <mergeCell ref="Q592:Q593"/>
    <mergeCell ref="F962:I962"/>
    <mergeCell ref="J1508:L1508"/>
    <mergeCell ref="F505:I505"/>
    <mergeCell ref="L1884:L1885"/>
    <mergeCell ref="P2344:R2344"/>
    <mergeCell ref="F499:I499"/>
    <mergeCell ref="O2352:O2353"/>
    <mergeCell ref="L1552:L1553"/>
    <mergeCell ref="Q898:Q899"/>
    <mergeCell ref="J1877:L1877"/>
    <mergeCell ref="Q892:Q893"/>
    <mergeCell ref="B1384:L1384"/>
    <mergeCell ref="A2099:A2100"/>
    <mergeCell ref="F805:I805"/>
    <mergeCell ref="J2482:L2482"/>
    <mergeCell ref="B311:H311"/>
    <mergeCell ref="K819:K820"/>
    <mergeCell ref="D1796:E1796"/>
    <mergeCell ref="L2178:L2179"/>
    <mergeCell ref="A1794:A1795"/>
    <mergeCell ref="B245:C245"/>
    <mergeCell ref="L1852:L1853"/>
    <mergeCell ref="P342:P343"/>
    <mergeCell ref="M490:M491"/>
    <mergeCell ref="J2177:L2177"/>
    <mergeCell ref="B2510:H2510"/>
    <mergeCell ref="J1720:L1720"/>
    <mergeCell ref="A2399:A2400"/>
    <mergeCell ref="R2079:R2080"/>
    <mergeCell ref="P947:P948"/>
    <mergeCell ref="B611:H611"/>
    <mergeCell ref="P528:P529"/>
    <mergeCell ref="J2451:J2452"/>
    <mergeCell ref="N1645:N1646"/>
    <mergeCell ref="H140:I140"/>
    <mergeCell ref="B545:C545"/>
    <mergeCell ref="M1971:M1972"/>
    <mergeCell ref="J2146:J2147"/>
    <mergeCell ref="R2410:R2411"/>
    <mergeCell ref="M333:M334"/>
    <mergeCell ref="K1488:K1489"/>
    <mergeCell ref="M2576:M2577"/>
    <mergeCell ref="P828:P829"/>
    <mergeCell ref="Q1197:Q1198"/>
    <mergeCell ref="D2002:E2002"/>
    <mergeCell ref="H440:I440"/>
    <mergeCell ref="F973:I973"/>
    <mergeCell ref="N915:N916"/>
    <mergeCell ref="O1948:O1949"/>
    <mergeCell ref="Q1366:Q1367"/>
    <mergeCell ref="Q1497:Q1498"/>
    <mergeCell ref="R2405:R2406"/>
    <mergeCell ref="B785:H785"/>
    <mergeCell ref="N1215:N1216"/>
    <mergeCell ref="L83:L84"/>
    <mergeCell ref="J408:L408"/>
    <mergeCell ref="B2383:C2383"/>
    <mergeCell ref="B1390:H1390"/>
    <mergeCell ref="A1936:A1937"/>
    <mergeCell ref="J2188:L2188"/>
    <mergeCell ref="N1997:N1998"/>
    <mergeCell ref="J2319:L2319"/>
    <mergeCell ref="B1085:H1085"/>
    <mergeCell ref="B1216:H1216"/>
    <mergeCell ref="J708:L708"/>
    <mergeCell ref="B753:H753"/>
    <mergeCell ref="K1410:K1411"/>
    <mergeCell ref="A2236:A2237"/>
    <mergeCell ref="N2303:N2304"/>
    <mergeCell ref="J45:J46"/>
    <mergeCell ref="M965:M966"/>
    <mergeCell ref="N1840:N1841"/>
    <mergeCell ref="R330:R331"/>
    <mergeCell ref="Q1724:Q1725"/>
    <mergeCell ref="A293:A294"/>
    <mergeCell ref="J345:J346"/>
    <mergeCell ref="F1631:I1631"/>
    <mergeCell ref="F1174:I1174"/>
    <mergeCell ref="M802:M803"/>
    <mergeCell ref="R761:R762"/>
    <mergeCell ref="B1448:L1448"/>
    <mergeCell ref="D1746:E1746"/>
    <mergeCell ref="J1133:J1134"/>
    <mergeCell ref="L2265:L2266"/>
    <mergeCell ref="O479:O480"/>
    <mergeCell ref="N1683:N1684"/>
    <mergeCell ref="O473:O474"/>
    <mergeCell ref="D260:E260"/>
    <mergeCell ref="M560:M561"/>
    <mergeCell ref="P712:R712"/>
    <mergeCell ref="D2046:E2046"/>
    <mergeCell ref="B914:C914"/>
    <mergeCell ref="F1843:I1843"/>
    <mergeCell ref="B1227:H1227"/>
    <mergeCell ref="A467:A468"/>
    <mergeCell ref="A48:A49"/>
    <mergeCell ref="J850:L850"/>
    <mergeCell ref="M860:M861"/>
    <mergeCell ref="N2314:N2315"/>
    <mergeCell ref="H809:I809"/>
    <mergeCell ref="A653:A654"/>
    <mergeCell ref="B1214:C1214"/>
    <mergeCell ref="K1552:K1553"/>
    <mergeCell ref="P898:P899"/>
    <mergeCell ref="P1029:P1030"/>
    <mergeCell ref="H510:I510"/>
    <mergeCell ref="B1527:H1527"/>
    <mergeCell ref="K2157:K2158"/>
    <mergeCell ref="B497:H497"/>
    <mergeCell ref="J819:J820"/>
    <mergeCell ref="K1852:K1853"/>
    <mergeCell ref="A37:A38"/>
    <mergeCell ref="R1421:R1422"/>
    <mergeCell ref="P1986:P1987"/>
    <mergeCell ref="Q1747:Q1748"/>
    <mergeCell ref="L796:L797"/>
    <mergeCell ref="H1592:I1592"/>
    <mergeCell ref="H1135:I1135"/>
    <mergeCell ref="L333:L334"/>
    <mergeCell ref="D402:E402"/>
    <mergeCell ref="Q2410:Q2411"/>
    <mergeCell ref="O316:O317"/>
    <mergeCell ref="L2576:L2577"/>
    <mergeCell ref="F2317:I2317"/>
    <mergeCell ref="B1100:C1100"/>
    <mergeCell ref="L34:L35"/>
    <mergeCell ref="D2188:E2188"/>
    <mergeCell ref="J772:L772"/>
    <mergeCell ref="O2618:O2619"/>
    <mergeCell ref="M915:M916"/>
    <mergeCell ref="B1885:H1885"/>
    <mergeCell ref="N1948:N1949"/>
    <mergeCell ref="Q2378:Q2379"/>
    <mergeCell ref="P1040:P1041"/>
    <mergeCell ref="M1215:M1216"/>
    <mergeCell ref="F2285:I2285"/>
    <mergeCell ref="K83:K84"/>
    <mergeCell ref="M883:M884"/>
    <mergeCell ref="D728:E728"/>
    <mergeCell ref="P1340:P1341"/>
    <mergeCell ref="K383:K384"/>
    <mergeCell ref="P2128:P2129"/>
    <mergeCell ref="D1028:E1028"/>
    <mergeCell ref="M2303:M2304"/>
    <mergeCell ref="L938:L939"/>
    <mergeCell ref="P2428:P2429"/>
    <mergeCell ref="J501:L501"/>
    <mergeCell ref="Q1066:Q1067"/>
    <mergeCell ref="A1180:A1181"/>
    <mergeCell ref="L1238:L1239"/>
    <mergeCell ref="B1301:C1301"/>
    <mergeCell ref="A723:A724"/>
    <mergeCell ref="F979:I979"/>
    <mergeCell ref="J1563:L1563"/>
    <mergeCell ref="A717:A718"/>
    <mergeCell ref="B1940:H1940"/>
    <mergeCell ref="Q761:Q762"/>
    <mergeCell ref="B996:C996"/>
    <mergeCell ref="N2090:N2091"/>
    <mergeCell ref="D414:E414"/>
    <mergeCell ref="A418:A419"/>
    <mergeCell ref="J1220:L1220"/>
    <mergeCell ref="N479:N480"/>
    <mergeCell ref="K2221:K2222"/>
    <mergeCell ref="J801:L801"/>
    <mergeCell ref="B2240:H2240"/>
    <mergeCell ref="P2056:R2056"/>
    <mergeCell ref="P28:P29"/>
    <mergeCell ref="N147:N148"/>
    <mergeCell ref="N2390:N2391"/>
    <mergeCell ref="K2527:K2528"/>
    <mergeCell ref="B2571:H2571"/>
    <mergeCell ref="R1491:R1492"/>
    <mergeCell ref="D1388:E1388"/>
    <mergeCell ref="F2029:I2029"/>
    <mergeCell ref="R1485:R1486"/>
    <mergeCell ref="L860:L861"/>
    <mergeCell ref="O1747:O1748"/>
    <mergeCell ref="O1334:O1335"/>
    <mergeCell ref="M202:M203"/>
    <mergeCell ref="J1889:L1889"/>
    <mergeCell ref="D1688:E1688"/>
    <mergeCell ref="R1785:R1786"/>
    <mergeCell ref="O1029:O1030"/>
    <mergeCell ref="Q2117:Q2118"/>
    <mergeCell ref="P240:P241"/>
    <mergeCell ref="J2157:J2158"/>
    <mergeCell ref="B1769:C1769"/>
    <mergeCell ref="O1634:O1635"/>
    <mergeCell ref="D772:E772"/>
    <mergeCell ref="J1858:J1859"/>
    <mergeCell ref="A1322:A1323"/>
    <mergeCell ref="H2148:I2148"/>
    <mergeCell ref="B1464:C1464"/>
    <mergeCell ref="P2172:P2173"/>
    <mergeCell ref="B139:H139"/>
    <mergeCell ref="M1768:O1768"/>
    <mergeCell ref="A1622:A1623"/>
    <mergeCell ref="B1764:C1764"/>
    <mergeCell ref="Q1078:Q1079"/>
    <mergeCell ref="K333:K334"/>
    <mergeCell ref="D984:E984"/>
    <mergeCell ref="R1081:R1082"/>
    <mergeCell ref="N921:N922"/>
    <mergeCell ref="P1800:R1800"/>
    <mergeCell ref="K2250:K2251"/>
    <mergeCell ref="B2095:C2095"/>
    <mergeCell ref="J114:L114"/>
    <mergeCell ref="L1002:L1003"/>
    <mergeCell ref="R147:R148"/>
    <mergeCell ref="P2384:P2385"/>
    <mergeCell ref="B2281:C2281"/>
    <mergeCell ref="F255:I255"/>
    <mergeCell ref="O1040:O1041"/>
    <mergeCell ref="R1933:R1934"/>
    <mergeCell ref="A1834:A1835"/>
    <mergeCell ref="J214:J215"/>
    <mergeCell ref="L1302:L1303"/>
    <mergeCell ref="J1633:L1633"/>
    <mergeCell ref="H2595:I2595"/>
    <mergeCell ref="F1043:I1043"/>
    <mergeCell ref="L883:L884"/>
    <mergeCell ref="O1776:O1777"/>
    <mergeCell ref="H47:I47"/>
    <mergeCell ref="A1849:A1850"/>
    <mergeCell ref="B300:C300"/>
    <mergeCell ref="J2000:J2001"/>
    <mergeCell ref="B67:H67"/>
    <mergeCell ref="P397:P398"/>
    <mergeCell ref="H2290:I2290"/>
    <mergeCell ref="B61:H61"/>
    <mergeCell ref="F1229:I1229"/>
    <mergeCell ref="B2310:H2310"/>
    <mergeCell ref="F1343:I1343"/>
    <mergeCell ref="O2128:O2129"/>
    <mergeCell ref="F924:I924"/>
    <mergeCell ref="J1470:L1470"/>
    <mergeCell ref="J2300:J2301"/>
    <mergeCell ref="K938:K939"/>
    <mergeCell ref="P284:P285"/>
    <mergeCell ref="D1452:E1452"/>
    <mergeCell ref="M1721:M1722"/>
    <mergeCell ref="F613:I613"/>
    <mergeCell ref="R69:R70"/>
    <mergeCell ref="K1238:K1239"/>
    <mergeCell ref="D1758:E1758"/>
    <mergeCell ref="D1752:E1752"/>
    <mergeCell ref="O2003:O2004"/>
    <mergeCell ref="P1372:P1373"/>
    <mergeCell ref="R2460:R2461"/>
    <mergeCell ref="O1698:O1699"/>
    <mergeCell ref="P909:P910"/>
    <mergeCell ref="H978:I978"/>
    <mergeCell ref="R2618:R2619"/>
    <mergeCell ref="H521:I521"/>
    <mergeCell ref="J2527:J2528"/>
    <mergeCell ref="B666:H666"/>
    <mergeCell ref="J158:L158"/>
    <mergeCell ref="B209:H209"/>
    <mergeCell ref="H821:I821"/>
    <mergeCell ref="J2075:L2075"/>
    <mergeCell ref="L202:L203"/>
    <mergeCell ref="K534:K535"/>
    <mergeCell ref="R2613:R2614"/>
    <mergeCell ref="B966:H966"/>
    <mergeCell ref="L2445:L2446"/>
    <mergeCell ref="B509:H509"/>
    <mergeCell ref="N1029:N1030"/>
    <mergeCell ref="K1139:K1140"/>
    <mergeCell ref="N2053:N2054"/>
    <mergeCell ref="Q1459:Q1460"/>
    <mergeCell ref="N1634:N1635"/>
    <mergeCell ref="L502:L503"/>
    <mergeCell ref="K834:K835"/>
    <mergeCell ref="D114:E114"/>
    <mergeCell ref="L2288:L2289"/>
    <mergeCell ref="O2172:O2173"/>
    <mergeCell ref="P1514:P1515"/>
    <mergeCell ref="R2602:R2603"/>
    <mergeCell ref="R517:R518"/>
    <mergeCell ref="R98:R99"/>
    <mergeCell ref="J889:J890"/>
    <mergeCell ref="L2015:L2016"/>
    <mergeCell ref="J883:J884"/>
    <mergeCell ref="J470:J471"/>
    <mergeCell ref="O229:O230"/>
    <mergeCell ref="M1226:M1227"/>
    <mergeCell ref="F1756:I1756"/>
    <mergeCell ref="R2297:R2298"/>
    <mergeCell ref="H1295:I1295"/>
    <mergeCell ref="Q2149:Q2150"/>
    <mergeCell ref="O598:O599"/>
    <mergeCell ref="J770:J771"/>
    <mergeCell ref="Q147:Q148"/>
    <mergeCell ref="B382:C382"/>
    <mergeCell ref="P479:P480"/>
    <mergeCell ref="F1593:I1593"/>
    <mergeCell ref="F60:I60"/>
    <mergeCell ref="M610:M611"/>
    <mergeCell ref="Q1933:Q1934"/>
    <mergeCell ref="K1765:K1766"/>
    <mergeCell ref="N1776:N1777"/>
    <mergeCell ref="L2341:L2342"/>
    <mergeCell ref="H1048:I1048"/>
    <mergeCell ref="B1652:H1652"/>
    <mergeCell ref="O2314:O2315"/>
    <mergeCell ref="K2282:K2283"/>
    <mergeCell ref="A886:A887"/>
    <mergeCell ref="H585:I585"/>
    <mergeCell ref="R109:R110"/>
    <mergeCell ref="J812:L812"/>
    <mergeCell ref="L2157:L2158"/>
    <mergeCell ref="O371:O372"/>
    <mergeCell ref="H1348:I1348"/>
    <mergeCell ref="H929:I929"/>
    <mergeCell ref="M1069:M1070"/>
    <mergeCell ref="H885:I885"/>
    <mergeCell ref="O66:O67"/>
    <mergeCell ref="J781:J782"/>
    <mergeCell ref="B850:C850"/>
    <mergeCell ref="F2067:I2067"/>
    <mergeCell ref="K2277:K2278"/>
    <mergeCell ref="J912:J913"/>
    <mergeCell ref="B393:C393"/>
    <mergeCell ref="F2198:I2198"/>
    <mergeCell ref="F1741:I1741"/>
    <mergeCell ref="Q1986:Q1987"/>
    <mergeCell ref="R1197:R1198"/>
    <mergeCell ref="Q2591:Q2592"/>
    <mergeCell ref="F1436:I1436"/>
    <mergeCell ref="F2498:I2498"/>
    <mergeCell ref="B693:C693"/>
    <mergeCell ref="R1497:R1498"/>
    <mergeCell ref="B72:L72"/>
    <mergeCell ref="Q1829:Q1830"/>
    <mergeCell ref="R467:R468"/>
    <mergeCell ref="N307:N308"/>
    <mergeCell ref="D364:E364"/>
    <mergeCell ref="J1869:J1870"/>
    <mergeCell ref="J681:L681"/>
    <mergeCell ref="B1481:C1481"/>
    <mergeCell ref="D484:E484"/>
    <mergeCell ref="A2573:A2574"/>
    <mergeCell ref="R581:R582"/>
    <mergeCell ref="M1753:M1754"/>
    <mergeCell ref="D65:E65"/>
    <mergeCell ref="R162:R163"/>
    <mergeCell ref="M1290:M1291"/>
    <mergeCell ref="P98:P99"/>
    <mergeCell ref="J1417:L1417"/>
    <mergeCell ref="M1427:M1428"/>
    <mergeCell ref="M1421:M1422"/>
    <mergeCell ref="B1847:H1847"/>
    <mergeCell ref="R767:R768"/>
    <mergeCell ref="J1596:J1597"/>
    <mergeCell ref="J1139:J1140"/>
    <mergeCell ref="P1465:P1466"/>
    <mergeCell ref="M2053:M2054"/>
    <mergeCell ref="J834:J835"/>
    <mergeCell ref="F10:I10"/>
    <mergeCell ref="J556:L556"/>
    <mergeCell ref="B446:C446"/>
    <mergeCell ref="L383:L384"/>
    <mergeCell ref="H1676:I1676"/>
    <mergeCell ref="J1439:J1440"/>
    <mergeCell ref="F124:I124"/>
    <mergeCell ref="K2419:K2420"/>
    <mergeCell ref="P1512:R1512"/>
    <mergeCell ref="J251:L251"/>
    <mergeCell ref="N60:N61"/>
    <mergeCell ref="B1051:C1051"/>
    <mergeCell ref="F729:I729"/>
    <mergeCell ref="O1514:O1515"/>
    <mergeCell ref="A604:A605"/>
    <mergeCell ref="F310:I310"/>
    <mergeCell ref="Q517:Q518"/>
    <mergeCell ref="N1846:N1847"/>
    <mergeCell ref="Q2602:Q2603"/>
    <mergeCell ref="Q98:Q99"/>
    <mergeCell ref="J1644:L1644"/>
    <mergeCell ref="O1814:O1815"/>
    <mergeCell ref="B1716:H1716"/>
    <mergeCell ref="N2146:N2147"/>
    <mergeCell ref="J1339:L1339"/>
    <mergeCell ref="B2321:H2321"/>
    <mergeCell ref="D207:E207"/>
    <mergeCell ref="O898:O899"/>
    <mergeCell ref="J1944:L1944"/>
    <mergeCell ref="B2016:H2016"/>
    <mergeCell ref="O1084:O1085"/>
    <mergeCell ref="K2621:K2622"/>
    <mergeCell ref="R1541:R1542"/>
    <mergeCell ref="K650:K651"/>
    <mergeCell ref="H1598:I1598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O1410:O1411"/>
    <mergeCell ref="L1069:L1070"/>
    <mergeCell ref="K220:K221"/>
    <mergeCell ref="B2194:C2194"/>
    <mergeCell ref="P2291:P2292"/>
    <mergeCell ref="B247:H247"/>
    <mergeCell ref="D734:E734"/>
    <mergeCell ref="J1666:J1667"/>
    <mergeCell ref="B1889:C1889"/>
    <mergeCell ref="B2494:C2494"/>
    <mergeCell ref="P2591:P2592"/>
    <mergeCell ref="O1226:O1227"/>
    <mergeCell ref="P2134:P2135"/>
    <mergeCell ref="B547:H547"/>
    <mergeCell ref="A2047:A2048"/>
    <mergeCell ref="H1746:I1746"/>
    <mergeCell ref="R1683:R1684"/>
    <mergeCell ref="K1308:K1309"/>
    <mergeCell ref="A1584:A1585"/>
    <mergeCell ref="H1740:I1740"/>
    <mergeCell ref="B1115:C1115"/>
    <mergeCell ref="F837:I837"/>
    <mergeCell ref="H260:I260"/>
    <mergeCell ref="Q598:Q599"/>
    <mergeCell ref="F793:I793"/>
    <mergeCell ref="F380:I380"/>
    <mergeCell ref="H1441:I1441"/>
    <mergeCell ref="J1750:J1751"/>
    <mergeCell ref="H2046:I2046"/>
    <mergeCell ref="O98:O99"/>
    <mergeCell ref="L1427:L1428"/>
    <mergeCell ref="Q767:Q768"/>
    <mergeCell ref="O1884:O1885"/>
    <mergeCell ref="F674:I674"/>
    <mergeCell ref="R2352:R2353"/>
    <mergeCell ref="A1642:A1643"/>
    <mergeCell ref="L1727:L1728"/>
    <mergeCell ref="D1339:E1339"/>
    <mergeCell ref="F1005:I1005"/>
    <mergeCell ref="P490:P491"/>
    <mergeCell ref="D1508:E1508"/>
    <mergeCell ref="M1846:M1847"/>
    <mergeCell ref="M665:M666"/>
    <mergeCell ref="P2602:P2603"/>
    <mergeCell ref="H129:I129"/>
    <mergeCell ref="P1122:P1123"/>
    <mergeCell ref="P185:P186"/>
    <mergeCell ref="J2108:J2109"/>
    <mergeCell ref="M2451:M2452"/>
    <mergeCell ref="M2146:M2147"/>
    <mergeCell ref="R2585:R2586"/>
    <mergeCell ref="R2579:R2580"/>
    <mergeCell ref="R2253:R2254"/>
    <mergeCell ref="Q1372:Q1373"/>
    <mergeCell ref="K589:K590"/>
    <mergeCell ref="Q915:Q916"/>
    <mergeCell ref="Q909:Q910"/>
    <mergeCell ref="N1084:N1085"/>
    <mergeCell ref="R1948:R1949"/>
    <mergeCell ref="K284:K285"/>
    <mergeCell ref="R278:R279"/>
    <mergeCell ref="L2201:L2202"/>
    <mergeCell ref="J2320:J2321"/>
    <mergeCell ref="J2194:L2194"/>
    <mergeCell ref="J1737:L1737"/>
    <mergeCell ref="L2501:L2502"/>
    <mergeCell ref="B2101:C2101"/>
    <mergeCell ref="J950:J951"/>
    <mergeCell ref="Q1997:Q1998"/>
    <mergeCell ref="A2111:A2112"/>
    <mergeCell ref="F1779:I1779"/>
    <mergeCell ref="D1650:E1650"/>
    <mergeCell ref="B1233:H1233"/>
    <mergeCell ref="A1654:A1655"/>
    <mergeCell ref="B2414:H2414"/>
    <mergeCell ref="R153:R154"/>
    <mergeCell ref="J2494:L2494"/>
    <mergeCell ref="J2037:L2037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D2319:E2319"/>
    <mergeCell ref="R2416:R2417"/>
    <mergeCell ref="M1465:M1466"/>
    <mergeCell ref="F1349:I1349"/>
    <mergeCell ref="O22:O23"/>
    <mergeCell ref="B132:C132"/>
    <mergeCell ref="P229:P230"/>
    <mergeCell ref="N1226:N1227"/>
    <mergeCell ref="O2134:O2135"/>
    <mergeCell ref="O2265:O2266"/>
    <mergeCell ref="Q1683:Q1684"/>
    <mergeCell ref="J1308:J1309"/>
    <mergeCell ref="O138:O139"/>
    <mergeCell ref="B1102:H1102"/>
    <mergeCell ref="A342:A343"/>
    <mergeCell ref="B457:C457"/>
    <mergeCell ref="J725:L725"/>
    <mergeCell ref="A10:A11"/>
    <mergeCell ref="H684:I684"/>
    <mergeCell ref="A2122:A2123"/>
    <mergeCell ref="K1427:K1428"/>
    <mergeCell ref="J2505:L2505"/>
    <mergeCell ref="J420:L420"/>
    <mergeCell ref="P1317:P1318"/>
    <mergeCell ref="B1402:H1402"/>
    <mergeCell ref="B757:C757"/>
    <mergeCell ref="K2032:K2033"/>
    <mergeCell ref="J1025:L1025"/>
    <mergeCell ref="A310:A311"/>
    <mergeCell ref="K1727:K1728"/>
    <mergeCell ref="J362:J363"/>
    <mergeCell ref="B1702:H1702"/>
    <mergeCell ref="N2157:N2158"/>
    <mergeCell ref="K2332:K2333"/>
    <mergeCell ref="M819:M820"/>
    <mergeCell ref="P488:R488"/>
    <mergeCell ref="O496:O497"/>
    <mergeCell ref="O490:O491"/>
    <mergeCell ref="R947:R948"/>
    <mergeCell ref="L339:L340"/>
    <mergeCell ref="M904:O904"/>
    <mergeCell ref="L2582:L2583"/>
    <mergeCell ref="D2063:E2063"/>
    <mergeCell ref="O796:O797"/>
    <mergeCell ref="F1186:I1186"/>
    <mergeCell ref="J321:L321"/>
    <mergeCell ref="H1310:I1310"/>
    <mergeCell ref="D577:E577"/>
    <mergeCell ref="B1303:H1303"/>
    <mergeCell ref="M1488:M1489"/>
    <mergeCell ref="D120:E120"/>
    <mergeCell ref="R217:R218"/>
    <mergeCell ref="J1619:J1620"/>
    <mergeCell ref="Q2253:Q2254"/>
    <mergeCell ref="D2363:E2363"/>
    <mergeCell ref="J589:J590"/>
    <mergeCell ref="B1608:L1608"/>
    <mergeCell ref="B998:H998"/>
    <mergeCell ref="M572:M573"/>
    <mergeCell ref="B812:C812"/>
    <mergeCell ref="P915:P916"/>
    <mergeCell ref="F2579:I2579"/>
    <mergeCell ref="F2160:I2160"/>
    <mergeCell ref="Q2367:Q2368"/>
    <mergeCell ref="M1177:M1178"/>
    <mergeCell ref="P1520:P1521"/>
    <mergeCell ref="K1869:K1870"/>
    <mergeCell ref="P1215:P1216"/>
    <mergeCell ref="N83:N84"/>
    <mergeCell ref="M1477:M1478"/>
    <mergeCell ref="K2169:K2170"/>
    <mergeCell ref="Q153:Q154"/>
    <mergeCell ref="F66:I66"/>
    <mergeCell ref="M1389:M1390"/>
    <mergeCell ref="L508:L509"/>
    <mergeCell ref="H1801:I1801"/>
    <mergeCell ref="P2303:P2304"/>
    <mergeCell ref="Q941:Q942"/>
    <mergeCell ref="O965:O966"/>
    <mergeCell ref="B296:L296"/>
    <mergeCell ref="L1113:L1114"/>
    <mergeCell ref="B1170:C1170"/>
    <mergeCell ref="B1771:H1771"/>
    <mergeCell ref="K1439:K1440"/>
    <mergeCell ref="J1394:L1394"/>
    <mergeCell ref="H1452:I1452"/>
    <mergeCell ref="N2384:N2385"/>
    <mergeCell ref="A706:A707"/>
    <mergeCell ref="B1597:H1597"/>
    <mergeCell ref="J1089:L1089"/>
    <mergeCell ref="Q1241:Q1242"/>
    <mergeCell ref="K2227:K2228"/>
    <mergeCell ref="N2570:N2571"/>
    <mergeCell ref="B2202:H2202"/>
    <mergeCell ref="F691:I691"/>
    <mergeCell ref="N2265:N2266"/>
    <mergeCell ref="L1133:L1134"/>
    <mergeCell ref="B1766:H1766"/>
    <mergeCell ref="N2221:N2222"/>
    <mergeCell ref="J2069:L2069"/>
    <mergeCell ref="J1189:J1190"/>
    <mergeCell ref="O560:O561"/>
    <mergeCell ref="M77:M78"/>
    <mergeCell ref="M2320:M2321"/>
    <mergeCell ref="O860:O861"/>
    <mergeCell ref="R1203:R1204"/>
    <mergeCell ref="R1334:R1335"/>
    <mergeCell ref="P202:P203"/>
    <mergeCell ref="B1644:C1644"/>
    <mergeCell ref="M377:M378"/>
    <mergeCell ref="J1706:J1707"/>
    <mergeCell ref="L703:L704"/>
    <mergeCell ref="D184:E184"/>
    <mergeCell ref="R1029:R1030"/>
    <mergeCell ref="M2157:M2158"/>
    <mergeCell ref="J1401:J1402"/>
    <mergeCell ref="R1503:R1504"/>
    <mergeCell ref="L819:L820"/>
    <mergeCell ref="H27:I27"/>
    <mergeCell ref="F2230:I2230"/>
    <mergeCell ref="B1944:C1944"/>
    <mergeCell ref="B14:H14"/>
    <mergeCell ref="B1487:C1487"/>
    <mergeCell ref="N496:N497"/>
    <mergeCell ref="A1497:A1498"/>
    <mergeCell ref="A1040:A1041"/>
    <mergeCell ref="N1101:N1102"/>
    <mergeCell ref="A1034:A1035"/>
    <mergeCell ref="K339:K340"/>
    <mergeCell ref="F2530:I2530"/>
    <mergeCell ref="B1313:C1313"/>
    <mergeCell ref="K2582:K2583"/>
    <mergeCell ref="B314:H314"/>
    <mergeCell ref="K453:K454"/>
    <mergeCell ref="N796:N797"/>
    <mergeCell ref="A1797:A1798"/>
    <mergeCell ref="K2239:K2240"/>
    <mergeCell ref="F130:I130"/>
    <mergeCell ref="R1808:R1809"/>
    <mergeCell ref="D1705:E1705"/>
    <mergeCell ref="H1865:I1865"/>
    <mergeCell ref="R1802:R1803"/>
    <mergeCell ref="B2270:C2270"/>
    <mergeCell ref="P2367:P2368"/>
    <mergeCell ref="L1177:L1178"/>
    <mergeCell ref="O1651:O1652"/>
    <mergeCell ref="J2206:L2206"/>
    <mergeCell ref="M2210:M2211"/>
    <mergeCell ref="H2584:I2584"/>
    <mergeCell ref="H2165:I2165"/>
    <mergeCell ref="P557:P558"/>
    <mergeCell ref="A1392:A1393"/>
    <mergeCell ref="L1477:L1478"/>
    <mergeCell ref="F1218:I1218"/>
    <mergeCell ref="O1951:O1952"/>
    <mergeCell ref="D1089:E1089"/>
    <mergeCell ref="A1093:A1094"/>
    <mergeCell ref="B1853:H1853"/>
    <mergeCell ref="J2175:J2176"/>
    <mergeCell ref="F755:I755"/>
    <mergeCell ref="J1476:L1476"/>
    <mergeCell ref="H2465:I2465"/>
    <mergeCell ref="B1324:C1324"/>
    <mergeCell ref="L1389:L1390"/>
    <mergeCell ref="N938:N939"/>
    <mergeCell ref="K656:K657"/>
    <mergeCell ref="D1301:E1301"/>
    <mergeCell ref="R2335:R2336"/>
    <mergeCell ref="R1398:R1399"/>
    <mergeCell ref="N1238:N1239"/>
    <mergeCell ref="J1770:J1771"/>
    <mergeCell ref="H396:I396"/>
    <mergeCell ref="Q1122:Q1123"/>
    <mergeCell ref="R2003:R2004"/>
    <mergeCell ref="R333:R334"/>
    <mergeCell ref="J2533:J2534"/>
    <mergeCell ref="H91:I91"/>
    <mergeCell ref="R1698:R1699"/>
    <mergeCell ref="B84:H84"/>
    <mergeCell ref="J2070:J2071"/>
    <mergeCell ref="Q1453:Q1454"/>
    <mergeCell ref="H696:I696"/>
    <mergeCell ref="J74:J75"/>
    <mergeCell ref="J1487:L1487"/>
    <mergeCell ref="N1296:N1297"/>
    <mergeCell ref="B384:H384"/>
    <mergeCell ref="B378:H378"/>
    <mergeCell ref="J2370:J2371"/>
    <mergeCell ref="F1546:I1546"/>
    <mergeCell ref="Q1753:Q1754"/>
    <mergeCell ref="N991:N992"/>
    <mergeCell ref="Q1334:Q1335"/>
    <mergeCell ref="O202:O203"/>
    <mergeCell ref="Q1290:Q1291"/>
    <mergeCell ref="F1529:I1529"/>
    <mergeCell ref="A1861:A1862"/>
    <mergeCell ref="N1596:N1597"/>
    <mergeCell ref="L2163:L2164"/>
    <mergeCell ref="M258:M259"/>
    <mergeCell ref="D2232:E2232"/>
    <mergeCell ref="L2294:L2295"/>
    <mergeCell ref="D1775:E1775"/>
    <mergeCell ref="Q2053:Q2054"/>
    <mergeCell ref="D1769:E1769"/>
    <mergeCell ref="Q1634:Q1635"/>
    <mergeCell ref="J2575:L2575"/>
    <mergeCell ref="O502:O503"/>
    <mergeCell ref="J2156:L2156"/>
    <mergeCell ref="J101:J102"/>
    <mergeCell ref="R2477:R2478"/>
    <mergeCell ref="D289:E289"/>
    <mergeCell ref="R386:R387"/>
    <mergeCell ref="O1715:O1716"/>
    <mergeCell ref="D2532:E2532"/>
    <mergeCell ref="J758:J759"/>
    <mergeCell ref="R2172:R2173"/>
    <mergeCell ref="H233:I233"/>
    <mergeCell ref="O2021:O2022"/>
    <mergeCell ref="O2015:O2016"/>
    <mergeCell ref="P1226:P1227"/>
    <mergeCell ref="M470:M471"/>
    <mergeCell ref="R229:R230"/>
    <mergeCell ref="J1058:J1059"/>
    <mergeCell ref="B2522:H2522"/>
    <mergeCell ref="P354:P355"/>
    <mergeCell ref="B213:C213"/>
    <mergeCell ref="A92:A93"/>
    <mergeCell ref="B852:H852"/>
    <mergeCell ref="K1482:K1483"/>
    <mergeCell ref="B2456:C2456"/>
    <mergeCell ref="J475:L475"/>
    <mergeCell ref="H533:I533"/>
    <mergeCell ref="R598:R599"/>
    <mergeCell ref="N1651:N1652"/>
    <mergeCell ref="P968:R968"/>
    <mergeCell ref="R2530:R2531"/>
    <mergeCell ref="K1477:K1478"/>
    <mergeCell ref="N2370:N2371"/>
    <mergeCell ref="D2427:E2427"/>
    <mergeCell ref="B882:C882"/>
    <mergeCell ref="B1483:H1483"/>
    <mergeCell ref="P979:P980"/>
    <mergeCell ref="N1951:N1952"/>
    <mergeCell ref="D300:E300"/>
    <mergeCell ref="H591:I591"/>
    <mergeCell ref="B1195:H1195"/>
    <mergeCell ref="J687:L687"/>
    <mergeCell ref="O246:O247"/>
    <mergeCell ref="N2282:N2283"/>
    <mergeCell ref="O2489:O2490"/>
    <mergeCell ref="M938:M939"/>
    <mergeCell ref="L89:L90"/>
    <mergeCell ref="L2332:L2333"/>
    <mergeCell ref="J787:J788"/>
    <mergeCell ref="L1875:L1876"/>
    <mergeCell ref="F1616:I1616"/>
    <mergeCell ref="F1610:I1610"/>
    <mergeCell ref="Q1817:Q1818"/>
    <mergeCell ref="B1053:H1053"/>
    <mergeCell ref="M1238:M1239"/>
    <mergeCell ref="F1311:I1311"/>
    <mergeCell ref="Q2003:Q2004"/>
    <mergeCell ref="J1087:J1088"/>
    <mergeCell ref="B568:C568"/>
    <mergeCell ref="F2373:I2373"/>
    <mergeCell ref="O572:O573"/>
    <mergeCell ref="B1356:C1356"/>
    <mergeCell ref="P1453:P1454"/>
    <mergeCell ref="D353:E353"/>
    <mergeCell ref="K1625:K1626"/>
    <mergeCell ref="K1619:K1620"/>
    <mergeCell ref="J740:L740"/>
    <mergeCell ref="J1292:L1292"/>
    <mergeCell ref="B1656:C1656"/>
    <mergeCell ref="P1753:P1754"/>
    <mergeCell ref="A1209:A1210"/>
    <mergeCell ref="H946:I946"/>
    <mergeCell ref="P2358:P2359"/>
    <mergeCell ref="M1602:M1603"/>
    <mergeCell ref="K2599:K2600"/>
    <mergeCell ref="A746:A747"/>
    <mergeCell ref="M1596:M1597"/>
    <mergeCell ref="B321:C321"/>
    <mergeCell ref="K51:K52"/>
    <mergeCell ref="M1139:M1140"/>
    <mergeCell ref="L258:L259"/>
    <mergeCell ref="J1129:L1129"/>
    <mergeCell ref="H1551:I1551"/>
    <mergeCell ref="K2294:K2295"/>
    <mergeCell ref="P2053:P2054"/>
    <mergeCell ref="H1246:I1246"/>
    <mergeCell ref="Q2477:Q2478"/>
    <mergeCell ref="M1439:M1440"/>
    <mergeCell ref="J1098:J1099"/>
    <mergeCell ref="Q60:Q61"/>
    <mergeCell ref="Q2172:Q2173"/>
    <mergeCell ref="P1224:R1224"/>
    <mergeCell ref="Q665:Q666"/>
    <mergeCell ref="N2021:N2022"/>
    <mergeCell ref="L889:L890"/>
    <mergeCell ref="L470:L471"/>
    <mergeCell ref="H1877:I1877"/>
    <mergeCell ref="J882:L882"/>
    <mergeCell ref="D687:E687"/>
    <mergeCell ref="N2346:N2347"/>
    <mergeCell ref="R784:R785"/>
    <mergeCell ref="J2186:J2187"/>
    <mergeCell ref="L1189:L1190"/>
    <mergeCell ref="L159:L160"/>
    <mergeCell ref="J1057:L1057"/>
    <mergeCell ref="M2070:M2071"/>
    <mergeCell ref="D382:E382"/>
    <mergeCell ref="A799:A800"/>
    <mergeCell ref="R479:R480"/>
    <mergeCell ref="K2189:K2190"/>
    <mergeCell ref="K2610:K2611"/>
    <mergeCell ref="J851:J852"/>
    <mergeCell ref="O610:O611"/>
    <mergeCell ref="B2164:H2164"/>
    <mergeCell ref="B463:C463"/>
    <mergeCell ref="R1084:R1085"/>
    <mergeCell ref="M127:M128"/>
    <mergeCell ref="J1456:J1457"/>
    <mergeCell ref="M2370:M2371"/>
    <mergeCell ref="J1157:J1158"/>
    <mergeCell ref="R1872:R1873"/>
    <mergeCell ref="J1151:J1152"/>
    <mergeCell ref="Q534:Q535"/>
    <mergeCell ref="J873:L873"/>
    <mergeCell ref="F1980:I1980"/>
    <mergeCell ref="B763:C763"/>
    <mergeCell ref="N246:N247"/>
    <mergeCell ref="M936:O936"/>
    <mergeCell ref="B1368:C1368"/>
    <mergeCell ref="N377:N378"/>
    <mergeCell ref="Q720:Q721"/>
    <mergeCell ref="B1420:C1420"/>
    <mergeCell ref="M2282:M2283"/>
    <mergeCell ref="Q834:Q835"/>
    <mergeCell ref="K89:K90"/>
    <mergeCell ref="M1672:O1672"/>
    <mergeCell ref="J1356:L1356"/>
    <mergeCell ref="Q371:Q372"/>
    <mergeCell ref="A1578:A1579"/>
    <mergeCell ref="D740:E740"/>
    <mergeCell ref="K1875:K1876"/>
    <mergeCell ref="M2582:M2583"/>
    <mergeCell ref="Q1020:Q1021"/>
    <mergeCell ref="B1720:C1720"/>
    <mergeCell ref="B2033:H2033"/>
    <mergeCell ref="D2520:E2520"/>
    <mergeCell ref="B395:H395"/>
    <mergeCell ref="J1656:L1656"/>
    <mergeCell ref="M1666:M1667"/>
    <mergeCell ref="P2003:P2004"/>
    <mergeCell ref="M2024:O2024"/>
    <mergeCell ref="J1199:L1199"/>
    <mergeCell ref="A1878:A1879"/>
    <mergeCell ref="P2140:P2141"/>
    <mergeCell ref="R1558:R1559"/>
    <mergeCell ref="B2219:H2219"/>
    <mergeCell ref="B2020:C2020"/>
    <mergeCell ref="J2261:L2261"/>
    <mergeCell ref="B90:H90"/>
    <mergeCell ref="B2333:H2333"/>
    <mergeCell ref="A1573:A1574"/>
    <mergeCell ref="J1956:L1956"/>
    <mergeCell ref="K2506:K2507"/>
    <mergeCell ref="J1625:J1626"/>
    <mergeCell ref="J926:L926"/>
    <mergeCell ref="A1759:A1760"/>
    <mergeCell ref="F2585:I2585"/>
    <mergeCell ref="P307:P308"/>
    <mergeCell ref="B1603:H1603"/>
    <mergeCell ref="O1427:O1428"/>
    <mergeCell ref="L1602:L1603"/>
    <mergeCell ref="J51:J52"/>
    <mergeCell ref="L1139:L1140"/>
    <mergeCell ref="R1884:R1885"/>
    <mergeCell ref="D751:E751"/>
    <mergeCell ref="O1727:O1728"/>
    <mergeCell ref="B268:C268"/>
    <mergeCell ref="P365:P366"/>
    <mergeCell ref="K537:K538"/>
    <mergeCell ref="B2511:C2511"/>
    <mergeCell ref="F1180:I1180"/>
    <mergeCell ref="B2228:H2228"/>
    <mergeCell ref="D1051:E1051"/>
    <mergeCell ref="P60:P61"/>
    <mergeCell ref="B1749:C1749"/>
    <mergeCell ref="P1846:P1847"/>
    <mergeCell ref="P665:P666"/>
    <mergeCell ref="H146:I146"/>
    <mergeCell ref="K889:K890"/>
    <mergeCell ref="N1363:N1364"/>
    <mergeCell ref="P2451:P2452"/>
    <mergeCell ref="M1689:M1690"/>
    <mergeCell ref="K1494:K1495"/>
    <mergeCell ref="H2063:I2063"/>
    <mergeCell ref="Q1203:Q1204"/>
    <mergeCell ref="Q784:Q785"/>
    <mergeCell ref="K1189:K1190"/>
    <mergeCell ref="H577:I577"/>
    <mergeCell ref="K159:K160"/>
    <mergeCell ref="N1046:N1047"/>
    <mergeCell ref="M1736:O1736"/>
    <mergeCell ref="F234:I234"/>
    <mergeCell ref="B134:H134"/>
    <mergeCell ref="L1744:L1745"/>
    <mergeCell ref="Q1503:Q1504"/>
    <mergeCell ref="Q1090:Q1091"/>
    <mergeCell ref="Q1084:Q1085"/>
    <mergeCell ref="J2025:L2025"/>
    <mergeCell ref="B503:H503"/>
    <mergeCell ref="Q1872:Q1873"/>
    <mergeCell ref="J126:L126"/>
    <mergeCell ref="P2204:P2205"/>
    <mergeCell ref="L2044:L2045"/>
    <mergeCell ref="P534:P535"/>
    <mergeCell ref="J2369:L2369"/>
    <mergeCell ref="B808:L808"/>
    <mergeCell ref="J2325:L2325"/>
    <mergeCell ref="F1322:I1322"/>
    <mergeCell ref="D1220:E1220"/>
    <mergeCell ref="B803:H803"/>
    <mergeCell ref="Q1715:Q1716"/>
    <mergeCell ref="P834:P835"/>
    <mergeCell ref="A1829:A1830"/>
    <mergeCell ref="D1956:E1956"/>
    <mergeCell ref="M525:M526"/>
    <mergeCell ref="R2596:R2597"/>
    <mergeCell ref="K1680:K1681"/>
    <mergeCell ref="P1439:P1440"/>
    <mergeCell ref="R48:R49"/>
    <mergeCell ref="M220:M221"/>
    <mergeCell ref="D1737:E1737"/>
    <mergeCell ref="R354:R355"/>
    <mergeCell ref="P136:R136"/>
    <mergeCell ref="R348:R349"/>
    <mergeCell ref="R2591:R2592"/>
    <mergeCell ref="L275:L276"/>
    <mergeCell ref="B332:C332"/>
    <mergeCell ref="B2575:C2575"/>
    <mergeCell ref="M1308:M1309"/>
    <mergeCell ref="J137:L137"/>
    <mergeCell ref="J268:L268"/>
    <mergeCell ref="A2128:A2129"/>
    <mergeCell ref="F1375:I1375"/>
    <mergeCell ref="N2189:N2190"/>
    <mergeCell ref="P735:P736"/>
    <mergeCell ref="H958:I958"/>
    <mergeCell ref="L156:L157"/>
    <mergeCell ref="B945:H945"/>
    <mergeCell ref="A185:A186"/>
    <mergeCell ref="N1427:N1428"/>
    <mergeCell ref="B2418:C2418"/>
    <mergeCell ref="A2428:A2429"/>
    <mergeCell ref="J237:J238"/>
    <mergeCell ref="A1971:A1972"/>
    <mergeCell ref="N2032:N2033"/>
    <mergeCell ref="J2354:L2354"/>
    <mergeCell ref="J537:J538"/>
    <mergeCell ref="F1366:I1366"/>
    <mergeCell ref="M994:M995"/>
    <mergeCell ref="R953:R954"/>
    <mergeCell ref="O2282:O2283"/>
    <mergeCell ref="R496:R497"/>
    <mergeCell ref="H553:I553"/>
    <mergeCell ref="J1325:J1326"/>
    <mergeCell ref="R490:R491"/>
    <mergeCell ref="O671:O672"/>
    <mergeCell ref="F1061:I1061"/>
    <mergeCell ref="O665:O666"/>
    <mergeCell ref="L2413:L2414"/>
    <mergeCell ref="O208:O209"/>
    <mergeCell ref="L2108:L2109"/>
    <mergeCell ref="O2451:O2452"/>
    <mergeCell ref="O322:O323"/>
    <mergeCell ref="O2582:O2583"/>
    <mergeCell ref="B1106:C1106"/>
    <mergeCell ref="F2454:I2454"/>
    <mergeCell ref="J1162:J1163"/>
    <mergeCell ref="L165:L166"/>
    <mergeCell ref="A659:A660"/>
    <mergeCell ref="B801:C801"/>
    <mergeCell ref="J1042:L1042"/>
    <mergeCell ref="F2149:I2149"/>
    <mergeCell ref="M589:M590"/>
    <mergeCell ref="B1406:C1406"/>
    <mergeCell ref="K1744:K1745"/>
    <mergeCell ref="P1503:P1504"/>
    <mergeCell ref="A959:A960"/>
    <mergeCell ref="K2349:K2350"/>
    <mergeCell ref="P758:P759"/>
    <mergeCell ref="J1342:L1342"/>
    <mergeCell ref="N1869:N1870"/>
    <mergeCell ref="K2044:K2045"/>
    <mergeCell ref="N258:N259"/>
    <mergeCell ref="K1587:K1588"/>
    <mergeCell ref="P1058:P1059"/>
    <mergeCell ref="H539:I539"/>
    <mergeCell ref="K101:K102"/>
    <mergeCell ref="O813:O814"/>
    <mergeCell ref="L51:L52"/>
    <mergeCell ref="H1327:I1327"/>
    <mergeCell ref="L525:L526"/>
    <mergeCell ref="D137:E137"/>
    <mergeCell ref="L226:L227"/>
    <mergeCell ref="J937:L937"/>
    <mergeCell ref="L220:L221"/>
    <mergeCell ref="B1015:H1015"/>
    <mergeCell ref="K1645:K1646"/>
    <mergeCell ref="H1627:I1627"/>
    <mergeCell ref="B1620:H1620"/>
    <mergeCell ref="N2096:N2097"/>
    <mergeCell ref="J2418:L2418"/>
    <mergeCell ref="Q2570:Q2571"/>
    <mergeCell ref="K2402:K2403"/>
    <mergeCell ref="B1315:H1315"/>
    <mergeCell ref="K1945:K1946"/>
    <mergeCell ref="D132:E132"/>
    <mergeCell ref="A549:A550"/>
    <mergeCell ref="L1308:L1309"/>
    <mergeCell ref="N2396:N2397"/>
    <mergeCell ref="D920:E920"/>
    <mergeCell ref="D463:E463"/>
    <mergeCell ref="R560:R561"/>
    <mergeCell ref="K2245:K2246"/>
    <mergeCell ref="O735:O736"/>
    <mergeCell ref="D1525:E1525"/>
    <mergeCell ref="R1622:R1623"/>
    <mergeCell ref="P77:P78"/>
    <mergeCell ref="B513:C513"/>
    <mergeCell ref="K243:K244"/>
    <mergeCell ref="P2320:P2321"/>
    <mergeCell ref="B2594:L2594"/>
    <mergeCell ref="R860:R861"/>
    <mergeCell ref="N127:N128"/>
    <mergeCell ref="B425:C425"/>
    <mergeCell ref="H2101:I2101"/>
    <mergeCell ref="N458:N459"/>
    <mergeCell ref="A1328:A1329"/>
    <mergeCell ref="J1989:J1990"/>
    <mergeCell ref="B1470:C1470"/>
    <mergeCell ref="H1769:I1769"/>
    <mergeCell ref="M2332:M2333"/>
    <mergeCell ref="Q953:Q954"/>
    <mergeCell ref="D2276:E2276"/>
    <mergeCell ref="Q496:Q497"/>
    <mergeCell ref="J1412:L1412"/>
    <mergeCell ref="K2413:K2414"/>
    <mergeCell ref="H2401:I2401"/>
    <mergeCell ref="J1406:L1406"/>
    <mergeCell ref="P1890:P1891"/>
    <mergeCell ref="F403:I403"/>
    <mergeCell ref="N758:N759"/>
    <mergeCell ref="P2248:R2248"/>
    <mergeCell ref="N339:N340"/>
    <mergeCell ref="Q796:Q797"/>
    <mergeCell ref="N2125:N2126"/>
    <mergeCell ref="O877:O878"/>
    <mergeCell ref="L1052:L1053"/>
    <mergeCell ref="F2335:I2335"/>
    <mergeCell ref="M394:M395"/>
    <mergeCell ref="O1482:O1483"/>
    <mergeCell ref="B2600:H2600"/>
    <mergeCell ref="B515:H515"/>
    <mergeCell ref="O1177:O1178"/>
    <mergeCell ref="R1520:R1521"/>
    <mergeCell ref="R1651:R1652"/>
    <mergeCell ref="M694:M695"/>
    <mergeCell ref="F761:I761"/>
    <mergeCell ref="J1718:J1719"/>
    <mergeCell ref="B1199:C1199"/>
    <mergeCell ref="B18:C18"/>
    <mergeCell ref="O1477:O1478"/>
    <mergeCell ref="P115:P116"/>
    <mergeCell ref="B2261:C2261"/>
    <mergeCell ref="B1804:C1804"/>
    <mergeCell ref="N813:N814"/>
    <mergeCell ref="B1984:H1984"/>
    <mergeCell ref="B1499:C1499"/>
    <mergeCell ref="B2353:H2353"/>
    <mergeCell ref="Q938:Q939"/>
    <mergeCell ref="N1113:N1114"/>
    <mergeCell ref="P790:P791"/>
    <mergeCell ref="L1194:L1195"/>
    <mergeCell ref="B2473:C2473"/>
    <mergeCell ref="P2570:P2571"/>
    <mergeCell ref="R1573:R1574"/>
    <mergeCell ref="N1413:N1414"/>
    <mergeCell ref="B2587:C2587"/>
    <mergeCell ref="B657:H657"/>
    <mergeCell ref="B1557:C1557"/>
    <mergeCell ref="J406:J407"/>
    <mergeCell ref="L1494:L1495"/>
    <mergeCell ref="O1837:O1838"/>
    <mergeCell ref="F1235:I1235"/>
    <mergeCell ref="M2533:M2534"/>
    <mergeCell ref="J2523:L2523"/>
    <mergeCell ref="J1362:L1362"/>
    <mergeCell ref="H239:I239"/>
    <mergeCell ref="H2482:I2482"/>
    <mergeCell ref="Q1628:Q1629"/>
    <mergeCell ref="H2025:I2025"/>
    <mergeCell ref="A1709:A1710"/>
    <mergeCell ref="B1857:C1857"/>
    <mergeCell ref="P2312:R2312"/>
    <mergeCell ref="O77:O78"/>
    <mergeCell ref="Q1165:Q1166"/>
    <mergeCell ref="F1535:I1535"/>
    <mergeCell ref="O2320:O2321"/>
    <mergeCell ref="J243:J244"/>
    <mergeCell ref="A1410:A1411"/>
    <mergeCell ref="J1662:L1662"/>
    <mergeCell ref="F1072:I1072"/>
    <mergeCell ref="J1793:L1793"/>
    <mergeCell ref="N1008:N1009"/>
    <mergeCell ref="L2125:L2126"/>
    <mergeCell ref="J2450:L2450"/>
    <mergeCell ref="O377:O378"/>
    <mergeCell ref="L1706:L1707"/>
    <mergeCell ref="N709:N710"/>
    <mergeCell ref="P258:P259"/>
    <mergeCell ref="K1430:K1431"/>
    <mergeCell ref="M458:M459"/>
    <mergeCell ref="D1487:E1487"/>
    <mergeCell ref="D1618:E1618"/>
    <mergeCell ref="O1890:O1891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J2387:J2388"/>
    <mergeCell ref="M392:O392"/>
    <mergeCell ref="H1013:I1013"/>
    <mergeCell ref="J18:L18"/>
    <mergeCell ref="K1756:K1757"/>
    <mergeCell ref="B388:C388"/>
    <mergeCell ref="K726:K727"/>
    <mergeCell ref="P485:P486"/>
    <mergeCell ref="N1482:N1483"/>
    <mergeCell ref="J1804:L1804"/>
    <mergeCell ref="H708:I708"/>
    <mergeCell ref="B701:H701"/>
    <mergeCell ref="N1177:N1178"/>
    <mergeCell ref="A2178:A2179"/>
    <mergeCell ref="A1721:A1722"/>
    <mergeCell ref="L694:L695"/>
    <mergeCell ref="K1026:K1027"/>
    <mergeCell ref="M2472:O2472"/>
    <mergeCell ref="L2480:L2481"/>
    <mergeCell ref="D1540:E1540"/>
    <mergeCell ref="O121:O122"/>
    <mergeCell ref="D2092:E2092"/>
    <mergeCell ref="J676:L676"/>
    <mergeCell ref="A2090:A2091"/>
    <mergeCell ref="P1154:P1155"/>
    <mergeCell ref="J2473:L2473"/>
    <mergeCell ref="B1789:H1789"/>
    <mergeCell ref="J344:L344"/>
    <mergeCell ref="H766:I766"/>
    <mergeCell ref="J13:J14"/>
    <mergeCell ref="R703:R704"/>
    <mergeCell ref="H309:I309"/>
    <mergeCell ref="B1326:H1326"/>
    <mergeCell ref="O2032:O2033"/>
    <mergeCell ref="R246:R247"/>
    <mergeCell ref="J1075:J1076"/>
    <mergeCell ref="O421:O422"/>
    <mergeCell ref="R2489:R2490"/>
    <mergeCell ref="K2114:K2115"/>
    <mergeCell ref="A1779:A1780"/>
    <mergeCell ref="J313:J314"/>
    <mergeCell ref="O2332:O2333"/>
    <mergeCell ref="H609:I609"/>
    <mergeCell ref="M787:M788"/>
    <mergeCell ref="J918:J919"/>
    <mergeCell ref="A2079:A2080"/>
    <mergeCell ref="F1785:I1785"/>
    <mergeCell ref="B530:C530"/>
    <mergeCell ref="B111:C111"/>
    <mergeCell ref="P208:P209"/>
    <mergeCell ref="B225:C225"/>
    <mergeCell ref="L2533:L2534"/>
    <mergeCell ref="M1744:M1745"/>
    <mergeCell ref="L2076:L2077"/>
    <mergeCell ref="N1625:N1626"/>
    <mergeCell ref="D1682:E1682"/>
    <mergeCell ref="Q970:Q971"/>
    <mergeCell ref="P1165:P1166"/>
    <mergeCell ref="D2287:E2287"/>
    <mergeCell ref="P1296:P1297"/>
    <mergeCell ref="H777:I777"/>
    <mergeCell ref="M1471:M1472"/>
    <mergeCell ref="J1004:L1004"/>
    <mergeCell ref="K2125:K2126"/>
    <mergeCell ref="O563:O564"/>
    <mergeCell ref="H1540:I1540"/>
    <mergeCell ref="J88:L88"/>
    <mergeCell ref="P1596:P1597"/>
    <mergeCell ref="H1077:I1077"/>
    <mergeCell ref="N51:N52"/>
    <mergeCell ref="A921:A922"/>
    <mergeCell ref="N2294:N2295"/>
    <mergeCell ref="K2425:K2426"/>
    <mergeCell ref="F1933:I1933"/>
    <mergeCell ref="K1395:K1396"/>
    <mergeCell ref="J388:L388"/>
    <mergeCell ref="N2309:N2310"/>
    <mergeCell ref="A610:A611"/>
    <mergeCell ref="K1695:K1696"/>
    <mergeCell ref="B264:L264"/>
    <mergeCell ref="B1739:H1739"/>
    <mergeCell ref="Q2021:Q2022"/>
    <mergeCell ref="R659:R660"/>
    <mergeCell ref="N499:N500"/>
    <mergeCell ref="L1058:L1059"/>
    <mergeCell ref="B1673:C1673"/>
    <mergeCell ref="D676:E676"/>
    <mergeCell ref="R773:R774"/>
    <mergeCell ref="B1434:H1434"/>
    <mergeCell ref="D257:E257"/>
    <mergeCell ref="D213:E213"/>
    <mergeCell ref="D2456:E2456"/>
    <mergeCell ref="B2039:H2039"/>
    <mergeCell ref="M1613:M1614"/>
    <mergeCell ref="N2521:N2522"/>
    <mergeCell ref="R959:R960"/>
    <mergeCell ref="B2344:L2344"/>
    <mergeCell ref="N2610:N2611"/>
    <mergeCell ref="D513:E513"/>
    <mergeCell ref="M851:M852"/>
    <mergeCell ref="R610:R611"/>
    <mergeCell ref="J1445:J1446"/>
    <mergeCell ref="J1026:J1027"/>
    <mergeCell ref="P127:P128"/>
    <mergeCell ref="M1456:M1457"/>
    <mergeCell ref="F316:I316"/>
    <mergeCell ref="P1704:R1704"/>
    <mergeCell ref="N208:N209"/>
    <mergeCell ref="R2047:R2048"/>
    <mergeCell ref="F2618:I2618"/>
    <mergeCell ref="Q709:Q710"/>
    <mergeCell ref="A333:A334"/>
    <mergeCell ref="Q246:Q247"/>
    <mergeCell ref="P2282:P2283"/>
    <mergeCell ref="F159:I159"/>
    <mergeCell ref="J2114:J2115"/>
    <mergeCell ref="F153:I153"/>
    <mergeCell ref="N95:N96"/>
    <mergeCell ref="N89:N90"/>
    <mergeCell ref="J1531:L1531"/>
    <mergeCell ref="N1875:N1876"/>
    <mergeCell ref="F2613:I2613"/>
    <mergeCell ref="B2513:H2513"/>
    <mergeCell ref="A816:A817"/>
    <mergeCell ref="J1068:L1068"/>
    <mergeCell ref="A1421:A1422"/>
    <mergeCell ref="B2208:H2208"/>
    <mergeCell ref="R1101:R1102"/>
    <mergeCell ref="B1563:C1563"/>
    <mergeCell ref="M144:M145"/>
    <mergeCell ref="K290:K291"/>
    <mergeCell ref="A1116:A1117"/>
    <mergeCell ref="N1183:N1184"/>
    <mergeCell ref="K842:K843"/>
    <mergeCell ref="B1876:H1876"/>
    <mergeCell ref="K2533:K2534"/>
    <mergeCell ref="J1168:J1169"/>
    <mergeCell ref="M1625:M1626"/>
    <mergeCell ref="J1773:J1774"/>
    <mergeCell ref="F2602:I2602"/>
    <mergeCell ref="F517:I517"/>
    <mergeCell ref="R2058:R2059"/>
    <mergeCell ref="F511:I511"/>
    <mergeCell ref="R2189:R2190"/>
    <mergeCell ref="F54:I54"/>
    <mergeCell ref="J1468:J1469"/>
    <mergeCell ref="F2297:I2297"/>
    <mergeCell ref="R1753:R1754"/>
    <mergeCell ref="B328:L328"/>
    <mergeCell ref="L1145:L1146"/>
    <mergeCell ref="J2125:J2126"/>
    <mergeCell ref="N563:N564"/>
    <mergeCell ref="M2599:M2600"/>
    <mergeCell ref="R2358:R2359"/>
    <mergeCell ref="O1602:O1603"/>
    <mergeCell ref="O1596:O1597"/>
    <mergeCell ref="R1328:R1329"/>
    <mergeCell ref="B257:C257"/>
    <mergeCell ref="B2109:H2109"/>
    <mergeCell ref="P2026:P2027"/>
    <mergeCell ref="D926:E926"/>
    <mergeCell ref="B107:H107"/>
    <mergeCell ref="P540:P541"/>
    <mergeCell ref="B1292:C1292"/>
    <mergeCell ref="M1983:M1984"/>
    <mergeCell ref="B2223:C2223"/>
    <mergeCell ref="N1194:N1195"/>
    <mergeCell ref="P2326:P2327"/>
    <mergeCell ref="B2403:H2403"/>
    <mergeCell ref="K432:K433"/>
    <mergeCell ref="H1932:I1932"/>
    <mergeCell ref="J1695:J1696"/>
    <mergeCell ref="A1776:A1777"/>
    <mergeCell ref="B407:H407"/>
    <mergeCell ref="P2021:P2022"/>
    <mergeCell ref="B1307:C1307"/>
    <mergeCell ref="K1037:K1038"/>
    <mergeCell ref="J30:L30"/>
    <mergeCell ref="F985:I985"/>
    <mergeCell ref="A860:A861"/>
    <mergeCell ref="H2238:I2238"/>
    <mergeCell ref="N464:N465"/>
    <mergeCell ref="Q1378:Q1379"/>
    <mergeCell ref="N159:N160"/>
    <mergeCell ref="N764:N765"/>
    <mergeCell ref="O1744:O1745"/>
    <mergeCell ref="O1738:O1739"/>
    <mergeCell ref="J2200:L2200"/>
    <mergeCell ref="O127:O128"/>
    <mergeCell ref="L1456:L1457"/>
    <mergeCell ref="F1197:I1197"/>
    <mergeCell ref="D1068:E1068"/>
    <mergeCell ref="O2044:O2045"/>
    <mergeCell ref="P682:P683"/>
    <mergeCell ref="K906:K907"/>
    <mergeCell ref="F1497:I1497"/>
    <mergeCell ref="D1368:E1368"/>
    <mergeCell ref="P377:P378"/>
    <mergeCell ref="M514:M515"/>
    <mergeCell ref="J1837:J1838"/>
    <mergeCell ref="M95:M96"/>
    <mergeCell ref="F581:I581"/>
    <mergeCell ref="D2156:E2156"/>
    <mergeCell ref="J357:J358"/>
    <mergeCell ref="H158:I158"/>
    <mergeCell ref="P424:R424"/>
    <mergeCell ref="K1811:K1812"/>
    <mergeCell ref="R2445:R2446"/>
    <mergeCell ref="Q1101:Q1102"/>
    <mergeCell ref="O1666:O1667"/>
    <mergeCell ref="R2140:R2141"/>
    <mergeCell ref="K476:K477"/>
    <mergeCell ref="H489:I489"/>
    <mergeCell ref="M1183:M1184"/>
    <mergeCell ref="J1929:L1929"/>
    <mergeCell ref="Q944:Q945"/>
    <mergeCell ref="P1308:P1309"/>
    <mergeCell ref="H789:I789"/>
    <mergeCell ref="B820:H820"/>
    <mergeCell ref="A60:A61"/>
    <mergeCell ref="B2293:C2293"/>
    <mergeCell ref="L118:L119"/>
    <mergeCell ref="Q2189:Q2190"/>
    <mergeCell ref="A2303:A2304"/>
    <mergeCell ref="B2424:C2424"/>
    <mergeCell ref="J112:J113"/>
    <mergeCell ref="D1842:E1842"/>
    <mergeCell ref="B1425:H1425"/>
    <mergeCell ref="A1846:A1847"/>
    <mergeCell ref="K1564:K1565"/>
    <mergeCell ref="N970:N971"/>
    <mergeCell ref="A1840:A1841"/>
    <mergeCell ref="F2102:I2102"/>
    <mergeCell ref="J2229:L2229"/>
    <mergeCell ref="J226:J227"/>
    <mergeCell ref="J2223:L2223"/>
    <mergeCell ref="J100:L100"/>
    <mergeCell ref="J94:L94"/>
    <mergeCell ref="B1120:H1120"/>
    <mergeCell ref="N1602:N1603"/>
    <mergeCell ref="H59:I59"/>
    <mergeCell ref="M237:M238"/>
    <mergeCell ref="J412:J413"/>
    <mergeCell ref="Q2032:Q2033"/>
    <mergeCell ref="A2146:A2147"/>
    <mergeCell ref="N2207:N2208"/>
    <mergeCell ref="F1939:I1939"/>
    <mergeCell ref="J80:J81"/>
    <mergeCell ref="D268:E268"/>
    <mergeCell ref="J63:J64"/>
    <mergeCell ref="R365:R366"/>
    <mergeCell ref="M537:M538"/>
    <mergeCell ref="D2511:E2511"/>
    <mergeCell ref="Q1759:Q1760"/>
    <mergeCell ref="M1194:M1195"/>
    <mergeCell ref="O2457:O2458"/>
    <mergeCell ref="M1325:M1326"/>
    <mergeCell ref="J1500:J1501"/>
    <mergeCell ref="L2588:L2589"/>
    <mergeCell ref="R665:R666"/>
    <mergeCell ref="O1994:O1995"/>
    <mergeCell ref="M584:O584"/>
    <mergeCell ref="J1037:J1038"/>
    <mergeCell ref="B649:C649"/>
    <mergeCell ref="M1494:M1495"/>
    <mergeCell ref="A202:A203"/>
    <mergeCell ref="M464:M465"/>
    <mergeCell ref="B344:C344"/>
    <mergeCell ref="J155:L155"/>
    <mergeCell ref="A2498:A2499"/>
    <mergeCell ref="P1052:P1053"/>
    <mergeCell ref="B949:C949"/>
    <mergeCell ref="Q2506:Q2507"/>
    <mergeCell ref="M764:M765"/>
    <mergeCell ref="A502:A503"/>
    <mergeCell ref="N1744:N1745"/>
    <mergeCell ref="K1462:K1463"/>
    <mergeCell ref="D2412:E2412"/>
    <mergeCell ref="R2509:R2510"/>
    <mergeCell ref="N2349:N2350"/>
    <mergeCell ref="D2526:E2526"/>
    <mergeCell ref="P680:R680"/>
    <mergeCell ref="N2044:N2045"/>
    <mergeCell ref="O682:O683"/>
    <mergeCell ref="H1202:I1202"/>
    <mergeCell ref="F1683:I1683"/>
    <mergeCell ref="L514:L515"/>
    <mergeCell ref="R813:R814"/>
    <mergeCell ref="O988:O989"/>
    <mergeCell ref="J2598:L2598"/>
    <mergeCell ref="O525:O526"/>
    <mergeCell ref="H1502:I1502"/>
    <mergeCell ref="L2431:L2432"/>
    <mergeCell ref="L2425:L2426"/>
    <mergeCell ref="J50:L50"/>
    <mergeCell ref="D312:E312"/>
    <mergeCell ref="J880:J881"/>
    <mergeCell ref="R409:R410"/>
    <mergeCell ref="B1489:H1489"/>
    <mergeCell ref="J2293:L2293"/>
    <mergeCell ref="H1170:I1170"/>
    <mergeCell ref="N2102:N2103"/>
    <mergeCell ref="B1800:L1800"/>
    <mergeCell ref="B1190:H1190"/>
    <mergeCell ref="F2352:I2352"/>
    <mergeCell ref="F223:I223"/>
    <mergeCell ref="Q2140:Q2141"/>
    <mergeCell ref="J350:L350"/>
    <mergeCell ref="J1180:J1181"/>
    <mergeCell ref="F2009:I2009"/>
    <mergeCell ref="N2402:N2403"/>
    <mergeCell ref="N275:N276"/>
    <mergeCell ref="D332:E332"/>
    <mergeCell ref="M601:M602"/>
    <mergeCell ref="K118:K119"/>
    <mergeCell ref="R735:R736"/>
    <mergeCell ref="R1797:R1798"/>
    <mergeCell ref="P252:P253"/>
    <mergeCell ref="O578:O579"/>
    <mergeCell ref="P2495:P2496"/>
    <mergeCell ref="L237:L238"/>
    <mergeCell ref="P2032:P2033"/>
    <mergeCell ref="Q127:Q128"/>
    <mergeCell ref="J655:L655"/>
    <mergeCell ref="H1644:I1644"/>
    <mergeCell ref="B1476:C1476"/>
    <mergeCell ref="B1019:C1019"/>
    <mergeCell ref="A1029:A1030"/>
    <mergeCell ref="B1332:H1332"/>
    <mergeCell ref="A572:A573"/>
    <mergeCell ref="F278:I278"/>
    <mergeCell ref="K1962:K1963"/>
    <mergeCell ref="J955:L955"/>
    <mergeCell ref="H1944:I1944"/>
    <mergeCell ref="J949:L949"/>
    <mergeCell ref="F883:I883"/>
    <mergeCell ref="N2457:N2458"/>
    <mergeCell ref="L1325:L1326"/>
    <mergeCell ref="N2413:N2414"/>
    <mergeCell ref="K2588:K2589"/>
    <mergeCell ref="B1632:H1632"/>
    <mergeCell ref="L1930:L1931"/>
    <mergeCell ref="F578:I578"/>
    <mergeCell ref="N933:N934"/>
    <mergeCell ref="Q339:Q340"/>
    <mergeCell ref="O752:O753"/>
    <mergeCell ref="K592:K593"/>
    <mergeCell ref="A866:A867"/>
    <mergeCell ref="J1124:L1124"/>
    <mergeCell ref="K2262:K2263"/>
    <mergeCell ref="B2289:H2289"/>
    <mergeCell ref="K1957:K1958"/>
    <mergeCell ref="D780:E780"/>
    <mergeCell ref="O1052:O1053"/>
    <mergeCell ref="K892:K893"/>
    <mergeCell ref="H2002:I2002"/>
    <mergeCell ref="R1526:R1527"/>
    <mergeCell ref="P394:P395"/>
    <mergeCell ref="B2589:H2589"/>
    <mergeCell ref="P2085:P2086"/>
    <mergeCell ref="O1657:O1658"/>
    <mergeCell ref="H1697:I1697"/>
    <mergeCell ref="L895:L896"/>
    <mergeCell ref="M106:M107"/>
    <mergeCell ref="J2012:J2013"/>
    <mergeCell ref="M2349:M2350"/>
    <mergeCell ref="H2302:I2302"/>
    <mergeCell ref="J1549:J1550"/>
    <mergeCell ref="M2050:M2051"/>
    <mergeCell ref="A1226:A1227"/>
    <mergeCell ref="J1893:J1894"/>
    <mergeCell ref="J1849:J1850"/>
    <mergeCell ref="Q813:Q814"/>
    <mergeCell ref="B506:H506"/>
    <mergeCell ref="J1729:L1729"/>
    <mergeCell ref="B1042:C1042"/>
    <mergeCell ref="M1733:M1734"/>
    <mergeCell ref="N944:N945"/>
    <mergeCell ref="K188:K189"/>
    <mergeCell ref="N525:N526"/>
    <mergeCell ref="K2431:K2432"/>
    <mergeCell ref="Q1113:Q1114"/>
    <mergeCell ref="M1645:M1646"/>
    <mergeCell ref="H2057:I2057"/>
    <mergeCell ref="O1194:O1195"/>
    <mergeCell ref="L1369:L1370"/>
    <mergeCell ref="J2398:L2398"/>
    <mergeCell ref="M1945:M1946"/>
    <mergeCell ref="H2357:I2357"/>
    <mergeCell ref="F778:I778"/>
    <mergeCell ref="H2313:I2313"/>
    <mergeCell ref="H228:I228"/>
    <mergeCell ref="O1494:O1495"/>
    <mergeCell ref="R1837:R1838"/>
    <mergeCell ref="B215:H215"/>
    <mergeCell ref="L1669:L1670"/>
    <mergeCell ref="J124:J125"/>
    <mergeCell ref="Q1171:Q1172"/>
    <mergeCell ref="J118:J119"/>
    <mergeCell ref="F947:I947"/>
    <mergeCell ref="B520:L520"/>
    <mergeCell ref="R77:R78"/>
    <mergeCell ref="Q1471:Q1472"/>
    <mergeCell ref="P133:P134"/>
    <mergeCell ref="B30:C30"/>
    <mergeCell ref="J1993:L1993"/>
    <mergeCell ref="R2009:R2010"/>
    <mergeCell ref="D1493:E1493"/>
    <mergeCell ref="B361:C361"/>
    <mergeCell ref="R1590:R1591"/>
    <mergeCell ref="P458:P459"/>
    <mergeCell ref="J1962:J1963"/>
    <mergeCell ref="L965:L966"/>
    <mergeCell ref="R2195:R2196"/>
    <mergeCell ref="D1793:E1793"/>
    <mergeCell ref="A2210:A2211"/>
    <mergeCell ref="R1890:R1891"/>
    <mergeCell ref="M933:M934"/>
    <mergeCell ref="J2262:J2263"/>
    <mergeCell ref="B1874:C1874"/>
    <mergeCell ref="J1679:L1679"/>
    <mergeCell ref="B1569:C1569"/>
    <mergeCell ref="B576:H576"/>
    <mergeCell ref="P392:R392"/>
    <mergeCell ref="B570:H570"/>
    <mergeCell ref="F1738:I1738"/>
    <mergeCell ref="B113:H113"/>
    <mergeCell ref="B2174:C2174"/>
    <mergeCell ref="Q1526:Q1527"/>
    <mergeCell ref="O394:O395"/>
    <mergeCell ref="Q1482:Q1483"/>
    <mergeCell ref="N726:N727"/>
    <mergeCell ref="K1314:K1315"/>
    <mergeCell ref="Q2245:Q2246"/>
    <mergeCell ref="A2384:A2385"/>
    <mergeCell ref="F1090:I1090"/>
    <mergeCell ref="Q1826:Q1827"/>
    <mergeCell ref="B2526:C2526"/>
    <mergeCell ref="O694:O695"/>
    <mergeCell ref="N1026:N1027"/>
    <mergeCell ref="J219:L219"/>
    <mergeCell ref="R578:R579"/>
    <mergeCell ref="B1201:H1201"/>
    <mergeCell ref="J2462:L2462"/>
    <mergeCell ref="R121:R122"/>
    <mergeCell ref="D18:E18"/>
    <mergeCell ref="J2005:L2005"/>
    <mergeCell ref="D2267:E2267"/>
    <mergeCell ref="J493:J494"/>
    <mergeCell ref="R2364:R2365"/>
    <mergeCell ref="D1804:E1804"/>
    <mergeCell ref="P813:P814"/>
    <mergeCell ref="J188:J189"/>
    <mergeCell ref="O2207:O2208"/>
    <mergeCell ref="B1501:H1501"/>
    <mergeCell ref="P1418:P1419"/>
    <mergeCell ref="M662:M663"/>
    <mergeCell ref="R421:R422"/>
    <mergeCell ref="H478:I478"/>
    <mergeCell ref="J1250:J1251"/>
    <mergeCell ref="N2114:N2115"/>
    <mergeCell ref="J2431:J2432"/>
    <mergeCell ref="J793:J794"/>
    <mergeCell ref="R790:R791"/>
    <mergeCell ref="B100:C100"/>
    <mergeCell ref="L2381:L2382"/>
    <mergeCell ref="B705:C705"/>
    <mergeCell ref="K1043:K1044"/>
    <mergeCell ref="P802:P803"/>
    <mergeCell ref="P1160:R1160"/>
    <mergeCell ref="D1557:E1557"/>
    <mergeCell ref="L406:L407"/>
    <mergeCell ref="O290:O291"/>
    <mergeCell ref="N1494:N1495"/>
    <mergeCell ref="O2533:O2534"/>
    <mergeCell ref="B1074:C1074"/>
    <mergeCell ref="B1675:H1675"/>
    <mergeCell ref="P1171:P1172"/>
    <mergeCell ref="D2162:E2162"/>
    <mergeCell ref="K1343:K1344"/>
    <mergeCell ref="P714:P715"/>
    <mergeCell ref="J1298:L1298"/>
    <mergeCell ref="D1857:E1857"/>
    <mergeCell ref="K2000:K2001"/>
    <mergeCell ref="N2474:N2475"/>
    <mergeCell ref="B1975:H1975"/>
    <mergeCell ref="P1471:P1472"/>
    <mergeCell ref="H952:I952"/>
    <mergeCell ref="P1014:P1015"/>
    <mergeCell ref="O133:O134"/>
    <mergeCell ref="H1083:I1083"/>
    <mergeCell ref="J330:J331"/>
    <mergeCell ref="D2620:E2620"/>
    <mergeCell ref="B1643:H1643"/>
    <mergeCell ref="R563:R564"/>
    <mergeCell ref="K2300:K2301"/>
    <mergeCell ref="O738:O739"/>
    <mergeCell ref="F1802:I1802"/>
    <mergeCell ref="H321:I321"/>
    <mergeCell ref="Q2009:Q2010"/>
    <mergeCell ref="H1252:I1252"/>
    <mergeCell ref="M973:M974"/>
    <mergeCell ref="N2469:N2470"/>
    <mergeCell ref="H926:I926"/>
    <mergeCell ref="Q2195:Q2196"/>
    <mergeCell ref="H2424:I2424"/>
    <mergeCell ref="F2108:I2108"/>
    <mergeCell ref="Q2309:Q2310"/>
    <mergeCell ref="Q1890:Q1891"/>
    <mergeCell ref="O1826:O1827"/>
    <mergeCell ref="D545:E545"/>
    <mergeCell ref="L607:L608"/>
    <mergeCell ref="D88:E88"/>
    <mergeCell ref="J932:L932"/>
    <mergeCell ref="D2462:E2462"/>
    <mergeCell ref="N2064:N2065"/>
    <mergeCell ref="B1385:C1385"/>
    <mergeCell ref="D388:E388"/>
    <mergeCell ref="M726:M727"/>
    <mergeCell ref="R485:R486"/>
    <mergeCell ref="P1482:P1483"/>
    <mergeCell ref="P1613:P1614"/>
    <mergeCell ref="A938:A939"/>
    <mergeCell ref="M1788:M1789"/>
    <mergeCell ref="M1331:M1332"/>
    <mergeCell ref="J1321:L1321"/>
    <mergeCell ref="M1445:M1446"/>
    <mergeCell ref="M1026:M1027"/>
    <mergeCell ref="J405:L405"/>
    <mergeCell ref="H1394:I1394"/>
    <mergeCell ref="M1631:M1632"/>
    <mergeCell ref="B769:C769"/>
    <mergeCell ref="Q252:Q253"/>
    <mergeCell ref="F34:I34"/>
    <mergeCell ref="B1082:H1082"/>
    <mergeCell ref="A322:A323"/>
    <mergeCell ref="K1712:K1713"/>
    <mergeCell ref="R1706:R1707"/>
    <mergeCell ref="J705:L705"/>
    <mergeCell ref="L1081:L1082"/>
    <mergeCell ref="L1075:L1076"/>
    <mergeCell ref="M2114:M2115"/>
    <mergeCell ref="H2069:I2069"/>
    <mergeCell ref="J1074:L1074"/>
    <mergeCell ref="Q89:Q90"/>
    <mergeCell ref="A1296:A1297"/>
    <mergeCell ref="L1381:L1382"/>
    <mergeCell ref="B1438:C1438"/>
    <mergeCell ref="D993:E993"/>
    <mergeCell ref="B1751:H1751"/>
    <mergeCell ref="A991:A992"/>
    <mergeCell ref="F659:I659"/>
    <mergeCell ref="K2381:K2382"/>
    <mergeCell ref="D530:E530"/>
    <mergeCell ref="A534:A535"/>
    <mergeCell ref="F790:I790"/>
    <mergeCell ref="J1043:J1044"/>
    <mergeCell ref="O802:O803"/>
    <mergeCell ref="J917:L917"/>
    <mergeCell ref="A1596:A1597"/>
    <mergeCell ref="H1752:I1752"/>
    <mergeCell ref="M1930:M1931"/>
    <mergeCell ref="B2356:H2356"/>
    <mergeCell ref="P144:P145"/>
    <mergeCell ref="K2495:K2496"/>
    <mergeCell ref="J1648:J1649"/>
    <mergeCell ref="M2105:M2106"/>
    <mergeCell ref="J1343:J1344"/>
    <mergeCell ref="F2172:I2172"/>
    <mergeCell ref="B492:C492"/>
    <mergeCell ref="O1450:O1451"/>
    <mergeCell ref="N112:N113"/>
    <mergeCell ref="N106:N107"/>
    <mergeCell ref="L671:L672"/>
    <mergeCell ref="O1145:O1146"/>
    <mergeCell ref="Q563:Q564"/>
    <mergeCell ref="P2599:P2600"/>
    <mergeCell ref="R1602:R1603"/>
    <mergeCell ref="J1974:J1975"/>
    <mergeCell ref="N412:N413"/>
    <mergeCell ref="A1465:A1466"/>
    <mergeCell ref="B1580:C1580"/>
    <mergeCell ref="B587:H587"/>
    <mergeCell ref="J1848:L1848"/>
    <mergeCell ref="N1069:N1070"/>
    <mergeCell ref="A1002:A1003"/>
    <mergeCell ref="M1858:M1859"/>
    <mergeCell ref="J1391:L1391"/>
    <mergeCell ref="A1133:A1134"/>
    <mergeCell ref="J1385:L1385"/>
    <mergeCell ref="M1395:M1396"/>
    <mergeCell ref="P197:P198"/>
    <mergeCell ref="B282:H282"/>
    <mergeCell ref="O944:O945"/>
    <mergeCell ref="K912:K913"/>
    <mergeCell ref="A1738:A1739"/>
    <mergeCell ref="A1765:A1766"/>
    <mergeCell ref="B1880:C1880"/>
    <mergeCell ref="J2148:L2148"/>
    <mergeCell ref="N1369:N1370"/>
    <mergeCell ref="K607:K608"/>
    <mergeCell ref="M1695:M1696"/>
    <mergeCell ref="H2107:I2107"/>
    <mergeCell ref="M162:M163"/>
    <mergeCell ref="B582:H582"/>
    <mergeCell ref="N1037:N1038"/>
    <mergeCell ref="K1212:K1213"/>
    <mergeCell ref="F2314:I2314"/>
    <mergeCell ref="Q921:Q922"/>
    <mergeCell ref="F828:I828"/>
    <mergeCell ref="P2216:R2216"/>
    <mergeCell ref="J662:J663"/>
    <mergeCell ref="R2076:R2077"/>
    <mergeCell ref="L1331:L1332"/>
    <mergeCell ref="D943:E943"/>
    <mergeCell ref="L1445:L1446"/>
    <mergeCell ref="J1743:L1743"/>
    <mergeCell ref="J962:J963"/>
    <mergeCell ref="L1631:L1632"/>
    <mergeCell ref="B2426:H2426"/>
    <mergeCell ref="A1666:A1667"/>
    <mergeCell ref="B2420:H2420"/>
    <mergeCell ref="D1243:E1243"/>
    <mergeCell ref="J2049:L2049"/>
    <mergeCell ref="B488:L488"/>
    <mergeCell ref="B1963:H1963"/>
    <mergeCell ref="J2043:L2043"/>
    <mergeCell ref="P857:P858"/>
    <mergeCell ref="P400:P401"/>
    <mergeCell ref="D2031:E2031"/>
    <mergeCell ref="M2300:M2301"/>
    <mergeCell ref="P514:P515"/>
    <mergeCell ref="K749:K750"/>
    <mergeCell ref="P95:P96"/>
    <mergeCell ref="B1624:C1624"/>
    <mergeCell ref="K1354:K1355"/>
    <mergeCell ref="D2331:E2331"/>
    <mergeCell ref="N176:N177"/>
    <mergeCell ref="J16:J17"/>
    <mergeCell ref="R2428:R2429"/>
    <mergeCell ref="R1971:R1972"/>
    <mergeCell ref="M1928:O1928"/>
    <mergeCell ref="K1049:K1050"/>
    <mergeCell ref="B326:H326"/>
    <mergeCell ref="O150:O151"/>
    <mergeCell ref="O144:O145"/>
    <mergeCell ref="N476:N477"/>
    <mergeCell ref="O2393:O2394"/>
    <mergeCell ref="P1183:P1184"/>
    <mergeCell ref="H664:I664"/>
    <mergeCell ref="R2271:R2272"/>
    <mergeCell ref="B651:H651"/>
    <mergeCell ref="Q2064:Q2065"/>
    <mergeCell ref="L2236:L2237"/>
    <mergeCell ref="A2134:A2135"/>
    <mergeCell ref="J2517:L2517"/>
    <mergeCell ref="L1773:L1774"/>
    <mergeCell ref="H2575:I2575"/>
    <mergeCell ref="F1514:I1514"/>
    <mergeCell ref="H964:I964"/>
    <mergeCell ref="M112:M113"/>
    <mergeCell ref="N1564:N1565"/>
    <mergeCell ref="A2434:A2435"/>
    <mergeCell ref="F2277:I2277"/>
    <mergeCell ref="N1145:N1146"/>
    <mergeCell ref="P563:P564"/>
    <mergeCell ref="F1814:I1814"/>
    <mergeCell ref="M831:M832"/>
    <mergeCell ref="J69:J70"/>
    <mergeCell ref="M412:M413"/>
    <mergeCell ref="A2346:A2347"/>
    <mergeCell ref="R2026:R2027"/>
    <mergeCell ref="P869:P870"/>
    <mergeCell ref="O2288:O2289"/>
    <mergeCell ref="R546:R547"/>
    <mergeCell ref="R214:R215"/>
    <mergeCell ref="O1983:O1984"/>
    <mergeCell ref="B524:C524"/>
    <mergeCell ref="D1612:E1612"/>
    <mergeCell ref="L2131:L2132"/>
    <mergeCell ref="L461:L462"/>
    <mergeCell ref="J586:J587"/>
    <mergeCell ref="K793:K794"/>
    <mergeCell ref="F1872:I1872"/>
    <mergeCell ref="R2326:R2327"/>
    <mergeCell ref="M1500:M1501"/>
    <mergeCell ref="O2588:O2589"/>
    <mergeCell ref="L1826:L1827"/>
    <mergeCell ref="B2005:C2005"/>
    <mergeCell ref="B824:C824"/>
    <mergeCell ref="B367:C367"/>
    <mergeCell ref="P464:P465"/>
    <mergeCell ref="A377:A378"/>
    <mergeCell ref="K1750:K1751"/>
    <mergeCell ref="K1881:K1882"/>
    <mergeCell ref="B794:H794"/>
    <mergeCell ref="N2224:N2225"/>
    <mergeCell ref="K1424:K1425"/>
    <mergeCell ref="K1418:K1419"/>
    <mergeCell ref="P764:P765"/>
    <mergeCell ref="H833:I833"/>
    <mergeCell ref="H376:I376"/>
    <mergeCell ref="K1119:K1120"/>
    <mergeCell ref="K2181:K2182"/>
    <mergeCell ref="N2524:N2525"/>
    <mergeCell ref="R688:R689"/>
    <mergeCell ref="H745:I745"/>
    <mergeCell ref="R682:R683"/>
    <mergeCell ref="L57:L58"/>
    <mergeCell ref="L2300:L2301"/>
    <mergeCell ref="O514:O515"/>
    <mergeCell ref="H1045:I1045"/>
    <mergeCell ref="B2088:L2088"/>
    <mergeCell ref="J1354:J1355"/>
    <mergeCell ref="L357:L358"/>
    <mergeCell ref="F98:I98"/>
    <mergeCell ref="Q1971:Q1972"/>
    <mergeCell ref="B1664:H1664"/>
    <mergeCell ref="J1055:J1056"/>
    <mergeCell ref="M1811:M1812"/>
    <mergeCell ref="D2212:E2212"/>
    <mergeCell ref="F2341:I2341"/>
    <mergeCell ref="M781:M782"/>
    <mergeCell ref="F1884:I1884"/>
    <mergeCell ref="N2277:N2278"/>
    <mergeCell ref="J2468:L2468"/>
    <mergeCell ref="B661:C661"/>
    <mergeCell ref="N1814:N1815"/>
    <mergeCell ref="P1369:P1370"/>
    <mergeCell ref="D2598:E2598"/>
    <mergeCell ref="K1779:K1780"/>
    <mergeCell ref="K1773:K1774"/>
    <mergeCell ref="P1669:P1670"/>
    <mergeCell ref="D181:E181"/>
    <mergeCell ref="N118:N119"/>
    <mergeCell ref="L531:L532"/>
    <mergeCell ref="D2424:E2424"/>
    <mergeCell ref="K293:K294"/>
    <mergeCell ref="J650:J651"/>
    <mergeCell ref="R2521:R2522"/>
    <mergeCell ref="M1564:M1565"/>
    <mergeCell ref="M1107:M1108"/>
    <mergeCell ref="H1519:I1519"/>
    <mergeCell ref="B894:C894"/>
    <mergeCell ref="L831:L832"/>
    <mergeCell ref="H2124:I2124"/>
    <mergeCell ref="F109:I109"/>
    <mergeCell ref="J830:L830"/>
    <mergeCell ref="H1819:I1819"/>
    <mergeCell ref="F240:I240"/>
    <mergeCell ref="J367:L367"/>
    <mergeCell ref="A1046:A1047"/>
    <mergeCell ref="N2288:N2289"/>
    <mergeCell ref="A589:A590"/>
    <mergeCell ref="B1188:C1188"/>
    <mergeCell ref="F2026:I2026"/>
    <mergeCell ref="N2419:N2420"/>
    <mergeCell ref="B1507:H1507"/>
    <mergeCell ref="Q214:Q215"/>
    <mergeCell ref="F409:I409"/>
    <mergeCell ref="A741:A742"/>
    <mergeCell ref="A284:A285"/>
    <mergeCell ref="Q2413:Q2414"/>
    <mergeCell ref="J667:L667"/>
    <mergeCell ref="A2527:A2528"/>
    <mergeCell ref="N2588:N2589"/>
    <mergeCell ref="L1043:L1044"/>
    <mergeCell ref="D1112:E1112"/>
    <mergeCell ref="O1930:O1931"/>
    <mergeCell ref="D655:E655"/>
    <mergeCell ref="Q933:Q934"/>
    <mergeCell ref="R752:R753"/>
    <mergeCell ref="D649:E649"/>
    <mergeCell ref="R1357:R1358"/>
    <mergeCell ref="O595:O596"/>
    <mergeCell ref="K435:K436"/>
    <mergeCell ref="B2132:H2132"/>
    <mergeCell ref="R1052:R1053"/>
    <mergeCell ref="O1200:O1201"/>
    <mergeCell ref="J1424:J1425"/>
    <mergeCell ref="B1036:C1036"/>
    <mergeCell ref="O901:O902"/>
    <mergeCell ref="R1657:R1658"/>
    <mergeCell ref="O895:O896"/>
    <mergeCell ref="P106:P107"/>
    <mergeCell ref="P2349:P2350"/>
    <mergeCell ref="J2181:J2182"/>
    <mergeCell ref="H1961:I1961"/>
    <mergeCell ref="J1724:J1725"/>
    <mergeCell ref="B1336:C1336"/>
    <mergeCell ref="Q688:Q689"/>
    <mergeCell ref="J1598:L1598"/>
    <mergeCell ref="N819:N820"/>
    <mergeCell ref="A889:A890"/>
    <mergeCell ref="M1640:O1640"/>
    <mergeCell ref="F138:I138"/>
    <mergeCell ref="H2261:I2261"/>
    <mergeCell ref="H1231:I1231"/>
    <mergeCell ref="B1636:C1636"/>
    <mergeCell ref="Q988:Q989"/>
    <mergeCell ref="N188:N189"/>
    <mergeCell ref="P1314:P1315"/>
    <mergeCell ref="A1189:A1190"/>
    <mergeCell ref="N2431:N2432"/>
    <mergeCell ref="K357:K358"/>
    <mergeCell ref="N1250:N1251"/>
    <mergeCell ref="O1069:O1070"/>
    <mergeCell ref="J1810:L1810"/>
    <mergeCell ref="H2188:I2188"/>
    <mergeCell ref="O1369:O1370"/>
    <mergeCell ref="L150:L151"/>
    <mergeCell ref="H1883:I1883"/>
    <mergeCell ref="P2402:P2403"/>
    <mergeCell ref="J86:J87"/>
    <mergeCell ref="L1212:L1213"/>
    <mergeCell ref="D693:E693"/>
    <mergeCell ref="H2014:I2014"/>
    <mergeCell ref="F953:I953"/>
    <mergeCell ref="F496:I496"/>
    <mergeCell ref="O1669:O1670"/>
    <mergeCell ref="F490:I490"/>
    <mergeCell ref="Q1346:Q1347"/>
    <mergeCell ref="B1996:C1996"/>
    <mergeCell ref="B2176:H2176"/>
    <mergeCell ref="Q883:Q884"/>
    <mergeCell ref="O2000:O2001"/>
    <mergeCell ref="F796:I796"/>
    <mergeCell ref="R252:R253"/>
    <mergeCell ref="O1581:O1582"/>
    <mergeCell ref="K2501:K2502"/>
    <mergeCell ref="D1781:E1781"/>
    <mergeCell ref="K505:K506"/>
    <mergeCell ref="K499:K500"/>
    <mergeCell ref="D1019:E1019"/>
    <mergeCell ref="D2081:E2081"/>
    <mergeCell ref="B536:C536"/>
    <mergeCell ref="R1765:R1766"/>
    <mergeCell ref="M1962:M1963"/>
    <mergeCell ref="R1721:R1722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N1930:N1931"/>
    <mergeCell ref="P933:P934"/>
    <mergeCell ref="H414:I414"/>
    <mergeCell ref="M2262:M2263"/>
    <mergeCell ref="H545:I545"/>
    <mergeCell ref="B2049:C2049"/>
    <mergeCell ref="H126:I126"/>
    <mergeCell ref="H82:I82"/>
    <mergeCell ref="Q1357:Q1358"/>
    <mergeCell ref="M1704:O1704"/>
    <mergeCell ref="L1529:L1530"/>
    <mergeCell ref="J435:J436"/>
    <mergeCell ref="A1139:A1140"/>
    <mergeCell ref="Q1052:Q1053"/>
    <mergeCell ref="N1200:N1201"/>
    <mergeCell ref="Q1183:Q1184"/>
    <mergeCell ref="L2317:L2318"/>
    <mergeCell ref="R394:R395"/>
    <mergeCell ref="F965:I965"/>
    <mergeCell ref="N1314:N1315"/>
    <mergeCell ref="N901:N902"/>
    <mergeCell ref="Q1657:Q1658"/>
    <mergeCell ref="Q1788:Q1789"/>
    <mergeCell ref="B1076:H1076"/>
    <mergeCell ref="M650:M651"/>
    <mergeCell ref="A1439:A1440"/>
    <mergeCell ref="L2198:L2199"/>
    <mergeCell ref="B771:H771"/>
    <mergeCell ref="A2096:A2097"/>
    <mergeCell ref="D1810:E1810"/>
    <mergeCell ref="A2227:A2228"/>
    <mergeCell ref="J2479:L2479"/>
    <mergeCell ref="O2082:O2083"/>
    <mergeCell ref="B1376:H1376"/>
    <mergeCell ref="R269:R270"/>
    <mergeCell ref="M950:M951"/>
    <mergeCell ref="M493:M494"/>
    <mergeCell ref="J2180:L2180"/>
    <mergeCell ref="F560:I560"/>
    <mergeCell ref="J336:J337"/>
    <mergeCell ref="F1622:I1622"/>
    <mergeCell ref="R1750:R1751"/>
    <mergeCell ref="M1250:M1251"/>
    <mergeCell ref="J2579:J2580"/>
    <mergeCell ref="J2122:J2123"/>
    <mergeCell ref="J31:J32"/>
    <mergeCell ref="K1948:K1949"/>
    <mergeCell ref="F860:I860"/>
    <mergeCell ref="N1674:N1675"/>
    <mergeCell ref="Q1194:Q1195"/>
    <mergeCell ref="A127:A128"/>
    <mergeCell ref="O2250:O2251"/>
    <mergeCell ref="B430:H430"/>
    <mergeCell ref="B2491:C2491"/>
    <mergeCell ref="M552:O552"/>
    <mergeCell ref="K1218:K1219"/>
    <mergeCell ref="K1174:K1175"/>
    <mergeCell ref="H1225:I1225"/>
    <mergeCell ref="A458:A459"/>
    <mergeCell ref="R138:R139"/>
    <mergeCell ref="D1732:E1732"/>
    <mergeCell ref="J841:L841"/>
    <mergeCell ref="N1669:N1670"/>
    <mergeCell ref="K869:K870"/>
    <mergeCell ref="B913:H913"/>
    <mergeCell ref="P1346:P1347"/>
    <mergeCell ref="R2434:R2435"/>
    <mergeCell ref="J536:L536"/>
    <mergeCell ref="P883:P884"/>
    <mergeCell ref="J79:L79"/>
    <mergeCell ref="A758:A759"/>
    <mergeCell ref="B1518:H1518"/>
    <mergeCell ref="R438:R439"/>
    <mergeCell ref="N2000:N2001"/>
    <mergeCell ref="A339:A340"/>
    <mergeCell ref="J2322:L2322"/>
    <mergeCell ref="J810:J811"/>
    <mergeCell ref="B1213:H1213"/>
    <mergeCell ref="A453:A454"/>
    <mergeCell ref="K1843:K1844"/>
    <mergeCell ref="O281:O282"/>
    <mergeCell ref="J836:L836"/>
    <mergeCell ref="J505:J506"/>
    <mergeCell ref="H801:I801"/>
    <mergeCell ref="N2300:N2301"/>
    <mergeCell ref="B117:C117"/>
    <mergeCell ref="R738:R739"/>
    <mergeCell ref="H795:I795"/>
    <mergeCell ref="J1110:J1111"/>
    <mergeCell ref="H2581:I2581"/>
    <mergeCell ref="K2143:K2144"/>
    <mergeCell ref="B483:H483"/>
    <mergeCell ref="J805:J806"/>
    <mergeCell ref="B417:C417"/>
    <mergeCell ref="L482:L483"/>
    <mergeCell ref="N1570:N1571"/>
    <mergeCell ref="N31:N32"/>
    <mergeCell ref="B1576:L1576"/>
    <mergeCell ref="D1874:E1874"/>
    <mergeCell ref="O607:O608"/>
    <mergeCell ref="K1529:K1530"/>
    <mergeCell ref="P1488:P1489"/>
    <mergeCell ref="B1571:H1571"/>
    <mergeCell ref="D2479:E2479"/>
    <mergeCell ref="R2576:R2577"/>
    <mergeCell ref="J863:J864"/>
    <mergeCell ref="D2174:E2174"/>
    <mergeCell ref="A2591:A2592"/>
    <mergeCell ref="K2317:K2318"/>
    <mergeCell ref="P1788:P1789"/>
    <mergeCell ref="P1331:P1332"/>
    <mergeCell ref="K2012:K2013"/>
    <mergeCell ref="Q83:Q84"/>
    <mergeCell ref="J580:L580"/>
    <mergeCell ref="Q269:Q270"/>
    <mergeCell ref="L493:L494"/>
    <mergeCell ref="Q2512:Q2513"/>
    <mergeCell ref="D105:E105"/>
    <mergeCell ref="Q383:Q384"/>
    <mergeCell ref="K1887:K1888"/>
    <mergeCell ref="B1931:H1931"/>
    <mergeCell ref="O1081:O1082"/>
    <mergeCell ref="L2410:L2411"/>
    <mergeCell ref="B2045:H2045"/>
    <mergeCell ref="L793:L794"/>
    <mergeCell ref="D862:E862"/>
    <mergeCell ref="B1626:H1626"/>
    <mergeCell ref="L924:L925"/>
    <mergeCell ref="D405:E405"/>
    <mergeCell ref="B1582:H1582"/>
    <mergeCell ref="J1211:L1211"/>
    <mergeCell ref="B2231:H2231"/>
    <mergeCell ref="A1471:A1472"/>
    <mergeCell ref="F202:I202"/>
    <mergeCell ref="P19:P20"/>
    <mergeCell ref="O351:O352"/>
    <mergeCell ref="F2445:I2445"/>
    <mergeCell ref="P2262:P2263"/>
    <mergeCell ref="N2381:N2382"/>
    <mergeCell ref="H865:I865"/>
    <mergeCell ref="D705:E705"/>
    <mergeCell ref="B1882:H1882"/>
    <mergeCell ref="R802:R803"/>
    <mergeCell ref="P1930:P1931"/>
    <mergeCell ref="J1174:J1175"/>
    <mergeCell ref="P319:P320"/>
    <mergeCell ref="M1648:M1649"/>
    <mergeCell ref="Q138:Q139"/>
    <mergeCell ref="D1074:E1074"/>
    <mergeCell ref="R1776:R1777"/>
    <mergeCell ref="Q438:Q439"/>
    <mergeCell ref="P1128:R1128"/>
    <mergeCell ref="B667:C667"/>
    <mergeCell ref="Q112:Q113"/>
    <mergeCell ref="Q106:Q107"/>
    <mergeCell ref="N287:N288"/>
    <mergeCell ref="J1843:J1844"/>
    <mergeCell ref="N281:N282"/>
    <mergeCell ref="L1398:L1399"/>
    <mergeCell ref="B1455:C1455"/>
    <mergeCell ref="Q738:Q739"/>
    <mergeCell ref="B2060:C2060"/>
    <mergeCell ref="H2386:I2386"/>
    <mergeCell ref="A1613:A1614"/>
    <mergeCell ref="B1761:C1761"/>
    <mergeCell ref="P1858:P1859"/>
    <mergeCell ref="B1755:C1755"/>
    <mergeCell ref="Q1069:Q1070"/>
    <mergeCell ref="B1298:C1298"/>
    <mergeCell ref="A1308:A1309"/>
    <mergeCell ref="F976:I976"/>
    <mergeCell ref="J1560:L1560"/>
    <mergeCell ref="L205:L206"/>
    <mergeCell ref="A851:A852"/>
    <mergeCell ref="M1701:M1702"/>
    <mergeCell ref="N912:N913"/>
    <mergeCell ref="M31:M32"/>
    <mergeCell ref="P2463:P2464"/>
    <mergeCell ref="J1234:L1234"/>
    <mergeCell ref="J2348:L2348"/>
    <mergeCell ref="F703:I703"/>
    <mergeCell ref="F246:I246"/>
    <mergeCell ref="Q34:Q35"/>
    <mergeCell ref="F2489:I2489"/>
    <mergeCell ref="O2093:O2094"/>
    <mergeCell ref="L1293:L1294"/>
    <mergeCell ref="B1929:C1929"/>
    <mergeCell ref="R1613:R1614"/>
    <mergeCell ref="O1794:O1795"/>
    <mergeCell ref="O1750:O1751"/>
    <mergeCell ref="O1788:O1789"/>
    <mergeCell ref="L988:L989"/>
    <mergeCell ref="O1331:O1332"/>
    <mergeCell ref="H2281:I2281"/>
    <mergeCell ref="B2301:H2301"/>
    <mergeCell ref="L1593:L1594"/>
    <mergeCell ref="K255:K256"/>
    <mergeCell ref="B2229:C2229"/>
    <mergeCell ref="B299:H299"/>
    <mergeCell ref="D786:E786"/>
    <mergeCell ref="D769:E769"/>
    <mergeCell ref="F1029:I1029"/>
    <mergeCell ref="N1386:N1387"/>
    <mergeCell ref="P389:P390"/>
    <mergeCell ref="B286:C286"/>
    <mergeCell ref="P383:P384"/>
    <mergeCell ref="M1712:M1713"/>
    <mergeCell ref="J1887:J1888"/>
    <mergeCell ref="P2186:P2187"/>
    <mergeCell ref="B599:H599"/>
    <mergeCell ref="N1081:N1082"/>
    <mergeCell ref="K1229:K1230"/>
    <mergeCell ref="K2410:K2411"/>
    <mergeCell ref="D2206:E2206"/>
    <mergeCell ref="J222:L222"/>
    <mergeCell ref="K924:K925"/>
    <mergeCell ref="P2486:P2487"/>
    <mergeCell ref="B899:H899"/>
    <mergeCell ref="N1381:N1382"/>
    <mergeCell ref="N351:N352"/>
    <mergeCell ref="J191:J192"/>
    <mergeCell ref="P1928:R1928"/>
    <mergeCell ref="M2381:M2382"/>
    <mergeCell ref="H207:I207"/>
    <mergeCell ref="L2067:L2068"/>
    <mergeCell ref="H2450:I2450"/>
    <mergeCell ref="L1648:L1649"/>
    <mergeCell ref="B2443:H2443"/>
    <mergeCell ref="B1825:C1825"/>
    <mergeCell ref="J2060:L2060"/>
    <mergeCell ref="H507:I507"/>
    <mergeCell ref="B500:H500"/>
    <mergeCell ref="J1761:L1761"/>
    <mergeCell ref="B494:H494"/>
    <mergeCell ref="A1983:A1984"/>
    <mergeCell ref="Q1450:Q1451"/>
    <mergeCell ref="D1560:E1560"/>
    <mergeCell ref="A1977:A1978"/>
    <mergeCell ref="J2366:L2366"/>
    <mergeCell ref="B195:H195"/>
    <mergeCell ref="P112:P113"/>
    <mergeCell ref="A1520:A1521"/>
    <mergeCell ref="B2438:H2438"/>
    <mergeCell ref="F773:I773"/>
    <mergeCell ref="D2348:E2348"/>
    <mergeCell ref="O2163:O2164"/>
    <mergeCell ref="K1066:K1067"/>
    <mergeCell ref="J2335:J2336"/>
    <mergeCell ref="O1858:O1859"/>
    <mergeCell ref="N493:N494"/>
    <mergeCell ref="F610:I610"/>
    <mergeCell ref="H681:I681"/>
    <mergeCell ref="R2288:R2289"/>
    <mergeCell ref="O2463:O2464"/>
    <mergeCell ref="R197:R198"/>
    <mergeCell ref="M912:M913"/>
    <mergeCell ref="J2355:J2356"/>
    <mergeCell ref="N793:N794"/>
    <mergeCell ref="P1500:P1501"/>
    <mergeCell ref="H981:I981"/>
    <mergeCell ref="B236:C236"/>
    <mergeCell ref="R2588:R2589"/>
    <mergeCell ref="P470:P471"/>
    <mergeCell ref="L310:L311"/>
    <mergeCell ref="A208:A209"/>
    <mergeCell ref="B2153:C2153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750:N1751"/>
    <mergeCell ref="A89:A90"/>
    <mergeCell ref="Q2224:Q2225"/>
    <mergeCell ref="B2453:C2453"/>
    <mergeCell ref="B963:H963"/>
    <mergeCell ref="K1599:K1600"/>
    <mergeCell ref="F2131:I2131"/>
    <mergeCell ref="K1593:K1594"/>
    <mergeCell ref="J255:J256"/>
    <mergeCell ref="R557:R558"/>
    <mergeCell ref="R1162:R1163"/>
    <mergeCell ref="O362:O363"/>
    <mergeCell ref="O389:O390"/>
    <mergeCell ref="M1517:M1518"/>
    <mergeCell ref="O2605:O2606"/>
    <mergeCell ref="R863:R864"/>
    <mergeCell ref="R857:R858"/>
    <mergeCell ref="J1235:J1236"/>
    <mergeCell ref="O57:O58"/>
    <mergeCell ref="R400:R401"/>
    <mergeCell ref="F2058:I2058"/>
    <mergeCell ref="B841:C841"/>
    <mergeCell ref="O2300:O2301"/>
    <mergeCell ref="Q1846:Q1847"/>
    <mergeCell ref="F1753:I1753"/>
    <mergeCell ref="Q1514:Q1515"/>
    <mergeCell ref="M1354:M1355"/>
    <mergeCell ref="J598:J599"/>
    <mergeCell ref="B79:C79"/>
    <mergeCell ref="O357:O358"/>
    <mergeCell ref="F2358:I2358"/>
    <mergeCell ref="B1141:C1141"/>
    <mergeCell ref="Q2146:Q2147"/>
    <mergeCell ref="P781:P782"/>
    <mergeCell ref="Q2277:Q2278"/>
    <mergeCell ref="B836:C836"/>
    <mergeCell ref="Q150:Q151"/>
    <mergeCell ref="N298:N299"/>
    <mergeCell ref="K2067:K2068"/>
    <mergeCell ref="K1322:K1323"/>
    <mergeCell ref="M319:M320"/>
    <mergeCell ref="D2255:E2255"/>
    <mergeCell ref="L74:L75"/>
    <mergeCell ref="J972:L972"/>
    <mergeCell ref="P1450:P1451"/>
    <mergeCell ref="N293:N294"/>
    <mergeCell ref="K1622:K1623"/>
    <mergeCell ref="B1467:C1467"/>
    <mergeCell ref="P1564:P1565"/>
    <mergeCell ref="O1136:O1137"/>
    <mergeCell ref="B437:C437"/>
    <mergeCell ref="L374:L375"/>
    <mergeCell ref="O717:O718"/>
    <mergeCell ref="B1780:H1780"/>
    <mergeCell ref="B1681:H1681"/>
    <mergeCell ref="J1066:J1067"/>
    <mergeCell ref="J2485:L2485"/>
    <mergeCell ref="L69:L70"/>
    <mergeCell ref="Q508:Q509"/>
    <mergeCell ref="B1382:H1382"/>
    <mergeCell ref="B737:C737"/>
    <mergeCell ref="P1192:R1192"/>
    <mergeCell ref="L674:L675"/>
    <mergeCell ref="A159:A160"/>
    <mergeCell ref="F415:I415"/>
    <mergeCell ref="J961:L961"/>
    <mergeCell ref="A290:A291"/>
    <mergeCell ref="Q2288:Q2289"/>
    <mergeCell ref="L2460:L2461"/>
    <mergeCell ref="K10:K11"/>
    <mergeCell ref="M1098:M1099"/>
    <mergeCell ref="F2201:I2201"/>
    <mergeCell ref="O1805:O1806"/>
    <mergeCell ref="F2195:I2195"/>
    <mergeCell ref="N2137:N2138"/>
    <mergeCell ref="D524:E524"/>
    <mergeCell ref="N2131:N2132"/>
    <mergeCell ref="L586:L587"/>
    <mergeCell ref="M793:M794"/>
    <mergeCell ref="O1500:O1501"/>
    <mergeCell ref="Q2588:Q2589"/>
    <mergeCell ref="D1129:E1129"/>
    <mergeCell ref="K310:K311"/>
    <mergeCell ref="B2007:H2007"/>
    <mergeCell ref="D830:E830"/>
    <mergeCell ref="R927:R928"/>
    <mergeCell ref="D824:E824"/>
    <mergeCell ref="J1299:J1300"/>
    <mergeCell ref="M840:O840"/>
    <mergeCell ref="M2186:M2187"/>
    <mergeCell ref="D498:E498"/>
    <mergeCell ref="O1189:O1190"/>
    <mergeCell ref="R1532:R1533"/>
    <mergeCell ref="N435:N436"/>
    <mergeCell ref="O770:O771"/>
    <mergeCell ref="B2307:H2307"/>
    <mergeCell ref="M1424:M1425"/>
    <mergeCell ref="H1836:I1836"/>
    <mergeCell ref="J1599:J1600"/>
    <mergeCell ref="N37:N38"/>
    <mergeCell ref="M2486:M2487"/>
    <mergeCell ref="J1730:J1731"/>
    <mergeCell ref="B1211:C1211"/>
    <mergeCell ref="Q2621:Q2622"/>
    <mergeCell ref="B748:C748"/>
    <mergeCell ref="Q650:Q651"/>
    <mergeCell ref="N368:N369"/>
    <mergeCell ref="A301:A302"/>
    <mergeCell ref="J1141:L1141"/>
    <mergeCell ref="N362:N363"/>
    <mergeCell ref="H2136:I2136"/>
    <mergeCell ref="J684:L684"/>
    <mergeCell ref="N2605:N2606"/>
    <mergeCell ref="Q819:Q820"/>
    <mergeCell ref="N57:N58"/>
    <mergeCell ref="Q950:Q951"/>
    <mergeCell ref="J1316:L1316"/>
    <mergeCell ref="P1640:R1640"/>
    <mergeCell ref="A1058:A1059"/>
    <mergeCell ref="K2448:K2449"/>
    <mergeCell ref="A601:A602"/>
    <mergeCell ref="K2149:K2150"/>
    <mergeCell ref="J2104:L2104"/>
    <mergeCell ref="L1360:L1361"/>
    <mergeCell ref="D972:E972"/>
    <mergeCell ref="A1389:A1390"/>
    <mergeCell ref="R1069:R1070"/>
    <mergeCell ref="P2582:P2583"/>
    <mergeCell ref="A970:A971"/>
    <mergeCell ref="O1244:O1245"/>
    <mergeCell ref="J1772:L1772"/>
    <mergeCell ref="H1737:I1737"/>
    <mergeCell ref="B669:H669"/>
    <mergeCell ref="O781:O782"/>
    <mergeCell ref="R1674:R1675"/>
    <mergeCell ref="P2277:P2278"/>
    <mergeCell ref="K2474:K2475"/>
    <mergeCell ref="O912:O913"/>
    <mergeCell ref="P1820:P1821"/>
    <mergeCell ref="J2404:L2404"/>
    <mergeCell ref="L1087:L1088"/>
    <mergeCell ref="B2449:H2449"/>
    <mergeCell ref="A1689:A1690"/>
    <mergeCell ref="R1369:R1370"/>
    <mergeCell ref="J2072:L2072"/>
    <mergeCell ref="J1741:J1742"/>
    <mergeCell ref="B1353:C1353"/>
    <mergeCell ref="B2051:H2051"/>
    <mergeCell ref="H1732:I1732"/>
    <mergeCell ref="R1669:R1670"/>
    <mergeCell ref="F665:I665"/>
    <mergeCell ref="B49:H49"/>
    <mergeCell ref="J2041:J2042"/>
    <mergeCell ref="N531:N532"/>
    <mergeCell ref="N2201:N2202"/>
    <mergeCell ref="M40:O40"/>
    <mergeCell ref="B1653:C1653"/>
    <mergeCell ref="L1718:L1719"/>
    <mergeCell ref="N1136:N1137"/>
    <mergeCell ref="K380:K381"/>
    <mergeCell ref="D894:E894"/>
    <mergeCell ref="N2501:N2502"/>
    <mergeCell ref="B1953:C1953"/>
    <mergeCell ref="L2018:L2019"/>
    <mergeCell ref="P508:P509"/>
    <mergeCell ref="D1630:E1630"/>
    <mergeCell ref="K674:K675"/>
    <mergeCell ref="K2460:K2461"/>
    <mergeCell ref="P2419:P2420"/>
    <mergeCell ref="A1744:A1745"/>
    <mergeCell ref="M2137:M2138"/>
    <mergeCell ref="J2127:L2127"/>
    <mergeCell ref="H2505:I2505"/>
    <mergeCell ref="H420:I420"/>
    <mergeCell ref="J272:J273"/>
    <mergeCell ref="H2200:I2200"/>
    <mergeCell ref="B2193:H2193"/>
    <mergeCell ref="Q906:Q907"/>
    <mergeCell ref="B712:L712"/>
    <mergeCell ref="M2437:M2438"/>
    <mergeCell ref="J2427:L2427"/>
    <mergeCell ref="F813:I813"/>
    <mergeCell ref="B1888:H1888"/>
    <mergeCell ref="L2186:L2187"/>
    <mergeCell ref="N1189:N1190"/>
    <mergeCell ref="K2518:K2519"/>
    <mergeCell ref="B250:H250"/>
    <mergeCell ref="M435:M436"/>
    <mergeCell ref="F508:I508"/>
    <mergeCell ref="A1733:A1734"/>
    <mergeCell ref="J2185:L2185"/>
    <mergeCell ref="B2493:H2493"/>
    <mergeCell ref="K522:K523"/>
    <mergeCell ref="Q1200:Q1201"/>
    <mergeCell ref="F982:I982"/>
    <mergeCell ref="L2492:L2493"/>
    <mergeCell ref="R569:R570"/>
    <mergeCell ref="D1036:E1036"/>
    <mergeCell ref="Q901:Q902"/>
    <mergeCell ref="L2486:L2487"/>
    <mergeCell ref="J941:J942"/>
    <mergeCell ref="L2029:L2030"/>
    <mergeCell ref="D1685:E1685"/>
    <mergeCell ref="A2102:A2103"/>
    <mergeCell ref="B553:C553"/>
    <mergeCell ref="D1641:E1641"/>
    <mergeCell ref="P650:P651"/>
    <mergeCell ref="A1645:A1646"/>
    <mergeCell ref="R1782:R1783"/>
    <mergeCell ref="J2154:J2155"/>
    <mergeCell ref="L2181:L2182"/>
    <mergeCell ref="M368:M369"/>
    <mergeCell ref="D1336:E1336"/>
    <mergeCell ref="D1985:E1985"/>
    <mergeCell ref="A2402:A2403"/>
    <mergeCell ref="R2082:R2083"/>
    <mergeCell ref="P950:P951"/>
    <mergeCell ref="J2454:J2455"/>
    <mergeCell ref="P493:P494"/>
    <mergeCell ref="R1619:R1620"/>
    <mergeCell ref="J325:J326"/>
    <mergeCell ref="M668:M669"/>
    <mergeCell ref="B548:C548"/>
    <mergeCell ref="M799:M800"/>
    <mergeCell ref="J2149:J2150"/>
    <mergeCell ref="J2105:J2106"/>
    <mergeCell ref="P1250:P1251"/>
    <mergeCell ref="H731:I731"/>
    <mergeCell ref="M2579:M2580"/>
    <mergeCell ref="P220:P221"/>
    <mergeCell ref="Q1674:Q1675"/>
    <mergeCell ref="Q1369:Q1370"/>
    <mergeCell ref="N1218:N1219"/>
    <mergeCell ref="L86:L87"/>
    <mergeCell ref="N1212:N1213"/>
    <mergeCell ref="J411:L411"/>
    <mergeCell ref="K1349:K1350"/>
    <mergeCell ref="B1393:H1393"/>
    <mergeCell ref="R313:R314"/>
    <mergeCell ref="J1016:L1016"/>
    <mergeCell ref="B1088:H1088"/>
    <mergeCell ref="A2413:A2414"/>
    <mergeCell ref="F2256:I2256"/>
    <mergeCell ref="K1718:K1719"/>
    <mergeCell ref="B1693:H1693"/>
    <mergeCell ref="R613:R614"/>
    <mergeCell ref="M810:M811"/>
    <mergeCell ref="J2497:L2497"/>
    <mergeCell ref="J48:J49"/>
    <mergeCell ref="F877:I877"/>
    <mergeCell ref="R281:R282"/>
    <mergeCell ref="N1843:N1844"/>
    <mergeCell ref="K2018:K2019"/>
    <mergeCell ref="M505:M506"/>
    <mergeCell ref="J653:J654"/>
    <mergeCell ref="F1482:I1482"/>
    <mergeCell ref="B292:C292"/>
    <mergeCell ref="J348:J349"/>
    <mergeCell ref="F1177:I1177"/>
    <mergeCell ref="Q205:Q206"/>
    <mergeCell ref="R1701:R1702"/>
    <mergeCell ref="D1749:E1749"/>
    <mergeCell ref="O482:O483"/>
    <mergeCell ref="Q1570:Q1571"/>
    <mergeCell ref="B2056:L2056"/>
    <mergeCell ref="B1446:H1446"/>
    <mergeCell ref="J2092:L2092"/>
    <mergeCell ref="D2354:E2354"/>
    <mergeCell ref="F1477:I1477"/>
    <mergeCell ref="J553:L553"/>
    <mergeCell ref="D2468:E2468"/>
    <mergeCell ref="K1072:K1073"/>
    <mergeCell ref="D2049:E2049"/>
    <mergeCell ref="B917:C917"/>
    <mergeCell ref="N1529:N1530"/>
    <mergeCell ref="J2392:L2392"/>
    <mergeCell ref="P1663:P1664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B1835:H1835"/>
    <mergeCell ref="H812:I812"/>
    <mergeCell ref="N2317:N2318"/>
    <mergeCell ref="B1217:C1217"/>
    <mergeCell ref="K1555:K1556"/>
    <mergeCell ref="B187:C187"/>
    <mergeCell ref="K2029:K2030"/>
    <mergeCell ref="H2598:I2598"/>
    <mergeCell ref="K2160:K2161"/>
    <mergeCell ref="H1118:I1118"/>
    <mergeCell ref="Q258:Q259"/>
    <mergeCell ref="N1587:N1588"/>
    <mergeCell ref="Q2501:Q2502"/>
    <mergeCell ref="F165:I165"/>
    <mergeCell ref="O950:O951"/>
    <mergeCell ref="N101:N102"/>
    <mergeCell ref="L799:L800"/>
    <mergeCell ref="D280:E280"/>
    <mergeCell ref="N1887:N1888"/>
    <mergeCell ref="L336:L337"/>
    <mergeCell ref="L2585:L2586"/>
    <mergeCell ref="F77:I77"/>
    <mergeCell ref="O1250:O1251"/>
    <mergeCell ref="L2579:L2580"/>
    <mergeCell ref="F2320:I2320"/>
    <mergeCell ref="B1757:H1757"/>
    <mergeCell ref="D580:E580"/>
    <mergeCell ref="R677:R678"/>
    <mergeCell ref="P1805:P1806"/>
    <mergeCell ref="F377:I377"/>
    <mergeCell ref="D248:E248"/>
    <mergeCell ref="M1523:M1524"/>
    <mergeCell ref="M1637:M1638"/>
    <mergeCell ref="M1218:M1219"/>
    <mergeCell ref="K86:K87"/>
    <mergeCell ref="M1174:M1175"/>
    <mergeCell ref="H1586:I1586"/>
    <mergeCell ref="J1349:J1350"/>
    <mergeCell ref="P1648:P1649"/>
    <mergeCell ref="M1823:M1824"/>
    <mergeCell ref="B961:C961"/>
    <mergeCell ref="F2309:I2309"/>
    <mergeCell ref="A514:A515"/>
    <mergeCell ref="K386:K387"/>
    <mergeCell ref="L810:L811"/>
    <mergeCell ref="L941:L942"/>
    <mergeCell ref="Q281:Q282"/>
    <mergeCell ref="H2217:I2217"/>
    <mergeCell ref="B119:H119"/>
    <mergeCell ref="B1630:C1630"/>
    <mergeCell ref="J1692:J1693"/>
    <mergeCell ref="B1173:C1173"/>
    <mergeCell ref="L1110:L1111"/>
    <mergeCell ref="A1183:A1184"/>
    <mergeCell ref="B2235:C2235"/>
    <mergeCell ref="L1241:L1242"/>
    <mergeCell ref="D722:E722"/>
    <mergeCell ref="A726:A727"/>
    <mergeCell ref="R819:R820"/>
    <mergeCell ref="N787:N788"/>
    <mergeCell ref="B1486:H1486"/>
    <mergeCell ref="J1522:L1522"/>
    <mergeCell ref="J1109:L1109"/>
    <mergeCell ref="P2332:P2333"/>
    <mergeCell ref="H1487:I1487"/>
    <mergeCell ref="B419:H419"/>
    <mergeCell ref="B1600:H1600"/>
    <mergeCell ref="K2230:K2231"/>
    <mergeCell ref="N2573:N2574"/>
    <mergeCell ref="B1473:C1473"/>
    <mergeCell ref="N482:N483"/>
    <mergeCell ref="P1570:P1571"/>
    <mergeCell ref="H1182:I1182"/>
    <mergeCell ref="B1786:H1786"/>
    <mergeCell ref="A1026:A1027"/>
    <mergeCell ref="N1087:N1088"/>
    <mergeCell ref="F2364:I2364"/>
    <mergeCell ref="B1103:C1103"/>
    <mergeCell ref="K2530:K2531"/>
    <mergeCell ref="O1625:O1626"/>
    <mergeCell ref="R2093:R2094"/>
    <mergeCell ref="O1337:O1338"/>
    <mergeCell ref="M2317:M2318"/>
    <mergeCell ref="L1468:L1469"/>
    <mergeCell ref="R1794:R1795"/>
    <mergeCell ref="H1851:I1851"/>
    <mergeCell ref="K130:K131"/>
    <mergeCell ref="R1788:R1789"/>
    <mergeCell ref="J2166:J2167"/>
    <mergeCell ref="J2160:J2161"/>
    <mergeCell ref="B1772:C1772"/>
    <mergeCell ref="J1583:L1583"/>
    <mergeCell ref="J1577:L1577"/>
    <mergeCell ref="B2377:C2377"/>
    <mergeCell ref="D1380:E1380"/>
    <mergeCell ref="K1104:K1105"/>
    <mergeCell ref="J97:L97"/>
    <mergeCell ref="B11:H11"/>
    <mergeCell ref="B2072:C2072"/>
    <mergeCell ref="P2175:P2176"/>
    <mergeCell ref="B1615:C1615"/>
    <mergeCell ref="M1887:M1888"/>
    <mergeCell ref="A1168:A1169"/>
    <mergeCell ref="R1389:R1390"/>
    <mergeCell ref="N1229:N1230"/>
    <mergeCell ref="K2585:K2586"/>
    <mergeCell ref="K1404:K1405"/>
    <mergeCell ref="Q656:Q657"/>
    <mergeCell ref="B1099:H1099"/>
    <mergeCell ref="F563:I563"/>
    <mergeCell ref="R1689:R1690"/>
    <mergeCell ref="R19:R20"/>
    <mergeCell ref="Q351:Q352"/>
    <mergeCell ref="F258:I258"/>
    <mergeCell ref="Q956:Q957"/>
    <mergeCell ref="L1637:L1638"/>
    <mergeCell ref="H1993:I1993"/>
    <mergeCell ref="K272:K273"/>
    <mergeCell ref="H382:I382"/>
    <mergeCell ref="R1989:R1990"/>
    <mergeCell ref="F915:I915"/>
    <mergeCell ref="R319:R320"/>
    <mergeCell ref="O1648:O1649"/>
    <mergeCell ref="B369:H369"/>
    <mergeCell ref="L2242:L2243"/>
    <mergeCell ref="J691:J692"/>
    <mergeCell ref="J1173:L1173"/>
    <mergeCell ref="D1435:E1435"/>
    <mergeCell ref="A1852:A1853"/>
    <mergeCell ref="B303:C303"/>
    <mergeCell ref="B680:L680"/>
    <mergeCell ref="A1395:A1396"/>
    <mergeCell ref="F1651:I1651"/>
    <mergeCell ref="B2155:H2155"/>
    <mergeCell ref="J2235:L2235"/>
    <mergeCell ref="J2477:J2478"/>
    <mergeCell ref="J1778:L1778"/>
    <mergeCell ref="L2154:L2155"/>
    <mergeCell ref="J239:L239"/>
    <mergeCell ref="F1346:I1346"/>
    <mergeCell ref="P706:P707"/>
    <mergeCell ref="B603:C603"/>
    <mergeCell ref="K941:K942"/>
    <mergeCell ref="A1695:A1696"/>
    <mergeCell ref="P287:P288"/>
    <mergeCell ref="F1951:I1951"/>
    <mergeCell ref="M2029:M2030"/>
    <mergeCell ref="P281:P282"/>
    <mergeCell ref="O1706:O1707"/>
    <mergeCell ref="K1546:K1547"/>
    <mergeCell ref="M549:M550"/>
    <mergeCell ref="D2523:E2523"/>
    <mergeCell ref="B1768:L1768"/>
    <mergeCell ref="R2163:R2164"/>
    <mergeCell ref="D2060:E2060"/>
    <mergeCell ref="K1241:K1242"/>
    <mergeCell ref="K784:K785"/>
    <mergeCell ref="D1761:E1761"/>
    <mergeCell ref="R1858:R1859"/>
    <mergeCell ref="O2006:O2007"/>
    <mergeCell ref="J2230:J2231"/>
    <mergeCell ref="N668:N669"/>
    <mergeCell ref="P1375:P1376"/>
    <mergeCell ref="R2463:R2464"/>
    <mergeCell ref="O10:O11"/>
    <mergeCell ref="N205:N206"/>
    <mergeCell ref="O1701:O1702"/>
    <mergeCell ref="B843:H843"/>
    <mergeCell ref="H524:I524"/>
    <mergeCell ref="B2441:C2441"/>
    <mergeCell ref="B356:C356"/>
    <mergeCell ref="O2306:O2307"/>
    <mergeCell ref="J2530:J2531"/>
    <mergeCell ref="F1706:I1706"/>
    <mergeCell ref="A1994:A1995"/>
    <mergeCell ref="B2142:C2142"/>
    <mergeCell ref="J161:L161"/>
    <mergeCell ref="J2377:L2377"/>
    <mergeCell ref="B1143:H1143"/>
    <mergeCell ref="R63:R64"/>
    <mergeCell ref="H824:I824"/>
    <mergeCell ref="N1756:N1757"/>
    <mergeCell ref="N1299:N1300"/>
    <mergeCell ref="N1337:N1338"/>
    <mergeCell ref="B838:H838"/>
    <mergeCell ref="N1293:N1294"/>
    <mergeCell ref="K1474:K1475"/>
    <mergeCell ref="K1468:K1469"/>
    <mergeCell ref="F2006:I2006"/>
    <mergeCell ref="H2037:I2037"/>
    <mergeCell ref="A2300:A2301"/>
    <mergeCell ref="J261:J262"/>
    <mergeCell ref="L1349:L1350"/>
    <mergeCell ref="P2472:R2472"/>
    <mergeCell ref="N1593:N1594"/>
    <mergeCell ref="H2337:I2337"/>
    <mergeCell ref="M255:M256"/>
    <mergeCell ref="B1355:H1355"/>
    <mergeCell ref="R406:R407"/>
    <mergeCell ref="O2175:O2176"/>
    <mergeCell ref="R389:R390"/>
    <mergeCell ref="M1692:M1693"/>
    <mergeCell ref="P776:R776"/>
    <mergeCell ref="M1229:M1230"/>
    <mergeCell ref="J2305:L2305"/>
    <mergeCell ref="J1842:L1842"/>
    <mergeCell ref="P656:P657"/>
    <mergeCell ref="J1061:J1062"/>
    <mergeCell ref="A112:A113"/>
    <mergeCell ref="Q1689:Q1690"/>
    <mergeCell ref="A106:A107"/>
    <mergeCell ref="B254:C254"/>
    <mergeCell ref="P351:P352"/>
    <mergeCell ref="F1602:I1602"/>
    <mergeCell ref="B986:H986"/>
    <mergeCell ref="A226:A227"/>
    <mergeCell ref="K1616:K1617"/>
    <mergeCell ref="P1413:P1414"/>
    <mergeCell ref="J609:L609"/>
    <mergeCell ref="K1610:K1611"/>
    <mergeCell ref="M613:M614"/>
    <mergeCell ref="P956:P957"/>
    <mergeCell ref="D2130:E2130"/>
    <mergeCell ref="J146:L146"/>
    <mergeCell ref="H568:I568"/>
    <mergeCell ref="K1311:K1312"/>
    <mergeCell ref="N1654:N1655"/>
    <mergeCell ref="O2076:O2077"/>
    <mergeCell ref="R874:R875"/>
    <mergeCell ref="D2430:E2430"/>
    <mergeCell ref="R2527:R2528"/>
    <mergeCell ref="L249:L250"/>
    <mergeCell ref="O706:O707"/>
    <mergeCell ref="H1237:I1237"/>
    <mergeCell ref="R717:R718"/>
    <mergeCell ref="J1546:J1547"/>
    <mergeCell ref="L549:L550"/>
    <mergeCell ref="F290:I290"/>
    <mergeCell ref="L92:L93"/>
    <mergeCell ref="Q51:Q52"/>
    <mergeCell ref="H894:I894"/>
    <mergeCell ref="H932:I932"/>
    <mergeCell ref="Q2163:Q2164"/>
    <mergeCell ref="H1956:I1956"/>
    <mergeCell ref="Q2294:Q2295"/>
    <mergeCell ref="J1241:J1242"/>
    <mergeCell ref="F2076:I2076"/>
    <mergeCell ref="L2335:L2336"/>
    <mergeCell ref="F2070:I2070"/>
    <mergeCell ref="A1945:A1946"/>
    <mergeCell ref="N2006:N2007"/>
    <mergeCell ref="B1638:H1638"/>
    <mergeCell ref="Q2463:Q2464"/>
    <mergeCell ref="N10:N11"/>
    <mergeCell ref="P1098:P1099"/>
    <mergeCell ref="F127:I127"/>
    <mergeCell ref="F2370:I2370"/>
    <mergeCell ref="A2245:A2246"/>
    <mergeCell ref="N2306:N2307"/>
    <mergeCell ref="D792:E792"/>
    <mergeCell ref="B1550:H1550"/>
    <mergeCell ref="D373:E373"/>
    <mergeCell ref="R470:R471"/>
    <mergeCell ref="N310:N311"/>
    <mergeCell ref="J842:J843"/>
    <mergeCell ref="A906:A907"/>
    <mergeCell ref="R1075:R1076"/>
    <mergeCell ref="M1756:M1757"/>
    <mergeCell ref="M1299:M1300"/>
    <mergeCell ref="J1289:L1289"/>
    <mergeCell ref="P840:R840"/>
    <mergeCell ref="M2361:M2362"/>
    <mergeCell ref="D673:E673"/>
    <mergeCell ref="R770:R771"/>
    <mergeCell ref="J1142:J1143"/>
    <mergeCell ref="B754:C754"/>
    <mergeCell ref="K2596:K2597"/>
    <mergeCell ref="L691:L692"/>
    <mergeCell ref="M1599:M1600"/>
    <mergeCell ref="Q37:Q38"/>
    <mergeCell ref="A176:A177"/>
    <mergeCell ref="N237:N238"/>
    <mergeCell ref="F432:I432"/>
    <mergeCell ref="J559:L559"/>
    <mergeCell ref="H1548:I1548"/>
    <mergeCell ref="A781:A782"/>
    <mergeCell ref="J1442:J1443"/>
    <mergeCell ref="B923:C923"/>
    <mergeCell ref="Q825:Q826"/>
    <mergeCell ref="N2154:N2155"/>
    <mergeCell ref="B1054:C1054"/>
    <mergeCell ref="A933:A934"/>
    <mergeCell ref="Q362:Q363"/>
    <mergeCell ref="A476:A477"/>
    <mergeCell ref="F732:I732"/>
    <mergeCell ref="N537:N538"/>
    <mergeCell ref="B1236:H1236"/>
    <mergeCell ref="O1517:O1518"/>
    <mergeCell ref="J859:L859"/>
    <mergeCell ref="Q2605:Q2606"/>
    <mergeCell ref="F269:I269"/>
    <mergeCell ref="K1980:K1981"/>
    <mergeCell ref="Q1125:Q1126"/>
    <mergeCell ref="N2454:N2455"/>
    <mergeCell ref="D841:E841"/>
    <mergeCell ref="N2448:N2449"/>
    <mergeCell ref="J1647:L1647"/>
    <mergeCell ref="O787:O788"/>
    <mergeCell ref="B2324:H2324"/>
    <mergeCell ref="A1564:A1565"/>
    <mergeCell ref="R1244:R1245"/>
    <mergeCell ref="D1141:E1141"/>
    <mergeCell ref="J1947:L1947"/>
    <mergeCell ref="D684:E684"/>
    <mergeCell ref="J1616:J1617"/>
    <mergeCell ref="M2090:M2091"/>
    <mergeCell ref="R1849:R1850"/>
    <mergeCell ref="O1087:O1088"/>
    <mergeCell ref="P298:P299"/>
    <mergeCell ref="P2201:P2202"/>
    <mergeCell ref="J1311:J1312"/>
    <mergeCell ref="J2373:J2374"/>
    <mergeCell ref="M1741:M1742"/>
    <mergeCell ref="J2047:J2048"/>
    <mergeCell ref="B1528:C1528"/>
    <mergeCell ref="B1065:C1065"/>
    <mergeCell ref="D1772:E1772"/>
    <mergeCell ref="R1869:R1870"/>
    <mergeCell ref="M1832:O1832"/>
    <mergeCell ref="M2041:M2042"/>
    <mergeCell ref="P40:R40"/>
    <mergeCell ref="O1718:O1719"/>
    <mergeCell ref="N837:N838"/>
    <mergeCell ref="B1828:C182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K2335:K2336"/>
    <mergeCell ref="D737:E737"/>
    <mergeCell ref="H2380:I2380"/>
    <mergeCell ref="P2442:P2443"/>
    <mergeCell ref="O1561:O1562"/>
    <mergeCell ref="B855:H855"/>
    <mergeCell ref="D1342:E1342"/>
    <mergeCell ref="R1439:R1440"/>
    <mergeCell ref="M10:M11"/>
    <mergeCell ref="O1098:O1099"/>
    <mergeCell ref="Q1805:Q1806"/>
    <mergeCell ref="P2137:P2138"/>
    <mergeCell ref="H2206:I2206"/>
    <mergeCell ref="H1749:I1749"/>
    <mergeCell ref="F1101:I1101"/>
    <mergeCell ref="F682:I682"/>
    <mergeCell ref="Q889:Q890"/>
    <mergeCell ref="J2058:J2059"/>
    <mergeCell ref="H132:I132"/>
    <mergeCell ref="B125:H125"/>
    <mergeCell ref="M310:M311"/>
    <mergeCell ref="B2368:H2368"/>
    <mergeCell ref="H2049:I2049"/>
    <mergeCell ref="L1299:L1300"/>
    <mergeCell ref="H2043:I2043"/>
    <mergeCell ref="O2192:O2193"/>
    <mergeCell ref="O2186:O2187"/>
    <mergeCell ref="Q1189:Q1190"/>
    <mergeCell ref="J2358:J2359"/>
    <mergeCell ref="Q770:Q771"/>
    <mergeCell ref="L2035:L2036"/>
    <mergeCell ref="D1516:E1516"/>
    <mergeCell ref="P2610:P2611"/>
    <mergeCell ref="K697:K698"/>
    <mergeCell ref="K691:K692"/>
    <mergeCell ref="P37:P38"/>
    <mergeCell ref="K234:K235"/>
    <mergeCell ref="L1730:L1731"/>
    <mergeCell ref="D1211:E1211"/>
    <mergeCell ref="O2073:O2074"/>
    <mergeCell ref="D2273:E2273"/>
    <mergeCell ref="D1816:E1816"/>
    <mergeCell ref="P825:P826"/>
    <mergeCell ref="M2154:M2155"/>
    <mergeCell ref="O1157:O1158"/>
    <mergeCell ref="K997:K998"/>
    <mergeCell ref="P368:P369"/>
    <mergeCell ref="B265:C265"/>
    <mergeCell ref="P362:P363"/>
    <mergeCell ref="B2508:C2508"/>
    <mergeCell ref="P2605:P2606"/>
    <mergeCell ref="M211:M212"/>
    <mergeCell ref="P1125:P1126"/>
    <mergeCell ref="M2454:M2455"/>
    <mergeCell ref="H737:I737"/>
    <mergeCell ref="H274:I274"/>
    <mergeCell ref="H2517:I2517"/>
    <mergeCell ref="M511:M512"/>
    <mergeCell ref="R2582:R2583"/>
    <mergeCell ref="B1892:C1892"/>
    <mergeCell ref="N1392:N1393"/>
    <mergeCell ref="F1130:I1130"/>
    <mergeCell ref="R586:R587"/>
    <mergeCell ref="A1445:A1446"/>
    <mergeCell ref="N1506:N1507"/>
    <mergeCell ref="Q912:Q913"/>
    <mergeCell ref="L2204:L2205"/>
    <mergeCell ref="R886:R887"/>
    <mergeCell ref="D1353:E1353"/>
    <mergeCell ref="P2506:P2507"/>
    <mergeCell ref="L261:L262"/>
    <mergeCell ref="N1349:N1350"/>
    <mergeCell ref="A2419:A2420"/>
    <mergeCell ref="A1962:A1963"/>
    <mergeCell ref="J129:L129"/>
    <mergeCell ref="J342:J343"/>
    <mergeCell ref="M685:M686"/>
    <mergeCell ref="A2114:A2115"/>
    <mergeCell ref="L1011:L1012"/>
    <mergeCell ref="F752:I752"/>
    <mergeCell ref="R156:R157"/>
    <mergeCell ref="N1718:N1719"/>
    <mergeCell ref="J2040:L2040"/>
    <mergeCell ref="M380:M381"/>
    <mergeCell ref="J528:J529"/>
    <mergeCell ref="B9:C9"/>
    <mergeCell ref="M985:M986"/>
    <mergeCell ref="J223:J224"/>
    <mergeCell ref="F1052:I1052"/>
    <mergeCell ref="N2018:N2019"/>
    <mergeCell ref="J828:J829"/>
    <mergeCell ref="J59:L59"/>
    <mergeCell ref="L2099:L2100"/>
    <mergeCell ref="O2442:O2443"/>
    <mergeCell ref="K1366:K1367"/>
    <mergeCell ref="E1:G3"/>
    <mergeCell ref="R482:R483"/>
    <mergeCell ref="B792:C792"/>
    <mergeCell ref="L2399:L2400"/>
    <mergeCell ref="K1061:K1062"/>
    <mergeCell ref="B1105:H1105"/>
    <mergeCell ref="J728:L728"/>
    <mergeCell ref="J271:L271"/>
    <mergeCell ref="A950:A951"/>
    <mergeCell ref="M275:M276"/>
    <mergeCell ref="J265:L265"/>
    <mergeCell ref="B1710:H1710"/>
    <mergeCell ref="B1092:C1092"/>
    <mergeCell ref="N2192:N2193"/>
    <mergeCell ref="B1405:H1405"/>
    <mergeCell ref="K2035:K2036"/>
    <mergeCell ref="B948:H948"/>
    <mergeCell ref="J1028:L1028"/>
    <mergeCell ref="K1578:K1579"/>
    <mergeCell ref="J697:J698"/>
    <mergeCell ref="B2010:H2010"/>
    <mergeCell ref="A2431:A2432"/>
    <mergeCell ref="N2492:N2493"/>
    <mergeCell ref="R930:R931"/>
    <mergeCell ref="H987:I987"/>
    <mergeCell ref="J234:J235"/>
    <mergeCell ref="K1730:K1731"/>
    <mergeCell ref="N2486:N2487"/>
    <mergeCell ref="R2621:R2622"/>
    <mergeCell ref="D553:E553"/>
    <mergeCell ref="N2160:N2161"/>
    <mergeCell ref="L2573:L2574"/>
    <mergeCell ref="B675:H675"/>
    <mergeCell ref="Q2044:Q2045"/>
    <mergeCell ref="F1957:I1957"/>
    <mergeCell ref="D853:E853"/>
    <mergeCell ref="Q101:Q102"/>
    <mergeCell ref="L2454:L2455"/>
    <mergeCell ref="J1322:J1323"/>
    <mergeCell ref="L325:L326"/>
    <mergeCell ref="O799:O800"/>
    <mergeCell ref="A2026:A2027"/>
    <mergeCell ref="R525:R526"/>
    <mergeCell ref="B1763:H1763"/>
    <mergeCell ref="D542:E542"/>
    <mergeCell ref="B1306:H1306"/>
    <mergeCell ref="R226:R227"/>
    <mergeCell ref="D123:E123"/>
    <mergeCell ref="B1300:H1300"/>
    <mergeCell ref="K266:K267"/>
    <mergeCell ref="J929:L929"/>
    <mergeCell ref="Q2256:Q2257"/>
    <mergeCell ref="A2326:A2327"/>
    <mergeCell ref="B777:C777"/>
    <mergeCell ref="B1606:H1606"/>
    <mergeCell ref="P1523:P1524"/>
    <mergeCell ref="K566:K567"/>
    <mergeCell ref="J898:J899"/>
    <mergeCell ref="H1129:I1129"/>
    <mergeCell ref="J892:J893"/>
    <mergeCell ref="K1872:K1873"/>
    <mergeCell ref="B504:C504"/>
    <mergeCell ref="K261:K262"/>
    <mergeCell ref="M1349:M1350"/>
    <mergeCell ref="M808:O808"/>
    <mergeCell ref="L816:L817"/>
    <mergeCell ref="D297:E297"/>
    <mergeCell ref="Q575:Q576"/>
    <mergeCell ref="Q156:Q157"/>
    <mergeCell ref="J1097:L1097"/>
    <mergeCell ref="H2092:I2092"/>
    <mergeCell ref="F25:I25"/>
    <mergeCell ref="N1599:N1600"/>
    <mergeCell ref="O810:O811"/>
    <mergeCell ref="H1787:I1787"/>
    <mergeCell ref="L1116:L1117"/>
    <mergeCell ref="D597:E597"/>
    <mergeCell ref="A1014:A1015"/>
    <mergeCell ref="B1774:H1774"/>
    <mergeCell ref="J1397:L1397"/>
    <mergeCell ref="L653:L654"/>
    <mergeCell ref="F394:I394"/>
    <mergeCell ref="B294:H294"/>
    <mergeCell ref="J940:L940"/>
    <mergeCell ref="J978:L978"/>
    <mergeCell ref="J1092:L1092"/>
    <mergeCell ref="B2080:H2080"/>
    <mergeCell ref="H1057:I1057"/>
    <mergeCell ref="Q787:Q788"/>
    <mergeCell ref="D897:E897"/>
    <mergeCell ref="R994:R995"/>
    <mergeCell ref="A1314:A1315"/>
    <mergeCell ref="A895:A896"/>
    <mergeCell ref="B2074:H2074"/>
    <mergeCell ref="J1366:J1367"/>
    <mergeCell ref="F694:I694"/>
    <mergeCell ref="M1840:M1841"/>
    <mergeCell ref="K2405:K2406"/>
    <mergeCell ref="K2399:K2400"/>
    <mergeCell ref="R906:R907"/>
    <mergeCell ref="J1797:J1798"/>
    <mergeCell ref="O1168:O1169"/>
    <mergeCell ref="R1642:R1643"/>
    <mergeCell ref="R1625:R1626"/>
    <mergeCell ref="D1522:E1522"/>
    <mergeCell ref="O863:O864"/>
    <mergeCell ref="R1337:R1338"/>
    <mergeCell ref="J1578:J1579"/>
    <mergeCell ref="B1647:C1647"/>
    <mergeCell ref="O1468:O1469"/>
    <mergeCell ref="N130:N131"/>
    <mergeCell ref="B305:H305"/>
    <mergeCell ref="P2050:P2051"/>
    <mergeCell ref="B1947:C1947"/>
    <mergeCell ref="B1490:C1490"/>
    <mergeCell ref="P1587:P1588"/>
    <mergeCell ref="R2294:R2295"/>
    <mergeCell ref="F1168:I1168"/>
    <mergeCell ref="H1199:I1199"/>
    <mergeCell ref="L397:L398"/>
    <mergeCell ref="A1043:A1044"/>
    <mergeCell ref="M1893:M1894"/>
    <mergeCell ref="K761:K762"/>
    <mergeCell ref="A1037:A1038"/>
    <mergeCell ref="N1104:N1105"/>
    <mergeCell ref="P101:P102"/>
    <mergeCell ref="N799:N800"/>
    <mergeCell ref="P1887:P1888"/>
    <mergeCell ref="H1499:I1499"/>
    <mergeCell ref="F438:I438"/>
    <mergeCell ref="Q226:Q227"/>
    <mergeCell ref="M66:M67"/>
    <mergeCell ref="F133:I133"/>
    <mergeCell ref="O1942:O1943"/>
    <mergeCell ref="F738:I738"/>
    <mergeCell ref="L1180:L1181"/>
    <mergeCell ref="O1523:O1524"/>
    <mergeCell ref="H2473:I2473"/>
    <mergeCell ref="L723:L724"/>
    <mergeCell ref="H2587:I2587"/>
    <mergeCell ref="B968:L968"/>
    <mergeCell ref="L1785:L1786"/>
    <mergeCell ref="J2110:L2110"/>
    <mergeCell ref="K447:K448"/>
    <mergeCell ref="A1401:A1402"/>
    <mergeCell ref="J2483:J2484"/>
    <mergeCell ref="O2242:O2243"/>
    <mergeCell ref="O1823:O1824"/>
    <mergeCell ref="D961:E961"/>
    <mergeCell ref="M691:M692"/>
    <mergeCell ref="A965:A966"/>
    <mergeCell ref="L1023:L1024"/>
    <mergeCell ref="D1092:E1092"/>
    <mergeCell ref="F1221:I1221"/>
    <mergeCell ref="B2089:C2089"/>
    <mergeCell ref="K816:K817"/>
    <mergeCell ref="P575:P576"/>
    <mergeCell ref="F1826:I1826"/>
    <mergeCell ref="A1701:A1702"/>
    <mergeCell ref="R2038:R2039"/>
    <mergeCell ref="B1932:C1932"/>
    <mergeCell ref="N941:N942"/>
    <mergeCell ref="K1116:K1117"/>
    <mergeCell ref="K659:K660"/>
    <mergeCell ref="D1609:E1609"/>
    <mergeCell ref="N1546:N1547"/>
    <mergeCell ref="Q368:Q369"/>
    <mergeCell ref="N543:N544"/>
    <mergeCell ref="R2338:R2339"/>
    <mergeCell ref="P2120:R2120"/>
    <mergeCell ref="N1241:N1242"/>
    <mergeCell ref="P787:P788"/>
    <mergeCell ref="R1875:R1876"/>
    <mergeCell ref="H399:I399"/>
    <mergeCell ref="Q668:Q669"/>
    <mergeCell ref="J2378:J2379"/>
    <mergeCell ref="J2405:J2406"/>
    <mergeCell ref="H1004:I1004"/>
    <mergeCell ref="B1554:C1554"/>
    <mergeCell ref="H699:I699"/>
    <mergeCell ref="F1232:I1232"/>
    <mergeCell ref="B686:H686"/>
    <mergeCell ref="A1107:A1108"/>
    <mergeCell ref="N1168:N1169"/>
    <mergeCell ref="J1008:J1009"/>
    <mergeCell ref="J1490:L1490"/>
    <mergeCell ref="Q1642:Q1643"/>
    <mergeCell ref="F1837:I1837"/>
    <mergeCell ref="A2169:A2170"/>
    <mergeCell ref="B387:H387"/>
    <mergeCell ref="Q1625:Q1626"/>
    <mergeCell ref="A1712:A1713"/>
    <mergeCell ref="Q1756:Q1757"/>
    <mergeCell ref="Q1337:Q1338"/>
    <mergeCell ref="N1468:N1469"/>
    <mergeCell ref="J1790:L1790"/>
    <mergeCell ref="M130:M131"/>
    <mergeCell ref="B2617:C2617"/>
    <mergeCell ref="L2166:L2167"/>
    <mergeCell ref="J2578:L2578"/>
    <mergeCell ref="R237:R238"/>
    <mergeCell ref="F802:I802"/>
    <mergeCell ref="R2480:R2481"/>
    <mergeCell ref="D2377:E2377"/>
    <mergeCell ref="A2381:A2382"/>
    <mergeCell ref="D2078:E2078"/>
    <mergeCell ref="A2495:A2496"/>
    <mergeCell ref="J304:J305"/>
    <mergeCell ref="R2175:R2176"/>
    <mergeCell ref="O2323:O2324"/>
    <mergeCell ref="M778:M779"/>
    <mergeCell ref="P1692:P1693"/>
    <mergeCell ref="B2159:C2159"/>
    <mergeCell ref="O2018:O2019"/>
    <mergeCell ref="B542:C542"/>
    <mergeCell ref="H841:I841"/>
    <mergeCell ref="J604:J605"/>
    <mergeCell ref="B673:C673"/>
    <mergeCell ref="A95:A96"/>
    <mergeCell ref="B2459:C2459"/>
    <mergeCell ref="J478:L478"/>
    <mergeCell ref="J21:L21"/>
    <mergeCell ref="H1141:I1141"/>
    <mergeCell ref="N2073:N2074"/>
    <mergeCell ref="Q2416:Q2417"/>
    <mergeCell ref="L2613:L2614"/>
    <mergeCell ref="N1616:N1617"/>
    <mergeCell ref="B1155:H1155"/>
    <mergeCell ref="N1610:N1611"/>
    <mergeCell ref="K1791:K1792"/>
    <mergeCell ref="K1785:K1786"/>
    <mergeCell ref="B698:H698"/>
    <mergeCell ref="K1328:K1329"/>
    <mergeCell ref="J447:J448"/>
    <mergeCell ref="N1311:N1312"/>
    <mergeCell ref="N2242:N2243"/>
    <mergeCell ref="D2436:E2436"/>
    <mergeCell ref="R2533:R2534"/>
    <mergeCell ref="J690:L690"/>
    <mergeCell ref="O249:O250"/>
    <mergeCell ref="R592:R593"/>
    <mergeCell ref="L1578:L1579"/>
    <mergeCell ref="R706:R707"/>
    <mergeCell ref="H763:I763"/>
    <mergeCell ref="L98:L99"/>
    <mergeCell ref="B756:H756"/>
    <mergeCell ref="O854:O855"/>
    <mergeCell ref="J1078:J1079"/>
    <mergeCell ref="J379:L379"/>
    <mergeCell ref="A2239:A2240"/>
    <mergeCell ref="M1546:M1547"/>
    <mergeCell ref="B271:C271"/>
    <mergeCell ref="O549:O550"/>
    <mergeCell ref="L1878:L1879"/>
    <mergeCell ref="O2335:O2336"/>
    <mergeCell ref="B876:C876"/>
    <mergeCell ref="B1056:H1056"/>
    <mergeCell ref="P973:P974"/>
    <mergeCell ref="Q2469:Q2470"/>
    <mergeCell ref="J1378:J1379"/>
    <mergeCell ref="R1680:R1681"/>
    <mergeCell ref="Q2012:Q2013"/>
    <mergeCell ref="Q2006:Q2007"/>
    <mergeCell ref="R1375:R1376"/>
    <mergeCell ref="Q10:Q11"/>
    <mergeCell ref="N185:N186"/>
    <mergeCell ref="J2617:L2617"/>
    <mergeCell ref="D2447:E2447"/>
    <mergeCell ref="Q2306:Q2307"/>
    <mergeCell ref="P2061:P2062"/>
    <mergeCell ref="Q310:Q311"/>
    <mergeCell ref="O723:O724"/>
    <mergeCell ref="P1642:P1643"/>
    <mergeCell ref="M842:M843"/>
    <mergeCell ref="B1659:C1659"/>
    <mergeCell ref="P1756:P1757"/>
    <mergeCell ref="P1299:P1300"/>
    <mergeCell ref="L566:L567"/>
    <mergeCell ref="M1474:M1475"/>
    <mergeCell ref="L109:L110"/>
    <mergeCell ref="H1842:I1842"/>
    <mergeCell ref="P2361:P2362"/>
    <mergeCell ref="M1142:M1143"/>
    <mergeCell ref="H1537:I1537"/>
    <mergeCell ref="B929:C929"/>
    <mergeCell ref="L866:L867"/>
    <mergeCell ref="Q237:Q238"/>
    <mergeCell ref="F607:I607"/>
    <mergeCell ref="L409:L410"/>
    <mergeCell ref="H1211:I1211"/>
    <mergeCell ref="A482:A483"/>
    <mergeCell ref="Q2480:Q2481"/>
    <mergeCell ref="H2273:I2273"/>
    <mergeCell ref="F144:I144"/>
    <mergeCell ref="F2393:I2393"/>
    <mergeCell ref="N80:N81"/>
    <mergeCell ref="F2387:I2387"/>
    <mergeCell ref="N2329:N2330"/>
    <mergeCell ref="L1197:L1198"/>
    <mergeCell ref="N2323:N2324"/>
    <mergeCell ref="L778:L779"/>
    <mergeCell ref="Q537:Q538"/>
    <mergeCell ref="A319:A320"/>
    <mergeCell ref="B2199:H2199"/>
    <mergeCell ref="B1742:H1742"/>
    <mergeCell ref="J1822:L1822"/>
    <mergeCell ref="R656:R657"/>
    <mergeCell ref="D690:E690"/>
    <mergeCell ref="B2504:L2504"/>
    <mergeCell ref="R787:R788"/>
    <mergeCell ref="O918:O919"/>
    <mergeCell ref="B2499:H2499"/>
    <mergeCell ref="R1392:R1393"/>
    <mergeCell ref="M2073:M2074"/>
    <mergeCell ref="L2405:L2406"/>
    <mergeCell ref="K2613:K2614"/>
    <mergeCell ref="M1616:M1617"/>
    <mergeCell ref="R1087:R1088"/>
    <mergeCell ref="J1328:J1329"/>
    <mergeCell ref="J1459:J1460"/>
    <mergeCell ref="B940:C940"/>
    <mergeCell ref="F2288:I2288"/>
    <mergeCell ref="H85:I85"/>
    <mergeCell ref="M2373:M2374"/>
    <mergeCell ref="Q2076:Q2077"/>
    <mergeCell ref="A493:A494"/>
    <mergeCell ref="N554:N555"/>
    <mergeCell ref="F1983:I1983"/>
    <mergeCell ref="A1098:A1099"/>
    <mergeCell ref="Q74:Q75"/>
    <mergeCell ref="J1759:J1760"/>
    <mergeCell ref="N249:N250"/>
    <mergeCell ref="P1832:R1832"/>
    <mergeCell ref="F2588:I2588"/>
    <mergeCell ref="A793:A794"/>
    <mergeCell ref="K511:K512"/>
    <mergeCell ref="N854:N855"/>
    <mergeCell ref="M1544:O1544"/>
    <mergeCell ref="Q380:Q381"/>
    <mergeCell ref="B1609:C1609"/>
    <mergeCell ref="K2297:K2298"/>
    <mergeCell ref="N549:N550"/>
    <mergeCell ref="A1581:A1582"/>
    <mergeCell ref="B1723:C1723"/>
    <mergeCell ref="J1964:L1964"/>
    <mergeCell ref="P2431:P2432"/>
    <mergeCell ref="P2469:P2470"/>
    <mergeCell ref="B398:H398"/>
    <mergeCell ref="J1659:L1659"/>
    <mergeCell ref="A1881:A1882"/>
    <mergeCell ref="M2274:M2275"/>
    <mergeCell ref="H1161:I1161"/>
    <mergeCell ref="D1001:E1001"/>
    <mergeCell ref="P10:P11"/>
    <mergeCell ref="R1098:R1099"/>
    <mergeCell ref="J1933:J1934"/>
    <mergeCell ref="H2223:I2223"/>
    <mergeCell ref="O947:O948"/>
    <mergeCell ref="A2181:A2182"/>
    <mergeCell ref="O2061:O2062"/>
    <mergeCell ref="A1151:A1152"/>
    <mergeCell ref="N2393:N2394"/>
    <mergeCell ref="J2233:J2234"/>
    <mergeCell ref="F514:I514"/>
    <mergeCell ref="K109:K110"/>
    <mergeCell ref="O2361:O2362"/>
    <mergeCell ref="O2035:O2036"/>
    <mergeCell ref="L2210:L2211"/>
    <mergeCell ref="D754:E754"/>
    <mergeCell ref="N691:N692"/>
    <mergeCell ref="L1747:L1748"/>
    <mergeCell ref="K866:K867"/>
    <mergeCell ref="O1730:O1731"/>
    <mergeCell ref="K409:K410"/>
    <mergeCell ref="D1359:E1359"/>
    <mergeCell ref="J76:L76"/>
    <mergeCell ref="P2154:P2155"/>
    <mergeCell ref="D1054:E1054"/>
    <mergeCell ref="M2329:M2330"/>
    <mergeCell ref="K1197:K1198"/>
    <mergeCell ref="P543:P544"/>
    <mergeCell ref="H155:I155"/>
    <mergeCell ref="R92:R93"/>
    <mergeCell ref="H149:I149"/>
    <mergeCell ref="J2134:J2135"/>
    <mergeCell ref="P211:P212"/>
    <mergeCell ref="J464:J465"/>
    <mergeCell ref="H2392:I2392"/>
    <mergeCell ref="P2454:P2455"/>
    <mergeCell ref="K1497:K1498"/>
    <mergeCell ref="J1829:J1830"/>
    <mergeCell ref="H2609:I2609"/>
    <mergeCell ref="J159:J160"/>
    <mergeCell ref="H449:I449"/>
    <mergeCell ref="Q1392:Q1393"/>
    <mergeCell ref="L1616:L1617"/>
    <mergeCell ref="D1228:E1228"/>
    <mergeCell ref="B811:H811"/>
    <mergeCell ref="Q1093:Q1094"/>
    <mergeCell ref="Q1087:Q1088"/>
    <mergeCell ref="L2221:L2222"/>
    <mergeCell ref="A2294:A2295"/>
    <mergeCell ref="L2352:L2353"/>
    <mergeCell ref="B925:H925"/>
    <mergeCell ref="P842:P843"/>
    <mergeCell ref="D1833:E1833"/>
    <mergeCell ref="L2047:L2048"/>
    <mergeCell ref="D1528:E1528"/>
    <mergeCell ref="J2334:L2334"/>
    <mergeCell ref="J2328:L2328"/>
    <mergeCell ref="H2293:I2293"/>
    <mergeCell ref="D2133:E2133"/>
    <mergeCell ref="P1142:P1143"/>
    <mergeCell ref="O1474:O1475"/>
    <mergeCell ref="A2131:A2132"/>
    <mergeCell ref="P685:P686"/>
    <mergeCell ref="J2602:J2603"/>
    <mergeCell ref="J517:J518"/>
    <mergeCell ref="F1930:I1930"/>
    <mergeCell ref="H297:I297"/>
    <mergeCell ref="B740:C740"/>
    <mergeCell ref="D1828:E1828"/>
    <mergeCell ref="H1988:I1988"/>
    <mergeCell ref="J54:J55"/>
    <mergeCell ref="M397:M398"/>
    <mergeCell ref="N1893:N1894"/>
    <mergeCell ref="M528:M529"/>
    <mergeCell ref="J2297:J2298"/>
    <mergeCell ref="R2599:R2600"/>
    <mergeCell ref="P1442:P1443"/>
    <mergeCell ref="L1974:L1975"/>
    <mergeCell ref="M223:M224"/>
    <mergeCell ref="O2431:O2432"/>
    <mergeCell ref="B2209:C2209"/>
    <mergeCell ref="R2442:R2443"/>
    <mergeCell ref="L2274:L2275"/>
    <mergeCell ref="D1886:E1886"/>
    <mergeCell ref="L278:L279"/>
    <mergeCell ref="B335:C335"/>
    <mergeCell ref="N1366:N1367"/>
    <mergeCell ref="D1423:E1423"/>
    <mergeCell ref="K1541:K1542"/>
    <mergeCell ref="N947:N948"/>
    <mergeCell ref="B2121:C2121"/>
    <mergeCell ref="J140:L140"/>
    <mergeCell ref="N1061:N1062"/>
    <mergeCell ref="A362:A363"/>
    <mergeCell ref="Q406:Q407"/>
    <mergeCell ref="D59:E59"/>
    <mergeCell ref="B823:H823"/>
    <mergeCell ref="Q2192:Q2193"/>
    <mergeCell ref="J440:L440"/>
    <mergeCell ref="M1002:M1003"/>
    <mergeCell ref="L1328:L1329"/>
    <mergeCell ref="F1069:I1069"/>
    <mergeCell ref="N2035:N2036"/>
    <mergeCell ref="J845:J846"/>
    <mergeCell ref="Q1462:Q1463"/>
    <mergeCell ref="B21:C21"/>
    <mergeCell ref="R2495:R2496"/>
    <mergeCell ref="J83:J84"/>
    <mergeCell ref="F1369:I1369"/>
    <mergeCell ref="O2154:O2155"/>
    <mergeCell ref="Q1157:Q1158"/>
    <mergeCell ref="L2416:L2417"/>
    <mergeCell ref="Q1762:Q1763"/>
    <mergeCell ref="J2284:L2284"/>
    <mergeCell ref="F1669:I1669"/>
    <mergeCell ref="J745:L745"/>
    <mergeCell ref="B1109:C1109"/>
    <mergeCell ref="D2197:E2197"/>
    <mergeCell ref="A2201:A2202"/>
    <mergeCell ref="F2457:I2457"/>
    <mergeCell ref="B652:C652"/>
    <mergeCell ref="D1778:E1778"/>
    <mergeCell ref="F2000:I2000"/>
    <mergeCell ref="J2584:L2584"/>
    <mergeCell ref="B1714:C1714"/>
    <mergeCell ref="P1811:P1812"/>
    <mergeCell ref="M1055:M1056"/>
    <mergeCell ref="N266:N267"/>
    <mergeCell ref="P1392:P1393"/>
    <mergeCell ref="B1475:H1475"/>
    <mergeCell ref="B2027:H2027"/>
    <mergeCell ref="M592:M593"/>
    <mergeCell ref="N2509:N2510"/>
    <mergeCell ref="B1409:C1409"/>
    <mergeCell ref="A2501:A2502"/>
    <mergeCell ref="P1093:P1094"/>
    <mergeCell ref="K2352:K2353"/>
    <mergeCell ref="J184:L184"/>
    <mergeCell ref="M892:M893"/>
    <mergeCell ref="H1304:I1304"/>
    <mergeCell ref="K2047:K2048"/>
    <mergeCell ref="F357:I357"/>
    <mergeCell ref="H961:I961"/>
    <mergeCell ref="N1474:N1475"/>
    <mergeCell ref="O685:O686"/>
    <mergeCell ref="Q2361:Q2362"/>
    <mergeCell ref="O816:O817"/>
    <mergeCell ref="L991:L992"/>
    <mergeCell ref="N2079:N2080"/>
    <mergeCell ref="L947:L948"/>
    <mergeCell ref="H1330:I1330"/>
    <mergeCell ref="L528:L529"/>
    <mergeCell ref="D140:E140"/>
    <mergeCell ref="O985:O986"/>
    <mergeCell ref="H1935:I1935"/>
    <mergeCell ref="L2314:L2315"/>
    <mergeCell ref="F874:I874"/>
    <mergeCell ref="O1116:O1117"/>
    <mergeCell ref="B1955:H1955"/>
    <mergeCell ref="J510:L510"/>
    <mergeCell ref="Q662:Q663"/>
    <mergeCell ref="B1949:H1949"/>
    <mergeCell ref="J1572:L1572"/>
    <mergeCell ref="L828:L829"/>
    <mergeCell ref="B1623:H1623"/>
    <mergeCell ref="A863:A864"/>
    <mergeCell ref="F569:I569"/>
    <mergeCell ref="R543:R544"/>
    <mergeCell ref="D440:E440"/>
    <mergeCell ref="A857:A858"/>
    <mergeCell ref="R537:R538"/>
    <mergeCell ref="J1115:L1115"/>
    <mergeCell ref="B1617:H1617"/>
    <mergeCell ref="J909:J910"/>
    <mergeCell ref="B1928:L1928"/>
    <mergeCell ref="B1318:H1318"/>
    <mergeCell ref="Q962:Q963"/>
    <mergeCell ref="K278:K279"/>
    <mergeCell ref="M1366:M1367"/>
    <mergeCell ref="B1792:H1792"/>
    <mergeCell ref="N2405:N2406"/>
    <mergeCell ref="O1043:O1044"/>
    <mergeCell ref="K883:K884"/>
    <mergeCell ref="J1215:J1216"/>
    <mergeCell ref="K578:K579"/>
    <mergeCell ref="F42:I42"/>
    <mergeCell ref="O1343:O1344"/>
    <mergeCell ref="M2035:M2036"/>
    <mergeCell ref="H2409:I2409"/>
    <mergeCell ref="Q130:Q131"/>
    <mergeCell ref="P1462:P1463"/>
    <mergeCell ref="B2097:H2097"/>
    <mergeCell ref="J652:L652"/>
    <mergeCell ref="B2091:H2091"/>
    <mergeCell ref="A912:A913"/>
    <mergeCell ref="J1714:L1714"/>
    <mergeCell ref="N1093:N1094"/>
    <mergeCell ref="P1762:P1763"/>
    <mergeCell ref="O397:O398"/>
    <mergeCell ref="P1893:P1894"/>
    <mergeCell ref="H1374:I1374"/>
    <mergeCell ref="Q1104:Q1105"/>
    <mergeCell ref="A1218:A1219"/>
    <mergeCell ref="A1212:A1213"/>
    <mergeCell ref="H911:I911"/>
    <mergeCell ref="J1683:J1684"/>
    <mergeCell ref="O1817:O1818"/>
    <mergeCell ref="R2285:R2286"/>
    <mergeCell ref="O1485:O1486"/>
    <mergeCell ref="H2462:I2462"/>
    <mergeCell ref="H2005:I2005"/>
    <mergeCell ref="O2117:O2118"/>
    <mergeCell ref="O1180:O1181"/>
    <mergeCell ref="R1523:R1524"/>
    <mergeCell ref="D809:E809"/>
    <mergeCell ref="J2314:J2315"/>
    <mergeCell ref="B1964:C1964"/>
    <mergeCell ref="L898:L899"/>
    <mergeCell ref="O1785:O1786"/>
    <mergeCell ref="D510:E510"/>
    <mergeCell ref="J2195:J2196"/>
    <mergeCell ref="Q1578:Q1579"/>
    <mergeCell ref="B1807:C1807"/>
    <mergeCell ref="N816:N817"/>
    <mergeCell ref="M2079:M2080"/>
    <mergeCell ref="K947:K948"/>
    <mergeCell ref="N1421:N1422"/>
    <mergeCell ref="B2619:H2619"/>
    <mergeCell ref="M1747:M1748"/>
    <mergeCell ref="D1592:E1592"/>
    <mergeCell ref="H30:I30"/>
    <mergeCell ref="N1116:N1117"/>
    <mergeCell ref="M2410:M2411"/>
    <mergeCell ref="R1881:R1882"/>
    <mergeCell ref="Q543:Q544"/>
    <mergeCell ref="H2185:I2185"/>
    <mergeCell ref="O16:O17"/>
    <mergeCell ref="J1948:J1949"/>
    <mergeCell ref="L1366:L1367"/>
    <mergeCell ref="R2181:R2182"/>
    <mergeCell ref="L1497:L1498"/>
    <mergeCell ref="B561:H561"/>
    <mergeCell ref="H2360:I2360"/>
    <mergeCell ref="J1365:L1365"/>
    <mergeCell ref="Q1930:Q1931"/>
    <mergeCell ref="A2044:A2045"/>
    <mergeCell ref="B2165:C2165"/>
    <mergeCell ref="B872:L872"/>
    <mergeCell ref="A1587:A1588"/>
    <mergeCell ref="B2347:H2347"/>
    <mergeCell ref="B1729:C1729"/>
    <mergeCell ref="H2028:I2028"/>
    <mergeCell ref="B1860:C1860"/>
    <mergeCell ref="L1797:L1798"/>
    <mergeCell ref="Q1168:Q1169"/>
    <mergeCell ref="B2042:H2042"/>
    <mergeCell ref="A101:A102"/>
    <mergeCell ref="J252:J253"/>
    <mergeCell ref="N1343:N1344"/>
    <mergeCell ref="F1538:I1538"/>
    <mergeCell ref="F1081:I1081"/>
    <mergeCell ref="J1665:L1665"/>
    <mergeCell ref="J2084:L2084"/>
    <mergeCell ref="B795:C795"/>
    <mergeCell ref="B2465:C2465"/>
    <mergeCell ref="P892:P893"/>
    <mergeCell ref="N1017:N1018"/>
    <mergeCell ref="A1887:A1888"/>
    <mergeCell ref="B518:H518"/>
    <mergeCell ref="A2018:A2019"/>
    <mergeCell ref="F2143:I2143"/>
    <mergeCell ref="R112:R113"/>
    <mergeCell ref="B1960:L1960"/>
    <mergeCell ref="R2355:R2356"/>
    <mergeCell ref="D2252:E2252"/>
    <mergeCell ref="R2050:R2051"/>
    <mergeCell ref="D1947:E1947"/>
    <mergeCell ref="R412:R413"/>
    <mergeCell ref="D1621:E1621"/>
    <mergeCell ref="N397:N398"/>
    <mergeCell ref="O1893:O1894"/>
    <mergeCell ref="M761:M762"/>
    <mergeCell ref="P1104:P1105"/>
    <mergeCell ref="M304:M305"/>
    <mergeCell ref="H716:I716"/>
    <mergeCell ref="J479:J480"/>
    <mergeCell ref="O2498:O2499"/>
    <mergeCell ref="B91:C91"/>
    <mergeCell ref="B2334:C2334"/>
    <mergeCell ref="H411:I411"/>
    <mergeCell ref="P1404:P1405"/>
    <mergeCell ref="B1871:C1871"/>
    <mergeCell ref="J27:L27"/>
    <mergeCell ref="H1016:I1016"/>
    <mergeCell ref="Q162:Q163"/>
    <mergeCell ref="N1491:N1492"/>
    <mergeCell ref="A243:A244"/>
    <mergeCell ref="N1485:N1486"/>
    <mergeCell ref="B385:C385"/>
    <mergeCell ref="A2486:A2487"/>
    <mergeCell ref="A2029:A2030"/>
    <mergeCell ref="Q1942:Q1943"/>
    <mergeCell ref="J196:L196"/>
    <mergeCell ref="K1334:K1335"/>
    <mergeCell ref="D1848:E1848"/>
    <mergeCell ref="N1785:N1786"/>
    <mergeCell ref="K1029:K1030"/>
    <mergeCell ref="L240:L241"/>
    <mergeCell ref="N1328:N1329"/>
    <mergeCell ref="L2483:L2484"/>
    <mergeCell ref="K1634:K1635"/>
    <mergeCell ref="O124:O125"/>
    <mergeCell ref="B1661:H1661"/>
    <mergeCell ref="R554:R555"/>
    <mergeCell ref="D2148:E2148"/>
    <mergeCell ref="R2245:R2246"/>
    <mergeCell ref="L2172:L2173"/>
    <mergeCell ref="R249:R250"/>
    <mergeCell ref="B936:L936"/>
    <mergeCell ref="J2034:L2034"/>
    <mergeCell ref="B931:H931"/>
    <mergeCell ref="P848:P849"/>
    <mergeCell ref="F2093:I2093"/>
    <mergeCell ref="P1546:P1547"/>
    <mergeCell ref="B865:C865"/>
    <mergeCell ref="R549:R550"/>
    <mergeCell ref="F2213:I2213"/>
    <mergeCell ref="J921:J922"/>
    <mergeCell ref="F2207:I2207"/>
    <mergeCell ref="F1750:I1750"/>
    <mergeCell ref="F1788:I1788"/>
    <mergeCell ref="K1802:K1803"/>
    <mergeCell ref="M805:M806"/>
    <mergeCell ref="P1148:P1149"/>
    <mergeCell ref="N16:N17"/>
    <mergeCell ref="B2024:L2024"/>
    <mergeCell ref="D2322:E2322"/>
    <mergeCell ref="J338:L338"/>
    <mergeCell ref="L2378:L2379"/>
    <mergeCell ref="K1040:K1041"/>
    <mergeCell ref="Q185:Q186"/>
    <mergeCell ref="A255:A256"/>
    <mergeCell ref="O266:O267"/>
    <mergeCell ref="K1797:K1798"/>
    <mergeCell ref="P2236:P2237"/>
    <mergeCell ref="H1385:I1385"/>
    <mergeCell ref="K2128:K2129"/>
    <mergeCell ref="O566:O567"/>
    <mergeCell ref="P1474:P1475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M1317:M1318"/>
    <mergeCell ref="O866:O867"/>
    <mergeCell ref="B768:H768"/>
    <mergeCell ref="L1066:L1067"/>
    <mergeCell ref="K1398:K1399"/>
    <mergeCell ref="B1830:H1830"/>
    <mergeCell ref="B1373:H1373"/>
    <mergeCell ref="A613:A614"/>
    <mergeCell ref="F319:I319"/>
    <mergeCell ref="Q80:Q81"/>
    <mergeCell ref="Q2329:Q2330"/>
    <mergeCell ref="Q2323:Q2324"/>
    <mergeCell ref="F2105:I2105"/>
    <mergeCell ref="O778:O779"/>
    <mergeCell ref="N2498:N2499"/>
    <mergeCell ref="K34:K35"/>
    <mergeCell ref="R1692:R1693"/>
    <mergeCell ref="K1698:K1699"/>
    <mergeCell ref="K28:K29"/>
    <mergeCell ref="D978:E978"/>
    <mergeCell ref="D2159:E2159"/>
    <mergeCell ref="R662:R663"/>
    <mergeCell ref="D521:E521"/>
    <mergeCell ref="J2064:J2065"/>
    <mergeCell ref="N2618:N2619"/>
    <mergeCell ref="O793:O794"/>
    <mergeCell ref="D216:E216"/>
    <mergeCell ref="M1491:M1492"/>
    <mergeCell ref="P1032:R1032"/>
    <mergeCell ref="P2378:P2379"/>
    <mergeCell ref="R1381:R1382"/>
    <mergeCell ref="D2459:E2459"/>
    <mergeCell ref="R962:R963"/>
    <mergeCell ref="J1334:J1335"/>
    <mergeCell ref="N2613:N2614"/>
    <mergeCell ref="P1616:P1617"/>
    <mergeCell ref="M1791:M1792"/>
    <mergeCell ref="A368:A369"/>
    <mergeCell ref="L426:L427"/>
    <mergeCell ref="J1029:J1030"/>
    <mergeCell ref="M1785:M1786"/>
    <mergeCell ref="L2117:L2118"/>
    <mergeCell ref="F1858:I1858"/>
    <mergeCell ref="J2053:J2054"/>
    <mergeCell ref="J1634:J1635"/>
    <mergeCell ref="J865:L865"/>
    <mergeCell ref="B1246:C1246"/>
    <mergeCell ref="Q554:Q555"/>
    <mergeCell ref="A668:A669"/>
    <mergeCell ref="B783:C783"/>
    <mergeCell ref="A205:A206"/>
    <mergeCell ref="F461:I461"/>
    <mergeCell ref="K2172:K2173"/>
    <mergeCell ref="Q249:Q250"/>
    <mergeCell ref="B484:C484"/>
    <mergeCell ref="L1514:L1515"/>
    <mergeCell ref="H1124:I1124"/>
    <mergeCell ref="Q854:Q855"/>
    <mergeCell ref="N98:N99"/>
    <mergeCell ref="B273:H273"/>
    <mergeCell ref="B2516:H2516"/>
    <mergeCell ref="A1756:A1757"/>
    <mergeCell ref="B2059:H2059"/>
    <mergeCell ref="J2139:L2139"/>
    <mergeCell ref="D876:E876"/>
    <mergeCell ref="A1293:A1294"/>
    <mergeCell ref="R973:R974"/>
    <mergeCell ref="J1676:L1676"/>
    <mergeCell ref="B2211:H2211"/>
    <mergeCell ref="B573:H573"/>
    <mergeCell ref="M147:M148"/>
    <mergeCell ref="K2384:K2385"/>
    <mergeCell ref="H2212:I2212"/>
    <mergeCell ref="J1377:L1377"/>
    <mergeCell ref="M1933:M1934"/>
    <mergeCell ref="O930:O931"/>
    <mergeCell ref="J1776:J1777"/>
    <mergeCell ref="F389:I389"/>
    <mergeCell ref="D1964:E1964"/>
    <mergeCell ref="H402:I402"/>
    <mergeCell ref="R2061:R2062"/>
    <mergeCell ref="F2605:I2605"/>
    <mergeCell ref="K1145:K1146"/>
    <mergeCell ref="M2233:M2234"/>
    <mergeCell ref="Q2393:Q2394"/>
    <mergeCell ref="M1203:M1204"/>
    <mergeCell ref="F2300:I2300"/>
    <mergeCell ref="D1048:E1048"/>
    <mergeCell ref="A1:D2"/>
    <mergeCell ref="Q1328:Q1329"/>
    <mergeCell ref="N572:N573"/>
    <mergeCell ref="N566:N567"/>
    <mergeCell ref="N109:N110"/>
    <mergeCell ref="R2361:R2362"/>
    <mergeCell ref="D1234:E1234"/>
    <mergeCell ref="K415:K416"/>
    <mergeCell ref="M1503:M1504"/>
    <mergeCell ref="J1545:L1545"/>
    <mergeCell ref="B2345:C2345"/>
    <mergeCell ref="D1348:E1348"/>
    <mergeCell ref="D929:E929"/>
    <mergeCell ref="N866:N867"/>
    <mergeCell ref="B110:H110"/>
    <mergeCell ref="D1534:E1534"/>
    <mergeCell ref="R1631:R1632"/>
    <mergeCell ref="P80:P81"/>
    <mergeCell ref="B715:H715"/>
    <mergeCell ref="M1986:M1987"/>
    <mergeCell ref="N1197:N1198"/>
    <mergeCell ref="P2329:P2330"/>
    <mergeCell ref="J1519:L1519"/>
    <mergeCell ref="H1941:I1941"/>
    <mergeCell ref="M2460:M2461"/>
    <mergeCell ref="M2591:M2592"/>
    <mergeCell ref="M2618:M2619"/>
    <mergeCell ref="L1253:L1254"/>
    <mergeCell ref="P2376:R2376"/>
    <mergeCell ref="F531:I531"/>
    <mergeCell ref="N1497:N1498"/>
    <mergeCell ref="N467:N468"/>
    <mergeCell ref="J307:J308"/>
    <mergeCell ref="H2235:I2235"/>
    <mergeCell ref="O2378:O2379"/>
    <mergeCell ref="F1136:I1136"/>
    <mergeCell ref="Q1381:Q1382"/>
    <mergeCell ref="H1778:I1778"/>
    <mergeCell ref="Q918:Q919"/>
    <mergeCell ref="N162:N163"/>
    <mergeCell ref="F831:I831"/>
    <mergeCell ref="O435:O436"/>
    <mergeCell ref="N767:N768"/>
    <mergeCell ref="D1403:E1403"/>
    <mergeCell ref="O2221:O2222"/>
    <mergeCell ref="L1465:L1466"/>
    <mergeCell ref="J2203:L2203"/>
    <mergeCell ref="J1746:L1746"/>
    <mergeCell ref="D2008:E2008"/>
    <mergeCell ref="D1071:E1071"/>
    <mergeCell ref="R2105:R2106"/>
    <mergeCell ref="M2346:M2347"/>
    <mergeCell ref="P560:P561"/>
    <mergeCell ref="P554:P555"/>
    <mergeCell ref="F1805:I1805"/>
    <mergeCell ref="D1676:E1676"/>
    <mergeCell ref="J60:J61"/>
    <mergeCell ref="J2046:L2046"/>
    <mergeCell ref="D1371:E1371"/>
    <mergeCell ref="J2303:J2304"/>
    <mergeCell ref="K1514:K1515"/>
    <mergeCell ref="M2602:M2603"/>
    <mergeCell ref="M517:M518"/>
    <mergeCell ref="P854:P855"/>
    <mergeCell ref="M98:M99"/>
    <mergeCell ref="H472:I472"/>
    <mergeCell ref="M54:M55"/>
    <mergeCell ref="H466:I466"/>
    <mergeCell ref="D2028:E2028"/>
    <mergeCell ref="J229:J230"/>
    <mergeCell ref="H9:I9"/>
    <mergeCell ref="M2297:M2298"/>
    <mergeCell ref="O1974:O1975"/>
    <mergeCell ref="H161:I161"/>
    <mergeCell ref="K1814:K1815"/>
    <mergeCell ref="B154:H154"/>
    <mergeCell ref="B2084:C2084"/>
    <mergeCell ref="L2149:L2150"/>
    <mergeCell ref="R2431:R2432"/>
    <mergeCell ref="A1174:A1175"/>
    <mergeCell ref="L147:L148"/>
    <mergeCell ref="Q1709:Q1710"/>
    <mergeCell ref="O2274:O2275"/>
    <mergeCell ref="L1933:L1934"/>
    <mergeCell ref="K1084:K1085"/>
    <mergeCell ref="B2601:C2601"/>
    <mergeCell ref="B2595:C2595"/>
    <mergeCell ref="L453:L454"/>
    <mergeCell ref="B1111:H1111"/>
    <mergeCell ref="N1541:N1542"/>
    <mergeCell ref="D1598:E1598"/>
    <mergeCell ref="A2154:A2155"/>
    <mergeCell ref="P150:P151"/>
    <mergeCell ref="B2296:C2296"/>
    <mergeCell ref="B779:H779"/>
    <mergeCell ref="L2233:L2234"/>
    <mergeCell ref="B1411:H1411"/>
    <mergeCell ref="F1642:I1642"/>
    <mergeCell ref="A2448:A2449"/>
    <mergeCell ref="P1002:P1003"/>
    <mergeCell ref="H62:I62"/>
    <mergeCell ref="B1079:H1079"/>
    <mergeCell ref="H2305:I2305"/>
    <mergeCell ref="Q2035:Q2036"/>
    <mergeCell ref="A2149:A2150"/>
    <mergeCell ref="J371:J372"/>
    <mergeCell ref="F1244:I1244"/>
    <mergeCell ref="N2210:N2211"/>
    <mergeCell ref="M845:M846"/>
    <mergeCell ref="J1020:J1021"/>
    <mergeCell ref="L2291:L2292"/>
    <mergeCell ref="M1197:M1198"/>
    <mergeCell ref="L2591:L2592"/>
    <mergeCell ref="L2134:L2135"/>
    <mergeCell ref="K1253:K1254"/>
    <mergeCell ref="B521:C521"/>
    <mergeCell ref="J920:L920"/>
    <mergeCell ref="A74:A75"/>
    <mergeCell ref="J463:L463"/>
    <mergeCell ref="J457:L457"/>
    <mergeCell ref="P1354:P1355"/>
    <mergeCell ref="B827:C827"/>
    <mergeCell ref="P1055:P1056"/>
    <mergeCell ref="B495:C495"/>
    <mergeCell ref="A374:A375"/>
    <mergeCell ref="K1770:K1771"/>
    <mergeCell ref="M767:M768"/>
    <mergeCell ref="J757:L757"/>
    <mergeCell ref="K1884:K1885"/>
    <mergeCell ref="K1465:K1466"/>
    <mergeCell ref="N2352:N2353"/>
    <mergeCell ref="R842:R843"/>
    <mergeCell ref="A63:A64"/>
    <mergeCell ref="Q1779:Q1780"/>
    <mergeCell ref="P1288:R1288"/>
    <mergeCell ref="L822:L823"/>
    <mergeCell ref="R1142:R1143"/>
    <mergeCell ref="D15:E15"/>
    <mergeCell ref="Q293:Q294"/>
    <mergeCell ref="R685:R686"/>
    <mergeCell ref="L2602:L2603"/>
    <mergeCell ref="L517:L518"/>
    <mergeCell ref="H1810:I1810"/>
    <mergeCell ref="R1747:R1748"/>
    <mergeCell ref="O991:O992"/>
    <mergeCell ref="D129:E129"/>
    <mergeCell ref="Q2079:Q2080"/>
    <mergeCell ref="A2218:A2219"/>
    <mergeCell ref="F2474:I2474"/>
    <mergeCell ref="L1122:L1123"/>
    <mergeCell ref="O528:O529"/>
    <mergeCell ref="J2601:L2601"/>
    <mergeCell ref="H1505:I1505"/>
    <mergeCell ref="B1498:H1498"/>
    <mergeCell ref="J53:L53"/>
    <mergeCell ref="D315:E315"/>
    <mergeCell ref="A732:A733"/>
    <mergeCell ref="B1492:H1492"/>
    <mergeCell ref="J1814:J1815"/>
    <mergeCell ref="H2110:I2110"/>
    <mergeCell ref="J2296:L2296"/>
    <mergeCell ref="A2518:A2519"/>
    <mergeCell ref="B969:C969"/>
    <mergeCell ref="B1798:H1798"/>
    <mergeCell ref="P1715:P1716"/>
    <mergeCell ref="P1709:P1710"/>
    <mergeCell ref="N2274:N2275"/>
    <mergeCell ref="B1335:H1335"/>
    <mergeCell ref="J1084:J1085"/>
    <mergeCell ref="O586:O587"/>
    <mergeCell ref="P1366:P1367"/>
    <mergeCell ref="M1541:M1542"/>
    <mergeCell ref="R1500:R1501"/>
    <mergeCell ref="R1043:R1044"/>
    <mergeCell ref="M1000:O1000"/>
    <mergeCell ref="O886:O887"/>
    <mergeCell ref="R1343:R1344"/>
    <mergeCell ref="F217:I217"/>
    <mergeCell ref="O1002:O1003"/>
    <mergeCell ref="B1327:C1327"/>
    <mergeCell ref="A1206:A1207"/>
    <mergeCell ref="B1966:H1966"/>
    <mergeCell ref="H1647:I1647"/>
    <mergeCell ref="L845:L846"/>
    <mergeCell ref="F586:I586"/>
    <mergeCell ref="J1132:L1132"/>
    <mergeCell ref="A874:A875"/>
    <mergeCell ref="B1022:C1022"/>
    <mergeCell ref="O1302:O1303"/>
    <mergeCell ref="H2252:I2252"/>
    <mergeCell ref="B23:H23"/>
    <mergeCell ref="B2272:H2272"/>
    <mergeCell ref="J827:L827"/>
    <mergeCell ref="Q979:Q980"/>
    <mergeCell ref="H1249:I1249"/>
    <mergeCell ref="A1506:A1507"/>
    <mergeCell ref="B1627:C1627"/>
    <mergeCell ref="B2266:H2266"/>
    <mergeCell ref="H1947:I1947"/>
    <mergeCell ref="F886:I886"/>
    <mergeCell ref="N2416:N2417"/>
    <mergeCell ref="J1226:J1227"/>
    <mergeCell ref="K2134:K2135"/>
    <mergeCell ref="M1683:M1684"/>
    <mergeCell ref="J1801:L1801"/>
    <mergeCell ref="O1360:O1361"/>
    <mergeCell ref="J1532:J1533"/>
    <mergeCell ref="R1817:R1818"/>
    <mergeCell ref="D1714:E1714"/>
    <mergeCell ref="B2478:H2478"/>
    <mergeCell ref="R1811:R1812"/>
    <mergeCell ref="O1055:O1056"/>
    <mergeCell ref="L2384:L2385"/>
    <mergeCell ref="P266:P267"/>
    <mergeCell ref="O1660:O1661"/>
    <mergeCell ref="D798:E798"/>
    <mergeCell ref="R1066:R1067"/>
    <mergeCell ref="J1884:J1885"/>
    <mergeCell ref="N322:N323"/>
    <mergeCell ref="J1185:L1185"/>
    <mergeCell ref="M2352:M2353"/>
    <mergeCell ref="K165:K166"/>
    <mergeCell ref="H178:I178"/>
    <mergeCell ref="B1682:C1682"/>
    <mergeCell ref="B1862:H1862"/>
    <mergeCell ref="P1779:P1780"/>
    <mergeCell ref="B1676:C1676"/>
    <mergeCell ref="B2472:L2472"/>
    <mergeCell ref="J969:L969"/>
    <mergeCell ref="K496:K497"/>
    <mergeCell ref="P293:P294"/>
    <mergeCell ref="K490:K491"/>
    <mergeCell ref="Q816:Q817"/>
    <mergeCell ref="B1982:C1982"/>
    <mergeCell ref="P2079:P2080"/>
    <mergeCell ref="N534:N535"/>
    <mergeCell ref="H1691:I1691"/>
    <mergeCell ref="P2410:P2411"/>
    <mergeCell ref="F298:I298"/>
    <mergeCell ref="K2576:K2577"/>
    <mergeCell ref="N217:N218"/>
    <mergeCell ref="M2253:M2254"/>
    <mergeCell ref="L1372:L1373"/>
    <mergeCell ref="L915:L916"/>
    <mergeCell ref="O1829:O1830"/>
    <mergeCell ref="H2322:I2322"/>
    <mergeCell ref="H2316:I2316"/>
    <mergeCell ref="A2160:A2161"/>
    <mergeCell ref="O2434:O2435"/>
    <mergeCell ref="Q1043:Q1044"/>
    <mergeCell ref="L1215:L1216"/>
    <mergeCell ref="D827:E827"/>
    <mergeCell ref="F950:I950"/>
    <mergeCell ref="D821:E821"/>
    <mergeCell ref="M2096:M2097"/>
    <mergeCell ref="P435:P436"/>
    <mergeCell ref="Q1343:Q1344"/>
    <mergeCell ref="M153:M154"/>
    <mergeCell ref="M2396:M2397"/>
    <mergeCell ref="K851:K852"/>
    <mergeCell ref="P610:P611"/>
    <mergeCell ref="D1801:E1801"/>
    <mergeCell ref="K845:K846"/>
    <mergeCell ref="N1738:N1739"/>
    <mergeCell ref="P741:P742"/>
    <mergeCell ref="L2303:L2304"/>
    <mergeCell ref="K965:K966"/>
    <mergeCell ref="B1672:L1672"/>
    <mergeCell ref="R2067:R2068"/>
    <mergeCell ref="J169:L169"/>
    <mergeCell ref="R2198:R2199"/>
    <mergeCell ref="P1066:P1067"/>
    <mergeCell ref="D2084:E2084"/>
    <mergeCell ref="J2570:J2571"/>
    <mergeCell ref="L1573:L1574"/>
    <mergeCell ref="J22:J23"/>
    <mergeCell ref="R1893:R1894"/>
    <mergeCell ref="J2265:J2266"/>
    <mergeCell ref="B1746:C1746"/>
    <mergeCell ref="M479:M480"/>
    <mergeCell ref="H891:I891"/>
    <mergeCell ref="L1683:L1684"/>
    <mergeCell ref="J138:J139"/>
    <mergeCell ref="B1877:C1877"/>
    <mergeCell ref="R2498:R2499"/>
    <mergeCell ref="B878:H878"/>
    <mergeCell ref="A1299:A1300"/>
    <mergeCell ref="N1360:N1361"/>
    <mergeCell ref="B2351:C2351"/>
    <mergeCell ref="K560:K561"/>
    <mergeCell ref="Q1834:Q1835"/>
    <mergeCell ref="B579:H579"/>
    <mergeCell ref="B535:H535"/>
    <mergeCell ref="B2046:C2046"/>
    <mergeCell ref="Q1948:Q1949"/>
    <mergeCell ref="J2287:L2287"/>
    <mergeCell ref="B116:H116"/>
    <mergeCell ref="B2177:C2177"/>
    <mergeCell ref="Q1485:Q1486"/>
    <mergeCell ref="A1599:A1600"/>
    <mergeCell ref="N1666:N1667"/>
    <mergeCell ref="B840:L840"/>
    <mergeCell ref="B230:H230"/>
    <mergeCell ref="N1660:N1661"/>
    <mergeCell ref="F1398:I1398"/>
    <mergeCell ref="K860:K861"/>
    <mergeCell ref="N1203:N1204"/>
    <mergeCell ref="F1392:I1392"/>
    <mergeCell ref="J2612:L2612"/>
    <mergeCell ref="J527:L527"/>
    <mergeCell ref="Q1785:Q1786"/>
    <mergeCell ref="F994:I994"/>
    <mergeCell ref="D2569:E2569"/>
    <mergeCell ref="B1204:H1204"/>
    <mergeCell ref="R124:R125"/>
    <mergeCell ref="O1453:O1454"/>
    <mergeCell ref="J496:J497"/>
    <mergeCell ref="A2230:A2231"/>
    <mergeCell ref="M970:M971"/>
    <mergeCell ref="R729:R730"/>
    <mergeCell ref="J1101:J1102"/>
    <mergeCell ref="P1421:P1422"/>
    <mergeCell ref="O1753:O1754"/>
    <mergeCell ref="H1033:I1033"/>
    <mergeCell ref="J796:J797"/>
    <mergeCell ref="F2082:I2082"/>
    <mergeCell ref="A1957:A1958"/>
    <mergeCell ref="B408:C408"/>
    <mergeCell ref="O2410:O2411"/>
    <mergeCell ref="P505:P506"/>
    <mergeCell ref="J2340:L2340"/>
    <mergeCell ref="J213:L213"/>
    <mergeCell ref="B2188:C2188"/>
    <mergeCell ref="L2253:L2254"/>
    <mergeCell ref="H1333:I1333"/>
    <mergeCell ref="K915:K916"/>
    <mergeCell ref="N1808:N1809"/>
    <mergeCell ref="D1865:E1865"/>
    <mergeCell ref="B708:C708"/>
    <mergeCell ref="N1802:N1803"/>
    <mergeCell ref="P805:P806"/>
    <mergeCell ref="Q16:Q17"/>
    <mergeCell ref="A130:A131"/>
    <mergeCell ref="K1520:K1521"/>
    <mergeCell ref="A261:A262"/>
    <mergeCell ref="J513:L513"/>
    <mergeCell ref="D2034:E2034"/>
    <mergeCell ref="K1215:K1216"/>
    <mergeCell ref="H603:I603"/>
    <mergeCell ref="D2165:E2165"/>
    <mergeCell ref="J1301:L1301"/>
    <mergeCell ref="D169:E169"/>
    <mergeCell ref="R266:R267"/>
    <mergeCell ref="P1322:P1323"/>
    <mergeCell ref="O441:O442"/>
    <mergeCell ref="Q1529:Q1530"/>
    <mergeCell ref="D2465:E2465"/>
    <mergeCell ref="R898:R899"/>
    <mergeCell ref="H1560:I1560"/>
    <mergeCell ref="R566:R567"/>
    <mergeCell ref="M1738:M1739"/>
    <mergeCell ref="K2303:K2304"/>
    <mergeCell ref="O741:O742"/>
    <mergeCell ref="J108:L108"/>
    <mergeCell ref="J938:J939"/>
    <mergeCell ref="J2351:L2351"/>
    <mergeCell ref="B1248:H1248"/>
    <mergeCell ref="J1570:J1571"/>
    <mergeCell ref="F1462:I1462"/>
    <mergeCell ref="Q2198:Q2199"/>
    <mergeCell ref="O1066:O1067"/>
    <mergeCell ref="A2268:A2269"/>
    <mergeCell ref="J1238:J1239"/>
    <mergeCell ref="F1648:I1648"/>
    <mergeCell ref="D396:E396"/>
    <mergeCell ref="R493:R494"/>
    <mergeCell ref="N333:N334"/>
    <mergeCell ref="Q2498:Q2499"/>
    <mergeCell ref="D91:E91"/>
    <mergeCell ref="D2334:E2334"/>
    <mergeCell ref="D696:E696"/>
    <mergeCell ref="R793:R794"/>
    <mergeCell ref="P1948:P1949"/>
    <mergeCell ref="P1491:P1492"/>
    <mergeCell ref="B1388:C1388"/>
    <mergeCell ref="L301:L302"/>
    <mergeCell ref="J860:J861"/>
    <mergeCell ref="A941:A942"/>
    <mergeCell ref="M1334:M1335"/>
    <mergeCell ref="K202:K203"/>
    <mergeCell ref="P1791:P1792"/>
    <mergeCell ref="B1077:C1077"/>
    <mergeCell ref="Q429:Q430"/>
    <mergeCell ref="H1403:I1403"/>
    <mergeCell ref="L601:L602"/>
    <mergeCell ref="H1397:I1397"/>
    <mergeCell ref="F342:I342"/>
    <mergeCell ref="F336:I336"/>
    <mergeCell ref="M1634:M1635"/>
    <mergeCell ref="B772:C772"/>
    <mergeCell ref="Q124:Q125"/>
    <mergeCell ref="K502:K503"/>
    <mergeCell ref="N2515:N2516"/>
    <mergeCell ref="A325:A326"/>
    <mergeCell ref="F31:I31"/>
    <mergeCell ref="N386:N387"/>
    <mergeCell ref="Q729:Q730"/>
    <mergeCell ref="A930:A931"/>
    <mergeCell ref="N2172:N2173"/>
    <mergeCell ref="B1934:H1934"/>
    <mergeCell ref="D233:E233"/>
    <mergeCell ref="L1226:L1227"/>
    <mergeCell ref="N229:N230"/>
    <mergeCell ref="J1551:L1551"/>
    <mergeCell ref="A842:A843"/>
    <mergeCell ref="D865:E865"/>
    <mergeCell ref="M22:M23"/>
    <mergeCell ref="O1110:O1111"/>
    <mergeCell ref="L354:L355"/>
    <mergeCell ref="P2149:P2150"/>
    <mergeCell ref="D533:E533"/>
    <mergeCell ref="M1808:M1809"/>
    <mergeCell ref="P16:P17"/>
    <mergeCell ref="D719:E719"/>
    <mergeCell ref="B1132:C1132"/>
    <mergeCell ref="J1651:J1652"/>
    <mergeCell ref="F2480:I2480"/>
    <mergeCell ref="P1933:P1934"/>
    <mergeCell ref="M2108:M2109"/>
    <mergeCell ref="L2434:L2435"/>
    <mergeCell ref="F2175:I2175"/>
    <mergeCell ref="Q266:Q267"/>
    <mergeCell ref="J1951:J1952"/>
    <mergeCell ref="B1432:C1432"/>
    <mergeCell ref="R1779:R1780"/>
    <mergeCell ref="K246:K247"/>
    <mergeCell ref="N589:N590"/>
    <mergeCell ref="O2085:O2086"/>
    <mergeCell ref="B2220:C2220"/>
    <mergeCell ref="K2489:K2490"/>
    <mergeCell ref="Q566:Q567"/>
    <mergeCell ref="N284:N285"/>
    <mergeCell ref="B2520:C2520"/>
    <mergeCell ref="B590:H590"/>
    <mergeCell ref="A2073:A2074"/>
    <mergeCell ref="B285:H285"/>
    <mergeCell ref="A1610:A1611"/>
    <mergeCell ref="M2003:M2004"/>
    <mergeCell ref="A1311:A1312"/>
    <mergeCell ref="N1372:N1373"/>
    <mergeCell ref="P2460:P2461"/>
    <mergeCell ref="H2116:I2116"/>
    <mergeCell ref="A2373:A2374"/>
    <mergeCell ref="J182:J183"/>
    <mergeCell ref="P2618:P2619"/>
    <mergeCell ref="N2585:N2586"/>
    <mergeCell ref="L1453:L1454"/>
    <mergeCell ref="Q924:Q925"/>
    <mergeCell ref="F706:I706"/>
    <mergeCell ref="K301:K302"/>
    <mergeCell ref="L1753:L1754"/>
    <mergeCell ref="L1334:L1335"/>
    <mergeCell ref="O2227:O2228"/>
    <mergeCell ref="D946:E946"/>
    <mergeCell ref="R435:R436"/>
    <mergeCell ref="L1939:L1940"/>
    <mergeCell ref="K601:K602"/>
    <mergeCell ref="D1551:E1551"/>
    <mergeCell ref="R1648:R1649"/>
    <mergeCell ref="L2053:L2054"/>
    <mergeCell ref="B2429:H2429"/>
    <mergeCell ref="D1246:E1246"/>
    <mergeCell ref="A1663:A1664"/>
    <mergeCell ref="K1389:K1390"/>
    <mergeCell ref="J2052:L2052"/>
    <mergeCell ref="M2477:M2478"/>
    <mergeCell ref="P403:P404"/>
    <mergeCell ref="M2172:M2173"/>
    <mergeCell ref="H15:I15"/>
    <mergeCell ref="P517:P518"/>
    <mergeCell ref="K1689:K1690"/>
    <mergeCell ref="B29:H29"/>
    <mergeCell ref="J2021:J2022"/>
    <mergeCell ref="J2015:J2016"/>
    <mergeCell ref="M229:M230"/>
    <mergeCell ref="H184:I184"/>
    <mergeCell ref="R1974:R1975"/>
    <mergeCell ref="F848:I848"/>
    <mergeCell ref="Q1584:Q1585"/>
    <mergeCell ref="O2149:O2150"/>
    <mergeCell ref="K1989:K1990"/>
    <mergeCell ref="A1349:A1350"/>
    <mergeCell ref="F1148:I1148"/>
    <mergeCell ref="K610:K611"/>
    <mergeCell ref="O1933:O1934"/>
    <mergeCell ref="B654:H654"/>
    <mergeCell ref="J283:L283"/>
    <mergeCell ref="J277:L277"/>
    <mergeCell ref="A2137:A2138"/>
    <mergeCell ref="J2526:L2526"/>
    <mergeCell ref="J2520:L2520"/>
    <mergeCell ref="L1776:L1777"/>
    <mergeCell ref="F1517:I1517"/>
    <mergeCell ref="J2063:L2063"/>
    <mergeCell ref="B960:H960"/>
    <mergeCell ref="P877:P878"/>
    <mergeCell ref="B954:H954"/>
    <mergeCell ref="O1203:O1204"/>
    <mergeCell ref="J577:L577"/>
    <mergeCell ref="A2437:A2438"/>
    <mergeCell ref="J246:J247"/>
    <mergeCell ref="A1980:A1981"/>
    <mergeCell ref="M720:M721"/>
    <mergeCell ref="J2489:J2490"/>
    <mergeCell ref="J2363:L2363"/>
    <mergeCell ref="O1503:O1504"/>
    <mergeCell ref="H783:I783"/>
    <mergeCell ref="Q2210:Q2211"/>
    <mergeCell ref="M1020:M1021"/>
    <mergeCell ref="B158:C158"/>
    <mergeCell ref="O2291:O2292"/>
    <mergeCell ref="L2466:L2467"/>
    <mergeCell ref="L2003:L2004"/>
    <mergeCell ref="O1986:O1987"/>
    <mergeCell ref="B527:C527"/>
    <mergeCell ref="N1558:N1559"/>
    <mergeCell ref="O2591:O2592"/>
    <mergeCell ref="L770:L771"/>
    <mergeCell ref="Q141:Q142"/>
    <mergeCell ref="F2596:I2596"/>
    <mergeCell ref="B370:C370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K1753:K1754"/>
    <mergeCell ref="N2227:N2228"/>
    <mergeCell ref="O522:O523"/>
    <mergeCell ref="K2053:K2054"/>
    <mergeCell ref="Q2352:Q2353"/>
    <mergeCell ref="F1561:I1561"/>
    <mergeCell ref="L365:L366"/>
    <mergeCell ref="F1098:I1098"/>
    <mergeCell ref="Q1954:Q1955"/>
    <mergeCell ref="O822:O823"/>
    <mergeCell ref="L60:L61"/>
    <mergeCell ref="O403:O404"/>
    <mergeCell ref="F1861:I1861"/>
    <mergeCell ref="O2602:O2603"/>
    <mergeCell ref="O517:O518"/>
    <mergeCell ref="L665:L666"/>
    <mergeCell ref="D146:E146"/>
    <mergeCell ref="L1846:L1847"/>
    <mergeCell ref="R991:R992"/>
    <mergeCell ref="D2389:E2389"/>
    <mergeCell ref="A2393:A2394"/>
    <mergeCell ref="J1363:J1364"/>
    <mergeCell ref="B844:C844"/>
    <mergeCell ref="O1122:O1123"/>
    <mergeCell ref="L2451:L2452"/>
    <mergeCell ref="F2192:I2192"/>
    <mergeCell ref="O703:O704"/>
    <mergeCell ref="F2186:I2186"/>
    <mergeCell ref="B1667:H1667"/>
    <mergeCell ref="M784:M785"/>
    <mergeCell ref="F2486:I2486"/>
    <mergeCell ref="A691:A692"/>
    <mergeCell ref="M1090:M1091"/>
    <mergeCell ref="M1084:M1085"/>
    <mergeCell ref="D2601:E2601"/>
    <mergeCell ref="P1541:P1542"/>
    <mergeCell ref="Q179:Q180"/>
    <mergeCell ref="H1153:I1153"/>
    <mergeCell ref="M1872:M1873"/>
    <mergeCell ref="R1218:R1219"/>
    <mergeCell ref="F92:I92"/>
    <mergeCell ref="P1000:R1000"/>
    <mergeCell ref="L534:L535"/>
    <mergeCell ref="L720:L721"/>
    <mergeCell ref="J1007:L1007"/>
    <mergeCell ref="P2515:P2516"/>
    <mergeCell ref="R1002:R1003"/>
    <mergeCell ref="L834:L835"/>
    <mergeCell ref="H2127:I2127"/>
    <mergeCell ref="J702:L702"/>
    <mergeCell ref="B1502:C1502"/>
    <mergeCell ref="P1599:P1600"/>
    <mergeCell ref="F112:I112"/>
    <mergeCell ref="O845:O846"/>
    <mergeCell ref="L1439:L1440"/>
    <mergeCell ref="H1822:I1822"/>
    <mergeCell ref="L1020:L1021"/>
    <mergeCell ref="B1815:H1815"/>
    <mergeCell ref="N2596:N2597"/>
    <mergeCell ref="J1307:L1307"/>
    <mergeCell ref="J370:L370"/>
    <mergeCell ref="A1049:A1050"/>
    <mergeCell ref="B1809:H1809"/>
    <mergeCell ref="A592:A593"/>
    <mergeCell ref="M1442:M1443"/>
    <mergeCell ref="R272:R273"/>
    <mergeCell ref="J975:L975"/>
    <mergeCell ref="K2140:K2141"/>
    <mergeCell ref="M1558:M1559"/>
    <mergeCell ref="K13:K14"/>
    <mergeCell ref="B2115:H2115"/>
    <mergeCell ref="N2591:N2592"/>
    <mergeCell ref="A892:A893"/>
    <mergeCell ref="B556:C556"/>
    <mergeCell ref="R1360:R1361"/>
    <mergeCell ref="O1535:O1536"/>
    <mergeCell ref="O1072:O1073"/>
    <mergeCell ref="D958:E958"/>
    <mergeCell ref="R1055:R1056"/>
    <mergeCell ref="J1427:J1428"/>
    <mergeCell ref="R1529:R1530"/>
    <mergeCell ref="O773:O774"/>
    <mergeCell ref="M1770:M1771"/>
    <mergeCell ref="H53:I53"/>
    <mergeCell ref="R1660:R1661"/>
    <mergeCell ref="B1970:C1970"/>
    <mergeCell ref="J2032:J2033"/>
    <mergeCell ref="N522:N523"/>
    <mergeCell ref="M1160:O1160"/>
    <mergeCell ref="J844:L844"/>
    <mergeCell ref="B2283:H2283"/>
    <mergeCell ref="J1727:J1728"/>
    <mergeCell ref="J1449:L1449"/>
    <mergeCell ref="H353:I353"/>
    <mergeCell ref="B340:H340"/>
    <mergeCell ref="N822:N823"/>
    <mergeCell ref="J1144:L1144"/>
    <mergeCell ref="N953:N954"/>
    <mergeCell ref="Q1296:Q1297"/>
    <mergeCell ref="A1823:A1824"/>
    <mergeCell ref="B2126:H2126"/>
    <mergeCell ref="A1366:A1367"/>
    <mergeCell ref="P1622:P1623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K2451:K2452"/>
    <mergeCell ref="J1444:L1444"/>
    <mergeCell ref="B366:H366"/>
    <mergeCell ref="P2585:P2586"/>
    <mergeCell ref="J1202:L1202"/>
    <mergeCell ref="R2134:R2135"/>
    <mergeCell ref="H2191:I2191"/>
    <mergeCell ref="A2035:A2036"/>
    <mergeCell ref="O1372:O1373"/>
    <mergeCell ref="Q2460:Q2461"/>
    <mergeCell ref="J2506:J2507"/>
    <mergeCell ref="O915:O916"/>
    <mergeCell ref="L1503:L1504"/>
    <mergeCell ref="L1090:L1091"/>
    <mergeCell ref="O1977:O1978"/>
    <mergeCell ref="L1221:L1222"/>
    <mergeCell ref="D702:E702"/>
    <mergeCell ref="A1119:A1120"/>
    <mergeCell ref="B1879:H1879"/>
    <mergeCell ref="J1502:L1502"/>
    <mergeCell ref="A656:A657"/>
    <mergeCell ref="H2491:I2491"/>
    <mergeCell ref="B2484:H2484"/>
    <mergeCell ref="H2034:I2034"/>
    <mergeCell ref="O1215:O1216"/>
    <mergeCell ref="B2179:H2179"/>
    <mergeCell ref="Q886:Q887"/>
    <mergeCell ref="D539:E539"/>
    <mergeCell ref="F799:I799"/>
    <mergeCell ref="K813:K814"/>
    <mergeCell ref="P153:P154"/>
    <mergeCell ref="D1784:E1784"/>
    <mergeCell ref="D1327:E1327"/>
    <mergeCell ref="K508:K509"/>
    <mergeCell ref="Q272:Q273"/>
    <mergeCell ref="D1627:E1627"/>
    <mergeCell ref="H117:I117"/>
    <mergeCell ref="R1724:R1725"/>
    <mergeCell ref="M354:M355"/>
    <mergeCell ref="P1241:P1242"/>
    <mergeCell ref="M2570:M2571"/>
    <mergeCell ref="H853:I853"/>
    <mergeCell ref="M2265:M2266"/>
    <mergeCell ref="H417:I417"/>
    <mergeCell ref="P264:R264"/>
    <mergeCell ref="O89:O90"/>
    <mergeCell ref="B2052:C2052"/>
    <mergeCell ref="J33:L33"/>
    <mergeCell ref="Q1360:Q1361"/>
    <mergeCell ref="F1730:I1730"/>
    <mergeCell ref="B1589:C1589"/>
    <mergeCell ref="J2276:L2276"/>
    <mergeCell ref="H2334:I2334"/>
    <mergeCell ref="K735:K736"/>
    <mergeCell ref="Q1965:Q1966"/>
    <mergeCell ref="B710:H710"/>
    <mergeCell ref="L2320:L2321"/>
    <mergeCell ref="A1747:A1748"/>
    <mergeCell ref="Q1660:Q1661"/>
    <mergeCell ref="F1567:I1567"/>
    <mergeCell ref="L2489:L2490"/>
    <mergeCell ref="J2488:L2488"/>
    <mergeCell ref="B1379:H1379"/>
    <mergeCell ref="M953:M954"/>
    <mergeCell ref="O2041:O2042"/>
    <mergeCell ref="J2282:J2283"/>
    <mergeCell ref="M496:M497"/>
    <mergeCell ref="H908:I908"/>
    <mergeCell ref="R2515:R2516"/>
    <mergeCell ref="J671:J672"/>
    <mergeCell ref="J339:J340"/>
    <mergeCell ref="J2582:J2583"/>
    <mergeCell ref="B2063:C2063"/>
    <mergeCell ref="M796:M797"/>
    <mergeCell ref="H1208:I1208"/>
    <mergeCell ref="N1677:N1678"/>
    <mergeCell ref="B577:C577"/>
    <mergeCell ref="B120:C120"/>
    <mergeCell ref="Q22:Q23"/>
    <mergeCell ref="A2221:A2222"/>
    <mergeCell ref="B2363:C2363"/>
    <mergeCell ref="M424:O424"/>
    <mergeCell ref="J56:L56"/>
    <mergeCell ref="Q1802:Q1803"/>
    <mergeCell ref="N1977:N1978"/>
    <mergeCell ref="M2309:M2310"/>
    <mergeCell ref="L432:L433"/>
    <mergeCell ref="Q191:Q192"/>
    <mergeCell ref="N1520:N1521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521:H1521"/>
    <mergeCell ref="B1128:L1128"/>
    <mergeCell ref="J813:J814"/>
    <mergeCell ref="H2284:I2284"/>
    <mergeCell ref="O153:O154"/>
    <mergeCell ref="J508:J509"/>
    <mergeCell ref="H804:I804"/>
    <mergeCell ref="R741:R742"/>
    <mergeCell ref="O941:O942"/>
    <mergeCell ref="A31:A32"/>
    <mergeCell ref="J1113:J1114"/>
    <mergeCell ref="F2399:I2399"/>
    <mergeCell ref="A2274:A2275"/>
    <mergeCell ref="F1942:I1942"/>
    <mergeCell ref="B725:C725"/>
    <mergeCell ref="P822:P823"/>
    <mergeCell ref="B719:C719"/>
    <mergeCell ref="D271:E271"/>
    <mergeCell ref="L790:L791"/>
    <mergeCell ref="F1637:I1637"/>
    <mergeCell ref="O1241:O1242"/>
    <mergeCell ref="L2570:L2571"/>
    <mergeCell ref="N1573:N1574"/>
    <mergeCell ref="F2242:I2242"/>
    <mergeCell ref="B1025:C1025"/>
    <mergeCell ref="D571:E571"/>
    <mergeCell ref="A447:A448"/>
    <mergeCell ref="R668:R669"/>
    <mergeCell ref="K1837:K1838"/>
    <mergeCell ref="D1877:E1877"/>
    <mergeCell ref="D239:E239"/>
    <mergeCell ref="D2351:E2351"/>
    <mergeCell ref="D2482:E2482"/>
    <mergeCell ref="M1628:M1629"/>
    <mergeCell ref="H1577:I1577"/>
    <mergeCell ref="D2177:E2177"/>
    <mergeCell ref="K2320:K2321"/>
    <mergeCell ref="P1666:P1667"/>
    <mergeCell ref="L476:L477"/>
    <mergeCell ref="P1334:P1335"/>
    <mergeCell ref="Q418:Q419"/>
    <mergeCell ref="K377:K378"/>
    <mergeCell ref="A42:A43"/>
    <mergeCell ref="Q86:Q87"/>
    <mergeCell ref="N261:N262"/>
    <mergeCell ref="P1349:P1350"/>
    <mergeCell ref="H1572:I1572"/>
    <mergeCell ref="B1565:H1565"/>
    <mergeCell ref="J120:L120"/>
    <mergeCell ref="Q2521:Q2522"/>
    <mergeCell ref="L496:L497"/>
    <mergeCell ref="Q2515:Q2516"/>
    <mergeCell ref="O970:O971"/>
    <mergeCell ref="Q386:Q387"/>
    <mergeCell ref="Q2058:Q2059"/>
    <mergeCell ref="K1890:K1891"/>
    <mergeCell ref="L1101:L1102"/>
    <mergeCell ref="D713:E713"/>
    <mergeCell ref="R810:R811"/>
    <mergeCell ref="J1540:L1540"/>
    <mergeCell ref="D408:E408"/>
    <mergeCell ref="H2203:I2203"/>
    <mergeCell ref="J1208:L1208"/>
    <mergeCell ref="H1173:I1173"/>
    <mergeCell ref="K63:K64"/>
    <mergeCell ref="P22:P23"/>
    <mergeCell ref="D1013:E1013"/>
    <mergeCell ref="R1110:R1111"/>
    <mergeCell ref="B2190:H2190"/>
    <mergeCell ref="J1482:J1483"/>
    <mergeCell ref="B1891:H1891"/>
    <mergeCell ref="P1808:P1809"/>
    <mergeCell ref="B1705:C1705"/>
    <mergeCell ref="H868:I868"/>
    <mergeCell ref="D708:E708"/>
    <mergeCell ref="P1802:P1803"/>
    <mergeCell ref="R805:R806"/>
    <mergeCell ref="J1177:J1178"/>
    <mergeCell ref="M1520:M1521"/>
    <mergeCell ref="H1473:I1473"/>
    <mergeCell ref="M1651:M1652"/>
    <mergeCell ref="B789:C789"/>
    <mergeCell ref="B1394:C1394"/>
    <mergeCell ref="Q746:Q747"/>
    <mergeCell ref="B975:C975"/>
    <mergeCell ref="J1477:J1478"/>
    <mergeCell ref="F653:I653"/>
    <mergeCell ref="M1951:M1952"/>
    <mergeCell ref="B1089:C1089"/>
    <mergeCell ref="Q441:Q442"/>
    <mergeCell ref="R1322:R1323"/>
    <mergeCell ref="D766:E766"/>
    <mergeCell ref="Q1046:Q1047"/>
    <mergeCell ref="P1736:R1736"/>
    <mergeCell ref="K421:K422"/>
    <mergeCell ref="N2489:N2490"/>
    <mergeCell ref="B465:H465"/>
    <mergeCell ref="Q741:Q742"/>
    <mergeCell ref="P2166:P2167"/>
    <mergeCell ref="B2251:H2251"/>
    <mergeCell ref="A1485:A1486"/>
    <mergeCell ref="K790:K791"/>
    <mergeCell ref="J1868:L1868"/>
    <mergeCell ref="B765:H765"/>
    <mergeCell ref="P2335:P2336"/>
    <mergeCell ref="J1569:L1569"/>
    <mergeCell ref="K2570:K2571"/>
    <mergeCell ref="M1573:M1574"/>
    <mergeCell ref="P2466:P2467"/>
    <mergeCell ref="A1785:A1786"/>
    <mergeCell ref="F554:I554"/>
    <mergeCell ref="R10:R11"/>
    <mergeCell ref="Q342:Q343"/>
    <mergeCell ref="J1252:L1252"/>
    <mergeCell ref="Q2585:Q2586"/>
    <mergeCell ref="F249:I249"/>
    <mergeCell ref="L1628:L1629"/>
    <mergeCell ref="J77:J78"/>
    <mergeCell ref="F854:I854"/>
    <mergeCell ref="R310:R311"/>
    <mergeCell ref="D777:E777"/>
    <mergeCell ref="B2603:H2603"/>
    <mergeCell ref="F549:I549"/>
    <mergeCell ref="K563:K564"/>
    <mergeCell ref="D1121:E1121"/>
    <mergeCell ref="O1939:O1940"/>
    <mergeCell ref="D1077:E1077"/>
    <mergeCell ref="A1081:A1082"/>
    <mergeCell ref="F1337:I1337"/>
    <mergeCell ref="K258:K259"/>
    <mergeCell ref="J2294:J2295"/>
    <mergeCell ref="B1775:C1775"/>
    <mergeCell ref="R1823:R1824"/>
    <mergeCell ref="B907:H907"/>
    <mergeCell ref="A147:A148"/>
    <mergeCell ref="N1389:N1390"/>
    <mergeCell ref="P2477:P2478"/>
    <mergeCell ref="B289:C289"/>
    <mergeCell ref="J2309:J2310"/>
    <mergeCell ref="P386:P387"/>
    <mergeCell ref="H190:I190"/>
    <mergeCell ref="F723:I723"/>
    <mergeCell ref="N1689:N1690"/>
    <mergeCell ref="M2021:M2022"/>
    <mergeCell ref="N659:N660"/>
    <mergeCell ref="M2015:M2016"/>
    <mergeCell ref="H2389:I2389"/>
    <mergeCell ref="N773:N774"/>
    <mergeCell ref="Q1110:Q1111"/>
    <mergeCell ref="N354:N355"/>
    <mergeCell ref="R2149:R2150"/>
    <mergeCell ref="F1023:I1023"/>
    <mergeCell ref="K485:K486"/>
    <mergeCell ref="O1808:O1809"/>
    <mergeCell ref="N959:N960"/>
    <mergeCell ref="O2413:O2414"/>
    <mergeCell ref="J2395:L2395"/>
    <mergeCell ref="L1651:L1652"/>
    <mergeCell ref="J1938:L1938"/>
    <mergeCell ref="H815:I815"/>
    <mergeCell ref="Q2090:Q2091"/>
    <mergeCell ref="B835:H835"/>
    <mergeCell ref="O2108:O2109"/>
    <mergeCell ref="B829:H829"/>
    <mergeCell ref="F1997:I1997"/>
    <mergeCell ref="B372:H372"/>
    <mergeCell ref="A2285:A2286"/>
    <mergeCell ref="R1965:R1966"/>
    <mergeCell ref="B2433:C2433"/>
    <mergeCell ref="B2427:C2427"/>
    <mergeCell ref="L1951:L1952"/>
    <mergeCell ref="A1986:A1987"/>
    <mergeCell ref="F1692:I1692"/>
    <mergeCell ref="J2238:L2238"/>
    <mergeCell ref="K1706:K1707"/>
    <mergeCell ref="M709:M710"/>
    <mergeCell ref="J2038:J2039"/>
    <mergeCell ref="M246:M247"/>
    <mergeCell ref="P589:P590"/>
    <mergeCell ref="H658:I658"/>
    <mergeCell ref="Q2085:Q2086"/>
    <mergeCell ref="P720:P721"/>
    <mergeCell ref="H201:I201"/>
    <mergeCell ref="L2282:L2283"/>
    <mergeCell ref="M2489:M2490"/>
    <mergeCell ref="J95:J96"/>
    <mergeCell ref="O2166:O2167"/>
    <mergeCell ref="J89:J90"/>
    <mergeCell ref="K2006:K2007"/>
    <mergeCell ref="J2338:J2339"/>
    <mergeCell ref="F918:I918"/>
    <mergeCell ref="J2332:J2333"/>
    <mergeCell ref="Q706:Q707"/>
    <mergeCell ref="O2466:O2467"/>
    <mergeCell ref="P1677:P1678"/>
    <mergeCell ref="O2009:O2010"/>
    <mergeCell ref="H1289:I1289"/>
    <mergeCell ref="Q1558:Q1559"/>
    <mergeCell ref="N1733:N1734"/>
    <mergeCell ref="D1790:E1790"/>
    <mergeCell ref="H984:I984"/>
    <mergeCell ref="L182:L183"/>
    <mergeCell ref="B239:C239"/>
    <mergeCell ref="B977:H977"/>
    <mergeCell ref="B2488:C2488"/>
    <mergeCell ref="B971:H971"/>
    <mergeCell ref="A211:A212"/>
    <mergeCell ref="N1453:N1454"/>
    <mergeCell ref="J1775:L1775"/>
    <mergeCell ref="J594:L594"/>
    <mergeCell ref="B2156:C2156"/>
    <mergeCell ref="L970:L971"/>
    <mergeCell ref="J2380:L2380"/>
    <mergeCell ref="J289:L289"/>
    <mergeCell ref="H254:I254"/>
    <mergeCell ref="D94:E94"/>
    <mergeCell ref="A98:A99"/>
    <mergeCell ref="R191:R192"/>
    <mergeCell ref="A511:A512"/>
    <mergeCell ref="B814:H814"/>
    <mergeCell ref="N1753:N1754"/>
    <mergeCell ref="Q2227:Q2228"/>
    <mergeCell ref="J563:J564"/>
    <mergeCell ref="H859:I859"/>
    <mergeCell ref="A2297:A2298"/>
    <mergeCell ref="K1602:K1603"/>
    <mergeCell ref="K1596:K1597"/>
    <mergeCell ref="J258:J259"/>
    <mergeCell ref="R522:R523"/>
    <mergeCell ref="O697:O698"/>
    <mergeCell ref="L2026:L2027"/>
    <mergeCell ref="B475:C475"/>
    <mergeCell ref="O2477:O2478"/>
    <mergeCell ref="L540:L541"/>
    <mergeCell ref="D21:E21"/>
    <mergeCell ref="R822:R823"/>
    <mergeCell ref="O997:O998"/>
    <mergeCell ref="L2326:L2327"/>
    <mergeCell ref="F2061:I2061"/>
    <mergeCell ref="D1932:E1932"/>
    <mergeCell ref="L2021:L2022"/>
    <mergeCell ref="D1633:E1633"/>
    <mergeCell ref="D2238:E2238"/>
    <mergeCell ref="P1247:P1248"/>
    <mergeCell ref="F2361:I2361"/>
    <mergeCell ref="Q458:Q459"/>
    <mergeCell ref="B687:C687"/>
    <mergeCell ref="M1378:M1379"/>
    <mergeCell ref="P784:P785"/>
    <mergeCell ref="A109:A110"/>
    <mergeCell ref="F365:I365"/>
    <mergeCell ref="M959:M960"/>
    <mergeCell ref="K2076:K2077"/>
    <mergeCell ref="J492:L492"/>
    <mergeCell ref="P1084:P1085"/>
    <mergeCell ref="P1872:P1873"/>
    <mergeCell ref="A1197:A1198"/>
    <mergeCell ref="R877:R878"/>
    <mergeCell ref="Q28:Q29"/>
    <mergeCell ref="B309:C309"/>
    <mergeCell ref="Q2271:Q2272"/>
    <mergeCell ref="A2410:A2411"/>
    <mergeCell ref="L246:L247"/>
    <mergeCell ref="L377:L378"/>
    <mergeCell ref="O720:O721"/>
    <mergeCell ref="J664:L664"/>
    <mergeCell ref="H1653:I1653"/>
    <mergeCell ref="H1240:I1240"/>
    <mergeCell ref="J245:L245"/>
    <mergeCell ref="A924:A925"/>
    <mergeCell ref="R1177:R1178"/>
    <mergeCell ref="B1646:H1646"/>
    <mergeCell ref="Q2596:Q2597"/>
    <mergeCell ref="B1161:C1161"/>
    <mergeCell ref="B1341:H1341"/>
    <mergeCell ref="A581:A582"/>
    <mergeCell ref="O1020:O1021"/>
    <mergeCell ref="D158:E158"/>
    <mergeCell ref="A162:A163"/>
    <mergeCell ref="J964:L964"/>
    <mergeCell ref="B1990:H1990"/>
    <mergeCell ref="H1953:I1953"/>
    <mergeCell ref="Q2291:Q2292"/>
    <mergeCell ref="J545:L545"/>
    <mergeCell ref="B1946:H1946"/>
    <mergeCell ref="N2445:N2446"/>
    <mergeCell ref="H923:I923"/>
    <mergeCell ref="N2466:N2467"/>
    <mergeCell ref="A767:A768"/>
    <mergeCell ref="M1101:M1102"/>
    <mergeCell ref="K1666:K1667"/>
    <mergeCell ref="N2009:N2010"/>
    <mergeCell ref="F2204:I2204"/>
    <mergeCell ref="N2140:N2141"/>
    <mergeCell ref="N470:N471"/>
    <mergeCell ref="P1558:P1559"/>
    <mergeCell ref="R1235:R1236"/>
    <mergeCell ref="M944:M945"/>
    <mergeCell ref="M2058:M2059"/>
    <mergeCell ref="M2189:M2190"/>
    <mergeCell ref="R1535:R1536"/>
    <mergeCell ref="R1072:R1073"/>
    <mergeCell ref="P2227:P2228"/>
    <mergeCell ref="M2358:M2359"/>
    <mergeCell ref="J1602:J1603"/>
    <mergeCell ref="A1066:A1067"/>
    <mergeCell ref="F2431:I2431"/>
    <mergeCell ref="H2444:I2444"/>
    <mergeCell ref="Q522:Q523"/>
    <mergeCell ref="J2207:J2208"/>
    <mergeCell ref="B751:C751"/>
    <mergeCell ref="K2026:K2027"/>
    <mergeCell ref="J1019:L1019"/>
    <mergeCell ref="A304:A305"/>
    <mergeCell ref="N365:N366"/>
    <mergeCell ref="J1624:L1624"/>
    <mergeCell ref="K540:K541"/>
    <mergeCell ref="F1034:I1034"/>
    <mergeCell ref="A909:A910"/>
    <mergeCell ref="Q822:Q823"/>
    <mergeCell ref="K214:K215"/>
    <mergeCell ref="K2326:K2327"/>
    <mergeCell ref="K2457:K2458"/>
    <mergeCell ref="P1544:R1544"/>
    <mergeCell ref="N665:N666"/>
    <mergeCell ref="Q1008:Q1009"/>
    <mergeCell ref="L1363:L1364"/>
    <mergeCell ref="D844:E844"/>
    <mergeCell ref="Q92:Q93"/>
    <mergeCell ref="H2066:I2066"/>
    <mergeCell ref="O1247:O1248"/>
    <mergeCell ref="B541:H541"/>
    <mergeCell ref="Q2335:Q2336"/>
    <mergeCell ref="L1378:L1379"/>
    <mergeCell ref="R1677:R1678"/>
    <mergeCell ref="H2372:I2372"/>
    <mergeCell ref="H2366:I2366"/>
    <mergeCell ref="R1372:R1373"/>
    <mergeCell ref="J914:L914"/>
    <mergeCell ref="J1744:J1745"/>
    <mergeCell ref="O1090:O1091"/>
    <mergeCell ref="F2573:I2573"/>
    <mergeCell ref="H370:I370"/>
    <mergeCell ref="R1977:R1978"/>
    <mergeCell ref="J133:J134"/>
    <mergeCell ref="B2054:H2054"/>
    <mergeCell ref="J2349:J2350"/>
    <mergeCell ref="F1093:I1093"/>
    <mergeCell ref="B1988:C1988"/>
    <mergeCell ref="O1872:O1873"/>
    <mergeCell ref="J1214:L1214"/>
    <mergeCell ref="J2044:J2045"/>
    <mergeCell ref="K682:K683"/>
    <mergeCell ref="D1202:E1202"/>
    <mergeCell ref="N1139:N1140"/>
    <mergeCell ref="Q1613:Q1614"/>
    <mergeCell ref="M1960:O1960"/>
    <mergeCell ref="K988:K989"/>
    <mergeCell ref="K525:K526"/>
    <mergeCell ref="D1502:E1502"/>
    <mergeCell ref="P2596:P2597"/>
    <mergeCell ref="R1599:R1600"/>
    <mergeCell ref="N1439:N1440"/>
    <mergeCell ref="D1496:E1496"/>
    <mergeCell ref="N409:N410"/>
    <mergeCell ref="M2445:M2446"/>
    <mergeCell ref="L1107:L1108"/>
    <mergeCell ref="M2140:M2141"/>
    <mergeCell ref="H2514:I2514"/>
    <mergeCell ref="O1558:O1559"/>
    <mergeCell ref="H2508:I2508"/>
    <mergeCell ref="A2352:A2353"/>
    <mergeCell ref="B1883:C1883"/>
    <mergeCell ref="L1407:L1408"/>
    <mergeCell ref="J275:J276"/>
    <mergeCell ref="B2196:H2196"/>
    <mergeCell ref="A1436:A1437"/>
    <mergeCell ref="F1142:I1142"/>
    <mergeCell ref="F685:I685"/>
    <mergeCell ref="F816:I816"/>
    <mergeCell ref="F1747:I1747"/>
    <mergeCell ref="P170:P171"/>
    <mergeCell ref="N735:N736"/>
    <mergeCell ref="B2496:H2496"/>
    <mergeCell ref="Q1209:Q1210"/>
    <mergeCell ref="F1442:I1442"/>
    <mergeCell ref="K1456:K1457"/>
    <mergeCell ref="F1116:I1116"/>
    <mergeCell ref="L2495:L2496"/>
    <mergeCell ref="L2032:L2033"/>
    <mergeCell ref="D1644:E1644"/>
    <mergeCell ref="D1225:E1225"/>
    <mergeCell ref="J2031:L2031"/>
    <mergeCell ref="J361:L361"/>
    <mergeCell ref="R261:R262"/>
    <mergeCell ref="F2073:I2073"/>
    <mergeCell ref="D1944:E1944"/>
    <mergeCell ref="A1948:A1949"/>
    <mergeCell ref="J2457:J2458"/>
    <mergeCell ref="P496:P497"/>
    <mergeCell ref="J2413:J2414"/>
    <mergeCell ref="M671:M672"/>
    <mergeCell ref="J661:L661"/>
    <mergeCell ref="H1039:I1039"/>
    <mergeCell ref="K752:K753"/>
    <mergeCell ref="B126:C126"/>
    <mergeCell ref="B727:H727"/>
    <mergeCell ref="Q1677:Q1678"/>
    <mergeCell ref="B422:H422"/>
    <mergeCell ref="K1052:K1053"/>
    <mergeCell ref="N1395:N1396"/>
    <mergeCell ref="Q197:Q198"/>
    <mergeCell ref="N1526:N1527"/>
    <mergeCell ref="L394:L395"/>
    <mergeCell ref="B1027:H1027"/>
    <mergeCell ref="A2396:A2397"/>
    <mergeCell ref="K1657:K1658"/>
    <mergeCell ref="Q1977:Q1978"/>
    <mergeCell ref="B1396:H1396"/>
    <mergeCell ref="D219:E219"/>
    <mergeCell ref="R316:R317"/>
    <mergeCell ref="J688:J689"/>
    <mergeCell ref="O447:O448"/>
    <mergeCell ref="A2416:A2417"/>
    <mergeCell ref="O2358:O2359"/>
    <mergeCell ref="M813:M814"/>
    <mergeCell ref="J988:J989"/>
    <mergeCell ref="F1817:I1817"/>
    <mergeCell ref="J525:J526"/>
    <mergeCell ref="B137:C137"/>
    <mergeCell ref="R941:R942"/>
    <mergeCell ref="M1113:M1114"/>
    <mergeCell ref="D2057:E2057"/>
    <mergeCell ref="F2117:I2117"/>
    <mergeCell ref="B900:C900"/>
    <mergeCell ref="O790:O791"/>
    <mergeCell ref="P997:P998"/>
    <mergeCell ref="N1994:N1995"/>
    <mergeCell ref="Q208:Q209"/>
    <mergeCell ref="R1241:R1242"/>
    <mergeCell ref="O2570:O2571"/>
    <mergeCell ref="D2357:E2357"/>
    <mergeCell ref="J425:L425"/>
    <mergeCell ref="B1225:C1225"/>
    <mergeCell ref="N1837:N1838"/>
    <mergeCell ref="D2052:E2052"/>
    <mergeCell ref="O176:O177"/>
    <mergeCell ref="R511:R512"/>
    <mergeCell ref="O170:O171"/>
    <mergeCell ref="M735:M736"/>
    <mergeCell ref="B1525:C1525"/>
    <mergeCell ref="P1628:P1629"/>
    <mergeCell ref="P1209:P1210"/>
    <mergeCell ref="B232:L232"/>
    <mergeCell ref="N77:N78"/>
    <mergeCell ref="A947:A948"/>
    <mergeCell ref="B1707:H1707"/>
    <mergeCell ref="J300:L300"/>
    <mergeCell ref="J1130:J1131"/>
    <mergeCell ref="K2038:K2039"/>
    <mergeCell ref="L133:L134"/>
    <mergeCell ref="J414:L414"/>
    <mergeCell ref="P1509:P1510"/>
    <mergeCell ref="H990:I990"/>
    <mergeCell ref="H1121:I1121"/>
    <mergeCell ref="A217:A218"/>
    <mergeCell ref="F473:I473"/>
    <mergeCell ref="F1654:I1654"/>
    <mergeCell ref="Q2390:Q2391"/>
    <mergeCell ref="F16:I16"/>
    <mergeCell ref="Q261:Q262"/>
    <mergeCell ref="B911:C911"/>
    <mergeCell ref="J1430:J1431"/>
    <mergeCell ref="N1590:N1591"/>
    <mergeCell ref="F2259:I2259"/>
    <mergeCell ref="A2460:A2461"/>
    <mergeCell ref="N2195:N2196"/>
    <mergeCell ref="F1954:I1954"/>
    <mergeCell ref="R970:R971"/>
    <mergeCell ref="D283:E283"/>
    <mergeCell ref="N1890:N1891"/>
    <mergeCell ref="J1083:L1083"/>
    <mergeCell ref="M2256:M2257"/>
    <mergeCell ref="D888:E888"/>
    <mergeCell ref="R985:R986"/>
    <mergeCell ref="J1357:J1358"/>
    <mergeCell ref="B1760:H1760"/>
    <mergeCell ref="O828:O829"/>
    <mergeCell ref="M877:M878"/>
    <mergeCell ref="J1183:J1184"/>
    <mergeCell ref="M1526:M1527"/>
    <mergeCell ref="K394:K395"/>
    <mergeCell ref="M1482:M1483"/>
    <mergeCell ref="J1657:J1658"/>
    <mergeCell ref="P1983:P1984"/>
    <mergeCell ref="P1977:P1978"/>
    <mergeCell ref="H1589:I1589"/>
    <mergeCell ref="M2245:M2246"/>
    <mergeCell ref="H1132:I1132"/>
    <mergeCell ref="M1826:M1827"/>
    <mergeCell ref="B964:C964"/>
    <mergeCell ref="K694:K695"/>
    <mergeCell ref="J769:L769"/>
    <mergeCell ref="N121:N122"/>
    <mergeCell ref="A54:A55"/>
    <mergeCell ref="H1432:I1432"/>
    <mergeCell ref="N2364:N2365"/>
    <mergeCell ref="L813:L814"/>
    <mergeCell ref="Q159:Q160"/>
    <mergeCell ref="D425:E425"/>
    <mergeCell ref="K2207:K2208"/>
    <mergeCell ref="P1578:P1579"/>
    <mergeCell ref="L1418:L1419"/>
    <mergeCell ref="N421:N422"/>
    <mergeCell ref="B1176:C1176"/>
    <mergeCell ref="P2341:P2342"/>
    <mergeCell ref="D725:E725"/>
    <mergeCell ref="N790:N791"/>
    <mergeCell ref="P1878:P1879"/>
    <mergeCell ref="J1112:L1112"/>
    <mergeCell ref="H1490:I1490"/>
    <mergeCell ref="P339:P340"/>
    <mergeCell ref="Q1247:Q1248"/>
    <mergeCell ref="M57:M58"/>
    <mergeCell ref="H1185:I1185"/>
    <mergeCell ref="D1025:E1025"/>
    <mergeCell ref="R1122:R1123"/>
    <mergeCell ref="P2178:P2179"/>
    <mergeCell ref="J1494:J1495"/>
    <mergeCell ref="M1837:M1838"/>
    <mergeCell ref="H1790:I1790"/>
    <mergeCell ref="L1171:L1172"/>
    <mergeCell ref="L714:L715"/>
    <mergeCell ref="O1628:O1629"/>
    <mergeCell ref="O1209:O1210"/>
    <mergeCell ref="L1471:L1472"/>
    <mergeCell ref="D952:E952"/>
    <mergeCell ref="L1014:L1015"/>
    <mergeCell ref="K133:K134"/>
    <mergeCell ref="K738:K739"/>
    <mergeCell ref="M2009:M2010"/>
    <mergeCell ref="D1252:E1252"/>
    <mergeCell ref="B477:H477"/>
    <mergeCell ref="A1802:A1803"/>
    <mergeCell ref="B1950:C1950"/>
    <mergeCell ref="J2469:J2470"/>
    <mergeCell ref="B20:H20"/>
    <mergeCell ref="M2195:M2196"/>
    <mergeCell ref="Q1389:Q1390"/>
    <mergeCell ref="H21:I21"/>
    <mergeCell ref="M1890:M1891"/>
    <mergeCell ref="H2264:I2264"/>
    <mergeCell ref="F266:I266"/>
    <mergeCell ref="F898:I898"/>
    <mergeCell ref="Q659:Q660"/>
    <mergeCell ref="A1186:A1187"/>
    <mergeCell ref="F566:I566"/>
    <mergeCell ref="L1945:L1946"/>
    <mergeCell ref="R22:R23"/>
    <mergeCell ref="Q354:Q355"/>
    <mergeCell ref="J394:J395"/>
    <mergeCell ref="L1482:L1483"/>
    <mergeCell ref="N485:N486"/>
    <mergeCell ref="Q959:Q960"/>
    <mergeCell ref="J1481:L1481"/>
    <mergeCell ref="B2308:C2308"/>
    <mergeCell ref="F866:I866"/>
    <mergeCell ref="L2245:L2246"/>
    <mergeCell ref="F1986:I1986"/>
    <mergeCell ref="J694:J695"/>
    <mergeCell ref="F1523:I1523"/>
    <mergeCell ref="J2244:L2244"/>
    <mergeCell ref="D1394:E1394"/>
    <mergeCell ref="A1398:A1399"/>
    <mergeCell ref="B2158:H2158"/>
    <mergeCell ref="R1078:R1079"/>
    <mergeCell ref="D975:E975"/>
    <mergeCell ref="J1781:L1781"/>
    <mergeCell ref="M121:M122"/>
    <mergeCell ref="B2092:C2092"/>
    <mergeCell ref="B678:H678"/>
    <mergeCell ref="M252:M253"/>
    <mergeCell ref="P595:P596"/>
    <mergeCell ref="P1008:P1009"/>
    <mergeCell ref="A2003:A2004"/>
    <mergeCell ref="Q2047:Q2048"/>
    <mergeCell ref="M2364:M2365"/>
    <mergeCell ref="P709:P710"/>
    <mergeCell ref="F1823:I1823"/>
    <mergeCell ref="A1698:A1699"/>
    <mergeCell ref="M2032:M2033"/>
    <mergeCell ref="J2213:J2214"/>
    <mergeCell ref="P246:P247"/>
    <mergeCell ref="J2081:L2081"/>
    <mergeCell ref="M421:M422"/>
    <mergeCell ref="B1362:C1362"/>
    <mergeCell ref="H2617:I2617"/>
    <mergeCell ref="D2069:E2069"/>
    <mergeCell ref="R2166:R2167"/>
    <mergeCell ref="O2341:O2342"/>
    <mergeCell ref="H44:I44"/>
    <mergeCell ref="O1878:O1879"/>
    <mergeCell ref="Q1433:Q1434"/>
    <mergeCell ref="O339:O340"/>
    <mergeCell ref="B1662:C1662"/>
    <mergeCell ref="R2466:R2467"/>
    <mergeCell ref="K802:K803"/>
    <mergeCell ref="B846:H846"/>
    <mergeCell ref="A86:A87"/>
    <mergeCell ref="B2450:C2450"/>
    <mergeCell ref="J469:L469"/>
    <mergeCell ref="H527:I527"/>
    <mergeCell ref="H2612:I2612"/>
    <mergeCell ref="J12:L12"/>
    <mergeCell ref="H1001:I1001"/>
    <mergeCell ref="J2255:L2255"/>
    <mergeCell ref="O182:O183"/>
    <mergeCell ref="N514:N515"/>
    <mergeCell ref="K714:K715"/>
    <mergeCell ref="B1152:H1152"/>
    <mergeCell ref="B1146:H1146"/>
    <mergeCell ref="A386:A387"/>
    <mergeCell ref="N1628:N1629"/>
    <mergeCell ref="R66:R67"/>
    <mergeCell ref="B689:H689"/>
    <mergeCell ref="J1950:L1950"/>
    <mergeCell ref="Q2102:Q2103"/>
    <mergeCell ref="J438:J439"/>
    <mergeCell ref="A2172:A2173"/>
    <mergeCell ref="K1471:K1472"/>
    <mergeCell ref="J106:J107"/>
    <mergeCell ref="K1014:K1015"/>
    <mergeCell ref="M563:M564"/>
    <mergeCell ref="Q2402:Q2403"/>
    <mergeCell ref="J738:J739"/>
    <mergeCell ref="L2599:L2600"/>
    <mergeCell ref="H2209:I2209"/>
    <mergeCell ref="O240:O241"/>
    <mergeCell ref="O2483:O2484"/>
    <mergeCell ref="R697:R698"/>
    <mergeCell ref="D594:E594"/>
    <mergeCell ref="O2026:O2027"/>
    <mergeCell ref="R691:R692"/>
    <mergeCell ref="L2195:L2196"/>
    <mergeCell ref="P1389:P1390"/>
    <mergeCell ref="O540:O541"/>
    <mergeCell ref="O2326:O2327"/>
    <mergeCell ref="J1826:J1827"/>
    <mergeCell ref="J2308:L2308"/>
    <mergeCell ref="B981:C981"/>
    <mergeCell ref="D2107:E2107"/>
    <mergeCell ref="P1078:P1079"/>
    <mergeCell ref="B562:C562"/>
    <mergeCell ref="B742:H742"/>
    <mergeCell ref="P659:P660"/>
    <mergeCell ref="L499:L500"/>
    <mergeCell ref="A397:A398"/>
    <mergeCell ref="B1294:H1294"/>
    <mergeCell ref="B1352:L1352"/>
    <mergeCell ref="H271:I271"/>
    <mergeCell ref="B676:C676"/>
    <mergeCell ref="P1378:P1379"/>
    <mergeCell ref="J612:L612"/>
    <mergeCell ref="B862:C862"/>
    <mergeCell ref="P959:P960"/>
    <mergeCell ref="Q170:Q171"/>
    <mergeCell ref="H571:I571"/>
    <mergeCell ref="H108:I108"/>
    <mergeCell ref="J2609:L2609"/>
    <mergeCell ref="D2433:E2433"/>
    <mergeCell ref="O1014:O1015"/>
    <mergeCell ref="O1008:O1009"/>
    <mergeCell ref="L252:L253"/>
    <mergeCell ref="P2047:P2048"/>
    <mergeCell ref="O709:O710"/>
    <mergeCell ref="B40:L40"/>
    <mergeCell ref="H1659:I1659"/>
    <mergeCell ref="J1555:J1556"/>
    <mergeCell ref="O1314:O1315"/>
    <mergeCell ref="R720:R721"/>
    <mergeCell ref="F2384:I2384"/>
    <mergeCell ref="D33:E33"/>
    <mergeCell ref="F2378:I2378"/>
    <mergeCell ref="L95:L96"/>
    <mergeCell ref="D164:E164"/>
    <mergeCell ref="Q2166:Q2167"/>
    <mergeCell ref="B1821:H1821"/>
    <mergeCell ref="M976:M977"/>
    <mergeCell ref="N2428:N2429"/>
    <mergeCell ref="P1433:P1434"/>
    <mergeCell ref="B873:C873"/>
    <mergeCell ref="Q2466:Q2467"/>
    <mergeCell ref="B1004:C1004"/>
    <mergeCell ref="P1101:P1102"/>
    <mergeCell ref="K144:K145"/>
    <mergeCell ref="R778:R779"/>
    <mergeCell ref="L1183:L1184"/>
    <mergeCell ref="P1733:P1734"/>
    <mergeCell ref="M2064:M2065"/>
    <mergeCell ref="R1410:R1411"/>
    <mergeCell ref="L726:L727"/>
    <mergeCell ref="B1961:C1961"/>
    <mergeCell ref="P2058:P2059"/>
    <mergeCell ref="J1450:J1451"/>
    <mergeCell ref="L1026:L1027"/>
    <mergeCell ref="J1145:J1146"/>
    <mergeCell ref="Q2613:Q2614"/>
    <mergeCell ref="L563:L564"/>
    <mergeCell ref="F1974:I1974"/>
    <mergeCell ref="F304:I304"/>
    <mergeCell ref="B1688:C1688"/>
    <mergeCell ref="D175:E175"/>
    <mergeCell ref="B1231:C1231"/>
    <mergeCell ref="N240:N241"/>
    <mergeCell ref="P1328:P1329"/>
    <mergeCell ref="H1557:I1557"/>
    <mergeCell ref="J562:L562"/>
    <mergeCell ref="A1241:A1242"/>
    <mergeCell ref="F909:I909"/>
    <mergeCell ref="B2001:H2001"/>
    <mergeCell ref="A784:A785"/>
    <mergeCell ref="Q697:Q698"/>
    <mergeCell ref="N2026:N2027"/>
    <mergeCell ref="B926:C926"/>
    <mergeCell ref="J1167:L1167"/>
    <mergeCell ref="F2274:I2274"/>
    <mergeCell ref="F604:I604"/>
    <mergeCell ref="K2288:K2289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K1983:K1984"/>
    <mergeCell ref="N2326:N2327"/>
    <mergeCell ref="O1078:O1079"/>
    <mergeCell ref="R1552:R1553"/>
    <mergeCell ref="L1538:L1539"/>
    <mergeCell ref="B2327:H2327"/>
    <mergeCell ref="D1150:E1150"/>
    <mergeCell ref="R1247:R1248"/>
    <mergeCell ref="L464:L465"/>
    <mergeCell ref="O1378:O1379"/>
    <mergeCell ref="O959:O960"/>
    <mergeCell ref="R1852:R1853"/>
    <mergeCell ref="M2076:M2077"/>
    <mergeCell ref="J2224:J2225"/>
    <mergeCell ref="L764:L765"/>
    <mergeCell ref="D833:E833"/>
    <mergeCell ref="A837:A838"/>
    <mergeCell ref="B1531:C1531"/>
    <mergeCell ref="B1068:C1068"/>
    <mergeCell ref="B75:H75"/>
    <mergeCell ref="N688:N689"/>
    <mergeCell ref="D745:E745"/>
    <mergeCell ref="A1558:A1559"/>
    <mergeCell ref="B227:H227"/>
    <mergeCell ref="N682:N683"/>
    <mergeCell ref="B1700:C1700"/>
    <mergeCell ref="K857:K858"/>
    <mergeCell ref="O2047:O204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P2314:P2315"/>
    <mergeCell ref="Q409:Q410"/>
    <mergeCell ref="H2383:I2383"/>
    <mergeCell ref="P2445:P2446"/>
    <mergeCell ref="B858:H858"/>
    <mergeCell ref="F322:I322"/>
    <mergeCell ref="B1758:C1758"/>
    <mergeCell ref="J2277:J2278"/>
    <mergeCell ref="L1695:L1696"/>
    <mergeCell ref="O1101:O1102"/>
    <mergeCell ref="R1994:R1995"/>
    <mergeCell ref="J150:J151"/>
    <mergeCell ref="B2071:H2071"/>
    <mergeCell ref="J144:J145"/>
    <mergeCell ref="K1183:K1184"/>
    <mergeCell ref="H2226:I2226"/>
    <mergeCell ref="J1231:L1231"/>
    <mergeCell ref="B128:H128"/>
    <mergeCell ref="P45:P46"/>
    <mergeCell ref="J450:J451"/>
    <mergeCell ref="B2371:H2371"/>
    <mergeCell ref="B62:C62"/>
    <mergeCell ref="D731:E731"/>
    <mergeCell ref="A1148:A1149"/>
    <mergeCell ref="F991:I991"/>
    <mergeCell ref="P345:P346"/>
    <mergeCell ref="M360:O360"/>
    <mergeCell ref="D1519:E1519"/>
    <mergeCell ref="Q1797:Q1798"/>
    <mergeCell ref="K237:K238"/>
    <mergeCell ref="R2221:R2222"/>
    <mergeCell ref="L2207:L2208"/>
    <mergeCell ref="H1979:I1979"/>
    <mergeCell ref="D1819:E1819"/>
    <mergeCell ref="J2288:J2289"/>
    <mergeCell ref="M1416:O1416"/>
    <mergeCell ref="O1765:O1766"/>
    <mergeCell ref="O95:O96"/>
    <mergeCell ref="O1759:O1760"/>
    <mergeCell ref="M214:M215"/>
    <mergeCell ref="M2457:M2458"/>
    <mergeCell ref="P671:P672"/>
    <mergeCell ref="H740:I740"/>
    <mergeCell ref="J2588:J2589"/>
    <mergeCell ref="H283:I283"/>
    <mergeCell ref="B2200:C2200"/>
    <mergeCell ref="H277:I277"/>
    <mergeCell ref="Q1552:Q1553"/>
    <mergeCell ref="N752:N753"/>
    <mergeCell ref="K927:K928"/>
    <mergeCell ref="A1753:A1754"/>
    <mergeCell ref="F1459:I1459"/>
    <mergeCell ref="M2504:O2504"/>
    <mergeCell ref="F1002:I1002"/>
    <mergeCell ref="K464:K465"/>
    <mergeCell ref="B902:H902"/>
    <mergeCell ref="N1357:N1358"/>
    <mergeCell ref="J1700:L1700"/>
    <mergeCell ref="N1509:N1510"/>
    <mergeCell ref="Q1852:Q1853"/>
    <mergeCell ref="B2081:C2081"/>
    <mergeCell ref="N1052:N1053"/>
    <mergeCell ref="Q1395:Q1396"/>
    <mergeCell ref="A2053:A2054"/>
    <mergeCell ref="F1302:I1302"/>
    <mergeCell ref="D50:E50"/>
    <mergeCell ref="D44:E44"/>
    <mergeCell ref="D2293:E2293"/>
    <mergeCell ref="L106:L107"/>
    <mergeCell ref="B2412:C2412"/>
    <mergeCell ref="J431:L431"/>
    <mergeCell ref="P2509:P2510"/>
    <mergeCell ref="L2349:L2350"/>
    <mergeCell ref="F2090:I2090"/>
    <mergeCell ref="D1961:E1961"/>
    <mergeCell ref="J2217:L2217"/>
    <mergeCell ref="M1145:M1146"/>
    <mergeCell ref="O2233:O2234"/>
    <mergeCell ref="M688:M689"/>
    <mergeCell ref="R447:R448"/>
    <mergeCell ref="R28:R29"/>
    <mergeCell ref="B12:C12"/>
    <mergeCell ref="D2261:E2261"/>
    <mergeCell ref="F1360:I1360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F1660:I1660"/>
    <mergeCell ref="B1044:H1044"/>
    <mergeCell ref="R1116:R1117"/>
    <mergeCell ref="O2445:O2446"/>
    <mergeCell ref="K1369:K1370"/>
    <mergeCell ref="N1712:N1713"/>
    <mergeCell ref="D1883:E1883"/>
    <mergeCell ref="B1400:C1400"/>
    <mergeCell ref="P1497:P1498"/>
    <mergeCell ref="K1669:K1670"/>
    <mergeCell ref="B1713:H1713"/>
    <mergeCell ref="A953:A954"/>
    <mergeCell ref="H652:I652"/>
    <mergeCell ref="M1346:M1347"/>
    <mergeCell ref="D73:E73"/>
    <mergeCell ref="A490:A491"/>
    <mergeCell ref="R170:R171"/>
    <mergeCell ref="O764:O765"/>
    <mergeCell ref="J1005:J1006"/>
    <mergeCell ref="H347:I347"/>
    <mergeCell ref="P1797:P1798"/>
    <mergeCell ref="N252:N253"/>
    <mergeCell ref="K1581:K1582"/>
    <mergeCell ref="H1409:I1409"/>
    <mergeCell ref="H996:I996"/>
    <mergeCell ref="N2495:N2496"/>
    <mergeCell ref="M1130:M1131"/>
    <mergeCell ref="Q2221:Q2222"/>
    <mergeCell ref="N1465:N1466"/>
    <mergeCell ref="J1305:J1306"/>
    <mergeCell ref="F2134:I2134"/>
    <mergeCell ref="F1829:I1829"/>
    <mergeCell ref="Q2527:Q2528"/>
    <mergeCell ref="N1765:N1766"/>
    <mergeCell ref="J1605:J1606"/>
    <mergeCell ref="O976:O977"/>
    <mergeCell ref="F2434:I2434"/>
    <mergeCell ref="L214:L215"/>
    <mergeCell ref="L2457:L2458"/>
    <mergeCell ref="H1621:I1621"/>
    <mergeCell ref="F2154:I2154"/>
    <mergeCell ref="D431:E431"/>
    <mergeCell ref="R528:R529"/>
    <mergeCell ref="J1930:J1931"/>
    <mergeCell ref="L933:L934"/>
    <mergeCell ref="P1645:P1646"/>
    <mergeCell ref="D2217:E2217"/>
    <mergeCell ref="R2314:R2315"/>
    <mergeCell ref="D126:E126"/>
    <mergeCell ref="M1357:M1358"/>
    <mergeCell ref="R834:R835"/>
    <mergeCell ref="R828:R829"/>
    <mergeCell ref="M1052:M1053"/>
    <mergeCell ref="J1200:J1201"/>
    <mergeCell ref="P1526:P1527"/>
    <mergeCell ref="H1007:I1007"/>
    <mergeCell ref="K569:K570"/>
    <mergeCell ref="M1657:M1658"/>
    <mergeCell ref="A234:A235"/>
    <mergeCell ref="J901:J902"/>
    <mergeCell ref="J895:J896"/>
    <mergeCell ref="Q278:Q279"/>
    <mergeCell ref="A2477:A2478"/>
    <mergeCell ref="F1724:I1724"/>
    <mergeCell ref="J318:L318"/>
    <mergeCell ref="P1826:P1827"/>
    <mergeCell ref="H1307:I1307"/>
    <mergeCell ref="J312:L312"/>
    <mergeCell ref="N2239:N2240"/>
    <mergeCell ref="Q578:Q579"/>
    <mergeCell ref="Q121:Q122"/>
    <mergeCell ref="H2095:I2095"/>
    <mergeCell ref="F2576:I2576"/>
    <mergeCell ref="Q115:Q116"/>
    <mergeCell ref="A229:A230"/>
    <mergeCell ref="H2089:I2089"/>
    <mergeCell ref="Q2364:Q2365"/>
    <mergeCell ref="F28:I28"/>
    <mergeCell ref="D600:E600"/>
    <mergeCell ref="A1017:A1018"/>
    <mergeCell ref="A560:A561"/>
    <mergeCell ref="J1400:L1400"/>
    <mergeCell ref="H2395:I2395"/>
    <mergeCell ref="J943:L943"/>
    <mergeCell ref="D1205:E1205"/>
    <mergeCell ref="P214:P215"/>
    <mergeCell ref="R1302:R1303"/>
    <mergeCell ref="O546:O547"/>
    <mergeCell ref="H1365:I1365"/>
    <mergeCell ref="B2382:H2382"/>
    <mergeCell ref="B2083:H2083"/>
    <mergeCell ref="O83:O84"/>
    <mergeCell ref="H1060:I1060"/>
    <mergeCell ref="Q790:Q791"/>
    <mergeCell ref="D900:E900"/>
    <mergeCell ref="R997:R998"/>
    <mergeCell ref="A1317:A1318"/>
    <mergeCell ref="B2077:H2077"/>
    <mergeCell ref="J1369:J1370"/>
    <mergeCell ref="J1243:L1243"/>
    <mergeCell ref="H1665:I1665"/>
    <mergeCell ref="O383:O384"/>
    <mergeCell ref="J1669:J1670"/>
    <mergeCell ref="O1171:O1172"/>
    <mergeCell ref="R1514:R1515"/>
    <mergeCell ref="L1346:L1347"/>
    <mergeCell ref="N2434:N2435"/>
    <mergeCell ref="R1628:R1629"/>
    <mergeCell ref="D501:E501"/>
    <mergeCell ref="N438:N439"/>
    <mergeCell ref="D495:E495"/>
    <mergeCell ref="M1128:O1128"/>
    <mergeCell ref="O1471:O1472"/>
    <mergeCell ref="R1814:R1815"/>
    <mergeCell ref="B1124:C1124"/>
    <mergeCell ref="N133:N134"/>
    <mergeCell ref="D801:E801"/>
    <mergeCell ref="N738:N739"/>
    <mergeCell ref="D795:E795"/>
    <mergeCell ref="B1493:C1493"/>
    <mergeCell ref="D2581:E2581"/>
    <mergeCell ref="P1590:P1591"/>
    <mergeCell ref="D911:E911"/>
    <mergeCell ref="F1171:I1171"/>
    <mergeCell ref="J1717:L1717"/>
    <mergeCell ref="J965:J966"/>
    <mergeCell ref="F141:I141"/>
    <mergeCell ref="P2195:P2196"/>
    <mergeCell ref="H196:I196"/>
    <mergeCell ref="F1471:I1471"/>
    <mergeCell ref="K933:K934"/>
    <mergeCell ref="O1645:O1646"/>
    <mergeCell ref="F441:I441"/>
    <mergeCell ref="Q2314:Q2315"/>
    <mergeCell ref="H2159:I2159"/>
    <mergeCell ref="L1357:L1358"/>
    <mergeCell ref="L1488:L1489"/>
    <mergeCell ref="D969:E969"/>
    <mergeCell ref="J2386:L2386"/>
    <mergeCell ref="O1945:O1946"/>
    <mergeCell ref="H2345:I2345"/>
    <mergeCell ref="F741:I741"/>
    <mergeCell ref="O1526:O1527"/>
    <mergeCell ref="H2459:I2459"/>
    <mergeCell ref="L1657:L1658"/>
    <mergeCell ref="B1851:C1851"/>
    <mergeCell ref="B181:C181"/>
    <mergeCell ref="L1788:L1789"/>
    <mergeCell ref="O2131:O2132"/>
    <mergeCell ref="B1967:C1967"/>
    <mergeCell ref="F1066:I1066"/>
    <mergeCell ref="B2147:H2147"/>
    <mergeCell ref="O2245:O2246"/>
    <mergeCell ref="P426:P427"/>
    <mergeCell ref="B481:C481"/>
    <mergeCell ref="P121:P122"/>
    <mergeCell ref="M269:M270"/>
    <mergeCell ref="B2267:C2267"/>
    <mergeCell ref="P2364:P2365"/>
    <mergeCell ref="M2512:M2513"/>
    <mergeCell ref="H338:I338"/>
    <mergeCell ref="M2213:M2214"/>
    <mergeCell ref="D1481:E1481"/>
    <mergeCell ref="M2207:M2208"/>
    <mergeCell ref="N1418:N1419"/>
    <mergeCell ref="K662:K663"/>
    <mergeCell ref="P421:P422"/>
    <mergeCell ref="M1750:M1751"/>
    <mergeCell ref="H33:I33"/>
    <mergeCell ref="P1992:R1992"/>
    <mergeCell ref="R2341:R2342"/>
    <mergeCell ref="Q976:Q977"/>
    <mergeCell ref="A1503:A1504"/>
    <mergeCell ref="L19:L20"/>
    <mergeCell ref="J2130:L2130"/>
    <mergeCell ref="N802:N803"/>
    <mergeCell ref="L2448:L2449"/>
    <mergeCell ref="L319:L320"/>
    <mergeCell ref="B564:H564"/>
    <mergeCell ref="M138:M139"/>
    <mergeCell ref="J1825:L1825"/>
    <mergeCell ref="B558:H558"/>
    <mergeCell ref="B695:H695"/>
    <mergeCell ref="J187:L187"/>
    <mergeCell ref="B2162:C2162"/>
    <mergeCell ref="J2430:L2430"/>
    <mergeCell ref="F1840:I1840"/>
    <mergeCell ref="F1427:I1427"/>
    <mergeCell ref="B2475:H2475"/>
    <mergeCell ref="A1715:A1716"/>
    <mergeCell ref="J2098:L2098"/>
    <mergeCell ref="B864:H864"/>
    <mergeCell ref="M438:M439"/>
    <mergeCell ref="L2474:L2475"/>
    <mergeCell ref="Q2233:Q2234"/>
    <mergeCell ref="N1471:N1472"/>
    <mergeCell ref="M133:M134"/>
    <mergeCell ref="J281:J282"/>
    <mergeCell ref="B2620:C2620"/>
    <mergeCell ref="A2015:A2016"/>
    <mergeCell ref="R572:R573"/>
    <mergeCell ref="F1110:I1110"/>
    <mergeCell ref="M738:M739"/>
    <mergeCell ref="R240:R241"/>
    <mergeCell ref="O415:O416"/>
    <mergeCell ref="R2483:R2484"/>
    <mergeCell ref="O2201:O2202"/>
    <mergeCell ref="R866:R867"/>
    <mergeCell ref="H1481:I1481"/>
    <mergeCell ref="O2195:O2196"/>
    <mergeCell ref="R540:R541"/>
    <mergeCell ref="H1176:I1176"/>
    <mergeCell ref="B1163:H1163"/>
    <mergeCell ref="A403:A404"/>
    <mergeCell ref="J786:L786"/>
    <mergeCell ref="F1893:I1893"/>
    <mergeCell ref="J329:L329"/>
    <mergeCell ref="N2250:N2251"/>
    <mergeCell ref="P1253:P1254"/>
    <mergeCell ref="J2572:L2572"/>
    <mergeCell ref="H1476:I1476"/>
    <mergeCell ref="J481:L481"/>
    <mergeCell ref="B2462:C2462"/>
    <mergeCell ref="M34:M35"/>
    <mergeCell ref="J24:L24"/>
    <mergeCell ref="H446:I446"/>
    <mergeCell ref="A703:A704"/>
    <mergeCell ref="B1463:H1463"/>
    <mergeCell ref="B1006:H1006"/>
    <mergeCell ref="A246:A247"/>
    <mergeCell ref="N1945:N1946"/>
    <mergeCell ref="K2093:K2094"/>
    <mergeCell ref="J755:J756"/>
    <mergeCell ref="A2489:A2490"/>
    <mergeCell ref="K1794:K1795"/>
    <mergeCell ref="K1788:K1789"/>
    <mergeCell ref="K1331:K1332"/>
    <mergeCell ref="R714:R715"/>
    <mergeCell ref="D2308:E2308"/>
    <mergeCell ref="N2245:N2246"/>
    <mergeCell ref="O426:O427"/>
    <mergeCell ref="O557:O558"/>
    <mergeCell ref="R1014:R1015"/>
    <mergeCell ref="L269:L270"/>
    <mergeCell ref="H1071:I1071"/>
    <mergeCell ref="L2518:L2519"/>
    <mergeCell ref="O252:O253"/>
    <mergeCell ref="R595:R596"/>
    <mergeCell ref="J1386:J1387"/>
    <mergeCell ref="L389:L390"/>
    <mergeCell ref="L2512:L2513"/>
    <mergeCell ref="O857:O858"/>
    <mergeCell ref="B759:H759"/>
    <mergeCell ref="J1081:J1082"/>
    <mergeCell ref="H1371:I1371"/>
    <mergeCell ref="B1364:H1364"/>
    <mergeCell ref="R895:R896"/>
    <mergeCell ref="B1064:L1064"/>
    <mergeCell ref="F2096:I2096"/>
    <mergeCell ref="B879:C879"/>
    <mergeCell ref="B1059:H1059"/>
    <mergeCell ref="P976:P977"/>
    <mergeCell ref="F2227:I2227"/>
    <mergeCell ref="J1381:J1382"/>
    <mergeCell ref="K19:K20"/>
    <mergeCell ref="J351:J352"/>
    <mergeCell ref="K1936:K1937"/>
    <mergeCell ref="K1930:K1931"/>
    <mergeCell ref="P819:P820"/>
    <mergeCell ref="K319:K320"/>
    <mergeCell ref="D2450:E2450"/>
    <mergeCell ref="K2105:K2106"/>
    <mergeCell ref="P2064:P2065"/>
    <mergeCell ref="H1545:I1545"/>
    <mergeCell ref="K2236:K2237"/>
    <mergeCell ref="D507:E507"/>
    <mergeCell ref="M1782:M1783"/>
    <mergeCell ref="M1776:M1777"/>
    <mergeCell ref="L569:L570"/>
    <mergeCell ref="N1657:N1658"/>
    <mergeCell ref="L112:L113"/>
    <mergeCell ref="H1845:I1845"/>
    <mergeCell ref="J393:L393"/>
    <mergeCell ref="B932:C932"/>
    <mergeCell ref="A773:A774"/>
    <mergeCell ref="B1533:H1533"/>
    <mergeCell ref="K2163:K2164"/>
    <mergeCell ref="Q240:Q241"/>
    <mergeCell ref="M80:M81"/>
    <mergeCell ref="D350:E350"/>
    <mergeCell ref="A354:A355"/>
    <mergeCell ref="L412:L413"/>
    <mergeCell ref="J1156:L1156"/>
    <mergeCell ref="H2145:I2145"/>
    <mergeCell ref="Q2483:Q2484"/>
    <mergeCell ref="P1634:P1635"/>
    <mergeCell ref="F147:I147"/>
    <mergeCell ref="J693:L693"/>
    <mergeCell ref="H1115:I1115"/>
    <mergeCell ref="K1858:K1859"/>
    <mergeCell ref="Q2026:Q2027"/>
    <mergeCell ref="D681:E681"/>
    <mergeCell ref="K2463:K2464"/>
    <mergeCell ref="Q540:Q541"/>
    <mergeCell ref="B2507:H2507"/>
    <mergeCell ref="L1500:L1501"/>
    <mergeCell ref="D981:E981"/>
    <mergeCell ref="O1253:O1254"/>
    <mergeCell ref="R1727:R1728"/>
    <mergeCell ref="O927:O928"/>
    <mergeCell ref="O921:O922"/>
    <mergeCell ref="P1962:P1963"/>
    <mergeCell ref="R965:R966"/>
    <mergeCell ref="J1794:J1795"/>
    <mergeCell ref="D251:E251"/>
    <mergeCell ref="Q2384:Q2385"/>
    <mergeCell ref="M2224:M2225"/>
    <mergeCell ref="Q714:Q715"/>
    <mergeCell ref="J2399:J2400"/>
    <mergeCell ref="B943:C943"/>
    <mergeCell ref="J748:L748"/>
    <mergeCell ref="N557:N558"/>
    <mergeCell ref="B1548:C1548"/>
    <mergeCell ref="F1226:I1226"/>
    <mergeCell ref="A1101:A1102"/>
    <mergeCell ref="Q1014:Q1015"/>
    <mergeCell ref="B1243:C1243"/>
    <mergeCell ref="J1484:L1484"/>
    <mergeCell ref="K389:K390"/>
    <mergeCell ref="N857:N858"/>
    <mergeCell ref="K2186:K2187"/>
    <mergeCell ref="N400:N401"/>
    <mergeCell ref="B2031:C2031"/>
    <mergeCell ref="Q1314:Q1315"/>
    <mergeCell ref="Q284:Q285"/>
    <mergeCell ref="J1836:L1836"/>
    <mergeCell ref="R1317:R1318"/>
    <mergeCell ref="F191:I191"/>
    <mergeCell ref="A2189:A2190"/>
    <mergeCell ref="J356:L356"/>
    <mergeCell ref="J2441:L2441"/>
    <mergeCell ref="B2331:C2331"/>
    <mergeCell ref="K2486:K2487"/>
    <mergeCell ref="B8:L8"/>
    <mergeCell ref="J2136:L2136"/>
    <mergeCell ref="F522:I522"/>
    <mergeCell ref="J1936:J1937"/>
    <mergeCell ref="H2232:I2232"/>
    <mergeCell ref="M150:M151"/>
    <mergeCell ref="R2169:R2170"/>
    <mergeCell ref="B2246:H2246"/>
    <mergeCell ref="B1601:C1601"/>
    <mergeCell ref="B1783:H1783"/>
    <mergeCell ref="A1023:A1024"/>
    <mergeCell ref="O2064:O2065"/>
    <mergeCell ref="A1154:A1155"/>
    <mergeCell ref="F822:I822"/>
    <mergeCell ref="J2236:J2237"/>
    <mergeCell ref="B1717:C1717"/>
    <mergeCell ref="L1450:L1451"/>
    <mergeCell ref="N453:N454"/>
    <mergeCell ref="K112:K113"/>
    <mergeCell ref="B2017:C2017"/>
    <mergeCell ref="K717:K718"/>
    <mergeCell ref="D1694:E1694"/>
    <mergeCell ref="R1791:R1792"/>
    <mergeCell ref="Q426:Q427"/>
    <mergeCell ref="D1231:E1231"/>
    <mergeCell ref="J2163:J2164"/>
    <mergeCell ref="K412:K413"/>
    <mergeCell ref="R2396:R2397"/>
    <mergeCell ref="P845:P846"/>
    <mergeCell ref="H457:I457"/>
    <mergeCell ref="M2288:M2289"/>
    <mergeCell ref="P546:P547"/>
    <mergeCell ref="P1416:R1416"/>
    <mergeCell ref="J2463:J2464"/>
    <mergeCell ref="B2075:C2075"/>
    <mergeCell ref="H152:I152"/>
    <mergeCell ref="K1805:K1806"/>
    <mergeCell ref="J467:J468"/>
    <mergeCell ref="B1612:C1612"/>
    <mergeCell ref="H1938:I1938"/>
    <mergeCell ref="H757:I757"/>
    <mergeCell ref="K1500:K1501"/>
    <mergeCell ref="M2588:M2589"/>
    <mergeCell ref="A1165:A1166"/>
    <mergeCell ref="J1554:L1554"/>
    <mergeCell ref="K470:K471"/>
    <mergeCell ref="J1548:L1548"/>
    <mergeCell ref="H452:I452"/>
    <mergeCell ref="B445:H445"/>
    <mergeCell ref="N927:N928"/>
    <mergeCell ref="Q1401:Q1402"/>
    <mergeCell ref="P2504:R2504"/>
    <mergeCell ref="L444:L445"/>
    <mergeCell ref="N1532:N1533"/>
    <mergeCell ref="K770:K771"/>
    <mergeCell ref="M2216:O2216"/>
    <mergeCell ref="F845:I845"/>
    <mergeCell ref="L2224:L2225"/>
    <mergeCell ref="B797:H797"/>
    <mergeCell ref="D1836:E1836"/>
    <mergeCell ref="A2253:A2254"/>
    <mergeCell ref="P104:R104"/>
    <mergeCell ref="D1531:E1531"/>
    <mergeCell ref="L2524:L2525"/>
    <mergeCell ref="R2239:R2240"/>
    <mergeCell ref="O165:O166"/>
    <mergeCell ref="P1145:P1146"/>
    <mergeCell ref="D2136:E2136"/>
    <mergeCell ref="A2140:A2141"/>
    <mergeCell ref="R2233:R2234"/>
    <mergeCell ref="P688:P689"/>
    <mergeCell ref="H2296:I2296"/>
    <mergeCell ref="J2605:J2606"/>
    <mergeCell ref="J57:J58"/>
    <mergeCell ref="A153:A154"/>
    <mergeCell ref="H600:I600"/>
    <mergeCell ref="J2486:J2487"/>
    <mergeCell ref="B2517:C2517"/>
    <mergeCell ref="Q1869:Q1870"/>
    <mergeCell ref="K1244:K1245"/>
    <mergeCell ref="K781:K782"/>
    <mergeCell ref="B1219:H1219"/>
    <mergeCell ref="L2277:L2278"/>
    <mergeCell ref="L1820:L1821"/>
    <mergeCell ref="D1889:E1889"/>
    <mergeCell ref="Q2169:Q2170"/>
    <mergeCell ref="B1588:H1588"/>
    <mergeCell ref="J105:L105"/>
    <mergeCell ref="J143:L143"/>
    <mergeCell ref="B1131:H1131"/>
    <mergeCell ref="R464:R465"/>
    <mergeCell ref="A365:A366"/>
    <mergeCell ref="R45:R46"/>
    <mergeCell ref="O307:O308"/>
    <mergeCell ref="A2282:A2283"/>
    <mergeCell ref="H827:I827"/>
    <mergeCell ref="M1005:M1006"/>
    <mergeCell ref="A665:A666"/>
    <mergeCell ref="L2268:L2269"/>
    <mergeCell ref="R345:R346"/>
    <mergeCell ref="J1136:J1137"/>
    <mergeCell ref="Q2381:Q2382"/>
    <mergeCell ref="J717:J718"/>
    <mergeCell ref="N2512:N2513"/>
    <mergeCell ref="B329:C329"/>
    <mergeCell ref="F1677:I1677"/>
    <mergeCell ref="R1133:R1134"/>
    <mergeCell ref="Q1465:Q1466"/>
    <mergeCell ref="M1305:M1306"/>
    <mergeCell ref="R1738:R1739"/>
    <mergeCell ref="F1372:I1372"/>
    <mergeCell ref="Q2070:Q2071"/>
    <mergeCell ref="F1977:I1977"/>
    <mergeCell ref="Q1765:Q1766"/>
    <mergeCell ref="M1352:O1352"/>
    <mergeCell ref="J1805:J1806"/>
    <mergeCell ref="N243:N244"/>
    <mergeCell ref="B1417:C1417"/>
    <mergeCell ref="D2505:E2505"/>
    <mergeCell ref="D420:E420"/>
    <mergeCell ref="A2509:A2510"/>
    <mergeCell ref="K1686:K1687"/>
    <mergeCell ref="M1232:M1233"/>
    <mergeCell ref="F2329:I2329"/>
    <mergeCell ref="B1112:C1112"/>
    <mergeCell ref="D2200:E2200"/>
    <mergeCell ref="A2204:A2205"/>
    <mergeCell ref="B655:C655"/>
    <mergeCell ref="P752:P753"/>
    <mergeCell ref="J2587:L2587"/>
    <mergeCell ref="M927:M928"/>
    <mergeCell ref="P1814:P1815"/>
    <mergeCell ref="P1401:P1402"/>
    <mergeCell ref="P1357:P1358"/>
    <mergeCell ref="M1532:M1533"/>
    <mergeCell ref="P1701:P1702"/>
    <mergeCell ref="P1448:R1448"/>
    <mergeCell ref="N569:N570"/>
    <mergeCell ref="P1657:P1658"/>
    <mergeCell ref="B2168:C2168"/>
    <mergeCell ref="L2621:L2622"/>
    <mergeCell ref="A409:A410"/>
    <mergeCell ref="F208:I208"/>
    <mergeCell ref="Q453:Q454"/>
    <mergeCell ref="L650:L651"/>
    <mergeCell ref="H850:I850"/>
    <mergeCell ref="N1782:N1783"/>
    <mergeCell ref="Q2239:Q2240"/>
    <mergeCell ref="B2468:C2468"/>
    <mergeCell ref="O688:O689"/>
    <mergeCell ref="N2082:N2083"/>
    <mergeCell ref="L950:L951"/>
    <mergeCell ref="O1293:O1294"/>
    <mergeCell ref="D12:E12"/>
    <mergeCell ref="N1619:N1620"/>
    <mergeCell ref="J818:L818"/>
    <mergeCell ref="B2257:H2257"/>
    <mergeCell ref="D143:E143"/>
    <mergeCell ref="B1952:H1952"/>
    <mergeCell ref="R845:R846"/>
    <mergeCell ref="B1495:H1495"/>
    <mergeCell ref="A735:A736"/>
    <mergeCell ref="J1118:L1118"/>
    <mergeCell ref="R1477:R1478"/>
    <mergeCell ref="K586:K587"/>
    <mergeCell ref="M1674:M1675"/>
    <mergeCell ref="O677:O678"/>
    <mergeCell ref="D1100:E1100"/>
    <mergeCell ref="M1369:M1370"/>
    <mergeCell ref="P1712:P1713"/>
    <mergeCell ref="F261:I261"/>
    <mergeCell ref="B1156:C1156"/>
    <mergeCell ref="K886:K887"/>
    <mergeCell ref="Q2134:Q2135"/>
    <mergeCell ref="J1218:J1219"/>
    <mergeCell ref="Q464:Q465"/>
    <mergeCell ref="J1212:J1213"/>
    <mergeCell ref="D1400:E1400"/>
    <mergeCell ref="F2041:I2041"/>
    <mergeCell ref="M1669:M1670"/>
    <mergeCell ref="O1346:O1347"/>
    <mergeCell ref="Q2434:Q2435"/>
    <mergeCell ref="L1005:L1006"/>
    <mergeCell ref="Q764:Q765"/>
    <mergeCell ref="O889:O890"/>
    <mergeCell ref="H169:I169"/>
    <mergeCell ref="F677:I677"/>
    <mergeCell ref="M2000:M2001"/>
    <mergeCell ref="P1770:P1771"/>
    <mergeCell ref="L1610:L1611"/>
    <mergeCell ref="H2412:I2412"/>
    <mergeCell ref="N613:N614"/>
    <mergeCell ref="D670:E670"/>
    <mergeCell ref="B1787:C1787"/>
    <mergeCell ref="P1884:P1885"/>
    <mergeCell ref="B1781:C1781"/>
    <mergeCell ref="L1305:L1306"/>
    <mergeCell ref="J1586:L1586"/>
    <mergeCell ref="J1723:L1723"/>
    <mergeCell ref="A877:A878"/>
    <mergeCell ref="M1727:M1728"/>
    <mergeCell ref="P2070:P2071"/>
    <mergeCell ref="A1939:A1940"/>
    <mergeCell ref="P74:P75"/>
    <mergeCell ref="B1668:C1668"/>
    <mergeCell ref="B151:H151"/>
    <mergeCell ref="P1765:P1766"/>
    <mergeCell ref="B2400:H2400"/>
    <mergeCell ref="M205:M206"/>
    <mergeCell ref="H1377:I1377"/>
    <mergeCell ref="N1701:N1702"/>
    <mergeCell ref="B2616:L2616"/>
    <mergeCell ref="A1177:A1178"/>
    <mergeCell ref="P2370:P2371"/>
    <mergeCell ref="F272:I272"/>
    <mergeCell ref="K482:K483"/>
    <mergeCell ref="J1686:J1687"/>
    <mergeCell ref="H1982:I1982"/>
    <mergeCell ref="B2611:H2611"/>
    <mergeCell ref="N2451:N2452"/>
    <mergeCell ref="L906:L907"/>
    <mergeCell ref="O1820:O1821"/>
    <mergeCell ref="H1220:I1220"/>
    <mergeCell ref="O1357:O1358"/>
    <mergeCell ref="J1529:J1530"/>
    <mergeCell ref="L1663:L1664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444:E1444"/>
    <mergeCell ref="H2308:I2308"/>
    <mergeCell ref="D1118:E1118"/>
    <mergeCell ref="F1241:I1241"/>
    <mergeCell ref="P601:P602"/>
    <mergeCell ref="Q1581:Q1582"/>
    <mergeCell ref="B1810:C1810"/>
    <mergeCell ref="M2501:M2502"/>
    <mergeCell ref="M2082:M2083"/>
    <mergeCell ref="K950:K951"/>
    <mergeCell ref="K493:K494"/>
    <mergeCell ref="P2512:P2513"/>
    <mergeCell ref="B2622:H2622"/>
    <mergeCell ref="B2110:C2110"/>
    <mergeCell ref="P2207:P2208"/>
    <mergeCell ref="K1250:K1251"/>
    <mergeCell ref="K837:K838"/>
    <mergeCell ref="A77:A78"/>
    <mergeCell ref="F301:I301"/>
    <mergeCell ref="B1737:C1737"/>
    <mergeCell ref="J2256:J2257"/>
    <mergeCell ref="L1674:L1675"/>
    <mergeCell ref="H882:I882"/>
    <mergeCell ref="N677:N678"/>
    <mergeCell ref="A2320:A2321"/>
    <mergeCell ref="L1805:L1806"/>
    <mergeCell ref="Q1151:Q1152"/>
    <mergeCell ref="O19:O20"/>
    <mergeCell ref="L194:L195"/>
    <mergeCell ref="J1673:L1673"/>
    <mergeCell ref="J1787:L1787"/>
    <mergeCell ref="R57:R58"/>
    <mergeCell ref="B2037:C2037"/>
    <mergeCell ref="A2009:A2010"/>
    <mergeCell ref="J429:J430"/>
    <mergeCell ref="B498:C498"/>
    <mergeCell ref="D1586:E1586"/>
    <mergeCell ref="A1590:A1591"/>
    <mergeCell ref="B2350:H2350"/>
    <mergeCell ref="B41:C41"/>
    <mergeCell ref="H719:I719"/>
    <mergeCell ref="P138:P139"/>
    <mergeCell ref="J1973:L1973"/>
    <mergeCell ref="O2448:O2449"/>
    <mergeCell ref="B2464:H2464"/>
    <mergeCell ref="B870:H870"/>
    <mergeCell ref="A2195:A2196"/>
    <mergeCell ref="B2337:C2337"/>
    <mergeCell ref="N1346:N1347"/>
    <mergeCell ref="P2434:P2435"/>
    <mergeCell ref="J1668:L1668"/>
    <mergeCell ref="A2309:A2310"/>
    <mergeCell ref="P901:P902"/>
    <mergeCell ref="J156:J157"/>
    <mergeCell ref="Q1776:Q1777"/>
    <mergeCell ref="A1890:A1891"/>
    <mergeCell ref="P438:P439"/>
    <mergeCell ref="J2273:L2273"/>
    <mergeCell ref="H50:I50"/>
    <mergeCell ref="M281:M282"/>
    <mergeCell ref="P738:P739"/>
    <mergeCell ref="H350:I350"/>
    <mergeCell ref="R415:R416"/>
    <mergeCell ref="Q1619:Q1620"/>
    <mergeCell ref="O74:O75"/>
    <mergeCell ref="K994:K995"/>
    <mergeCell ref="J482:J483"/>
    <mergeCell ref="L1570:L1571"/>
    <mergeCell ref="J204:L204"/>
    <mergeCell ref="J2447:L2447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Q2250:Q2251"/>
    <mergeCell ref="A2364:A2365"/>
    <mergeCell ref="N1488:N1489"/>
    <mergeCell ref="B2479:C2479"/>
    <mergeCell ref="J298:J299"/>
    <mergeCell ref="K1206:K1207"/>
    <mergeCell ref="A2032:A2033"/>
    <mergeCell ref="B2180:C2180"/>
    <mergeCell ref="N2093:N2094"/>
    <mergeCell ref="K1337:K1338"/>
    <mergeCell ref="M755:M756"/>
    <mergeCell ref="N1794:N1795"/>
    <mergeCell ref="D1851:E1851"/>
    <mergeCell ref="N1788:N1789"/>
    <mergeCell ref="B1969:H1969"/>
    <mergeCell ref="K1506:K1507"/>
    <mergeCell ref="A2332:A2333"/>
    <mergeCell ref="R889:R890"/>
    <mergeCell ref="O2218:O2219"/>
    <mergeCell ref="R883:R884"/>
    <mergeCell ref="Q1215:Q1216"/>
    <mergeCell ref="R426:R427"/>
    <mergeCell ref="O732:O733"/>
    <mergeCell ref="F1122:I1122"/>
    <mergeCell ref="J257:L257"/>
    <mergeCell ref="O269:O270"/>
    <mergeCell ref="O2518:O2519"/>
    <mergeCell ref="J2500:L2500"/>
    <mergeCell ref="O2512:O2513"/>
    <mergeCell ref="B105:C105"/>
    <mergeCell ref="B1167:C1167"/>
    <mergeCell ref="B1544:L1544"/>
    <mergeCell ref="B934:H934"/>
    <mergeCell ref="P851:P852"/>
    <mergeCell ref="J1229:J1230"/>
    <mergeCell ref="A2259:A2260"/>
    <mergeCell ref="F2515:I2515"/>
    <mergeCell ref="Q2303:Q2304"/>
    <mergeCell ref="M982:M983"/>
    <mergeCell ref="B868:C868"/>
    <mergeCell ref="P965:P966"/>
    <mergeCell ref="B1539:H1539"/>
    <mergeCell ref="F2079:I2079"/>
    <mergeCell ref="A1954:A1955"/>
    <mergeCell ref="J924:J925"/>
    <mergeCell ref="B405:C405"/>
    <mergeCell ref="F2210:I2210"/>
    <mergeCell ref="J2337:L2337"/>
    <mergeCell ref="P1151:P1152"/>
    <mergeCell ref="N19:N20"/>
    <mergeCell ref="B1323:H1323"/>
    <mergeCell ref="H300:I300"/>
    <mergeCell ref="K2111:K2112"/>
    <mergeCell ref="A258:A259"/>
    <mergeCell ref="N319:N320"/>
    <mergeCell ref="K1648:K1649"/>
    <mergeCell ref="P1782:P1783"/>
    <mergeCell ref="P1776:P1777"/>
    <mergeCell ref="O438:O439"/>
    <mergeCell ref="H1388:I1388"/>
    <mergeCell ref="L706:L707"/>
    <mergeCell ref="F2570:I2570"/>
    <mergeCell ref="L287:L288"/>
    <mergeCell ref="L281:L282"/>
    <mergeCell ref="F22:I22"/>
    <mergeCell ref="J568:L568"/>
    <mergeCell ref="J368:J369"/>
    <mergeCell ref="H1688:I1688"/>
    <mergeCell ref="F1808:I1808"/>
    <mergeCell ref="N2163:N2164"/>
    <mergeCell ref="K2338:K2339"/>
    <mergeCell ref="Q415:Q416"/>
    <mergeCell ref="J1584:J1585"/>
    <mergeCell ref="B1245:H1245"/>
    <mergeCell ref="A485:A486"/>
    <mergeCell ref="F2413:I2413"/>
    <mergeCell ref="N1858:N1859"/>
    <mergeCell ref="Q2201:Q2202"/>
    <mergeCell ref="K336:K337"/>
    <mergeCell ref="J668:J669"/>
    <mergeCell ref="L1375:L1376"/>
    <mergeCell ref="D856:E856"/>
    <mergeCell ref="N2463:N2464"/>
    <mergeCell ref="D850:E850"/>
    <mergeCell ref="K2122:K2123"/>
    <mergeCell ref="J1237:L1237"/>
    <mergeCell ref="D1156:E1156"/>
    <mergeCell ref="R1253:R1254"/>
    <mergeCell ref="K2422:K2423"/>
    <mergeCell ref="J1756:J1757"/>
    <mergeCell ref="M2099:M2100"/>
    <mergeCell ref="M2093:M2094"/>
    <mergeCell ref="J1337:J1338"/>
    <mergeCell ref="B818:C818"/>
    <mergeCell ref="L755:L756"/>
    <mergeCell ref="F2166:I2166"/>
    <mergeCell ref="M1794:M1795"/>
    <mergeCell ref="B1423:C1423"/>
    <mergeCell ref="A976:A977"/>
    <mergeCell ref="B1537:C1537"/>
    <mergeCell ref="N2218:N2219"/>
    <mergeCell ref="B1118:C1118"/>
    <mergeCell ref="F2466:I2466"/>
    <mergeCell ref="B1850:H1850"/>
    <mergeCell ref="Q557:Q558"/>
    <mergeCell ref="J1473:L1473"/>
    <mergeCell ref="B1387:H1387"/>
    <mergeCell ref="F470:I470"/>
    <mergeCell ref="N269:N270"/>
    <mergeCell ref="N406:N407"/>
    <mergeCell ref="Q1162:Q1163"/>
    <mergeCell ref="K2175:K2176"/>
    <mergeCell ref="L1386:L1387"/>
    <mergeCell ref="N2518:N2519"/>
    <mergeCell ref="N389:N390"/>
    <mergeCell ref="B2150:H2150"/>
    <mergeCell ref="O1712:O1713"/>
    <mergeCell ref="Q857:Q858"/>
    <mergeCell ref="N2186:N2187"/>
    <mergeCell ref="B2206:C2206"/>
    <mergeCell ref="L1686:L1687"/>
    <mergeCell ref="B2519:H2519"/>
    <mergeCell ref="L656:L657"/>
    <mergeCell ref="D879:E879"/>
    <mergeCell ref="O1570:O1571"/>
    <mergeCell ref="L351:L352"/>
    <mergeCell ref="L1413:L1414"/>
    <mergeCell ref="F1154:I1154"/>
    <mergeCell ref="L956:L957"/>
    <mergeCell ref="H1758:I1758"/>
    <mergeCell ref="F697:I697"/>
    <mergeCell ref="J2111:J2112"/>
    <mergeCell ref="D568:E568"/>
    <mergeCell ref="J1654:J1655"/>
    <mergeCell ref="F2477:I2477"/>
    <mergeCell ref="R2064:R2065"/>
    <mergeCell ref="F997:I997"/>
    <mergeCell ref="N874:N875"/>
    <mergeCell ref="O1782:O1783"/>
    <mergeCell ref="B1560:C1560"/>
    <mergeCell ref="K706:K707"/>
    <mergeCell ref="K287:K288"/>
    <mergeCell ref="D1237:E1237"/>
    <mergeCell ref="J373:L373"/>
    <mergeCell ref="M1864:O1864"/>
    <mergeCell ref="N717:N718"/>
    <mergeCell ref="R1939:R1940"/>
    <mergeCell ref="D932:E932"/>
    <mergeCell ref="M2163:M2164"/>
    <mergeCell ref="Q601:Q602"/>
    <mergeCell ref="J2153:L2153"/>
    <mergeCell ref="B1050:H1050"/>
    <mergeCell ref="R1634:R1635"/>
    <mergeCell ref="J2006:J2007"/>
    <mergeCell ref="H1813:I1813"/>
    <mergeCell ref="J210:L210"/>
    <mergeCell ref="B1618:C1618"/>
    <mergeCell ref="K1375:K1376"/>
    <mergeCell ref="M2463:M2464"/>
    <mergeCell ref="J2453:L2453"/>
    <mergeCell ref="J10:J11"/>
    <mergeCell ref="H2418:I2418"/>
    <mergeCell ref="J1423:L1423"/>
    <mergeCell ref="J2306:J2307"/>
    <mergeCell ref="H2113:I2113"/>
    <mergeCell ref="F534:I534"/>
    <mergeCell ref="Q1232:Q1233"/>
    <mergeCell ref="J179:J180"/>
    <mergeCell ref="Q1226:Q1227"/>
    <mergeCell ref="A1340:A1341"/>
    <mergeCell ref="J310:J311"/>
    <mergeCell ref="F1596:I1596"/>
    <mergeCell ref="B2100:H2100"/>
    <mergeCell ref="O2381:O2382"/>
    <mergeCell ref="F1139:I1139"/>
    <mergeCell ref="Q927:Q928"/>
    <mergeCell ref="D1711:E1711"/>
    <mergeCell ref="Q1989:Q1990"/>
    <mergeCell ref="F834:I834"/>
    <mergeCell ref="B2406:H2406"/>
    <mergeCell ref="J2511:L2511"/>
    <mergeCell ref="O2224:O2225"/>
    <mergeCell ref="K1034:K1035"/>
    <mergeCell ref="J1749:L1749"/>
    <mergeCell ref="M37:M38"/>
    <mergeCell ref="D2011:E2011"/>
    <mergeCell ref="R2108:R2109"/>
    <mergeCell ref="D1548:E1548"/>
    <mergeCell ref="J2480:J2481"/>
    <mergeCell ref="M825:M826"/>
    <mergeCell ref="P1162:P1163"/>
    <mergeCell ref="M406:M407"/>
    <mergeCell ref="R165:R166"/>
    <mergeCell ref="M389:M390"/>
    <mergeCell ref="M2605:M2606"/>
    <mergeCell ref="P863:P864"/>
    <mergeCell ref="H469:I469"/>
    <mergeCell ref="H12:I12"/>
    <mergeCell ref="J2197:L2197"/>
    <mergeCell ref="R2320:R2321"/>
    <mergeCell ref="A1482:A1483"/>
    <mergeCell ref="B449:C449"/>
    <mergeCell ref="K787:K788"/>
    <mergeCell ref="P904:R904"/>
    <mergeCell ref="B762:H762"/>
    <mergeCell ref="N1244:N1245"/>
    <mergeCell ref="Q1587:Q1588"/>
    <mergeCell ref="J437:L437"/>
    <mergeCell ref="N781:N782"/>
    <mergeCell ref="O2277:O2278"/>
    <mergeCell ref="B1419:H1419"/>
    <mergeCell ref="K956:K957"/>
    <mergeCell ref="K1087:K1088"/>
    <mergeCell ref="H1100:I1100"/>
    <mergeCell ref="L298:L299"/>
    <mergeCell ref="B2604:C2604"/>
    <mergeCell ref="D1601:E1601"/>
    <mergeCell ref="F2282:I2282"/>
    <mergeCell ref="R34:R35"/>
    <mergeCell ref="D2153:E2153"/>
    <mergeCell ref="J2076:J2077"/>
    <mergeCell ref="J737:L737"/>
    <mergeCell ref="J2409:L2409"/>
    <mergeCell ref="P1221:P1222"/>
    <mergeCell ref="J280:L280"/>
    <mergeCell ref="H702:I702"/>
    <mergeCell ref="M880:M881"/>
    <mergeCell ref="B1719:H1719"/>
    <mergeCell ref="R2309:R2310"/>
    <mergeCell ref="J1011:J1012"/>
    <mergeCell ref="F2582:I2582"/>
    <mergeCell ref="A2457:A2458"/>
    <mergeCell ref="O25:O26"/>
    <mergeCell ref="J706:J707"/>
    <mergeCell ref="J837:J838"/>
    <mergeCell ref="B318:C318"/>
    <mergeCell ref="M1180:M1181"/>
    <mergeCell ref="O2268:O2269"/>
    <mergeCell ref="J380:J381"/>
    <mergeCell ref="F1666:I1666"/>
    <mergeCell ref="J374:J375"/>
    <mergeCell ref="M717:M718"/>
    <mergeCell ref="F1247:I1247"/>
    <mergeCell ref="Q1939:Q1940"/>
    <mergeCell ref="F1852:I1852"/>
    <mergeCell ref="O508:O509"/>
    <mergeCell ref="R851:R852"/>
    <mergeCell ref="B172:C172"/>
    <mergeCell ref="J674:J675"/>
    <mergeCell ref="L2442:L2443"/>
    <mergeCell ref="L2463:L2464"/>
    <mergeCell ref="K1098:K1099"/>
    <mergeCell ref="D2075:E2075"/>
    <mergeCell ref="M1805:M1806"/>
    <mergeCell ref="Q243:Q244"/>
    <mergeCell ref="B1320:L1320"/>
    <mergeCell ref="L2137:L2138"/>
    <mergeCell ref="P1689:P1690"/>
    <mergeCell ref="K1861:K1862"/>
    <mergeCell ref="P1232:P1233"/>
    <mergeCell ref="B1129:C1129"/>
    <mergeCell ref="H844:I844"/>
    <mergeCell ref="A682:A683"/>
    <mergeCell ref="B830:C830"/>
    <mergeCell ref="P927:P928"/>
    <mergeCell ref="M1075:M1076"/>
    <mergeCell ref="K2192:K2193"/>
    <mergeCell ref="P1989:P1990"/>
    <mergeCell ref="N444:N445"/>
    <mergeCell ref="P1532:P1533"/>
    <mergeCell ref="M770:M771"/>
    <mergeCell ref="H1144:I1144"/>
    <mergeCell ref="L2610:L2611"/>
    <mergeCell ref="J1034:J1035"/>
    <mergeCell ref="L37:L38"/>
    <mergeCell ref="O2621:O2622"/>
    <mergeCell ref="A66:A67"/>
    <mergeCell ref="F1994:I1994"/>
    <mergeCell ref="R1450:R1451"/>
    <mergeCell ref="H1444:I1444"/>
    <mergeCell ref="Q1782:Q1783"/>
    <mergeCell ref="L825:L826"/>
    <mergeCell ref="F1558:I1558"/>
    <mergeCell ref="L368:L369"/>
    <mergeCell ref="Q165:Q166"/>
    <mergeCell ref="Q2387:Q2388"/>
    <mergeCell ref="L362:L363"/>
    <mergeCell ref="J1517:J1518"/>
    <mergeCell ref="L2605:L2606"/>
    <mergeCell ref="F2346:I2346"/>
    <mergeCell ref="Q2082:Q2083"/>
    <mergeCell ref="L1125:L1126"/>
    <mergeCell ref="D606:E606"/>
    <mergeCell ref="B1370:H1370"/>
    <mergeCell ref="J2604:L2604"/>
    <mergeCell ref="J993:L993"/>
    <mergeCell ref="J987:L987"/>
    <mergeCell ref="D274:E274"/>
    <mergeCell ref="A278:A279"/>
    <mergeCell ref="M1549:M1550"/>
    <mergeCell ref="A2521:A2522"/>
    <mergeCell ref="B972:C972"/>
    <mergeCell ref="R1020:R1021"/>
    <mergeCell ref="P1069:P1070"/>
    <mergeCell ref="N2582:N2583"/>
    <mergeCell ref="B1670:H1670"/>
    <mergeCell ref="M1244:M1245"/>
    <mergeCell ref="J1392:J1393"/>
    <mergeCell ref="M1375:M1376"/>
    <mergeCell ref="N586:N587"/>
    <mergeCell ref="P1674:P1675"/>
    <mergeCell ref="J1506:J1507"/>
    <mergeCell ref="J1093:J1094"/>
    <mergeCell ref="M1849:M1850"/>
    <mergeCell ref="K298:K299"/>
    <mergeCell ref="Q13:Q14"/>
    <mergeCell ref="A3:D3"/>
    <mergeCell ref="O1221:O1222"/>
    <mergeCell ref="Q313:Q314"/>
    <mergeCell ref="Q307:Q308"/>
    <mergeCell ref="R1346:R1347"/>
    <mergeCell ref="F220:I220"/>
    <mergeCell ref="N25:N26"/>
    <mergeCell ref="N156:N157"/>
    <mergeCell ref="N2268:N2269"/>
    <mergeCell ref="B331:H331"/>
    <mergeCell ref="A752:A753"/>
    <mergeCell ref="J1592:L1592"/>
    <mergeCell ref="D329:E329"/>
    <mergeCell ref="J1135:L1135"/>
    <mergeCell ref="B2574:H2574"/>
    <mergeCell ref="B32:H32"/>
    <mergeCell ref="B1956:C1956"/>
    <mergeCell ref="B26:H26"/>
    <mergeCell ref="J2018:J2019"/>
    <mergeCell ref="N508:N509"/>
    <mergeCell ref="B2275:H2275"/>
    <mergeCell ref="B2269:H2269"/>
    <mergeCell ref="A1509:A1510"/>
    <mergeCell ref="B1812:H1812"/>
    <mergeCell ref="A1052:A1053"/>
    <mergeCell ref="K2442:K2443"/>
    <mergeCell ref="J1561:J1562"/>
    <mergeCell ref="J1435:L1435"/>
    <mergeCell ref="P243:P244"/>
    <mergeCell ref="D1417:E1417"/>
    <mergeCell ref="H1508:I1508"/>
    <mergeCell ref="F447:I447"/>
    <mergeCell ref="J1861:J1862"/>
    <mergeCell ref="O1363:O1364"/>
    <mergeCell ref="K42:K43"/>
    <mergeCell ref="O906:O907"/>
    <mergeCell ref="R1820:R1821"/>
    <mergeCell ref="B1870:H1870"/>
    <mergeCell ref="R1401:R1402"/>
    <mergeCell ref="J2192:J2193"/>
    <mergeCell ref="M1320:O1320"/>
    <mergeCell ref="O1663:O1664"/>
    <mergeCell ref="R2006:R2007"/>
    <mergeCell ref="B2170:H2170"/>
    <mergeCell ref="R1090:R1091"/>
    <mergeCell ref="K37:K38"/>
    <mergeCell ref="N930:N931"/>
    <mergeCell ref="D987:E987"/>
    <mergeCell ref="J2492:J2493"/>
    <mergeCell ref="B2104:C2104"/>
    <mergeCell ref="J123:L123"/>
    <mergeCell ref="N2621:N2622"/>
    <mergeCell ref="B174:H174"/>
    <mergeCell ref="B1685:C1685"/>
    <mergeCell ref="B1641:C1641"/>
    <mergeCell ref="K825:K826"/>
    <mergeCell ref="K368:K369"/>
    <mergeCell ref="A1194:A1195"/>
    <mergeCell ref="P2387:P2388"/>
    <mergeCell ref="B2470:H2470"/>
    <mergeCell ref="J1762:J1763"/>
    <mergeCell ref="B1985:C1985"/>
    <mergeCell ref="P2082:P2083"/>
    <mergeCell ref="K1125:K1126"/>
    <mergeCell ref="K668:K669"/>
    <mergeCell ref="H56:I56"/>
    <mergeCell ref="A1494:A1495"/>
    <mergeCell ref="F589:I589"/>
    <mergeCell ref="K799:K800"/>
    <mergeCell ref="H2299:I2299"/>
    <mergeCell ref="F284:I284"/>
    <mergeCell ref="Q982:Q983"/>
    <mergeCell ref="O2137:O2138"/>
    <mergeCell ref="M586:M587"/>
    <mergeCell ref="O1674:O1675"/>
    <mergeCell ref="Q677:Q678"/>
    <mergeCell ref="D1461:E1461"/>
    <mergeCell ref="O194:O195"/>
    <mergeCell ref="B96:H96"/>
    <mergeCell ref="P13:P14"/>
    <mergeCell ref="L1523:L1524"/>
    <mergeCell ref="O2437:O2438"/>
    <mergeCell ref="B2339:H2339"/>
    <mergeCell ref="M886:M887"/>
    <mergeCell ref="L1218:L1219"/>
    <mergeCell ref="J1499:L1499"/>
    <mergeCell ref="Q1651:Q1652"/>
    <mergeCell ref="P313:P314"/>
    <mergeCell ref="P444:P445"/>
    <mergeCell ref="M575:M576"/>
    <mergeCell ref="P918:P919"/>
    <mergeCell ref="M156:M157"/>
    <mergeCell ref="D1673:E1673"/>
    <mergeCell ref="Q1951:Q1952"/>
    <mergeCell ref="R1770:R1771"/>
    <mergeCell ref="P613:P614"/>
    <mergeCell ref="K810:K811"/>
    <mergeCell ref="D1787:E1787"/>
    <mergeCell ref="H225:I225"/>
    <mergeCell ref="R290:R291"/>
    <mergeCell ref="P72:R72"/>
    <mergeCell ref="D1973:E1973"/>
    <mergeCell ref="R2070:R2071"/>
    <mergeCell ref="J2442:J2443"/>
    <mergeCell ref="D1057:E1057"/>
    <mergeCell ref="N994:N995"/>
    <mergeCell ref="O205:O206"/>
    <mergeCell ref="B1169:H1169"/>
    <mergeCell ref="Q2125:Q2126"/>
    <mergeCell ref="B2354:C2354"/>
    <mergeCell ref="N906:N907"/>
    <mergeCell ref="F2032:I2032"/>
    <mergeCell ref="J47:L47"/>
    <mergeCell ref="Q1820:Q1821"/>
    <mergeCell ref="N1968:N1969"/>
    <mergeCell ref="J2290:L2290"/>
    <mergeCell ref="B1187:H1187"/>
    <mergeCell ref="Q2425:Q2426"/>
    <mergeCell ref="Q1488:Q1489"/>
    <mergeCell ref="F89:I89"/>
    <mergeCell ref="N1663:N1664"/>
    <mergeCell ref="B724:H724"/>
    <mergeCell ref="M298:M299"/>
    <mergeCell ref="N1206:N1207"/>
    <mergeCell ref="F2332:I2332"/>
    <mergeCell ref="J473:J474"/>
    <mergeCell ref="Q2093:Q2094"/>
    <mergeCell ref="A2207:A2208"/>
    <mergeCell ref="H2363:I2363"/>
    <mergeCell ref="M930:M931"/>
    <mergeCell ref="J130:J131"/>
    <mergeCell ref="R432:R433"/>
    <mergeCell ref="D2578:E2578"/>
    <mergeCell ref="R2218:R2219"/>
    <mergeCell ref="L2050:L2051"/>
    <mergeCell ref="O2387:O2388"/>
    <mergeCell ref="O258:O259"/>
    <mergeCell ref="L1587:L1588"/>
    <mergeCell ref="R732:R733"/>
    <mergeCell ref="J1104:J1105"/>
    <mergeCell ref="B585:C585"/>
    <mergeCell ref="L101:L102"/>
    <mergeCell ref="R2512:R2513"/>
    <mergeCell ref="A138:A139"/>
    <mergeCell ref="J799:J800"/>
    <mergeCell ref="B280:C280"/>
    <mergeCell ref="J521:L521"/>
    <mergeCell ref="L1887:L1888"/>
    <mergeCell ref="F1628:I1628"/>
    <mergeCell ref="B411:C411"/>
    <mergeCell ref="F2085:I2085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N1805:N1806"/>
    <mergeCell ref="K1942:K1943"/>
    <mergeCell ref="A133:A134"/>
    <mergeCell ref="N194:N195"/>
    <mergeCell ref="K1523:K1524"/>
    <mergeCell ref="D2473:E2473"/>
    <mergeCell ref="N1980:N1981"/>
    <mergeCell ref="D41:E41"/>
    <mergeCell ref="P1651:P1652"/>
    <mergeCell ref="B2286:H2286"/>
    <mergeCell ref="K1823:K1824"/>
    <mergeCell ref="R1206:R1207"/>
    <mergeCell ref="P1325:P1326"/>
    <mergeCell ref="O444:O445"/>
    <mergeCell ref="Q1532:Q1533"/>
    <mergeCell ref="L575:L576"/>
    <mergeCell ref="B951:H951"/>
    <mergeCell ref="J443:L443"/>
    <mergeCell ref="P1951:P1952"/>
    <mergeCell ref="Q2320:Q2321"/>
    <mergeCell ref="J574:L574"/>
    <mergeCell ref="H1563:I1563"/>
    <mergeCell ref="H1106:I1106"/>
    <mergeCell ref="J111:L111"/>
    <mergeCell ref="N2038:N2039"/>
    <mergeCell ref="J2360:L2360"/>
    <mergeCell ref="O287:O288"/>
    <mergeCell ref="B1251:H1251"/>
    <mergeCell ref="Q2489:Q2490"/>
    <mergeCell ref="F2419:I2419"/>
    <mergeCell ref="J1573:J1574"/>
    <mergeCell ref="D68:E68"/>
    <mergeCell ref="A34:A35"/>
    <mergeCell ref="A2576:A2577"/>
    <mergeCell ref="A28:A29"/>
    <mergeCell ref="J543:J544"/>
    <mergeCell ref="B1856:H1856"/>
    <mergeCell ref="F2533:I2533"/>
    <mergeCell ref="N2338:N2339"/>
    <mergeCell ref="A2271:A2272"/>
    <mergeCell ref="B722:C722"/>
    <mergeCell ref="N2332:N2333"/>
    <mergeCell ref="L787:L788"/>
    <mergeCell ref="D399:E399"/>
    <mergeCell ref="M1125:M1126"/>
    <mergeCell ref="K54:K55"/>
    <mergeCell ref="N2122:N2123"/>
    <mergeCell ref="P2256:P2257"/>
    <mergeCell ref="D699:E699"/>
    <mergeCell ref="R796:R797"/>
    <mergeCell ref="K1965:K1966"/>
    <mergeCell ref="M296:O296"/>
    <mergeCell ref="M1642:M1643"/>
    <mergeCell ref="Q63:Q64"/>
    <mergeCell ref="J585:L585"/>
    <mergeCell ref="P2093:P2094"/>
    <mergeCell ref="M1337:M1338"/>
    <mergeCell ref="B1412:C1412"/>
    <mergeCell ref="H1711:I1711"/>
    <mergeCell ref="H1705:I1705"/>
    <mergeCell ref="B1725:H1725"/>
    <mergeCell ref="H94:I94"/>
    <mergeCell ref="Q432:Q433"/>
    <mergeCell ref="H1400:I1400"/>
    <mergeCell ref="F339:I339"/>
    <mergeCell ref="J885:L885"/>
    <mergeCell ref="Q1037:Q1038"/>
    <mergeCell ref="M1384:O1384"/>
    <mergeCell ref="K2050:K2051"/>
    <mergeCell ref="Q2218:Q2219"/>
    <mergeCell ref="N2480:N2481"/>
    <mergeCell ref="Q732:Q733"/>
    <mergeCell ref="Q275:Q276"/>
    <mergeCell ref="A802:A803"/>
    <mergeCell ref="N2175:N2176"/>
    <mergeCell ref="Q2518:Q2519"/>
    <mergeCell ref="Q389:Q390"/>
    <mergeCell ref="L1692:L1693"/>
    <mergeCell ref="D1173:E1173"/>
    <mergeCell ref="B456:L456"/>
    <mergeCell ref="A1171:A1172"/>
    <mergeCell ref="L1229:L1230"/>
    <mergeCell ref="F970:I970"/>
    <mergeCell ref="O1113:O1114"/>
    <mergeCell ref="R1456:R1457"/>
    <mergeCell ref="O656:O657"/>
    <mergeCell ref="H1633:I1633"/>
    <mergeCell ref="B2237:H2237"/>
    <mergeCell ref="R1570:R1571"/>
    <mergeCell ref="R1151:R1152"/>
    <mergeCell ref="J1942:J1943"/>
    <mergeCell ref="M2416:M2417"/>
    <mergeCell ref="B1135:C1135"/>
    <mergeCell ref="O1413:O1414"/>
    <mergeCell ref="F2483:I2483"/>
    <mergeCell ref="O956:O957"/>
    <mergeCell ref="M2111:M2112"/>
    <mergeCell ref="B1740:C1740"/>
    <mergeCell ref="N749:N750"/>
    <mergeCell ref="P1837:P1838"/>
    <mergeCell ref="J2242:J2243"/>
    <mergeCell ref="F540:I540"/>
    <mergeCell ref="O1325:O1326"/>
    <mergeCell ref="B1435:C1435"/>
    <mergeCell ref="K581:K582"/>
    <mergeCell ref="Q874:Q875"/>
    <mergeCell ref="F656:I656"/>
    <mergeCell ref="N1049:N1050"/>
    <mergeCell ref="K249:K250"/>
    <mergeCell ref="N592:N593"/>
    <mergeCell ref="K2492:K2493"/>
    <mergeCell ref="B224:H224"/>
    <mergeCell ref="M2344:O2344"/>
    <mergeCell ref="D763:E763"/>
    <mergeCell ref="K854:K855"/>
    <mergeCell ref="M2038:M2039"/>
    <mergeCell ref="M1706:M1707"/>
    <mergeCell ref="K549:K550"/>
    <mergeCell ref="B2523:C2523"/>
    <mergeCell ref="P2163:P2164"/>
    <mergeCell ref="M2338:M2339"/>
    <mergeCell ref="H1775:I1775"/>
    <mergeCell ref="L973:L974"/>
    <mergeCell ref="B2379:H2379"/>
    <mergeCell ref="M2469:M2470"/>
    <mergeCell ref="F714:I714"/>
    <mergeCell ref="H1356:I1356"/>
    <mergeCell ref="N1680:N1681"/>
    <mergeCell ref="M342:M343"/>
    <mergeCell ref="M2006:M2007"/>
    <mergeCell ref="H289:I289"/>
    <mergeCell ref="L668:L669"/>
    <mergeCell ref="N1375:N1376"/>
    <mergeCell ref="Q1107:Q1108"/>
    <mergeCell ref="B1793:C1793"/>
    <mergeCell ref="J185:J186"/>
    <mergeCell ref="H2075:I2075"/>
    <mergeCell ref="F1014:I1014"/>
    <mergeCell ref="H1656:I1656"/>
    <mergeCell ref="F1008:I1008"/>
    <mergeCell ref="M2306:M2307"/>
    <mergeCell ref="A883:A884"/>
    <mergeCell ref="L2061:L2062"/>
    <mergeCell ref="F709:I709"/>
    <mergeCell ref="L1642:L1643"/>
    <mergeCell ref="P63:P64"/>
    <mergeCell ref="F1314:I1314"/>
    <mergeCell ref="B97:C97"/>
    <mergeCell ref="L1756:L1757"/>
    <mergeCell ref="P194:P195"/>
    <mergeCell ref="O2099:O2100"/>
    <mergeCell ref="K909:K910"/>
    <mergeCell ref="L2361:L2362"/>
    <mergeCell ref="B2606:H2606"/>
    <mergeCell ref="O2399:O2400"/>
    <mergeCell ref="M2480:M2481"/>
    <mergeCell ref="R1957:R1958"/>
    <mergeCell ref="H344:I344"/>
    <mergeCell ref="R1951:R1952"/>
    <mergeCell ref="K1997:K1998"/>
    <mergeCell ref="P406:P407"/>
    <mergeCell ref="M2175:M2176"/>
    <mergeCell ref="A144:A145"/>
    <mergeCell ref="J2323:J2324"/>
    <mergeCell ref="J2329:J2330"/>
    <mergeCell ref="H949:I949"/>
    <mergeCell ref="K1692:K1693"/>
    <mergeCell ref="A1357:A1358"/>
    <mergeCell ref="J1740:L1740"/>
    <mergeCell ref="H187:I187"/>
    <mergeCell ref="N1119:N1120"/>
    <mergeCell ref="N656:N657"/>
    <mergeCell ref="Q1549:Q1550"/>
    <mergeCell ref="A1657:A1658"/>
    <mergeCell ref="B108:C108"/>
    <mergeCell ref="K962:K963"/>
    <mergeCell ref="M2408:O2408"/>
    <mergeCell ref="L173:L174"/>
    <mergeCell ref="F1456:I1456"/>
    <mergeCell ref="Q1244:Q1245"/>
    <mergeCell ref="Q1238:Q1239"/>
    <mergeCell ref="A2445:A2446"/>
    <mergeCell ref="N956:N957"/>
    <mergeCell ref="D85:E85"/>
    <mergeCell ref="R182:R183"/>
    <mergeCell ref="J2066:L2066"/>
    <mergeCell ref="D2328:E2328"/>
    <mergeCell ref="H2488:I2488"/>
    <mergeCell ref="J554:J555"/>
    <mergeCell ref="R2425:R2426"/>
    <mergeCell ref="A2288:A2289"/>
    <mergeCell ref="P880:P881"/>
    <mergeCell ref="B957:H957"/>
    <mergeCell ref="A197:A198"/>
    <mergeCell ref="P874:P875"/>
    <mergeCell ref="M1011:M1012"/>
    <mergeCell ref="J249:J250"/>
    <mergeCell ref="F1078:I1078"/>
    <mergeCell ref="O1811:O1812"/>
    <mergeCell ref="M706:M707"/>
    <mergeCell ref="J854:J855"/>
    <mergeCell ref="P1180:P1181"/>
    <mergeCell ref="R2268:R2269"/>
    <mergeCell ref="H2325:I2325"/>
    <mergeCell ref="O2599:O2600"/>
    <mergeCell ref="J549:J550"/>
    <mergeCell ref="F1378:I1378"/>
    <mergeCell ref="B161:C161"/>
    <mergeCell ref="O2294:O2295"/>
    <mergeCell ref="K973:K974"/>
    <mergeCell ref="L2469:L2470"/>
    <mergeCell ref="R508:R509"/>
    <mergeCell ref="Q118:Q119"/>
    <mergeCell ref="L2012:L2013"/>
    <mergeCell ref="P808:R808"/>
    <mergeCell ref="M8:O8"/>
    <mergeCell ref="N1561:N1562"/>
    <mergeCell ref="P1107:P1108"/>
    <mergeCell ref="L10:L11"/>
    <mergeCell ref="N1098:N1099"/>
    <mergeCell ref="J297:L297"/>
    <mergeCell ref="D2223:E2223"/>
    <mergeCell ref="N1861:N1862"/>
    <mergeCell ref="F2599:I2599"/>
    <mergeCell ref="K2061:K2062"/>
    <mergeCell ref="B373:C373"/>
    <mergeCell ref="P1407:P1408"/>
    <mergeCell ref="J2393:J2394"/>
    <mergeCell ref="O42:O43"/>
    <mergeCell ref="J723:J724"/>
    <mergeCell ref="F51:I51"/>
    <mergeCell ref="J597:L597"/>
    <mergeCell ref="H1019:I1019"/>
    <mergeCell ref="R956:R957"/>
    <mergeCell ref="P1538:P1539"/>
    <mergeCell ref="P1075:P1076"/>
    <mergeCell ref="H556:I556"/>
    <mergeCell ref="K2361:K2362"/>
    <mergeCell ref="J324:L324"/>
    <mergeCell ref="O2610:O2611"/>
    <mergeCell ref="L700:L701"/>
    <mergeCell ref="O37:O38"/>
    <mergeCell ref="O1130:O1131"/>
    <mergeCell ref="F2169:I2169"/>
    <mergeCell ref="K1631:K1632"/>
    <mergeCell ref="Q1957:Q1958"/>
    <mergeCell ref="O825:O826"/>
    <mergeCell ref="O406:O407"/>
    <mergeCell ref="L537:L538"/>
    <mergeCell ref="D155:E155"/>
    <mergeCell ref="D149:E149"/>
    <mergeCell ref="M776:O776"/>
    <mergeCell ref="Q2282:Q2283"/>
    <mergeCell ref="D2392:E2392"/>
    <mergeCell ref="O1125:O1126"/>
    <mergeCell ref="F2189:I2189"/>
    <mergeCell ref="D2609:E2609"/>
    <mergeCell ref="P2006:P2007"/>
    <mergeCell ref="O2338:O2339"/>
    <mergeCell ref="P1549:P1550"/>
    <mergeCell ref="D449:E449"/>
    <mergeCell ref="Q2582:Q2583"/>
    <mergeCell ref="B1147:C1147"/>
    <mergeCell ref="P1244:P1245"/>
    <mergeCell ref="M1392:M1393"/>
    <mergeCell ref="H856:I856"/>
    <mergeCell ref="P2306:P2307"/>
    <mergeCell ref="N761:N762"/>
    <mergeCell ref="P1849:P1850"/>
    <mergeCell ref="M1093:M1094"/>
    <mergeCell ref="K2090:K2091"/>
    <mergeCell ref="M1087:M1088"/>
    <mergeCell ref="H1461:I1461"/>
    <mergeCell ref="Q188:Q189"/>
    <mergeCell ref="Q182:Q183"/>
    <mergeCell ref="P872:R872"/>
    <mergeCell ref="H1156:I1156"/>
    <mergeCell ref="R1221:R1222"/>
    <mergeCell ref="F95:I95"/>
    <mergeCell ref="L1142:L1143"/>
    <mergeCell ref="L685:L686"/>
    <mergeCell ref="N1811:N1812"/>
    <mergeCell ref="J1010:L1010"/>
    <mergeCell ref="Q25:Q26"/>
    <mergeCell ref="A1232:A1233"/>
    <mergeCell ref="Q2268:Q2269"/>
    <mergeCell ref="L380:L381"/>
    <mergeCell ref="B1505:C1505"/>
    <mergeCell ref="N2599:N2600"/>
    <mergeCell ref="P1602:P1603"/>
    <mergeCell ref="L1442:L1443"/>
    <mergeCell ref="D923:E923"/>
    <mergeCell ref="A927:A928"/>
    <mergeCell ref="B1687:H1687"/>
    <mergeCell ref="P1960:R1960"/>
    <mergeCell ref="J1310:L1310"/>
    <mergeCell ref="F720:I720"/>
    <mergeCell ref="J1304:L1304"/>
    <mergeCell ref="A595:A596"/>
    <mergeCell ref="B1987:H1987"/>
    <mergeCell ref="M1561:M1562"/>
    <mergeCell ref="N2442:N2443"/>
    <mergeCell ref="B2118:H2118"/>
    <mergeCell ref="F1020:I1020"/>
    <mergeCell ref="Q2326:Q2327"/>
    <mergeCell ref="J1404:J1405"/>
    <mergeCell ref="J947:J948"/>
    <mergeCell ref="F2233:I2233"/>
    <mergeCell ref="D1135:E1135"/>
    <mergeCell ref="M1861:M1862"/>
    <mergeCell ref="R1232:R1233"/>
    <mergeCell ref="R1363:R1364"/>
    <mergeCell ref="N42:N43"/>
    <mergeCell ref="O1538:O1539"/>
    <mergeCell ref="H361:I361"/>
    <mergeCell ref="O1075:O1076"/>
    <mergeCell ref="R1968:R1969"/>
    <mergeCell ref="H2052:I2052"/>
    <mergeCell ref="M2192:M2193"/>
    <mergeCell ref="H2604:I2604"/>
    <mergeCell ref="R1663:R1664"/>
    <mergeCell ref="P2076:P2077"/>
    <mergeCell ref="B1973:C1973"/>
    <mergeCell ref="B43:H43"/>
    <mergeCell ref="N473:N474"/>
    <mergeCell ref="B1516:C1516"/>
    <mergeCell ref="J2035:J2036"/>
    <mergeCell ref="K2242:K2243"/>
    <mergeCell ref="A1069:A1070"/>
    <mergeCell ref="N1130:N1131"/>
    <mergeCell ref="M1462:M1463"/>
    <mergeCell ref="J1452:L1452"/>
    <mergeCell ref="H2441:I2441"/>
    <mergeCell ref="H356:I356"/>
    <mergeCell ref="B2273:C2273"/>
    <mergeCell ref="P1957:P1958"/>
    <mergeCell ref="B1816:C1816"/>
    <mergeCell ref="N825:N826"/>
    <mergeCell ref="K2154:K2155"/>
    <mergeCell ref="M1157:M1158"/>
    <mergeCell ref="B2129:H2129"/>
    <mergeCell ref="A1369:A1370"/>
    <mergeCell ref="F464:I464"/>
    <mergeCell ref="N1430:N1431"/>
    <mergeCell ref="M1762:M1763"/>
    <mergeCell ref="J1752:L1752"/>
    <mergeCell ref="M2120:O2120"/>
    <mergeCell ref="M92:M93"/>
    <mergeCell ref="B2185:C2185"/>
    <mergeCell ref="N1125:N1126"/>
    <mergeCell ref="K2454:K2455"/>
    <mergeCell ref="P8:R8"/>
    <mergeCell ref="F764:I764"/>
    <mergeCell ref="H1406:I1406"/>
    <mergeCell ref="O1549:O1550"/>
    <mergeCell ref="O1680:O1681"/>
    <mergeCell ref="L1811:L1812"/>
    <mergeCell ref="O69:O70"/>
    <mergeCell ref="J266:J267"/>
    <mergeCell ref="L1392:L1393"/>
    <mergeCell ref="B2187:H2187"/>
    <mergeCell ref="H2194:I2194"/>
    <mergeCell ref="F1133:I1133"/>
    <mergeCell ref="J2509:J2510"/>
    <mergeCell ref="D1004:E1004"/>
    <mergeCell ref="J2090:J2091"/>
    <mergeCell ref="O1849:O1850"/>
    <mergeCell ref="L1093:L1094"/>
    <mergeCell ref="J1374:L1374"/>
    <mergeCell ref="H2500:I2500"/>
    <mergeCell ref="D242:E242"/>
    <mergeCell ref="H2494:I2494"/>
    <mergeCell ref="B2487:H2487"/>
    <mergeCell ref="A1727:A1728"/>
    <mergeCell ref="J147:J148"/>
    <mergeCell ref="D1304:E1304"/>
    <mergeCell ref="Q1221:Q1222"/>
    <mergeCell ref="D847:E847"/>
    <mergeCell ref="B2182:H2182"/>
    <mergeCell ref="P461:P462"/>
    <mergeCell ref="K1142:K1143"/>
    <mergeCell ref="J1474:J1475"/>
    <mergeCell ref="K685:K686"/>
    <mergeCell ref="H100:I100"/>
    <mergeCell ref="K1747:K1748"/>
    <mergeCell ref="J2079:J2080"/>
    <mergeCell ref="P156:P157"/>
    <mergeCell ref="D1330:E1330"/>
    <mergeCell ref="Q1610:Q1611"/>
    <mergeCell ref="K1442:K1443"/>
    <mergeCell ref="K985:K986"/>
    <mergeCell ref="D1935:E1935"/>
    <mergeCell ref="H425:I425"/>
    <mergeCell ref="N869:N870"/>
    <mergeCell ref="O211:O212"/>
    <mergeCell ref="H725:I725"/>
    <mergeCell ref="J1979:L1979"/>
    <mergeCell ref="Q994:Q995"/>
    <mergeCell ref="J1516:L1516"/>
    <mergeCell ref="A1782:A1783"/>
    <mergeCell ref="B233:C233"/>
    <mergeCell ref="B413:H413"/>
    <mergeCell ref="P330:P331"/>
    <mergeCell ref="F1581:I1581"/>
    <mergeCell ref="L1840:L1841"/>
    <mergeCell ref="J2165:L2165"/>
    <mergeCell ref="J36:L36"/>
    <mergeCell ref="H1025:I1025"/>
    <mergeCell ref="Q1363:Q1364"/>
    <mergeCell ref="B1018:H1018"/>
    <mergeCell ref="N1957:N1958"/>
    <mergeCell ref="B2529:C2529"/>
    <mergeCell ref="A1433:A1434"/>
    <mergeCell ref="M173:M174"/>
    <mergeCell ref="J1816:L1816"/>
    <mergeCell ref="Q1968:Q1969"/>
    <mergeCell ref="A2082:A2083"/>
    <mergeCell ref="L2192:L2193"/>
    <mergeCell ref="J2465:L2465"/>
    <mergeCell ref="Q1663:Q1664"/>
    <mergeCell ref="M473:M474"/>
    <mergeCell ref="D2409:E2409"/>
    <mergeCell ref="M16:M17"/>
    <mergeCell ref="P930:P931"/>
    <mergeCell ref="L1462:L1463"/>
    <mergeCell ref="O2349:O2350"/>
    <mergeCell ref="R607:R608"/>
    <mergeCell ref="N1011:N1012"/>
    <mergeCell ref="J979:J980"/>
    <mergeCell ref="R144:R145"/>
    <mergeCell ref="O2050:O2051"/>
    <mergeCell ref="D2290:E2290"/>
    <mergeCell ref="R2387:R2388"/>
    <mergeCell ref="R258:R259"/>
    <mergeCell ref="L1762:L1763"/>
    <mergeCell ref="D1374:E1374"/>
    <mergeCell ref="B2066:C2066"/>
    <mergeCell ref="P531:P532"/>
    <mergeCell ref="B428:C428"/>
    <mergeCell ref="P525:P526"/>
    <mergeCell ref="Q2442:Q2443"/>
    <mergeCell ref="F106:I106"/>
    <mergeCell ref="P226:P227"/>
    <mergeCell ref="B123:C123"/>
    <mergeCell ref="J364:L364"/>
    <mergeCell ref="N2285:N2286"/>
    <mergeCell ref="B2366:C2366"/>
    <mergeCell ref="H769:I769"/>
    <mergeCell ref="N1986:N1987"/>
    <mergeCell ref="K2117:K2118"/>
    <mergeCell ref="Q194:Q195"/>
    <mergeCell ref="N1523:N1524"/>
    <mergeCell ref="R13:R14"/>
    <mergeCell ref="J716:L716"/>
    <mergeCell ref="Q1407:Q1408"/>
    <mergeCell ref="O275:O276"/>
    <mergeCell ref="L450:L451"/>
    <mergeCell ref="R749:R750"/>
    <mergeCell ref="O461:O462"/>
    <mergeCell ref="B1998:H1998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F1645:I1645"/>
    <mergeCell ref="B1126:H1126"/>
    <mergeCell ref="J1421:J1422"/>
    <mergeCell ref="N1581:N1582"/>
    <mergeCell ref="B1736:L1736"/>
    <mergeCell ref="A2451:A2452"/>
    <mergeCell ref="F2250:I2250"/>
    <mergeCell ref="Q2495:Q2496"/>
    <mergeCell ref="B1060:C1060"/>
    <mergeCell ref="Q2038:Q2039"/>
    <mergeCell ref="P1157:P1158"/>
    <mergeCell ref="N2213:N2214"/>
    <mergeCell ref="J1116:J1117"/>
    <mergeCell ref="B597:C597"/>
    <mergeCell ref="F2402:I2402"/>
    <mergeCell ref="A2277:A2278"/>
    <mergeCell ref="F1945:I1945"/>
    <mergeCell ref="J2529:L2529"/>
    <mergeCell ref="N1881:N1882"/>
    <mergeCell ref="N211:N212"/>
    <mergeCell ref="M543:M544"/>
    <mergeCell ref="Q2338:Q2339"/>
    <mergeCell ref="Q2332:Q2333"/>
    <mergeCell ref="B897:C897"/>
    <mergeCell ref="D2185:E2185"/>
    <mergeCell ref="P994:P995"/>
    <mergeCell ref="F2245:I2245"/>
    <mergeCell ref="H606:I606"/>
    <mergeCell ref="D574:E574"/>
    <mergeCell ref="N2181:N2182"/>
    <mergeCell ref="R671:R672"/>
    <mergeCell ref="N511:N512"/>
    <mergeCell ref="K1840:K1841"/>
    <mergeCell ref="D2360:E2360"/>
    <mergeCell ref="P1974:P1975"/>
    <mergeCell ref="J460:L460"/>
    <mergeCell ref="P1968:P1969"/>
    <mergeCell ref="M1168:M1169"/>
    <mergeCell ref="H1580:I1580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H1880:I1880"/>
    <mergeCell ref="L130:L131"/>
    <mergeCell ref="H1423:I1423"/>
    <mergeCell ref="N2355:N2356"/>
    <mergeCell ref="B798:C798"/>
    <mergeCell ref="A677:A678"/>
    <mergeCell ref="B1437:H1437"/>
    <mergeCell ref="B1568:H1568"/>
    <mergeCell ref="N2050:N2051"/>
    <mergeCell ref="A351:A352"/>
    <mergeCell ref="F57:I57"/>
    <mergeCell ref="A345:A346"/>
    <mergeCell ref="B2225:H2225"/>
    <mergeCell ref="K1762:K1763"/>
    <mergeCell ref="Q2061:Q2062"/>
    <mergeCell ref="A2588:A2589"/>
    <mergeCell ref="J397:J398"/>
    <mergeCell ref="K1893:K1894"/>
    <mergeCell ref="L1104:L1105"/>
    <mergeCell ref="D585:E585"/>
    <mergeCell ref="D716:E716"/>
    <mergeCell ref="K2498:K2499"/>
    <mergeCell ref="O531:O532"/>
    <mergeCell ref="B2525:H2525"/>
    <mergeCell ref="R1418:R1419"/>
    <mergeCell ref="D411:E411"/>
    <mergeCell ref="L1404:L1405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J1491:J1492"/>
    <mergeCell ref="J1485:J1486"/>
    <mergeCell ref="O831:O832"/>
    <mergeCell ref="H111:I111"/>
    <mergeCell ref="B1795:H1795"/>
    <mergeCell ref="R1413:R1414"/>
    <mergeCell ref="J1785:J1786"/>
    <mergeCell ref="Q749:Q750"/>
    <mergeCell ref="B978:C978"/>
    <mergeCell ref="A819:A820"/>
    <mergeCell ref="B1579:H1579"/>
    <mergeCell ref="K124:K125"/>
    <mergeCell ref="K2367:K2368"/>
    <mergeCell ref="B99:H99"/>
    <mergeCell ref="N581:N582"/>
    <mergeCell ref="N575:N576"/>
    <mergeCell ref="Q1049:Q1050"/>
    <mergeCell ref="B1941:C1941"/>
    <mergeCell ref="P2038:P2039"/>
    <mergeCell ref="B1935:C1935"/>
    <mergeCell ref="A1488:A1489"/>
    <mergeCell ref="L1546:L1547"/>
    <mergeCell ref="M1881:M1882"/>
    <mergeCell ref="O368:O369"/>
    <mergeCell ref="H164:I164"/>
    <mergeCell ref="L543:L544"/>
    <mergeCell ref="A2093:A2094"/>
    <mergeCell ref="O1430:O1431"/>
    <mergeCell ref="R1773:R1774"/>
    <mergeCell ref="P2338:P2339"/>
    <mergeCell ref="O973:O974"/>
    <mergeCell ref="H1950:I1950"/>
    <mergeCell ref="L1148:L1149"/>
    <mergeCell ref="F889:I889"/>
    <mergeCell ref="A1788:A1789"/>
    <mergeCell ref="B1937:H1937"/>
    <mergeCell ref="M2181:M2182"/>
    <mergeCell ref="F426:I426"/>
    <mergeCell ref="O668:O669"/>
    <mergeCell ref="J1840:J1841"/>
    <mergeCell ref="F557:I557"/>
    <mergeCell ref="M185:M186"/>
    <mergeCell ref="R2256:R2257"/>
    <mergeCell ref="F1189:I1189"/>
    <mergeCell ref="F252:I252"/>
    <mergeCell ref="A1477:A1478"/>
    <mergeCell ref="F857:I857"/>
    <mergeCell ref="O1642:O1643"/>
    <mergeCell ref="M232:O232"/>
    <mergeCell ref="K898:K899"/>
    <mergeCell ref="D1429:E1429"/>
    <mergeCell ref="D1385:E1385"/>
    <mergeCell ref="N909:N910"/>
    <mergeCell ref="L1474:L1475"/>
    <mergeCell ref="D1086:E1086"/>
    <mergeCell ref="D1080:E1080"/>
    <mergeCell ref="M2355:M2356"/>
    <mergeCell ref="P700:P701"/>
    <mergeCell ref="R1826:R1827"/>
    <mergeCell ref="P694:P695"/>
    <mergeCell ref="H175:I175"/>
    <mergeCell ref="J2198:J2199"/>
    <mergeCell ref="P237:P238"/>
    <mergeCell ref="J402:L402"/>
    <mergeCell ref="P2480:P2481"/>
    <mergeCell ref="J202:J203"/>
    <mergeCell ref="L1290:L1291"/>
    <mergeCell ref="A1930:A1931"/>
    <mergeCell ref="H475:I475"/>
    <mergeCell ref="P328:R328"/>
    <mergeCell ref="K778:K779"/>
    <mergeCell ref="P537:P538"/>
    <mergeCell ref="B1048:C1048"/>
    <mergeCell ref="H193:I193"/>
    <mergeCell ref="K1709:K1710"/>
    <mergeCell ref="F726:I726"/>
    <mergeCell ref="N1692:N1693"/>
    <mergeCell ref="J2498:J2499"/>
    <mergeCell ref="J2618:J2619"/>
    <mergeCell ref="Q1418:Q1419"/>
    <mergeCell ref="N662:N663"/>
    <mergeCell ref="A1532:A1533"/>
    <mergeCell ref="B163:H163"/>
    <mergeCell ref="R2457:R2458"/>
    <mergeCell ref="F1331:I1331"/>
    <mergeCell ref="Q1119:Q1120"/>
    <mergeCell ref="B1348:C1348"/>
    <mergeCell ref="L162:L163"/>
    <mergeCell ref="F1026:I1026"/>
    <mergeCell ref="N831:N832"/>
    <mergeCell ref="N962:N963"/>
    <mergeCell ref="P2408:R2408"/>
    <mergeCell ref="O173:O174"/>
    <mergeCell ref="O2416:O2417"/>
    <mergeCell ref="B1137:H1137"/>
    <mergeCell ref="N1567:N1568"/>
    <mergeCell ref="J2613:J2614"/>
    <mergeCell ref="Q1413:Q1414"/>
    <mergeCell ref="J1941:L1941"/>
    <mergeCell ref="A2163:A2164"/>
    <mergeCell ref="B832:H832"/>
    <mergeCell ref="D1740:E1740"/>
    <mergeCell ref="A2157:A2158"/>
    <mergeCell ref="B2436:C2436"/>
    <mergeCell ref="A1858:A1859"/>
    <mergeCell ref="R357:R358"/>
    <mergeCell ref="M554:M555"/>
    <mergeCell ref="J2241:L2241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1436:N1437"/>
    <mergeCell ref="N973:N974"/>
    <mergeCell ref="O2469:O2470"/>
    <mergeCell ref="P1680:P1681"/>
    <mergeCell ref="D2098:E2098"/>
    <mergeCell ref="O2012:O2013"/>
    <mergeCell ref="H1292:I1292"/>
    <mergeCell ref="L490:L491"/>
    <mergeCell ref="L185:L186"/>
    <mergeCell ref="J472:L472"/>
    <mergeCell ref="B974:H974"/>
    <mergeCell ref="B2447:C2447"/>
    <mergeCell ref="J466:L466"/>
    <mergeCell ref="H562:I562"/>
    <mergeCell ref="A2000:A2001"/>
    <mergeCell ref="N2061:N2062"/>
    <mergeCell ref="R499:R500"/>
    <mergeCell ref="J2383:L2383"/>
    <mergeCell ref="B1149:H1149"/>
    <mergeCell ref="R42:R43"/>
    <mergeCell ref="A389:A390"/>
    <mergeCell ref="O217:O218"/>
    <mergeCell ref="A2605:A2606"/>
    <mergeCell ref="H257:I257"/>
    <mergeCell ref="A2186:A2187"/>
    <mergeCell ref="J572:J573"/>
    <mergeCell ref="J566:J567"/>
    <mergeCell ref="M909:M910"/>
    <mergeCell ref="H862:I862"/>
    <mergeCell ref="J109:J110"/>
    <mergeCell ref="B178:C178"/>
    <mergeCell ref="F1395:I1395"/>
    <mergeCell ref="N2361:N2362"/>
    <mergeCell ref="N1331:N1332"/>
    <mergeCell ref="O700:O701"/>
    <mergeCell ref="J866:J867"/>
    <mergeCell ref="O237:O238"/>
    <mergeCell ref="J409:J410"/>
    <mergeCell ref="B478:C478"/>
    <mergeCell ref="F1695:I1695"/>
    <mergeCell ref="O2480:O2481"/>
    <mergeCell ref="D24:E24"/>
    <mergeCell ref="N1631:N1632"/>
    <mergeCell ref="K1290:K1291"/>
    <mergeCell ref="L80:L81"/>
    <mergeCell ref="M1997:M1998"/>
    <mergeCell ref="B1512:L1512"/>
    <mergeCell ref="L2329:L2330"/>
    <mergeCell ref="J1197:J1198"/>
    <mergeCell ref="L2323:L2324"/>
    <mergeCell ref="D1941:E1941"/>
    <mergeCell ref="F2064:I2064"/>
    <mergeCell ref="M1081:M1082"/>
    <mergeCell ref="P1424:P1425"/>
    <mergeCell ref="D324:E324"/>
    <mergeCell ref="Q2457:Q2458"/>
    <mergeCell ref="P1119:P1120"/>
    <mergeCell ref="D2241:E2241"/>
    <mergeCell ref="D2235:E2235"/>
    <mergeCell ref="K2378:K2379"/>
    <mergeCell ref="B690:C690"/>
    <mergeCell ref="M1381:M1382"/>
    <mergeCell ref="P1724:P1725"/>
    <mergeCell ref="M962:M963"/>
    <mergeCell ref="M918:M919"/>
    <mergeCell ref="H873:I873"/>
    <mergeCell ref="M1567:M1568"/>
    <mergeCell ref="K2265:K2266"/>
    <mergeCell ref="H1636:I1636"/>
    <mergeCell ref="N2105:N2106"/>
    <mergeCell ref="L560:L561"/>
    <mergeCell ref="L554:L555"/>
    <mergeCell ref="Q31:Q32"/>
    <mergeCell ref="O1011:O1012"/>
    <mergeCell ref="L1317:L1318"/>
    <mergeCell ref="Q1811:Q1812"/>
    <mergeCell ref="L854:L855"/>
    <mergeCell ref="F595:I595"/>
    <mergeCell ref="B168:L168"/>
    <mergeCell ref="D466:E466"/>
    <mergeCell ref="A470:A471"/>
    <mergeCell ref="B1230:H1230"/>
    <mergeCell ref="J1552:J1553"/>
    <mergeCell ref="D9:E9"/>
    <mergeCell ref="Q2599:Q2600"/>
    <mergeCell ref="D161:E161"/>
    <mergeCell ref="N778:N779"/>
    <mergeCell ref="P1866:P1867"/>
    <mergeCell ref="F895:I895"/>
    <mergeCell ref="R869:R870"/>
    <mergeCell ref="B1530:H1530"/>
    <mergeCell ref="A770:A771"/>
    <mergeCell ref="M1709:M1710"/>
    <mergeCell ref="J1541:J1542"/>
    <mergeCell ref="R1843:R1844"/>
    <mergeCell ref="M2061:M2062"/>
    <mergeCell ref="Q499:Q500"/>
    <mergeCell ref="L2393:L2394"/>
    <mergeCell ref="Q42:Q43"/>
    <mergeCell ref="R1538:R1539"/>
    <mergeCell ref="B1391:C1391"/>
    <mergeCell ref="M2367:M2368"/>
    <mergeCell ref="Q805:Q806"/>
    <mergeCell ref="H73:I73"/>
    <mergeCell ref="B1086:C1086"/>
    <mergeCell ref="J1327:L1327"/>
    <mergeCell ref="Q2610:Q2611"/>
    <mergeCell ref="B218:H218"/>
    <mergeCell ref="B1691:C1691"/>
    <mergeCell ref="J2210:J2211"/>
    <mergeCell ref="B1822:C1822"/>
    <mergeCell ref="Q1130:Q1131"/>
    <mergeCell ref="A1244:A1245"/>
    <mergeCell ref="B2004:H2004"/>
    <mergeCell ref="B1359:C1359"/>
    <mergeCell ref="A1238:A1239"/>
    <mergeCell ref="A1375:A1376"/>
    <mergeCell ref="J1627:L1627"/>
    <mergeCell ref="K2329:K2330"/>
    <mergeCell ref="H1700:I1700"/>
    <mergeCell ref="Q1430:Q1431"/>
    <mergeCell ref="B2304:H2304"/>
    <mergeCell ref="Q400:Q401"/>
    <mergeCell ref="F307:I307"/>
    <mergeCell ref="Q95:Q96"/>
    <mergeCell ref="R2012:R2013"/>
    <mergeCell ref="J2384:J2385"/>
    <mergeCell ref="R1549:R1550"/>
    <mergeCell ref="J2252:L2252"/>
    <mergeCell ref="K16:K17"/>
    <mergeCell ref="O1855:O1856"/>
    <mergeCell ref="O1398:O1399"/>
    <mergeCell ref="O1392:O1393"/>
    <mergeCell ref="H2369:I2369"/>
    <mergeCell ref="B2362:H2362"/>
    <mergeCell ref="D1179:E1179"/>
    <mergeCell ref="B1228:C1228"/>
    <mergeCell ref="B47:C47"/>
    <mergeCell ref="B424:L424"/>
    <mergeCell ref="O1093:O1094"/>
    <mergeCell ref="J2221:J2222"/>
    <mergeCell ref="J2352:J2353"/>
    <mergeCell ref="B1833:C1833"/>
    <mergeCell ref="A1386:A1387"/>
    <mergeCell ref="M2594:O2594"/>
    <mergeCell ref="P450:P451"/>
    <mergeCell ref="P31:P32"/>
    <mergeCell ref="B2133:C2133"/>
    <mergeCell ref="B203:H203"/>
    <mergeCell ref="M293:M294"/>
    <mergeCell ref="N685:N686"/>
    <mergeCell ref="A1686:A1687"/>
    <mergeCell ref="N1747:N1748"/>
    <mergeCell ref="K991:K992"/>
    <mergeCell ref="K528:K529"/>
    <mergeCell ref="D1505:E1505"/>
    <mergeCell ref="F476:I476"/>
    <mergeCell ref="O80:O81"/>
    <mergeCell ref="R2207:R2208"/>
    <mergeCell ref="O1866:O1867"/>
    <mergeCell ref="M2431:M2432"/>
    <mergeCell ref="Q869:Q870"/>
    <mergeCell ref="H268:I268"/>
    <mergeCell ref="O386:O387"/>
    <mergeCell ref="L1715:L1716"/>
    <mergeCell ref="H2511:I2511"/>
    <mergeCell ref="L1709:L1710"/>
    <mergeCell ref="J2274:J2275"/>
    <mergeCell ref="F1450:I1450"/>
    <mergeCell ref="J1996:L1996"/>
    <mergeCell ref="B1886:C1886"/>
    <mergeCell ref="F1107:I1107"/>
    <mergeCell ref="N1500:N1501"/>
    <mergeCell ref="J1691:L1691"/>
    <mergeCell ref="Q1843:Q1844"/>
    <mergeCell ref="A2370:A2371"/>
    <mergeCell ref="P42:P43"/>
    <mergeCell ref="F1293:I1293"/>
    <mergeCell ref="Q1538:Q1539"/>
    <mergeCell ref="M348:M349"/>
    <mergeCell ref="Q2143:Q2144"/>
    <mergeCell ref="K1002:K1003"/>
    <mergeCell ref="D1979:E1979"/>
    <mergeCell ref="D36:E36"/>
    <mergeCell ref="P1130:P1131"/>
    <mergeCell ref="R133:R134"/>
    <mergeCell ref="K1302:K1303"/>
    <mergeCell ref="O1462:O1463"/>
    <mergeCell ref="A586:A587"/>
    <mergeCell ref="O2524:O2525"/>
    <mergeCell ref="R1930:R1931"/>
    <mergeCell ref="D1249:E1249"/>
    <mergeCell ref="M979:M980"/>
    <mergeCell ref="O2067:O2068"/>
    <mergeCell ref="P520:R520"/>
    <mergeCell ref="N1186:N1187"/>
    <mergeCell ref="P1430:P1431"/>
    <mergeCell ref="O1762:O1763"/>
    <mergeCell ref="A269:A270"/>
    <mergeCell ref="J1833:L1833"/>
    <mergeCell ref="B730:H730"/>
    <mergeCell ref="B2241:C2241"/>
    <mergeCell ref="K1360:K1361"/>
    <mergeCell ref="B2197:C2197"/>
    <mergeCell ref="J353:L353"/>
    <mergeCell ref="Q1680:Q1681"/>
    <mergeCell ref="N1817:N1818"/>
    <mergeCell ref="H312:I312"/>
    <mergeCell ref="B916:H916"/>
    <mergeCell ref="A156:A157"/>
    <mergeCell ref="K1055:K1056"/>
    <mergeCell ref="N1398:N1399"/>
    <mergeCell ref="L266:L267"/>
    <mergeCell ref="J2133:L2133"/>
    <mergeCell ref="Q2285:Q2286"/>
    <mergeCell ref="B1030:H1030"/>
    <mergeCell ref="K1660:K1661"/>
    <mergeCell ref="J322:J323"/>
    <mergeCell ref="N1698:N1699"/>
    <mergeCell ref="M1453:M1454"/>
    <mergeCell ref="O450:O451"/>
    <mergeCell ref="L1779:L1780"/>
    <mergeCell ref="R924:R925"/>
    <mergeCell ref="Q1250:Q1251"/>
    <mergeCell ref="R461:R462"/>
    <mergeCell ref="L293:L294"/>
    <mergeCell ref="M816:M817"/>
    <mergeCell ref="J991:J992"/>
    <mergeCell ref="L2079:L2080"/>
    <mergeCell ref="J534:J535"/>
    <mergeCell ref="F1820:I1820"/>
    <mergeCell ref="D1691:E1691"/>
    <mergeCell ref="B140:C140"/>
    <mergeCell ref="P1174:P1175"/>
    <mergeCell ref="M418:M419"/>
    <mergeCell ref="F2425:I2425"/>
    <mergeCell ref="Q2213:Q2214"/>
    <mergeCell ref="M1116:M1117"/>
    <mergeCell ref="Q2207:Q2208"/>
    <mergeCell ref="O662:O663"/>
    <mergeCell ref="A298:A299"/>
    <mergeCell ref="Q211:Q212"/>
    <mergeCell ref="A1989:A1990"/>
    <mergeCell ref="B440:C440"/>
    <mergeCell ref="K1715:K1716"/>
    <mergeCell ref="M1032:O1032"/>
    <mergeCell ref="M744:O744"/>
    <mergeCell ref="K2434:K2435"/>
    <mergeCell ref="Q511:Q512"/>
    <mergeCell ref="A650:A651"/>
    <mergeCell ref="K2015:K2016"/>
    <mergeCell ref="M1043:M1044"/>
    <mergeCell ref="J1033:L1033"/>
    <mergeCell ref="P1517:P1518"/>
    <mergeCell ref="L2437:L2438"/>
    <mergeCell ref="J886:J887"/>
    <mergeCell ref="F45:I45"/>
    <mergeCell ref="M1343:M1344"/>
    <mergeCell ref="J1333:L1333"/>
    <mergeCell ref="H1755:I1755"/>
    <mergeCell ref="J1002:J1003"/>
    <mergeCell ref="H1298:I1298"/>
    <mergeCell ref="J303:L303"/>
    <mergeCell ref="H1429:I1429"/>
    <mergeCell ref="A525:A526"/>
    <mergeCell ref="F1962:I1962"/>
    <mergeCell ref="H1412:I1412"/>
    <mergeCell ref="L610:L611"/>
    <mergeCell ref="Q569:Q570"/>
    <mergeCell ref="B1443:H1443"/>
    <mergeCell ref="F351:I351"/>
    <mergeCell ref="B1399:H1399"/>
    <mergeCell ref="J1738:J1739"/>
    <mergeCell ref="F345:I345"/>
    <mergeCell ref="B980:H980"/>
    <mergeCell ref="A220:A221"/>
    <mergeCell ref="Q133:Q134"/>
    <mergeCell ref="J1302:J1303"/>
    <mergeCell ref="Q2355:Q2356"/>
    <mergeCell ref="Q2349:Q2350"/>
    <mergeCell ref="J603:L603"/>
    <mergeCell ref="A2463:A2464"/>
    <mergeCell ref="L979:L980"/>
    <mergeCell ref="N2067:N2068"/>
    <mergeCell ref="F2262:I2262"/>
    <mergeCell ref="Q2050:Q2051"/>
    <mergeCell ref="D591:E591"/>
    <mergeCell ref="J2389:L2389"/>
    <mergeCell ref="B184:C184"/>
    <mergeCell ref="B2068:H2068"/>
    <mergeCell ref="D891:E891"/>
    <mergeCell ref="R988:R989"/>
    <mergeCell ref="B1611:H1611"/>
    <mergeCell ref="O2317:O2318"/>
    <mergeCell ref="R531:R532"/>
    <mergeCell ref="D428:E428"/>
    <mergeCell ref="J1360:J1361"/>
    <mergeCell ref="R1593:R1594"/>
    <mergeCell ref="M1817:M1818"/>
    <mergeCell ref="M1948:M1949"/>
    <mergeCell ref="J777:L777"/>
    <mergeCell ref="P2285:P2286"/>
    <mergeCell ref="R831:R832"/>
    <mergeCell ref="J1660:J1661"/>
    <mergeCell ref="J1203:J1204"/>
    <mergeCell ref="M2117:M2118"/>
    <mergeCell ref="B809:C809"/>
    <mergeCell ref="F493:I493"/>
    <mergeCell ref="J1077:L1077"/>
    <mergeCell ref="M1576:O1576"/>
    <mergeCell ref="F74:I74"/>
    <mergeCell ref="B510:C510"/>
    <mergeCell ref="B1572:C1572"/>
    <mergeCell ref="B1754:H1754"/>
    <mergeCell ref="N124:N125"/>
    <mergeCell ref="Q467:Q468"/>
    <mergeCell ref="A994:A995"/>
    <mergeCell ref="Q461:Q462"/>
    <mergeCell ref="A1125:A1126"/>
    <mergeCell ref="N2367:N2368"/>
    <mergeCell ref="F374:I374"/>
    <mergeCell ref="Q581:Q582"/>
    <mergeCell ref="K2079:K2080"/>
    <mergeCell ref="R1462:R1463"/>
    <mergeCell ref="K2210:K2211"/>
    <mergeCell ref="P1581:P1582"/>
    <mergeCell ref="L1421:L1422"/>
    <mergeCell ref="D481:E481"/>
    <mergeCell ref="J1708:L1708"/>
    <mergeCell ref="D1033:E1033"/>
    <mergeCell ref="R1130:R1131"/>
    <mergeCell ref="O848:O849"/>
    <mergeCell ref="J1403:L1403"/>
    <mergeCell ref="H1825:I1825"/>
    <mergeCell ref="R1762:R1763"/>
    <mergeCell ref="B1784:C1784"/>
    <mergeCell ref="P1881:P1882"/>
    <mergeCell ref="B904:L904"/>
    <mergeCell ref="H1362:I1362"/>
    <mergeCell ref="O543:O544"/>
    <mergeCell ref="D1333:E1333"/>
    <mergeCell ref="A1337:A1338"/>
    <mergeCell ref="R1430:R1431"/>
    <mergeCell ref="O1605:O1606"/>
    <mergeCell ref="J1802:J1803"/>
    <mergeCell ref="M60:M61"/>
    <mergeCell ref="O1148:O1149"/>
    <mergeCell ref="H428:I428"/>
    <mergeCell ref="F546:I546"/>
    <mergeCell ref="B2112:H2112"/>
    <mergeCell ref="J2434:J2435"/>
    <mergeCell ref="J1497:J1498"/>
    <mergeCell ref="O1936:O1937"/>
    <mergeCell ref="F2512:I2512"/>
    <mergeCell ref="A1136:A1137"/>
    <mergeCell ref="K441:K442"/>
    <mergeCell ref="N784:N785"/>
    <mergeCell ref="O2236:O2237"/>
    <mergeCell ref="B416:H416"/>
    <mergeCell ref="N898:N899"/>
    <mergeCell ref="D955:E955"/>
    <mergeCell ref="P569:P570"/>
    <mergeCell ref="K741:K742"/>
    <mergeCell ref="B2258:C2258"/>
    <mergeCell ref="P2355:P2356"/>
    <mergeCell ref="B2252:C2252"/>
    <mergeCell ref="H1967:I1967"/>
    <mergeCell ref="N1872:N1873"/>
    <mergeCell ref="A1805:A1806"/>
    <mergeCell ref="M2204:M2205"/>
    <mergeCell ref="M2198:M2199"/>
    <mergeCell ref="P412:P413"/>
    <mergeCell ref="H481:I481"/>
    <mergeCell ref="H24:I24"/>
    <mergeCell ref="H18:I18"/>
    <mergeCell ref="Q1293:Q1294"/>
    <mergeCell ref="J377:J378"/>
    <mergeCell ref="H2267:I2267"/>
    <mergeCell ref="B38:H38"/>
    <mergeCell ref="F1200:I1200"/>
    <mergeCell ref="H1804:I1804"/>
    <mergeCell ref="M2498:M2499"/>
    <mergeCell ref="Q531:Q532"/>
    <mergeCell ref="M371:M372"/>
    <mergeCell ref="F901:I901"/>
    <mergeCell ref="H324:I324"/>
    <mergeCell ref="L1834:L1835"/>
    <mergeCell ref="Q1593:Q1594"/>
    <mergeCell ref="Q1136:Q1137"/>
    <mergeCell ref="F1506:I1506"/>
    <mergeCell ref="L1948:L1949"/>
    <mergeCell ref="L1491:L1492"/>
    <mergeCell ref="L1485:L1486"/>
    <mergeCell ref="D1097:E1097"/>
    <mergeCell ref="J2421:L2421"/>
    <mergeCell ref="J2415:L2415"/>
    <mergeCell ref="A1706:A1707"/>
    <mergeCell ref="D1729:E1729"/>
    <mergeCell ref="L1791:L1792"/>
    <mergeCell ref="M429:M430"/>
    <mergeCell ref="J2116:L2116"/>
    <mergeCell ref="F1526:I1526"/>
    <mergeCell ref="D1397:E1397"/>
    <mergeCell ref="M124:M125"/>
    <mergeCell ref="P1017:P1018"/>
    <mergeCell ref="J1453:J1454"/>
    <mergeCell ref="A2006:A2007"/>
    <mergeCell ref="P598:P599"/>
    <mergeCell ref="H79:I79"/>
    <mergeCell ref="A336:A337"/>
    <mergeCell ref="R2143:R2144"/>
    <mergeCell ref="J2515:J2516"/>
    <mergeCell ref="P581:P582"/>
    <mergeCell ref="M729:M730"/>
    <mergeCell ref="J719:L719"/>
    <mergeCell ref="B180:H180"/>
    <mergeCell ref="R2474:R2475"/>
    <mergeCell ref="K1421:K1422"/>
    <mergeCell ref="J1753:J1754"/>
    <mergeCell ref="H798:I798"/>
    <mergeCell ref="H379:I379"/>
    <mergeCell ref="N848:N849"/>
    <mergeCell ref="N979:N980"/>
    <mergeCell ref="B480:H480"/>
    <mergeCell ref="K1110:K1111"/>
    <mergeCell ref="Q1436:Q1437"/>
    <mergeCell ref="O2486:O2487"/>
    <mergeCell ref="Q973:Q974"/>
    <mergeCell ref="R2469:R2470"/>
    <mergeCell ref="N1148:N1149"/>
    <mergeCell ref="L16:L17"/>
    <mergeCell ref="B2322:C2322"/>
    <mergeCell ref="H1467:I1467"/>
    <mergeCell ref="J15:L15"/>
    <mergeCell ref="A694:A695"/>
    <mergeCell ref="B1454:H1454"/>
    <mergeCell ref="N1936:N1937"/>
    <mergeCell ref="J2258:L2258"/>
    <mergeCell ref="A2480:A2481"/>
    <mergeCell ref="B692:H692"/>
    <mergeCell ref="M266:M267"/>
    <mergeCell ref="J441:J442"/>
    <mergeCell ref="J315:L315"/>
    <mergeCell ref="A2175:A2176"/>
    <mergeCell ref="N2236:N2237"/>
    <mergeCell ref="R674:R675"/>
    <mergeCell ref="K2483:K2484"/>
    <mergeCell ref="A2585:A2586"/>
    <mergeCell ref="M566:M567"/>
    <mergeCell ref="J741:J742"/>
    <mergeCell ref="O112:O113"/>
    <mergeCell ref="R1005:R1006"/>
    <mergeCell ref="J284:J285"/>
    <mergeCell ref="B353:C353"/>
    <mergeCell ref="F1570:I1570"/>
    <mergeCell ref="K1165:K1166"/>
    <mergeCell ref="R700:R701"/>
    <mergeCell ref="R694:R695"/>
    <mergeCell ref="M866:M867"/>
    <mergeCell ref="M200:O200"/>
    <mergeCell ref="O412:O413"/>
    <mergeCell ref="B1992:L1992"/>
    <mergeCell ref="B196:C196"/>
    <mergeCell ref="N1290:N1291"/>
    <mergeCell ref="J489:L489"/>
    <mergeCell ref="P1997:P1998"/>
    <mergeCell ref="O2329:O2330"/>
    <mergeCell ref="J1372:J1373"/>
    <mergeCell ref="L2498:L2499"/>
    <mergeCell ref="D2116:E2116"/>
    <mergeCell ref="A2533:A2534"/>
    <mergeCell ref="B984:C984"/>
    <mergeCell ref="D2110:E2110"/>
    <mergeCell ref="P1081:P1082"/>
    <mergeCell ref="R2213:R2214"/>
    <mergeCell ref="K2253:K2254"/>
    <mergeCell ref="D1653:E1653"/>
    <mergeCell ref="P662:P663"/>
    <mergeCell ref="J2585:J2586"/>
    <mergeCell ref="L2618:L2619"/>
    <mergeCell ref="J789:L789"/>
    <mergeCell ref="J783:L783"/>
    <mergeCell ref="H748:I748"/>
    <mergeCell ref="K1491:K1492"/>
    <mergeCell ref="J484:L484"/>
    <mergeCell ref="B1466:H1466"/>
    <mergeCell ref="D1953:E1953"/>
    <mergeCell ref="P962:P963"/>
    <mergeCell ref="H443:I443"/>
    <mergeCell ref="K2096:K2097"/>
    <mergeCell ref="H574:I574"/>
    <mergeCell ref="J2422:J2423"/>
    <mergeCell ref="P1567:P1568"/>
    <mergeCell ref="H1179:I1179"/>
    <mergeCell ref="J426:J427"/>
    <mergeCell ref="F1712:I1712"/>
    <mergeCell ref="Q319:Q320"/>
    <mergeCell ref="O1017:O1018"/>
    <mergeCell ref="Q2105:Q2106"/>
    <mergeCell ref="L2346:L2347"/>
    <mergeCell ref="O554:O555"/>
    <mergeCell ref="L735:L736"/>
    <mergeCell ref="H1531:I1531"/>
    <mergeCell ref="B1524:H1524"/>
    <mergeCell ref="L272:L273"/>
    <mergeCell ref="D341:E341"/>
    <mergeCell ref="L403:L404"/>
    <mergeCell ref="M968:O968"/>
    <mergeCell ref="Q2474:Q2475"/>
    <mergeCell ref="D2584:E2584"/>
    <mergeCell ref="O1317:O1318"/>
    <mergeCell ref="F2381:I2381"/>
    <mergeCell ref="A2256:A2257"/>
    <mergeCell ref="B1824:H1824"/>
    <mergeCell ref="P1741:P1742"/>
    <mergeCell ref="B1818:H1818"/>
    <mergeCell ref="B1361:H1361"/>
    <mergeCell ref="B1339:C1339"/>
    <mergeCell ref="Q2317:Q2318"/>
    <mergeCell ref="P1436:P1437"/>
    <mergeCell ref="P2041:P2042"/>
    <mergeCell ref="R650:R651"/>
    <mergeCell ref="N490:N491"/>
    <mergeCell ref="K1933:K1934"/>
    <mergeCell ref="Q48:Q49"/>
    <mergeCell ref="R2018:R2019"/>
    <mergeCell ref="L877:L878"/>
    <mergeCell ref="Q217:Q218"/>
    <mergeCell ref="D2180:E2180"/>
    <mergeCell ref="Q348:Q349"/>
    <mergeCell ref="N2117:N2118"/>
    <mergeCell ref="J2085:J2086"/>
    <mergeCell ref="L572:L573"/>
    <mergeCell ref="B1697:C1697"/>
    <mergeCell ref="P1794:P1795"/>
    <mergeCell ref="L1634:L1635"/>
    <mergeCell ref="Q1005:Q1006"/>
    <mergeCell ref="B1234:C1234"/>
    <mergeCell ref="F912:I912"/>
    <mergeCell ref="J1458:L1458"/>
    <mergeCell ref="D783:E783"/>
    <mergeCell ref="A787:A788"/>
    <mergeCell ref="Q700:Q701"/>
    <mergeCell ref="J1039:L1039"/>
    <mergeCell ref="B1547:H1547"/>
    <mergeCell ref="J1170:L1170"/>
    <mergeCell ref="J1153:L1153"/>
    <mergeCell ref="Q1305:Q1306"/>
    <mergeCell ref="P1637:P1638"/>
    <mergeCell ref="B1534:C1534"/>
    <mergeCell ref="P1631:P1632"/>
    <mergeCell ref="F1212:I1212"/>
    <mergeCell ref="R1186:R1187"/>
    <mergeCell ref="A1087:A1088"/>
    <mergeCell ref="O1386:O1387"/>
    <mergeCell ref="F182:I182"/>
    <mergeCell ref="J1558:J1559"/>
    <mergeCell ref="K2618:K2619"/>
    <mergeCell ref="J1253:J1254"/>
    <mergeCell ref="R1555:R1556"/>
    <mergeCell ref="M598:M599"/>
    <mergeCell ref="O1686:O1687"/>
    <mergeCell ref="M141:M142"/>
    <mergeCell ref="M2384:M2385"/>
    <mergeCell ref="O1381:O1382"/>
    <mergeCell ref="R1855:R1856"/>
    <mergeCell ref="K191:K192"/>
    <mergeCell ref="B235:H235"/>
    <mergeCell ref="B1708:C1708"/>
    <mergeCell ref="J2227:J2228"/>
    <mergeCell ref="O1567:O1568"/>
    <mergeCell ref="B1403:C1403"/>
    <mergeCell ref="B222:C222"/>
    <mergeCell ref="B2008:C2008"/>
    <mergeCell ref="K2346:K2347"/>
    <mergeCell ref="P2105:P2106"/>
    <mergeCell ref="B78:H78"/>
    <mergeCell ref="B2139:C2139"/>
    <mergeCell ref="N560:N561"/>
    <mergeCell ref="H1717:I1717"/>
    <mergeCell ref="A1561:A1562"/>
    <mergeCell ref="N1622:N1623"/>
    <mergeCell ref="M1954:M1955"/>
    <mergeCell ref="M2312:O2312"/>
    <mergeCell ref="K822:K823"/>
    <mergeCell ref="K403:K404"/>
    <mergeCell ref="K2602:K2603"/>
    <mergeCell ref="N860:N861"/>
    <mergeCell ref="J127:J128"/>
    <mergeCell ref="H2017:I2017"/>
    <mergeCell ref="P1864:R1864"/>
    <mergeCell ref="B1166:H1166"/>
    <mergeCell ref="K703:K704"/>
    <mergeCell ref="R86:R87"/>
    <mergeCell ref="H143:I143"/>
    <mergeCell ref="R80:R81"/>
    <mergeCell ref="Q412:Q413"/>
    <mergeCell ref="J458:J459"/>
    <mergeCell ref="L1584:L1585"/>
    <mergeCell ref="H1929:I1929"/>
    <mergeCell ref="R1866:R1867"/>
    <mergeCell ref="J2569:L2569"/>
    <mergeCell ref="J1566:L1566"/>
    <mergeCell ref="J1697:L1697"/>
    <mergeCell ref="B136:L136"/>
    <mergeCell ref="O1709:O1710"/>
    <mergeCell ref="J2171:L2171"/>
    <mergeCell ref="H2229:I2229"/>
    <mergeCell ref="B2222:H2222"/>
    <mergeCell ref="B131:H131"/>
    <mergeCell ref="P48:P49"/>
    <mergeCell ref="R1136:R1137"/>
    <mergeCell ref="J453:J454"/>
    <mergeCell ref="A1456:A1457"/>
    <mergeCell ref="L1541:L1542"/>
    <mergeCell ref="B1604:C1604"/>
    <mergeCell ref="M179:M180"/>
    <mergeCell ref="B2374:H2374"/>
    <mergeCell ref="D1153:E1153"/>
    <mergeCell ref="B736:H736"/>
    <mergeCell ref="A1157:A1158"/>
    <mergeCell ref="M2422:M2423"/>
    <mergeCell ref="K877:K878"/>
    <mergeCell ref="J1534:L1534"/>
    <mergeCell ref="P767:P768"/>
    <mergeCell ref="P348:P349"/>
    <mergeCell ref="K572:K573"/>
    <mergeCell ref="L2515:L2516"/>
    <mergeCell ref="N1002:N1003"/>
    <mergeCell ref="K1177:K1178"/>
    <mergeCell ref="D2127:E2127"/>
    <mergeCell ref="R2224:R2225"/>
    <mergeCell ref="J1503:J1504"/>
    <mergeCell ref="J2596:J2597"/>
    <mergeCell ref="D1822:E1822"/>
    <mergeCell ref="J2291:J2292"/>
    <mergeCell ref="N729:N730"/>
    <mergeCell ref="O1637:O1638"/>
    <mergeCell ref="H917:I917"/>
    <mergeCell ref="R2524:R2525"/>
    <mergeCell ref="H460:I460"/>
    <mergeCell ref="Q1186:Q1187"/>
    <mergeCell ref="H612:I612"/>
    <mergeCell ref="B605:H605"/>
    <mergeCell ref="J2591:J2592"/>
    <mergeCell ref="J2313:L2313"/>
    <mergeCell ref="B142:H142"/>
    <mergeCell ref="H1217:I1217"/>
    <mergeCell ref="Q1555:Q1556"/>
    <mergeCell ref="B2385:H2385"/>
    <mergeCell ref="A1625:A1626"/>
    <mergeCell ref="N1686:N1687"/>
    <mergeCell ref="M2376:O2376"/>
    <mergeCell ref="L141:L142"/>
    <mergeCell ref="J2008:L2008"/>
    <mergeCell ref="Q2160:Q2161"/>
    <mergeCell ref="K1535:K1536"/>
    <mergeCell ref="B442:H442"/>
    <mergeCell ref="Q1855:Q1856"/>
    <mergeCell ref="Q1398:Q1399"/>
    <mergeCell ref="L441:L442"/>
    <mergeCell ref="A2599:A2600"/>
    <mergeCell ref="K773:K774"/>
    <mergeCell ref="D53:E53"/>
    <mergeCell ref="R150:R151"/>
    <mergeCell ref="D47:E47"/>
    <mergeCell ref="M322:M323"/>
    <mergeCell ref="L1654:L1655"/>
    <mergeCell ref="J522:J523"/>
    <mergeCell ref="R755:R756"/>
    <mergeCell ref="R336:R337"/>
    <mergeCell ref="R450:R451"/>
    <mergeCell ref="O1779:O1780"/>
    <mergeCell ref="L1954:L1955"/>
    <mergeCell ref="J822:J823"/>
    <mergeCell ref="J403:J404"/>
    <mergeCell ref="B434:C434"/>
    <mergeCell ref="M1296:M1297"/>
    <mergeCell ref="B15:C15"/>
    <mergeCell ref="O293:O294"/>
    <mergeCell ref="D1103:E1103"/>
    <mergeCell ref="F1363:I1363"/>
    <mergeCell ref="M991:M992"/>
    <mergeCell ref="O2079:O2080"/>
    <mergeCell ref="P717:P718"/>
    <mergeCell ref="F1968:I1968"/>
    <mergeCell ref="J1122:J1123"/>
    <mergeCell ref="J92:J93"/>
    <mergeCell ref="A173:A174"/>
    <mergeCell ref="P418:P419"/>
    <mergeCell ref="B315:C315"/>
    <mergeCell ref="F1663:I1663"/>
    <mergeCell ref="J539:L539"/>
    <mergeCell ref="P1023:P1024"/>
    <mergeCell ref="Q1866:Q1867"/>
    <mergeCell ref="D2191:E2191"/>
    <mergeCell ref="A473:A474"/>
    <mergeCell ref="K1372:K1373"/>
    <mergeCell ref="N1715:N1716"/>
    <mergeCell ref="N1709:N1710"/>
    <mergeCell ref="F293:I293"/>
    <mergeCell ref="K1977:K1978"/>
    <mergeCell ref="O467:O468"/>
    <mergeCell ref="D2491:E2491"/>
    <mergeCell ref="N2015:N2016"/>
    <mergeCell ref="P1043:P1044"/>
    <mergeCell ref="O653:O654"/>
    <mergeCell ref="O767:O768"/>
    <mergeCell ref="L2096:L2097"/>
    <mergeCell ref="Q2230:Q2231"/>
    <mergeCell ref="L153:L154"/>
    <mergeCell ref="L2396:L2397"/>
    <mergeCell ref="F2137:I2137"/>
    <mergeCell ref="F1674:I1674"/>
    <mergeCell ref="B1574:H1574"/>
    <mergeCell ref="Q2530:Q2531"/>
    <mergeCell ref="M272:M273"/>
    <mergeCell ref="F194:I194"/>
    <mergeCell ref="Q2524:Q2525"/>
    <mergeCell ref="O979:O980"/>
    <mergeCell ref="D117:E117"/>
    <mergeCell ref="P1186:P1187"/>
    <mergeCell ref="Q2067:Q2068"/>
    <mergeCell ref="F2437:I2437"/>
    <mergeCell ref="B1943:H1943"/>
    <mergeCell ref="N2373:N2374"/>
    <mergeCell ref="A2306:A2307"/>
    <mergeCell ref="D303:E303"/>
    <mergeCell ref="B2248:L2248"/>
    <mergeCell ref="D417:E417"/>
    <mergeCell ref="D2220:E2220"/>
    <mergeCell ref="P2122:P2123"/>
    <mergeCell ref="M1360:M1361"/>
    <mergeCell ref="D603:E603"/>
    <mergeCell ref="J1535:J1536"/>
    <mergeCell ref="P1834:P1835"/>
    <mergeCell ref="P1817:P1818"/>
    <mergeCell ref="J1072:J1073"/>
    <mergeCell ref="J1209:J1210"/>
    <mergeCell ref="M1965:M1966"/>
    <mergeCell ref="B684:C684"/>
    <mergeCell ref="H1010:I1010"/>
    <mergeCell ref="F362:I362"/>
    <mergeCell ref="M1660:M1661"/>
    <mergeCell ref="A237:A238"/>
    <mergeCell ref="H2072:I2072"/>
    <mergeCell ref="L322:L323"/>
    <mergeCell ref="H1615:I1615"/>
    <mergeCell ref="P2117:P2118"/>
    <mergeCell ref="Q755:Q756"/>
    <mergeCell ref="B990:C990"/>
    <mergeCell ref="F668:I668"/>
    <mergeCell ref="P1576:R1576"/>
    <mergeCell ref="A543:A544"/>
    <mergeCell ref="B1297:H1297"/>
    <mergeCell ref="A537:A538"/>
    <mergeCell ref="F205:I205"/>
    <mergeCell ref="Q450:Q451"/>
    <mergeCell ref="N1779:N1780"/>
    <mergeCell ref="M1288:O1288"/>
    <mergeCell ref="K2085:K2086"/>
    <mergeCell ref="L1296:L1297"/>
    <mergeCell ref="D908:E908"/>
    <mergeCell ref="A1325:A1326"/>
    <mergeCell ref="O1421:O1422"/>
    <mergeCell ref="H2398:I2398"/>
    <mergeCell ref="L1596:L1597"/>
    <mergeCell ref="B2254:H2254"/>
    <mergeCell ref="B2391:H2391"/>
    <mergeCell ref="O418:O419"/>
    <mergeCell ref="D1208:E1208"/>
    <mergeCell ref="R1305:R1306"/>
    <mergeCell ref="R848:R849"/>
    <mergeCell ref="J1677:J1678"/>
    <mergeCell ref="O1023:O1024"/>
    <mergeCell ref="F2506:I2506"/>
    <mergeCell ref="M2134:M2135"/>
    <mergeCell ref="H1668:I1668"/>
    <mergeCell ref="J915:J916"/>
    <mergeCell ref="R1605:R1606"/>
    <mergeCell ref="R1148:R1149"/>
    <mergeCell ref="J1977:J1978"/>
    <mergeCell ref="B1458:C1458"/>
    <mergeCell ref="J1520:J1521"/>
    <mergeCell ref="N141:N142"/>
    <mergeCell ref="A1011:A1012"/>
    <mergeCell ref="B1153:C1153"/>
    <mergeCell ref="R1936:R1937"/>
    <mergeCell ref="O2111:O2112"/>
    <mergeCell ref="R1517:R1518"/>
    <mergeCell ref="F2501:I2501"/>
    <mergeCell ref="N2437:N2438"/>
    <mergeCell ref="N441:N442"/>
    <mergeCell ref="K153:K154"/>
    <mergeCell ref="J2189:J2190"/>
    <mergeCell ref="J1420:L1420"/>
    <mergeCell ref="K2396:K2397"/>
    <mergeCell ref="B1801:C1801"/>
    <mergeCell ref="N610:N611"/>
    <mergeCell ref="L1738:L1739"/>
    <mergeCell ref="N741:N742"/>
    <mergeCell ref="P2530:P2531"/>
    <mergeCell ref="O1165:O1166"/>
    <mergeCell ref="H2142:I2142"/>
    <mergeCell ref="J208:J209"/>
    <mergeCell ref="P2198:P2199"/>
    <mergeCell ref="H1679:I1679"/>
    <mergeCell ref="A1523:A1524"/>
    <mergeCell ref="L1008:L1009"/>
    <mergeCell ref="F444:I444"/>
    <mergeCell ref="J990:L990"/>
    <mergeCell ref="P2498:P2499"/>
    <mergeCell ref="O2122:O2123"/>
    <mergeCell ref="O2253:O2254"/>
    <mergeCell ref="F1049:I1049"/>
    <mergeCell ref="O1834:O1835"/>
    <mergeCell ref="Q837:Q838"/>
    <mergeCell ref="L1965:L1966"/>
    <mergeCell ref="R2291:R2292"/>
    <mergeCell ref="D1577:E1577"/>
    <mergeCell ref="O1491:O1492"/>
    <mergeCell ref="O2422:O2423"/>
    <mergeCell ref="L1666:L1667"/>
    <mergeCell ref="L1660:L1661"/>
    <mergeCell ref="B2455:H2455"/>
    <mergeCell ref="K322:K323"/>
    <mergeCell ref="J2078:L2078"/>
    <mergeCell ref="P886:P887"/>
    <mergeCell ref="K1058:K1059"/>
    <mergeCell ref="P429:P430"/>
    <mergeCell ref="M604:M605"/>
    <mergeCell ref="H41:I41"/>
    <mergeCell ref="F1701:I1701"/>
    <mergeCell ref="B2569:C2569"/>
    <mergeCell ref="D1572:E1572"/>
    <mergeCell ref="B27:C27"/>
    <mergeCell ref="P124:P125"/>
    <mergeCell ref="M2521:M2522"/>
    <mergeCell ref="M2515:M2516"/>
    <mergeCell ref="K970:K971"/>
    <mergeCell ref="P729:P730"/>
    <mergeCell ref="H341:I341"/>
    <mergeCell ref="B355:H355"/>
    <mergeCell ref="H36:I36"/>
    <mergeCell ref="Q1311:Q1312"/>
    <mergeCell ref="R2186:R2187"/>
    <mergeCell ref="Q848:Q849"/>
    <mergeCell ref="N1154:N1155"/>
    <mergeCell ref="L22:L23"/>
    <mergeCell ref="O365:O366"/>
    <mergeCell ref="L1808:L1809"/>
    <mergeCell ref="Q1605:Q1606"/>
    <mergeCell ref="B1865:C1865"/>
    <mergeCell ref="L1802:L1803"/>
    <mergeCell ref="O60:O61"/>
    <mergeCell ref="Q1148:Q1149"/>
    <mergeCell ref="B1640:L1640"/>
    <mergeCell ref="A2355:A2356"/>
    <mergeCell ref="L191:L192"/>
    <mergeCell ref="B1024:H1024"/>
    <mergeCell ref="A2349:A2350"/>
    <mergeCell ref="B567:H567"/>
    <mergeCell ref="Q1936:Q1937"/>
    <mergeCell ref="J190:L190"/>
    <mergeCell ref="A2050:A2051"/>
    <mergeCell ref="B501:C501"/>
    <mergeCell ref="M746:M747"/>
    <mergeCell ref="J2433:L2433"/>
    <mergeCell ref="A1718:A1719"/>
    <mergeCell ref="B169:C169"/>
    <mergeCell ref="P1203:P1204"/>
    <mergeCell ref="B867:H867"/>
    <mergeCell ref="M441:M442"/>
    <mergeCell ref="N1322:N1323"/>
    <mergeCell ref="O1529:O1530"/>
    <mergeCell ref="A2323:A2324"/>
    <mergeCell ref="Q2236:Q2237"/>
    <mergeCell ref="F2448:I2448"/>
    <mergeCell ref="Q1206:Q1207"/>
    <mergeCell ref="J153:J154"/>
    <mergeCell ref="J290:J291"/>
    <mergeCell ref="M1046:M1047"/>
    <mergeCell ref="F1119:I1119"/>
    <mergeCell ref="F1113:I1113"/>
    <mergeCell ref="K1738:K1739"/>
    <mergeCell ref="M741:M742"/>
    <mergeCell ref="M488:O488"/>
    <mergeCell ref="Q1506:Q1507"/>
    <mergeCell ref="N1165:N1166"/>
    <mergeCell ref="O2204:O2205"/>
    <mergeCell ref="F1413:I1413"/>
    <mergeCell ref="O2198:O2199"/>
    <mergeCell ref="P200:R200"/>
    <mergeCell ref="J1247:J1248"/>
    <mergeCell ref="K1008:K1009"/>
    <mergeCell ref="B853:C853"/>
    <mergeCell ref="B396:C396"/>
    <mergeCell ref="K1122:K1123"/>
    <mergeCell ref="A406:A407"/>
    <mergeCell ref="H1784:I1784"/>
    <mergeCell ref="J201:L201"/>
    <mergeCell ref="J332:L332"/>
    <mergeCell ref="A2192:A2193"/>
    <mergeCell ref="N2253:N2254"/>
    <mergeCell ref="M2585:M2586"/>
    <mergeCell ref="R234:R235"/>
    <mergeCell ref="P837:P838"/>
    <mergeCell ref="B696:C696"/>
    <mergeCell ref="B1472:H1472"/>
    <mergeCell ref="P793:P794"/>
    <mergeCell ref="B1009:H1009"/>
    <mergeCell ref="A249:A250"/>
    <mergeCell ref="A2492:A2493"/>
    <mergeCell ref="J301:J302"/>
    <mergeCell ref="F1587:I1587"/>
    <mergeCell ref="A1462:A1463"/>
    <mergeCell ref="F101:I101"/>
    <mergeCell ref="Q1980:Q1981"/>
    <mergeCell ref="K1939:K1940"/>
    <mergeCell ref="O429:O430"/>
    <mergeCell ref="J601:J602"/>
    <mergeCell ref="F1887:I1887"/>
    <mergeCell ref="A1762:A1763"/>
    <mergeCell ref="N1823:N1824"/>
    <mergeCell ref="O1034:O1035"/>
    <mergeCell ref="R1017:R1018"/>
    <mergeCell ref="H1074:I1074"/>
    <mergeCell ref="B1704:L1704"/>
    <mergeCell ref="L2521:L2522"/>
    <mergeCell ref="J1389:J1390"/>
    <mergeCell ref="L2477:L2478"/>
    <mergeCell ref="J970:J971"/>
    <mergeCell ref="L386:L387"/>
    <mergeCell ref="O729:O730"/>
    <mergeCell ref="L2058:L2059"/>
    <mergeCell ref="F2218:I2218"/>
    <mergeCell ref="B1699:H1699"/>
    <mergeCell ref="J254:L254"/>
    <mergeCell ref="D190:E190"/>
    <mergeCell ref="J1689:J1690"/>
    <mergeCell ref="F2518:I2518"/>
    <mergeCell ref="F2099:I2099"/>
    <mergeCell ref="D1970:E1970"/>
    <mergeCell ref="M1154:M1155"/>
    <mergeCell ref="P522:P523"/>
    <mergeCell ref="K22:K23"/>
    <mergeCell ref="J1106:L1106"/>
    <mergeCell ref="J354:J355"/>
    <mergeCell ref="M1110:M1111"/>
    <mergeCell ref="P1584:P1585"/>
    <mergeCell ref="H1065:I1065"/>
    <mergeCell ref="N2149:N2150"/>
    <mergeCell ref="K1808:K1809"/>
    <mergeCell ref="J959:J960"/>
    <mergeCell ref="O2573:O2574"/>
    <mergeCell ref="H760:I760"/>
    <mergeCell ref="Q2122:Q2123"/>
    <mergeCell ref="P1936:P1937"/>
    <mergeCell ref="K2108:K2109"/>
    <mergeCell ref="L746:L747"/>
    <mergeCell ref="H2153:I2153"/>
    <mergeCell ref="Q2422:Q2423"/>
    <mergeCell ref="H1848:I1848"/>
    <mergeCell ref="L1046:L1047"/>
    <mergeCell ref="H1391:I1391"/>
    <mergeCell ref="B360:L360"/>
    <mergeCell ref="L589:L590"/>
    <mergeCell ref="D658:E658"/>
    <mergeCell ref="F330:I330"/>
    <mergeCell ref="A662:A663"/>
    <mergeCell ref="D201:E201"/>
    <mergeCell ref="B804:C804"/>
    <mergeCell ref="M2085:M2086"/>
    <mergeCell ref="H2453:I2453"/>
    <mergeCell ref="B1536:H1536"/>
    <mergeCell ref="K2166:K2167"/>
    <mergeCell ref="A2442:A2443"/>
    <mergeCell ref="P1506:P1507"/>
    <mergeCell ref="B2141:H2141"/>
    <mergeCell ref="A1381:A1382"/>
    <mergeCell ref="A962:A963"/>
    <mergeCell ref="N2204:N2205"/>
    <mergeCell ref="K2466:K2467"/>
    <mergeCell ref="D1289:E1289"/>
    <mergeCell ref="R1386:R1387"/>
    <mergeCell ref="L342:L343"/>
    <mergeCell ref="Q234:Q235"/>
    <mergeCell ref="R1730:R1731"/>
    <mergeCell ref="R1686:R1687"/>
    <mergeCell ref="D1170:E1170"/>
    <mergeCell ref="O1861:O1862"/>
    <mergeCell ref="J2102:J2103"/>
    <mergeCell ref="D254:E254"/>
    <mergeCell ref="N191:N192"/>
    <mergeCell ref="D2497:E2497"/>
    <mergeCell ref="M2227:M2228"/>
    <mergeCell ref="J2402:J2403"/>
    <mergeCell ref="B946:C946"/>
    <mergeCell ref="J1939:J1940"/>
    <mergeCell ref="Q1322:Q1323"/>
    <mergeCell ref="P1654:P1655"/>
    <mergeCell ref="B1551:C1551"/>
    <mergeCell ref="J1819:L1819"/>
    <mergeCell ref="A973:A974"/>
    <mergeCell ref="A1104:A1105"/>
    <mergeCell ref="Q1017:Q1018"/>
    <mergeCell ref="B253:H253"/>
    <mergeCell ref="K2477:K2478"/>
    <mergeCell ref="H1892:I1892"/>
    <mergeCell ref="Q1622:Q1623"/>
    <mergeCell ref="P1954:P1955"/>
    <mergeCell ref="N403:N404"/>
    <mergeCell ref="B1041:H1041"/>
    <mergeCell ref="A1404:A1405"/>
    <mergeCell ref="Q1317:Q1318"/>
    <mergeCell ref="Q287:Q288"/>
    <mergeCell ref="J1839:L1839"/>
    <mergeCell ref="A2061:A2062"/>
    <mergeCell ref="R1741:R1742"/>
    <mergeCell ref="J2444:L2444"/>
    <mergeCell ref="L1247:L1248"/>
    <mergeCell ref="O1590:O1591"/>
    <mergeCell ref="O1584:O1585"/>
    <mergeCell ref="J1528:L1528"/>
    <mergeCell ref="L1721:L1722"/>
    <mergeCell ref="H2104:I2104"/>
    <mergeCell ref="A2361:A2362"/>
    <mergeCell ref="F2610:I2610"/>
    <mergeCell ref="J170:J171"/>
    <mergeCell ref="R2041:R2042"/>
    <mergeCell ref="A1331:A1332"/>
    <mergeCell ref="F37:I37"/>
    <mergeCell ref="Q1375:Q1376"/>
    <mergeCell ref="B2025:C2025"/>
    <mergeCell ref="R1709:R1710"/>
    <mergeCell ref="B2205:H2205"/>
    <mergeCell ref="J1828:L1828"/>
    <mergeCell ref="H2404:I2404"/>
    <mergeCell ref="F825:I825"/>
    <mergeCell ref="J1409:L1409"/>
    <mergeCell ref="A1631:A1632"/>
    <mergeCell ref="P179:P180"/>
    <mergeCell ref="B2325:C2325"/>
    <mergeCell ref="N1334:N1335"/>
    <mergeCell ref="Q1218:Q1219"/>
    <mergeCell ref="P2422:P2423"/>
    <mergeCell ref="N877:N878"/>
    <mergeCell ref="M28:M29"/>
    <mergeCell ref="R2099:R2100"/>
    <mergeCell ref="F1125:I1125"/>
    <mergeCell ref="N1939:N1940"/>
    <mergeCell ref="M2271:M2272"/>
    <mergeCell ref="K720:K721"/>
    <mergeCell ref="D1697:E1697"/>
    <mergeCell ref="D1240:E1240"/>
    <mergeCell ref="R2399:R2400"/>
    <mergeCell ref="M2596:M2597"/>
    <mergeCell ref="R1942:R1943"/>
    <mergeCell ref="Q1061:Q1062"/>
    <mergeCell ref="K1020:K1021"/>
    <mergeCell ref="R403:R404"/>
    <mergeCell ref="M2291:M2292"/>
    <mergeCell ref="J2466:J2467"/>
    <mergeCell ref="O115:O116"/>
    <mergeCell ref="B17:H17"/>
    <mergeCell ref="J2009:J2010"/>
    <mergeCell ref="B2078:C2078"/>
    <mergeCell ref="B148:H148"/>
    <mergeCell ref="Q1386:Q1387"/>
    <mergeCell ref="L1558:L1559"/>
    <mergeCell ref="F1299:I1299"/>
    <mergeCell ref="J1883:L1883"/>
    <mergeCell ref="F880:I880"/>
    <mergeCell ref="H303:I303"/>
    <mergeCell ref="N1235:N1236"/>
    <mergeCell ref="A2105:A2106"/>
    <mergeCell ref="B317:H317"/>
    <mergeCell ref="F1485:I1485"/>
    <mergeCell ref="B448:H448"/>
    <mergeCell ref="Q1686:Q1687"/>
    <mergeCell ref="A1773:A1774"/>
    <mergeCell ref="O141:O142"/>
    <mergeCell ref="F1599:I1599"/>
    <mergeCell ref="O2384:O2385"/>
    <mergeCell ref="A1474:A1475"/>
    <mergeCell ref="N1535:N1536"/>
    <mergeCell ref="A1468:A1469"/>
    <mergeCell ref="K1194:K1195"/>
    <mergeCell ref="N1072:N1073"/>
    <mergeCell ref="M191:M192"/>
    <mergeCell ref="L2227:L2228"/>
    <mergeCell ref="D1708:E1708"/>
    <mergeCell ref="Q1573:Q1574"/>
    <mergeCell ref="J2514:L2514"/>
    <mergeCell ref="D1839:E1839"/>
    <mergeCell ref="J2508:L2508"/>
    <mergeCell ref="D2313:E2313"/>
    <mergeCell ref="F869:I869"/>
    <mergeCell ref="R325:R326"/>
    <mergeCell ref="O1654:O1655"/>
    <mergeCell ref="M522:M523"/>
    <mergeCell ref="D2444:E2444"/>
    <mergeCell ref="M1171:M1172"/>
    <mergeCell ref="O2259:O2260"/>
    <mergeCell ref="D2139:E2139"/>
    <mergeCell ref="J365:J366"/>
    <mergeCell ref="R2236:R2237"/>
    <mergeCell ref="O1954:O1955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2389:C2389"/>
    <mergeCell ref="B459:H459"/>
    <mergeCell ref="M1122:M1123"/>
    <mergeCell ref="H1534:I1534"/>
    <mergeCell ref="D2066:E2066"/>
    <mergeCell ref="J82:L82"/>
    <mergeCell ref="A1942:A1943"/>
    <mergeCell ref="A348:A349"/>
    <mergeCell ref="K1247:K1248"/>
    <mergeCell ref="N2003:N2004"/>
    <mergeCell ref="L458:L459"/>
    <mergeCell ref="M2335:M2336"/>
    <mergeCell ref="B1222:H1222"/>
    <mergeCell ref="D2366:E2366"/>
    <mergeCell ref="A2242:A2243"/>
    <mergeCell ref="L758:L759"/>
    <mergeCell ref="K1090:K1091"/>
    <mergeCell ref="D370:E370"/>
    <mergeCell ref="L1971:L1972"/>
    <mergeCell ref="O179:O180"/>
    <mergeCell ref="O310:O311"/>
    <mergeCell ref="R653:R654"/>
    <mergeCell ref="P1218:P1219"/>
    <mergeCell ref="H830:I830"/>
    <mergeCell ref="L28:L29"/>
    <mergeCell ref="O2096:O2097"/>
    <mergeCell ref="L2271:L2272"/>
    <mergeCell ref="J726:J727"/>
    <mergeCell ref="O485:O486"/>
    <mergeCell ref="F2012:I2012"/>
    <mergeCell ref="J720:J721"/>
    <mergeCell ref="F1549:I1549"/>
    <mergeCell ref="F1680:I1680"/>
    <mergeCell ref="Q2405:Q2406"/>
    <mergeCell ref="F69:I69"/>
    <mergeCell ref="B937:C937"/>
    <mergeCell ref="P1034:P1035"/>
    <mergeCell ref="L2596:L2597"/>
    <mergeCell ref="R37:R38"/>
    <mergeCell ref="Q2073:Q2074"/>
    <mergeCell ref="F2268:I2268"/>
    <mergeCell ref="F2306:I2306"/>
    <mergeCell ref="Q403:Q404"/>
    <mergeCell ref="F1849:I1849"/>
    <mergeCell ref="B175:C175"/>
    <mergeCell ref="M1224:O1224"/>
    <mergeCell ref="P272:P273"/>
    <mergeCell ref="K2021:K2022"/>
    <mergeCell ref="D292:E292"/>
    <mergeCell ref="Q2242:Q2243"/>
    <mergeCell ref="D2514:E2514"/>
    <mergeCell ref="K1558:K1559"/>
    <mergeCell ref="Q2373:Q2374"/>
    <mergeCell ref="D2508:E2508"/>
    <mergeCell ref="Q703:Q704"/>
    <mergeCell ref="D2089:E2089"/>
    <mergeCell ref="M1235:M1236"/>
    <mergeCell ref="J1225:L1225"/>
    <mergeCell ref="D2203:E2203"/>
    <mergeCell ref="P1360:P1361"/>
    <mergeCell ref="M1535:M1536"/>
    <mergeCell ref="J1525:L1525"/>
    <mergeCell ref="L170:L171"/>
    <mergeCell ref="M1078:M1079"/>
    <mergeCell ref="B2476:C2476"/>
    <mergeCell ref="J495:L495"/>
    <mergeCell ref="H1604:I1604"/>
    <mergeCell ref="L802:L803"/>
    <mergeCell ref="B859:C859"/>
    <mergeCell ref="B1591:H1591"/>
    <mergeCell ref="Q304:Q305"/>
    <mergeCell ref="Q298:Q299"/>
    <mergeCell ref="A412:A413"/>
    <mergeCell ref="B1172:H1172"/>
    <mergeCell ref="L522:L523"/>
    <mergeCell ref="F211:I211"/>
    <mergeCell ref="J795:L795"/>
    <mergeCell ref="N2259:N2260"/>
    <mergeCell ref="R1453:R1454"/>
    <mergeCell ref="N1954:N1955"/>
    <mergeCell ref="N2085:N2086"/>
    <mergeCell ref="L1890:L1891"/>
    <mergeCell ref="O1296:O1297"/>
    <mergeCell ref="K106:K107"/>
    <mergeCell ref="B2260:H2260"/>
    <mergeCell ref="D1083:E1083"/>
    <mergeCell ref="A1500:A1501"/>
    <mergeCell ref="R1180:R1181"/>
    <mergeCell ref="D1039:E1039"/>
    <mergeCell ref="B1803:H1803"/>
    <mergeCell ref="R723:R724"/>
    <mergeCell ref="J1426:L1426"/>
    <mergeCell ref="D321:E321"/>
    <mergeCell ref="R418:R419"/>
    <mergeCell ref="J1121:L1121"/>
    <mergeCell ref="B2103:H2103"/>
    <mergeCell ref="M1677:M1678"/>
    <mergeCell ref="R1023:R1024"/>
    <mergeCell ref="J1852:J1853"/>
    <mergeCell ref="J1395:J1396"/>
    <mergeCell ref="M197:M198"/>
    <mergeCell ref="B1007:C1007"/>
    <mergeCell ref="M1372:M1373"/>
    <mergeCell ref="L944:L945"/>
    <mergeCell ref="B1001:C1001"/>
    <mergeCell ref="J1090:J1091"/>
    <mergeCell ref="R1805:R1806"/>
    <mergeCell ref="M1977:M1978"/>
    <mergeCell ref="A554:A555"/>
    <mergeCell ref="B702:C702"/>
    <mergeCell ref="Q1072:Q1073"/>
    <mergeCell ref="N316:N317"/>
    <mergeCell ref="R2111:R2112"/>
    <mergeCell ref="B491:H491"/>
    <mergeCell ref="Q773:Q774"/>
    <mergeCell ref="A854:A855"/>
    <mergeCell ref="L1613:L1614"/>
    <mergeCell ref="B186:H186"/>
    <mergeCell ref="N153:N154"/>
    <mergeCell ref="B791:H791"/>
    <mergeCell ref="J1595:L1595"/>
    <mergeCell ref="P2492:P2493"/>
    <mergeCell ref="J1589:L1589"/>
    <mergeCell ref="B1976:C1976"/>
    <mergeCell ref="B2577:H2577"/>
    <mergeCell ref="P2073:P2074"/>
    <mergeCell ref="B1096:L1096"/>
    <mergeCell ref="B486:H486"/>
    <mergeCell ref="H1554:I1554"/>
    <mergeCell ref="A1811:A1812"/>
    <mergeCell ref="H1685:I1685"/>
    <mergeCell ref="B1091:H1091"/>
    <mergeCell ref="R1165:R1166"/>
    <mergeCell ref="J1994:J1995"/>
    <mergeCell ref="H68:I68"/>
    <mergeCell ref="L997:L998"/>
    <mergeCell ref="M208:M209"/>
    <mergeCell ref="O1340:O1341"/>
    <mergeCell ref="P2373:P2374"/>
    <mergeCell ref="H1854:I1854"/>
    <mergeCell ref="F275:I275"/>
    <mergeCell ref="H1985:I1985"/>
    <mergeCell ref="J1232:J1233"/>
    <mergeCell ref="M89:M90"/>
    <mergeCell ref="R2122:R2123"/>
    <mergeCell ref="F575:I575"/>
    <mergeCell ref="K176:K177"/>
    <mergeCell ref="R1834:R1835"/>
    <mergeCell ref="O2428:O2429"/>
    <mergeCell ref="K170:K171"/>
    <mergeCell ref="N1090:N1091"/>
    <mergeCell ref="D1147:E1147"/>
    <mergeCell ref="O1965:O1966"/>
    <mergeCell ref="B392:L392"/>
    <mergeCell ref="L1209:L1210"/>
    <mergeCell ref="B1867:H1867"/>
    <mergeCell ref="P304:P305"/>
    <mergeCell ref="L1509:L1510"/>
    <mergeCell ref="D990:E990"/>
    <mergeCell ref="M2390:M2391"/>
    <mergeCell ref="B171:H171"/>
    <mergeCell ref="M261:M262"/>
    <mergeCell ref="P604:P605"/>
    <mergeCell ref="H216:I216"/>
    <mergeCell ref="H210:I210"/>
    <mergeCell ref="H1996:I1996"/>
    <mergeCell ref="Q723:Q724"/>
    <mergeCell ref="H516:I516"/>
    <mergeCell ref="N985:N986"/>
    <mergeCell ref="L2140:L2141"/>
    <mergeCell ref="A1529:A1530"/>
    <mergeCell ref="B198:H198"/>
    <mergeCell ref="L1677:L1678"/>
    <mergeCell ref="Q1023:Q1024"/>
    <mergeCell ref="K828:K829"/>
    <mergeCell ref="M2280:O2280"/>
    <mergeCell ref="Q1154:Q1155"/>
    <mergeCell ref="L197:L198"/>
    <mergeCell ref="F930:I930"/>
    <mergeCell ref="K944:K945"/>
    <mergeCell ref="L1983:L1984"/>
    <mergeCell ref="B2040:C2040"/>
    <mergeCell ref="J2281:L2281"/>
    <mergeCell ref="B1160:L1160"/>
    <mergeCell ref="L1977:L1978"/>
    <mergeCell ref="D1595:E1595"/>
    <mergeCell ref="F1718:I1718"/>
    <mergeCell ref="A2012:A2013"/>
    <mergeCell ref="D1589:E1589"/>
    <mergeCell ref="J2264:L2264"/>
    <mergeCell ref="D1132:E1132"/>
    <mergeCell ref="P141:P142"/>
    <mergeCell ref="J1976:L1976"/>
    <mergeCell ref="M316:M317"/>
    <mergeCell ref="F2323:I2323"/>
    <mergeCell ref="H2354:I2354"/>
    <mergeCell ref="A2198:A2199"/>
    <mergeCell ref="Q2111:Q2112"/>
    <mergeCell ref="P746:P747"/>
    <mergeCell ref="M921:M922"/>
    <mergeCell ref="F2018:I2018"/>
    <mergeCell ref="J121:J122"/>
    <mergeCell ref="A1893:A1894"/>
    <mergeCell ref="J115:J116"/>
    <mergeCell ref="D1432:E1432"/>
    <mergeCell ref="P441:P442"/>
    <mergeCell ref="J2364:J2365"/>
    <mergeCell ref="M159:M160"/>
    <mergeCell ref="P1046:P1047"/>
    <mergeCell ref="J421:J422"/>
    <mergeCell ref="O2492:O2493"/>
    <mergeCell ref="B672:H672"/>
    <mergeCell ref="M941:M942"/>
    <mergeCell ref="J790:J791"/>
    <mergeCell ref="L208:L209"/>
    <mergeCell ref="R2204:R2205"/>
    <mergeCell ref="B2514:C2514"/>
    <mergeCell ref="M1247:M1248"/>
    <mergeCell ref="O2373:O2374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A2367:A2368"/>
    <mergeCell ref="J176:J177"/>
    <mergeCell ref="B2482:C2482"/>
    <mergeCell ref="K1628:K1629"/>
    <mergeCell ref="N1971:N1972"/>
    <mergeCell ref="N1965:N1966"/>
    <mergeCell ref="K1209:K1210"/>
    <mergeCell ref="H580:I580"/>
    <mergeCell ref="B1184:H1184"/>
    <mergeCell ref="M301:M302"/>
    <mergeCell ref="J476:J477"/>
    <mergeCell ref="F1762:I1762"/>
    <mergeCell ref="Q1523:Q1524"/>
    <mergeCell ref="F1430:I1430"/>
    <mergeCell ref="R429:R430"/>
    <mergeCell ref="D2575:E2575"/>
    <mergeCell ref="Q1823:Q1824"/>
    <mergeCell ref="O278:O279"/>
    <mergeCell ref="J2345:L2345"/>
    <mergeCell ref="O2521:O2522"/>
    <mergeCell ref="B1242:H1242"/>
    <mergeCell ref="O2515:O2516"/>
    <mergeCell ref="J1564:J1565"/>
    <mergeCell ref="D2264:E2264"/>
    <mergeCell ref="D2302:E2302"/>
    <mergeCell ref="A2262:A2263"/>
    <mergeCell ref="B713:C713"/>
    <mergeCell ref="P810:P811"/>
    <mergeCell ref="J981:L981"/>
    <mergeCell ref="B2152:L2152"/>
    <mergeCell ref="B1542:H1542"/>
    <mergeCell ref="A266:A267"/>
    <mergeCell ref="P1459:P1460"/>
    <mergeCell ref="J649:L649"/>
    <mergeCell ref="P1573:P1574"/>
    <mergeCell ref="B1013:C1013"/>
    <mergeCell ref="N22:N23"/>
    <mergeCell ref="P1110:P1111"/>
    <mergeCell ref="R2242:R2243"/>
    <mergeCell ref="A566:A567"/>
    <mergeCell ref="P1759:P1760"/>
    <mergeCell ref="B2226:C2226"/>
    <mergeCell ref="R2573:R2574"/>
    <mergeCell ref="K1651:K1652"/>
    <mergeCell ref="Q54:Q55"/>
    <mergeCell ref="Q2297:Q2298"/>
    <mergeCell ref="O746:O747"/>
    <mergeCell ref="N1078:N1079"/>
    <mergeCell ref="L595:L596"/>
    <mergeCell ref="O1509:O1510"/>
    <mergeCell ref="J876:L876"/>
    <mergeCell ref="L709:L710"/>
    <mergeCell ref="O1046:O1047"/>
    <mergeCell ref="L290:L291"/>
    <mergeCell ref="A188:A189"/>
    <mergeCell ref="N1378:N1379"/>
    <mergeCell ref="H1566:I1566"/>
    <mergeCell ref="J571:L571"/>
    <mergeCell ref="A1250:A1251"/>
    <mergeCell ref="B1553:H1553"/>
    <mergeCell ref="D376:E376"/>
    <mergeCell ref="J1875:J1876"/>
    <mergeCell ref="Q2509:Q2510"/>
    <mergeCell ref="K2341:K2342"/>
    <mergeCell ref="F173:I173"/>
    <mergeCell ref="F2416:I2416"/>
    <mergeCell ref="D1164:E1164"/>
    <mergeCell ref="K1878:K1879"/>
    <mergeCell ref="F287:I287"/>
    <mergeCell ref="M1433:M1434"/>
    <mergeCell ref="O1104:O1105"/>
    <mergeCell ref="R1561:R1562"/>
    <mergeCell ref="O342:O343"/>
    <mergeCell ref="K182:K183"/>
    <mergeCell ref="P2253:P2254"/>
    <mergeCell ref="O2585:O2586"/>
    <mergeCell ref="O1404:O1405"/>
    <mergeCell ref="J1628:J1629"/>
    <mergeCell ref="N66:N67"/>
    <mergeCell ref="D2372:E2372"/>
    <mergeCell ref="M2102:M2103"/>
    <mergeCell ref="B1240:C1240"/>
    <mergeCell ref="R1861:R1862"/>
    <mergeCell ref="R1442:R1443"/>
    <mergeCell ref="B241:H241"/>
    <mergeCell ref="J1176:L1176"/>
    <mergeCell ref="B1426:C1426"/>
    <mergeCell ref="A330:A331"/>
    <mergeCell ref="B2216:L2216"/>
    <mergeCell ref="J1650:L1650"/>
    <mergeCell ref="H1708:I1708"/>
    <mergeCell ref="M2402:M2403"/>
    <mergeCell ref="A979:A980"/>
    <mergeCell ref="B1540:C1540"/>
    <mergeCell ref="B1121:C1121"/>
    <mergeCell ref="D2209:E2209"/>
    <mergeCell ref="K240:K241"/>
    <mergeCell ref="F2469:I2469"/>
    <mergeCell ref="J1345:L1345"/>
    <mergeCell ref="H222:I222"/>
    <mergeCell ref="B2145:C2145"/>
    <mergeCell ref="P1829:P1830"/>
    <mergeCell ref="B1726:C1726"/>
    <mergeCell ref="N697:N698"/>
    <mergeCell ref="P1823:P1824"/>
    <mergeCell ref="P2242:P2243"/>
    <mergeCell ref="Q1034:Q1035"/>
    <mergeCell ref="N278:N279"/>
    <mergeCell ref="B2458:H2458"/>
    <mergeCell ref="H1435:I1435"/>
    <mergeCell ref="N2477:N2478"/>
    <mergeCell ref="N578:N579"/>
    <mergeCell ref="J982:J983"/>
    <mergeCell ref="L659:L660"/>
    <mergeCell ref="O1573:O1574"/>
    <mergeCell ref="H2523:I2523"/>
    <mergeCell ref="J2419:J2420"/>
    <mergeCell ref="O2178:O2179"/>
    <mergeCell ref="R1584:R1585"/>
    <mergeCell ref="L959:L960"/>
    <mergeCell ref="F700:I700"/>
    <mergeCell ref="Q2573:Q2574"/>
    <mergeCell ref="M2413:M2414"/>
    <mergeCell ref="P54:P55"/>
    <mergeCell ref="O2090:O2091"/>
    <mergeCell ref="P2297:P2298"/>
    <mergeCell ref="B270:H270"/>
    <mergeCell ref="B1868:C1868"/>
    <mergeCell ref="P1965:P1966"/>
    <mergeCell ref="A1290:A1291"/>
    <mergeCell ref="K595:K596"/>
    <mergeCell ref="Q877:Q878"/>
    <mergeCell ref="K709:K710"/>
    <mergeCell ref="D1109:E1109"/>
    <mergeCell ref="R2274:R2275"/>
    <mergeCell ref="N720:N721"/>
    <mergeCell ref="B1358:H1358"/>
    <mergeCell ref="K895:K896"/>
    <mergeCell ref="H335:I335"/>
    <mergeCell ref="M2166:M2167"/>
    <mergeCell ref="Q604:Q605"/>
    <mergeCell ref="H2121:I2121"/>
    <mergeCell ref="A2378:A2379"/>
    <mergeCell ref="L1433:L1434"/>
    <mergeCell ref="M2466:M2467"/>
    <mergeCell ref="R115:R116"/>
    <mergeCell ref="Q447:Q448"/>
    <mergeCell ref="F842:I842"/>
    <mergeCell ref="H2421:I2421"/>
    <mergeCell ref="F1773:I1773"/>
    <mergeCell ref="H292:I292"/>
    <mergeCell ref="H2415:I2415"/>
    <mergeCell ref="B323:H323"/>
    <mergeCell ref="Q1561:Q1562"/>
    <mergeCell ref="A1648:A1649"/>
    <mergeCell ref="B1796:C1796"/>
    <mergeCell ref="L1733:L1734"/>
    <mergeCell ref="Q1692:Q1693"/>
    <mergeCell ref="B1790:C1790"/>
    <mergeCell ref="F1474:I1474"/>
    <mergeCell ref="Q1235:Q1236"/>
    <mergeCell ref="D1345:E1345"/>
    <mergeCell ref="F1468:I1468"/>
    <mergeCell ref="Q1229:Q1230"/>
    <mergeCell ref="A1343:A1344"/>
    <mergeCell ref="F1011:I1011"/>
    <mergeCell ref="N1404:N1405"/>
    <mergeCell ref="N1410:N1411"/>
    <mergeCell ref="J1732:L1732"/>
    <mergeCell ref="J1726:L1726"/>
    <mergeCell ref="L2102:L2103"/>
    <mergeCell ref="Q1861:Q1862"/>
    <mergeCell ref="L1645:L1646"/>
    <mergeCell ref="Q1535:Q1536"/>
    <mergeCell ref="J2057:L2057"/>
    <mergeCell ref="B94:C94"/>
    <mergeCell ref="P191:P192"/>
    <mergeCell ref="L2402:L2403"/>
    <mergeCell ref="D2014:E2014"/>
    <mergeCell ref="J240:J241"/>
    <mergeCell ref="A1974:A1975"/>
    <mergeCell ref="R1654:R1655"/>
    <mergeCell ref="R473:R474"/>
    <mergeCell ref="J2357:L2357"/>
    <mergeCell ref="M697:M698"/>
    <mergeCell ref="J2026:J2027"/>
    <mergeCell ref="R2259:R2260"/>
    <mergeCell ref="J540:J541"/>
    <mergeCell ref="R1954:R1955"/>
    <mergeCell ref="B152:C152"/>
    <mergeCell ref="B2264:C2264"/>
    <mergeCell ref="K1994:K1995"/>
    <mergeCell ref="B334:H334"/>
    <mergeCell ref="M997:M998"/>
    <mergeCell ref="J2326:J2327"/>
    <mergeCell ref="B2395:C2395"/>
    <mergeCell ref="B1938:C1938"/>
    <mergeCell ref="A1817:A1818"/>
    <mergeCell ref="M456:O456"/>
    <mergeCell ref="A179:A180"/>
    <mergeCell ref="K1078:K1079"/>
    <mergeCell ref="N1552:N1553"/>
    <mergeCell ref="A2422:A2423"/>
    <mergeCell ref="B1633:C1633"/>
    <mergeCell ref="B452:C452"/>
    <mergeCell ref="B2238:C2238"/>
    <mergeCell ref="N1247:N1248"/>
    <mergeCell ref="Q1590:Q1591"/>
    <mergeCell ref="O458:O459"/>
    <mergeCell ref="A2117:A2118"/>
    <mergeCell ref="K1378:K1379"/>
    <mergeCell ref="N1721:N1722"/>
    <mergeCell ref="B1422:H1422"/>
    <mergeCell ref="D245:E245"/>
    <mergeCell ref="K959:K960"/>
    <mergeCell ref="R342:R343"/>
    <mergeCell ref="N1852:N1853"/>
    <mergeCell ref="J1045:L1045"/>
    <mergeCell ref="J714:J715"/>
    <mergeCell ref="D2025:E2025"/>
    <mergeCell ref="O185:O186"/>
    <mergeCell ref="J2412:L2412"/>
    <mergeCell ref="B1722:H1722"/>
    <mergeCell ref="O1971:O1972"/>
    <mergeCell ref="P761:P762"/>
    <mergeCell ref="H242:I242"/>
    <mergeCell ref="D82:E82"/>
    <mergeCell ref="J1014:J1015"/>
    <mergeCell ref="R179:R180"/>
    <mergeCell ref="H2485:I2485"/>
    <mergeCell ref="D2325:E2325"/>
    <mergeCell ref="O2576:O2577"/>
    <mergeCell ref="R2422:R2423"/>
    <mergeCell ref="B207:C207"/>
    <mergeCell ref="D1295:E1295"/>
    <mergeCell ref="L1814:L1815"/>
    <mergeCell ref="F1555:I1555"/>
    <mergeCell ref="O28:O29"/>
    <mergeCell ref="J709:J710"/>
    <mergeCell ref="B2022:H2022"/>
    <mergeCell ref="J2101:L2101"/>
    <mergeCell ref="O2271:O2272"/>
    <mergeCell ref="B992:H992"/>
    <mergeCell ref="J1314:J1315"/>
    <mergeCell ref="J1796:L1796"/>
    <mergeCell ref="B507:C507"/>
    <mergeCell ref="F1855:I1855"/>
    <mergeCell ref="J2401:L2401"/>
    <mergeCell ref="O2596:O2597"/>
    <mergeCell ref="A16:A17"/>
    <mergeCell ref="D2383:E2383"/>
    <mergeCell ref="K1107:K1108"/>
    <mergeCell ref="K1101:K1102"/>
    <mergeCell ref="B1138:C1138"/>
    <mergeCell ref="D2226:E2226"/>
    <mergeCell ref="P1235:P1236"/>
    <mergeCell ref="K1407:K1408"/>
    <mergeCell ref="L45:L46"/>
    <mergeCell ref="P1840:P1841"/>
    <mergeCell ref="P1535:P1536"/>
    <mergeCell ref="Q173:Q174"/>
    <mergeCell ref="H1147:I1147"/>
    <mergeCell ref="L345:L346"/>
    <mergeCell ref="F86:I86"/>
    <mergeCell ref="F80:I80"/>
    <mergeCell ref="F1866:I1866"/>
    <mergeCell ref="Q479:Q480"/>
    <mergeCell ref="H1316:I1316"/>
    <mergeCell ref="Q1654:Q1655"/>
    <mergeCell ref="Q473:Q474"/>
    <mergeCell ref="F386:I386"/>
    <mergeCell ref="D309:E309"/>
    <mergeCell ref="Q2259:Q2260"/>
    <mergeCell ref="D914:E914"/>
    <mergeCell ref="B1678:H1678"/>
    <mergeCell ref="R1011:R1012"/>
    <mergeCell ref="K95:K96"/>
    <mergeCell ref="D609:E609"/>
    <mergeCell ref="K281:K282"/>
    <mergeCell ref="J996:L996"/>
    <mergeCell ref="D1214:E1214"/>
    <mergeCell ref="P223:P224"/>
    <mergeCell ref="M1552:M1553"/>
    <mergeCell ref="B1972:H1972"/>
    <mergeCell ref="B1978:H1978"/>
    <mergeCell ref="R892:R893"/>
    <mergeCell ref="O92:O93"/>
    <mergeCell ref="P2009:P2010"/>
    <mergeCell ref="F2224:I2224"/>
    <mergeCell ref="M1852:M1853"/>
    <mergeCell ref="H1807:I1807"/>
    <mergeCell ref="P2309:P2310"/>
    <mergeCell ref="B1182:C1182"/>
    <mergeCell ref="R1986:R1987"/>
    <mergeCell ref="P1768:R1768"/>
    <mergeCell ref="F2524:I2524"/>
    <mergeCell ref="H1458:I1458"/>
    <mergeCell ref="A729:A730"/>
    <mergeCell ref="F397:I397"/>
    <mergeCell ref="M1480:O1480"/>
    <mergeCell ref="F528:I528"/>
    <mergeCell ref="Q316:Q317"/>
    <mergeCell ref="K2233:K2234"/>
    <mergeCell ref="N2576:N2577"/>
    <mergeCell ref="N447:N448"/>
    <mergeCell ref="N28:N29"/>
    <mergeCell ref="B1202:C1202"/>
    <mergeCell ref="N2271:N2272"/>
    <mergeCell ref="O1613:O1614"/>
    <mergeCell ref="H2590:I2590"/>
    <mergeCell ref="J1138:L1138"/>
    <mergeCell ref="A1360:A1361"/>
    <mergeCell ref="J1612:L1612"/>
    <mergeCell ref="R1040:R1041"/>
    <mergeCell ref="D937:E937"/>
    <mergeCell ref="A1354:A1355"/>
    <mergeCell ref="R1034:R1035"/>
    <mergeCell ref="M83:M84"/>
    <mergeCell ref="A1055:A1056"/>
    <mergeCell ref="F150:I150"/>
    <mergeCell ref="K2445:K2446"/>
    <mergeCell ref="J1438:L1438"/>
    <mergeCell ref="H1860:I1860"/>
    <mergeCell ref="J1107:J1108"/>
    <mergeCell ref="M1994:M1995"/>
    <mergeCell ref="R1340:R1341"/>
    <mergeCell ref="J2169:J2170"/>
    <mergeCell ref="M383:M384"/>
    <mergeCell ref="J1712:J1713"/>
    <mergeCell ref="F450:I450"/>
    <mergeCell ref="O1235:O1236"/>
    <mergeCell ref="R2128:R2129"/>
    <mergeCell ref="J1407:J1408"/>
    <mergeCell ref="K45:K46"/>
    <mergeCell ref="O1840:O1841"/>
    <mergeCell ref="P1721:P1722"/>
    <mergeCell ref="K764:K765"/>
    <mergeCell ref="N170:N171"/>
    <mergeCell ref="D2476:E2476"/>
    <mergeCell ref="K345:K346"/>
    <mergeCell ref="J2381:J2382"/>
    <mergeCell ref="B1993:C1993"/>
    <mergeCell ref="D996:E996"/>
    <mergeCell ref="P2090:P2091"/>
    <mergeCell ref="R1093:R1094"/>
    <mergeCell ref="J2495:J2496"/>
    <mergeCell ref="K1133:K1134"/>
    <mergeCell ref="B46:H46"/>
    <mergeCell ref="J1465:J1466"/>
    <mergeCell ref="M2221:M2222"/>
    <mergeCell ref="B1108:H1108"/>
    <mergeCell ref="P147:P148"/>
    <mergeCell ref="P2390:P2391"/>
    <mergeCell ref="H1871:I1871"/>
    <mergeCell ref="B2276:C2276"/>
    <mergeCell ref="B346:H346"/>
    <mergeCell ref="J1765:J1766"/>
    <mergeCell ref="K976:K977"/>
    <mergeCell ref="H385:I385"/>
    <mergeCell ref="Q685:Q686"/>
    <mergeCell ref="J2212:L2212"/>
    <mergeCell ref="J1182:L1182"/>
    <mergeCell ref="H2171:I2171"/>
    <mergeCell ref="F592:I592"/>
    <mergeCell ref="Q1442:Q1443"/>
    <mergeCell ref="Q1029:Q1030"/>
    <mergeCell ref="Q985:Q986"/>
    <mergeCell ref="O2140:O2141"/>
    <mergeCell ref="F892:I892"/>
    <mergeCell ref="O1677:O1678"/>
    <mergeCell ref="L1858:L1859"/>
    <mergeCell ref="L1395:L1396"/>
    <mergeCell ref="D1464:E1464"/>
    <mergeCell ref="J2270:L2270"/>
    <mergeCell ref="O197:O198"/>
    <mergeCell ref="D1007:E1007"/>
    <mergeCell ref="A1424:A1425"/>
    <mergeCell ref="L1526:L1527"/>
    <mergeCell ref="J1813:L1813"/>
    <mergeCell ref="J1807:L1807"/>
    <mergeCell ref="B704:H704"/>
    <mergeCell ref="M278:M279"/>
    <mergeCell ref="D1764:E1764"/>
    <mergeCell ref="B219:C219"/>
    <mergeCell ref="D1307:E1307"/>
    <mergeCell ref="P316:P317"/>
    <mergeCell ref="A1724:A1725"/>
    <mergeCell ref="J2239:J2240"/>
    <mergeCell ref="J2107:L2107"/>
    <mergeCell ref="H2529:I2529"/>
    <mergeCell ref="M447:M448"/>
    <mergeCell ref="M578:M579"/>
    <mergeCell ref="P921:P922"/>
    <mergeCell ref="M2608:O2608"/>
    <mergeCell ref="D2095:E2095"/>
    <mergeCell ref="R2192:R2193"/>
    <mergeCell ref="O2367:O2368"/>
    <mergeCell ref="N1613:N1614"/>
    <mergeCell ref="R2378:R2379"/>
    <mergeCell ref="Q1040:Q1041"/>
    <mergeCell ref="D2395:E2395"/>
    <mergeCell ref="R2492:R2493"/>
    <mergeCell ref="D1365:E1365"/>
    <mergeCell ref="N1302:N1303"/>
    <mergeCell ref="M1992:O1992"/>
    <mergeCell ref="J2445:J2446"/>
    <mergeCell ref="L2000:L2001"/>
    <mergeCell ref="B2057:C2057"/>
    <mergeCell ref="D1060:E1060"/>
    <mergeCell ref="M790:M791"/>
    <mergeCell ref="L1994:L1995"/>
    <mergeCell ref="N997:N998"/>
    <mergeCell ref="Q1340:Q1341"/>
    <mergeCell ref="B1178:H1178"/>
    <mergeCell ref="D1665:E1665"/>
    <mergeCell ref="B114:C114"/>
    <mergeCell ref="Q2128:Q2129"/>
    <mergeCell ref="J382:L382"/>
    <mergeCell ref="B2357:C2357"/>
    <mergeCell ref="B427:H427"/>
    <mergeCell ref="J749:J750"/>
    <mergeCell ref="F2035:I2035"/>
    <mergeCell ref="J2581:L2581"/>
    <mergeCell ref="F1578:I1578"/>
    <mergeCell ref="B1478:H1478"/>
    <mergeCell ref="J2162:L2162"/>
    <mergeCell ref="A1453:A1454"/>
    <mergeCell ref="N1514:N1515"/>
    <mergeCell ref="O1721:O1722"/>
    <mergeCell ref="A2515:A2516"/>
    <mergeCell ref="M176:M177"/>
    <mergeCell ref="P511:P512"/>
    <mergeCell ref="J764:J765"/>
    <mergeCell ref="M170:M171"/>
    <mergeCell ref="Q2428:Q2429"/>
    <mergeCell ref="O2509:O2510"/>
    <mergeCell ref="F1305:I1305"/>
    <mergeCell ref="R304:R305"/>
    <mergeCell ref="M476:M477"/>
    <mergeCell ref="Q1698:Q1699"/>
    <mergeCell ref="R909:R910"/>
    <mergeCell ref="O147:O148"/>
    <mergeCell ref="F1605:I1605"/>
    <mergeCell ref="O2390:O2391"/>
    <mergeCell ref="L2527:L2528"/>
    <mergeCell ref="O261:O262"/>
    <mergeCell ref="R604:R605"/>
    <mergeCell ref="J976:J977"/>
    <mergeCell ref="B1045:C1045"/>
    <mergeCell ref="B588:C588"/>
    <mergeCell ref="F1936:I1936"/>
    <mergeCell ref="A598:A599"/>
    <mergeCell ref="A141:A142"/>
    <mergeCell ref="N202:N203"/>
    <mergeCell ref="P1290:P1291"/>
    <mergeCell ref="B283:C283"/>
    <mergeCell ref="J524:L524"/>
    <mergeCell ref="M534:M535"/>
    <mergeCell ref="H1513:I1513"/>
    <mergeCell ref="B888:C888"/>
    <mergeCell ref="P985:P986"/>
    <mergeCell ref="F2236:I2236"/>
    <mergeCell ref="M2314:M2315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D2345:E2345"/>
    <mergeCell ref="N197:N198"/>
    <mergeCell ref="K1526:K1527"/>
    <mergeCell ref="H897:I897"/>
    <mergeCell ref="P744:R744"/>
    <mergeCell ref="K2131:K2132"/>
    <mergeCell ref="Q1840:Q1841"/>
    <mergeCell ref="K1826:K1827"/>
    <mergeCell ref="Q229:Q230"/>
    <mergeCell ref="R1209:R1210"/>
    <mergeCell ref="J751:L751"/>
    <mergeCell ref="J1581:J1582"/>
    <mergeCell ref="R746:R747"/>
    <mergeCell ref="F2410:I2410"/>
    <mergeCell ref="L578:L579"/>
    <mergeCell ref="L121:L122"/>
    <mergeCell ref="O464:O465"/>
    <mergeCell ref="J446:L446"/>
    <mergeCell ref="L2364:L2365"/>
    <mergeCell ref="B1428:H1428"/>
    <mergeCell ref="R1509:R1510"/>
    <mergeCell ref="B1559:H1559"/>
    <mergeCell ref="J1051:L1051"/>
    <mergeCell ref="J1881:J1882"/>
    <mergeCell ref="B1123:H1123"/>
    <mergeCell ref="J1418:J1419"/>
    <mergeCell ref="N1578:N1579"/>
    <mergeCell ref="L421:L422"/>
    <mergeCell ref="B1254:H1254"/>
    <mergeCell ref="B1864:L1864"/>
    <mergeCell ref="F162:I162"/>
    <mergeCell ref="F2291:I2291"/>
    <mergeCell ref="Q2492:Q2493"/>
    <mergeCell ref="A2579:A2580"/>
    <mergeCell ref="B1728:H1728"/>
    <mergeCell ref="M1302:M1303"/>
    <mergeCell ref="J546:J547"/>
    <mergeCell ref="F2405:I2405"/>
    <mergeCell ref="B1859:H1859"/>
    <mergeCell ref="N2341:N2342"/>
    <mergeCell ref="F2591:I2591"/>
    <mergeCell ref="R1436:R1437"/>
    <mergeCell ref="K2605:K2606"/>
    <mergeCell ref="Q682:Q683"/>
    <mergeCell ref="K57:K58"/>
    <mergeCell ref="R1104:R1105"/>
    <mergeCell ref="R799:R800"/>
    <mergeCell ref="J1171:J1172"/>
    <mergeCell ref="M1514:M1515"/>
    <mergeCell ref="L176:L177"/>
    <mergeCell ref="R1404:R1405"/>
    <mergeCell ref="Q66:Q67"/>
    <mergeCell ref="H2040:I2040"/>
    <mergeCell ref="P2102:P2103"/>
    <mergeCell ref="H1583:I1583"/>
    <mergeCell ref="J588:L588"/>
    <mergeCell ref="L781:L782"/>
    <mergeCell ref="M2277:M2278"/>
    <mergeCell ref="L912:L913"/>
    <mergeCell ref="D393:E393"/>
    <mergeCell ref="A810:A811"/>
    <mergeCell ref="J1471:J1472"/>
    <mergeCell ref="B952:C952"/>
    <mergeCell ref="J1193:L1193"/>
    <mergeCell ref="H97:I97"/>
    <mergeCell ref="A505:A506"/>
    <mergeCell ref="H2340:I2340"/>
    <mergeCell ref="J894:L894"/>
    <mergeCell ref="O333:O334"/>
    <mergeCell ref="M898:M899"/>
    <mergeCell ref="J888:L888"/>
    <mergeCell ref="A1567:A1568"/>
    <mergeCell ref="A1110:A1111"/>
    <mergeCell ref="L1869:L1870"/>
    <mergeCell ref="K2201:K2202"/>
    <mergeCell ref="A805:A806"/>
    <mergeCell ref="K2195:K2196"/>
    <mergeCell ref="R1578:R1579"/>
    <mergeCell ref="J1188:L1188"/>
    <mergeCell ref="L1564:L1565"/>
    <mergeCell ref="O1290:O1291"/>
    <mergeCell ref="D1176:E1176"/>
    <mergeCell ref="J1645:J1646"/>
    <mergeCell ref="R1878:R1879"/>
    <mergeCell ref="R1459:R1460"/>
    <mergeCell ref="J2250:J2251"/>
    <mergeCell ref="D1476:E1476"/>
    <mergeCell ref="M45:M46"/>
    <mergeCell ref="D446:E446"/>
    <mergeCell ref="J1945:J1946"/>
    <mergeCell ref="N383:N384"/>
    <mergeCell ref="H2241:I2241"/>
    <mergeCell ref="M2419:M2420"/>
    <mergeCell ref="R2178:R2179"/>
    <mergeCell ref="F2355:I2355"/>
    <mergeCell ref="R1759:R1760"/>
    <mergeCell ref="B681:C681"/>
    <mergeCell ref="J2131:J2132"/>
    <mergeCell ref="B1743:C1743"/>
    <mergeCell ref="B259:H259"/>
    <mergeCell ref="N714:N715"/>
    <mergeCell ref="J2245:J2246"/>
    <mergeCell ref="R2090:R2091"/>
    <mergeCell ref="K426:K427"/>
    <mergeCell ref="Q752:Q753"/>
    <mergeCell ref="P2146:P2147"/>
    <mergeCell ref="B2043:C2043"/>
    <mergeCell ref="K121:K122"/>
    <mergeCell ref="N1014:N1015"/>
    <mergeCell ref="N595:N596"/>
    <mergeCell ref="P1683:P1684"/>
    <mergeCell ref="K2364:K2365"/>
    <mergeCell ref="N895:N896"/>
    <mergeCell ref="B2069:C2069"/>
    <mergeCell ref="B1070:H1070"/>
    <mergeCell ref="M2341:M2342"/>
    <mergeCell ref="L976:L977"/>
    <mergeCell ref="O1433:O1434"/>
    <mergeCell ref="B2397:H2397"/>
    <mergeCell ref="A1637:A1638"/>
    <mergeCell ref="J2020:L2020"/>
    <mergeCell ref="F1017:I1017"/>
    <mergeCell ref="J1601:L1601"/>
    <mergeCell ref="O1733:O1734"/>
    <mergeCell ref="B274:C274"/>
    <mergeCell ref="B454:H454"/>
    <mergeCell ref="P371:P372"/>
    <mergeCell ref="L2064:L2065"/>
    <mergeCell ref="D1545:E1545"/>
    <mergeCell ref="Q1410:Q1411"/>
    <mergeCell ref="Q1404:Q1405"/>
    <mergeCell ref="B2278:H2278"/>
    <mergeCell ref="P66:P67"/>
    <mergeCell ref="F1317:I1317"/>
    <mergeCell ref="O2102:O2103"/>
    <mergeCell ref="D1845:E1845"/>
    <mergeCell ref="D1426:E1426"/>
    <mergeCell ref="J2232:L2232"/>
    <mergeCell ref="O1791:O1792"/>
    <mergeCell ref="M240:M241"/>
    <mergeCell ref="J415:J416"/>
    <mergeCell ref="D2145:E2145"/>
    <mergeCell ref="M2483:M2484"/>
    <mergeCell ref="R1829:R1830"/>
    <mergeCell ref="P697:P698"/>
    <mergeCell ref="D1115:E1115"/>
    <mergeCell ref="M2026:M2027"/>
    <mergeCell ref="J2201:J2202"/>
    <mergeCell ref="J2532:L2532"/>
    <mergeCell ref="B1813:C1813"/>
    <mergeCell ref="L1750:L1751"/>
    <mergeCell ref="M540:M541"/>
    <mergeCell ref="F1491:I1491"/>
    <mergeCell ref="H495:I495"/>
    <mergeCell ref="J2501:J2502"/>
    <mergeCell ref="Q1884:Q1885"/>
    <mergeCell ref="A1965:A1966"/>
    <mergeCell ref="Q1878:Q1879"/>
    <mergeCell ref="J132:L132"/>
    <mergeCell ref="P456:R456"/>
    <mergeCell ref="B183:H183"/>
    <mergeCell ref="B2107:C2107"/>
    <mergeCell ref="B2113:C2113"/>
    <mergeCell ref="B177:H177"/>
    <mergeCell ref="F1791:I1791"/>
    <mergeCell ref="P2568:R2568"/>
    <mergeCell ref="J499:J500"/>
    <mergeCell ref="M168:O168"/>
    <mergeCell ref="A1660:A1661"/>
    <mergeCell ref="F1328:I1328"/>
    <mergeCell ref="N1727:N1728"/>
    <mergeCell ref="A1203:A1204"/>
    <mergeCell ref="L2419:L2420"/>
    <mergeCell ref="Q2178:Q2179"/>
    <mergeCell ref="L1962:L1963"/>
    <mergeCell ref="Q1721:Q1722"/>
    <mergeCell ref="N965:N966"/>
    <mergeCell ref="O1846:O1847"/>
    <mergeCell ref="B1140:H1140"/>
    <mergeCell ref="M714:M715"/>
    <mergeCell ref="R54:R55"/>
    <mergeCell ref="R185:R186"/>
    <mergeCell ref="J557:J558"/>
    <mergeCell ref="A2291:A2292"/>
    <mergeCell ref="F1386:I1386"/>
    <mergeCell ref="D1868:E1868"/>
    <mergeCell ref="O2146:O2147"/>
    <mergeCell ref="M1014:M1015"/>
    <mergeCell ref="M595:M596"/>
    <mergeCell ref="H969:I969"/>
    <mergeCell ref="H548:I548"/>
    <mergeCell ref="O1683:O1684"/>
    <mergeCell ref="J857:J858"/>
    <mergeCell ref="B338:C338"/>
    <mergeCell ref="M1200:M1201"/>
    <mergeCell ref="J400:J401"/>
    <mergeCell ref="B469:C469"/>
    <mergeCell ref="F1686:I1686"/>
    <mergeCell ref="B2581:C2581"/>
    <mergeCell ref="Q1474:Q1475"/>
    <mergeCell ref="M1314:M1315"/>
    <mergeCell ref="B33:C33"/>
    <mergeCell ref="J274:L274"/>
    <mergeCell ref="M284:M285"/>
    <mergeCell ref="F1381:I1381"/>
    <mergeCell ref="B164:C164"/>
    <mergeCell ref="D2258:E2258"/>
    <mergeCell ref="M2527:M2528"/>
    <mergeCell ref="N1317:N1318"/>
    <mergeCell ref="A191:A192"/>
    <mergeCell ref="N1433:N1434"/>
    <mergeCell ref="D2101:E2101"/>
    <mergeCell ref="D562:E562"/>
    <mergeCell ref="N2169:N2170"/>
    <mergeCell ref="A522:A523"/>
    <mergeCell ref="H1321:I1321"/>
    <mergeCell ref="K2064:K2065"/>
    <mergeCell ref="P1410:P1411"/>
    <mergeCell ref="P2280:R2280"/>
    <mergeCell ref="O45:O46"/>
    <mergeCell ref="J600:L600"/>
    <mergeCell ref="H1022:I1022"/>
    <mergeCell ref="H559:I559"/>
    <mergeCell ref="J1331:J1332"/>
    <mergeCell ref="O345:O346"/>
    <mergeCell ref="O2613:O2614"/>
    <mergeCell ref="B1309:H1309"/>
    <mergeCell ref="N1791:N1792"/>
    <mergeCell ref="J1631:J1632"/>
    <mergeCell ref="J2113:L2113"/>
    <mergeCell ref="Q2265:Q2266"/>
    <mergeCell ref="F2460:I2460"/>
    <mergeCell ref="O1133:O1134"/>
    <mergeCell ref="A2335:A2336"/>
    <mergeCell ref="R1171:R1172"/>
    <mergeCell ref="F1709:I1709"/>
    <mergeCell ref="D457:E457"/>
    <mergeCell ref="L546:L547"/>
    <mergeCell ref="D152:E152"/>
    <mergeCell ref="D1938:E1938"/>
    <mergeCell ref="D757:E757"/>
    <mergeCell ref="R854:R855"/>
    <mergeCell ref="P1552:P1553"/>
    <mergeCell ref="D452:E452"/>
    <mergeCell ref="H1164:I1164"/>
    <mergeCell ref="J927:J928"/>
    <mergeCell ref="P2157:P2158"/>
    <mergeCell ref="M1401:M1402"/>
    <mergeCell ref="O819:O820"/>
    <mergeCell ref="H1796:I1796"/>
    <mergeCell ref="P1852:P1853"/>
    <mergeCell ref="Q490:Q491"/>
    <mergeCell ref="H1464:I1464"/>
    <mergeCell ref="P1480:R1480"/>
    <mergeCell ref="H1764:I1764"/>
    <mergeCell ref="Q333:Q334"/>
    <mergeCell ref="O1488:O1489"/>
    <mergeCell ref="Q2576:Q2577"/>
    <mergeCell ref="L688:L689"/>
    <mergeCell ref="L1619:L1620"/>
    <mergeCell ref="L682:L683"/>
    <mergeCell ref="B2452:H2452"/>
    <mergeCell ref="B1995:H1995"/>
    <mergeCell ref="A1235:A1236"/>
    <mergeCell ref="R915:R916"/>
    <mergeCell ref="A1229:A1230"/>
    <mergeCell ref="B1377:C1377"/>
    <mergeCell ref="J1618:L1618"/>
    <mergeCell ref="L1314:L1315"/>
    <mergeCell ref="B1690:H1690"/>
    <mergeCell ref="J1313:L1313"/>
    <mergeCell ref="B2295:H2295"/>
    <mergeCell ref="M1869:M1870"/>
    <mergeCell ref="R1215:R1216"/>
    <mergeCell ref="P83:P84"/>
    <mergeCell ref="J1587:J1588"/>
    <mergeCell ref="F325:I325"/>
    <mergeCell ref="B1193:C1193"/>
    <mergeCell ref="D196:E196"/>
    <mergeCell ref="R1997:R1998"/>
    <mergeCell ref="M2169:M2170"/>
    <mergeCell ref="R2303:R2304"/>
    <mergeCell ref="N45:N46"/>
    <mergeCell ref="R1840:R1841"/>
    <mergeCell ref="N345:N346"/>
    <mergeCell ref="B1519:C1519"/>
    <mergeCell ref="Q802:Q803"/>
    <mergeCell ref="P2265:P2266"/>
    <mergeCell ref="J1324:L1324"/>
    <mergeCell ref="N1133:N1134"/>
    <mergeCell ref="B2124:C2124"/>
    <mergeCell ref="P2221:P2222"/>
    <mergeCell ref="J1455:L1455"/>
    <mergeCell ref="B221:H221"/>
    <mergeCell ref="A1677:A1678"/>
    <mergeCell ref="B1819:C1819"/>
    <mergeCell ref="Q560:Q561"/>
    <mergeCell ref="M400:M401"/>
    <mergeCell ref="K546:K547"/>
    <mergeCell ref="A1372:A1373"/>
    <mergeCell ref="F467:I467"/>
    <mergeCell ref="J1755:L1755"/>
    <mergeCell ref="H2177:I2177"/>
    <mergeCell ref="H1714:I1714"/>
    <mergeCell ref="Q860:Q861"/>
    <mergeCell ref="J2029:J2030"/>
    <mergeCell ref="Q397:Q398"/>
    <mergeCell ref="F767:I767"/>
    <mergeCell ref="O1552:O1553"/>
    <mergeCell ref="N1884:N1885"/>
    <mergeCell ref="N703:N704"/>
    <mergeCell ref="K362:K363"/>
    <mergeCell ref="O2157:O2158"/>
    <mergeCell ref="L1401:L1402"/>
    <mergeCell ref="J1682:L1682"/>
    <mergeCell ref="O1852:O1853"/>
    <mergeCell ref="B2598:C2598"/>
    <mergeCell ref="K205:K206"/>
    <mergeCell ref="L1701:L1702"/>
    <mergeCell ref="D1182:E1182"/>
    <mergeCell ref="B2359:H2359"/>
    <mergeCell ref="B50:C50"/>
    <mergeCell ref="D1313:E1313"/>
    <mergeCell ref="J1982:L1982"/>
    <mergeCell ref="K1450:K1451"/>
    <mergeCell ref="B363:H363"/>
    <mergeCell ref="M453:M454"/>
    <mergeCell ref="O1541:O1542"/>
    <mergeCell ref="J1782:J1783"/>
    <mergeCell ref="P333:P334"/>
    <mergeCell ref="M2239:M2240"/>
    <mergeCell ref="J165:J166"/>
    <mergeCell ref="P2576:P2577"/>
    <mergeCell ref="K688:K689"/>
    <mergeCell ref="P447:P448"/>
    <mergeCell ref="P34:P35"/>
    <mergeCell ref="P2250:P2251"/>
    <mergeCell ref="J2082:J2083"/>
    <mergeCell ref="D2270:E2270"/>
    <mergeCell ref="R2367:R2368"/>
    <mergeCell ref="O2210:O2211"/>
    <mergeCell ref="B390:H390"/>
    <mergeCell ref="F1541:I1541"/>
    <mergeCell ref="O214:O215"/>
    <mergeCell ref="N1477:N1478"/>
    <mergeCell ref="H728:I728"/>
    <mergeCell ref="B721:H721"/>
    <mergeCell ref="L2175:L2176"/>
    <mergeCell ref="B2232:C2232"/>
    <mergeCell ref="L2169:L2170"/>
    <mergeCell ref="O2053:O2054"/>
    <mergeCell ref="J2456:L2456"/>
    <mergeCell ref="L1712:L1713"/>
    <mergeCell ref="F1453:I1453"/>
    <mergeCell ref="D1324:E1324"/>
    <mergeCell ref="A1741:A1742"/>
    <mergeCell ref="B890:H890"/>
    <mergeCell ref="A2390:A2391"/>
    <mergeCell ref="H1028:I1028"/>
    <mergeCell ref="B1021:H1021"/>
    <mergeCell ref="P938:P939"/>
    <mergeCell ref="B2532:C2532"/>
    <mergeCell ref="A2085:A2086"/>
    <mergeCell ref="D1624:E1624"/>
    <mergeCell ref="A2041:A2042"/>
    <mergeCell ref="K1346:K1347"/>
    <mergeCell ref="M351:M352"/>
    <mergeCell ref="M345:M346"/>
    <mergeCell ref="P1238:P1239"/>
    <mergeCell ref="L1770:L1771"/>
    <mergeCell ref="J613:J614"/>
    <mergeCell ref="D1993:E1993"/>
    <mergeCell ref="H2084:I2084"/>
    <mergeCell ref="M1133:M1134"/>
    <mergeCell ref="L2070:L2071"/>
    <mergeCell ref="R2390:R2391"/>
    <mergeCell ref="O2527:O2528"/>
    <mergeCell ref="L1765:L1766"/>
    <mergeCell ref="J399:L399"/>
    <mergeCell ref="D1377:E1377"/>
    <mergeCell ref="L2370:L2371"/>
    <mergeCell ref="P860:P861"/>
    <mergeCell ref="F2111:I2111"/>
    <mergeCell ref="D1982:E1982"/>
    <mergeCell ref="P991:P992"/>
    <mergeCell ref="Q202:Q203"/>
    <mergeCell ref="A316:A317"/>
    <mergeCell ref="B431:C431"/>
    <mergeCell ref="A272:A273"/>
    <mergeCell ref="Q2445:Q2446"/>
    <mergeCell ref="J699:L699"/>
    <mergeCell ref="K1820:K1821"/>
    <mergeCell ref="J236:L236"/>
    <mergeCell ref="B2217:C2217"/>
    <mergeCell ref="K1401:K1402"/>
    <mergeCell ref="K1357:K1358"/>
    <mergeCell ref="H772:I772"/>
    <mergeCell ref="Q502:Q503"/>
    <mergeCell ref="K1701:K1702"/>
    <mergeCell ref="F1165:I1165"/>
    <mergeCell ref="Q2015:Q2016"/>
    <mergeCell ref="O883:O884"/>
    <mergeCell ref="O470:O471"/>
    <mergeCell ref="R1226:R1227"/>
    <mergeCell ref="L2239:L2240"/>
    <mergeCell ref="M1581:M1582"/>
    <mergeCell ref="R921:R922"/>
    <mergeCell ref="Q2346:Q2347"/>
    <mergeCell ref="J1293:J1294"/>
    <mergeCell ref="A2454:A2455"/>
    <mergeCell ref="F2122:I2122"/>
    <mergeCell ref="B905:C905"/>
    <mergeCell ref="O2364:O2365"/>
    <mergeCell ref="F2253:I2253"/>
    <mergeCell ref="B1734:H1734"/>
    <mergeCell ref="B600:C600"/>
    <mergeCell ref="F1948:I1948"/>
    <mergeCell ref="J1593:J1594"/>
    <mergeCell ref="F2422:I2422"/>
    <mergeCell ref="B1205:C1205"/>
    <mergeCell ref="N214:N215"/>
    <mergeCell ref="P1302:P1303"/>
    <mergeCell ref="M546:M547"/>
    <mergeCell ref="K351:K352"/>
    <mergeCell ref="H914:I914"/>
    <mergeCell ref="D882:E882"/>
    <mergeCell ref="J677:J678"/>
    <mergeCell ref="R979:R980"/>
    <mergeCell ref="Q2341:Q2342"/>
    <mergeCell ref="M1151:M1152"/>
    <mergeCell ref="P936:R936"/>
    <mergeCell ref="K1386:K1387"/>
    <mergeCell ref="H1214:I1214"/>
    <mergeCell ref="O938:O939"/>
    <mergeCell ref="L138:L139"/>
    <mergeCell ref="A685:A686"/>
    <mergeCell ref="J1346:J1347"/>
    <mergeCell ref="B958:C958"/>
    <mergeCell ref="O1238:O1239"/>
    <mergeCell ref="A380:A381"/>
    <mergeCell ref="L438:L439"/>
    <mergeCell ref="A2596:A2597"/>
    <mergeCell ref="P2024:R2024"/>
    <mergeCell ref="J763:L763"/>
    <mergeCell ref="P1660:P1661"/>
    <mergeCell ref="H1889:I1889"/>
    <mergeCell ref="B1745:H1745"/>
    <mergeCell ref="A985:A986"/>
    <mergeCell ref="J1368:L1368"/>
    <mergeCell ref="H1426:I1426"/>
    <mergeCell ref="Q572:Q573"/>
    <mergeCell ref="D236:E236"/>
    <mergeCell ref="B1440:H1440"/>
    <mergeCell ref="L738:L739"/>
    <mergeCell ref="K2070:K2071"/>
    <mergeCell ref="F479:I479"/>
    <mergeCell ref="J606:L606"/>
    <mergeCell ref="N415:N416"/>
    <mergeCell ref="M1619:M1620"/>
    <mergeCell ref="N2527:N2528"/>
    <mergeCell ref="K74:K75"/>
    <mergeCell ref="J1851:L1851"/>
    <mergeCell ref="D588:E588"/>
    <mergeCell ref="K2370:K2371"/>
    <mergeCell ref="D1193:E1193"/>
    <mergeCell ref="R1290:R1291"/>
    <mergeCell ref="O534:O535"/>
    <mergeCell ref="K374:K375"/>
    <mergeCell ref="B2528:H2528"/>
    <mergeCell ref="M51:M52"/>
    <mergeCell ref="O1139:O1140"/>
    <mergeCell ref="J1820:J1821"/>
    <mergeCell ref="M2294:M2295"/>
    <mergeCell ref="R2053:R2054"/>
    <mergeCell ref="M2250:M2251"/>
    <mergeCell ref="J2425:J2426"/>
    <mergeCell ref="P502:P503"/>
    <mergeCell ref="J1488:J1489"/>
    <mergeCell ref="O834:O835"/>
    <mergeCell ref="H114:I114"/>
    <mergeCell ref="B2408:L2408"/>
    <mergeCell ref="J2093:J2094"/>
    <mergeCell ref="J905:L905"/>
    <mergeCell ref="L1098:L1099"/>
    <mergeCell ref="B1732:C1732"/>
    <mergeCell ref="D2401:E2401"/>
    <mergeCell ref="J1788:J1789"/>
    <mergeCell ref="M2131:M2132"/>
    <mergeCell ref="N889:N890"/>
    <mergeCell ref="A822:A823"/>
    <mergeCell ref="P2015:P2016"/>
    <mergeCell ref="N883:N884"/>
    <mergeCell ref="K2218:K2219"/>
    <mergeCell ref="J1205:L1205"/>
    <mergeCell ref="N426:N427"/>
    <mergeCell ref="B102:H102"/>
    <mergeCell ref="L1581:L1582"/>
    <mergeCell ref="K732:K733"/>
    <mergeCell ref="A1008:A1009"/>
    <mergeCell ref="P2346:P2347"/>
    <mergeCell ref="K269:K270"/>
    <mergeCell ref="Q595:Q596"/>
    <mergeCell ref="A1122:A1123"/>
    <mergeCell ref="K2512:K2513"/>
    <mergeCell ref="H1470:I1470"/>
    <mergeCell ref="L1881:L1882"/>
    <mergeCell ref="K2213:K2214"/>
    <mergeCell ref="L851:L852"/>
    <mergeCell ref="Q610:Q611"/>
    <mergeCell ref="H2258:I2258"/>
    <mergeCell ref="B2244:C2244"/>
    <mergeCell ref="L1151:L1152"/>
    <mergeCell ref="J19:J20"/>
    <mergeCell ref="M362:M363"/>
    <mergeCell ref="J1432:L1432"/>
    <mergeCell ref="R1433:R1434"/>
    <mergeCell ref="F429:I429"/>
    <mergeCell ref="D1420:E1420"/>
    <mergeCell ref="F543:I543"/>
    <mergeCell ref="J2448:J2449"/>
    <mergeCell ref="J319:J320"/>
    <mergeCell ref="K138:K139"/>
    <mergeCell ref="K1200:K1201"/>
    <mergeCell ref="M104:O104"/>
    <mergeCell ref="D1720:E1720"/>
    <mergeCell ref="K901:K902"/>
    <mergeCell ref="Q2131:Q2132"/>
    <mergeCell ref="K438:K439"/>
    <mergeCell ref="D2020:E2020"/>
    <mergeCell ref="R2117:R2118"/>
    <mergeCell ref="P572:P573"/>
    <mergeCell ref="A1692:A1693"/>
    <mergeCell ref="B782:H782"/>
    <mergeCell ref="A22:A23"/>
    <mergeCell ref="L1625:L1626"/>
    <mergeCell ref="M415:M416"/>
    <mergeCell ref="B2386:C2386"/>
    <mergeCell ref="P2483:P2484"/>
    <mergeCell ref="B2287:C2287"/>
    <mergeCell ref="R307:R308"/>
    <mergeCell ref="H364:I364"/>
    <mergeCell ref="M2201:M2202"/>
    <mergeCell ref="H484:I484"/>
    <mergeCell ref="B2401:C2401"/>
    <mergeCell ref="H65:I65"/>
    <mergeCell ref="B471:H471"/>
    <mergeCell ref="Q1427:Q1428"/>
    <mergeCell ref="Q1421:Q1422"/>
    <mergeCell ref="A1535:A1536"/>
    <mergeCell ref="F1203:I1203"/>
    <mergeCell ref="B776:L776"/>
    <mergeCell ref="B166:H166"/>
    <mergeCell ref="F1334:I1334"/>
    <mergeCell ref="K796:K797"/>
    <mergeCell ref="L2250:L2251"/>
    <mergeCell ref="N1253:N1254"/>
    <mergeCell ref="B352:H352"/>
    <mergeCell ref="Q1727:Q1728"/>
    <mergeCell ref="F1503:I1503"/>
    <mergeCell ref="J2249:L2249"/>
    <mergeCell ref="F1634:I1634"/>
    <mergeCell ref="O2419:O2420"/>
    <mergeCell ref="R60:R61"/>
    <mergeCell ref="B683:H683"/>
    <mergeCell ref="J432:J433"/>
    <mergeCell ref="L1520:L1521"/>
    <mergeCell ref="A2166:A2167"/>
    <mergeCell ref="R1846:R1847"/>
    <mergeCell ref="D1743:E1743"/>
    <mergeCell ref="M889:M890"/>
    <mergeCell ref="J2218:J2219"/>
    <mergeCell ref="P1363:P1364"/>
    <mergeCell ref="R2451:R2452"/>
    <mergeCell ref="M426:M427"/>
    <mergeCell ref="B983:H983"/>
    <mergeCell ref="M557:M558"/>
    <mergeCell ref="J732:J733"/>
    <mergeCell ref="A2466:A2467"/>
    <mergeCell ref="R2146:R2147"/>
    <mergeCell ref="D2043:E2043"/>
    <mergeCell ref="O2346:O2347"/>
    <mergeCell ref="J269:J270"/>
    <mergeCell ref="M1162:M1163"/>
    <mergeCell ref="B526:H526"/>
    <mergeCell ref="M1189:M1190"/>
    <mergeCell ref="J2518:J2519"/>
    <mergeCell ref="J2512:J2513"/>
    <mergeCell ref="J389:J390"/>
    <mergeCell ref="B2130:C2130"/>
    <mergeCell ref="J149:L149"/>
    <mergeCell ref="M857:M858"/>
    <mergeCell ref="B826:H826"/>
    <mergeCell ref="B2430:C2430"/>
    <mergeCell ref="J449:L449"/>
    <mergeCell ref="P2527:P2528"/>
    <mergeCell ref="O650:O651"/>
    <mergeCell ref="K1570:K1571"/>
    <mergeCell ref="N976:N977"/>
    <mergeCell ref="B1614:H1614"/>
    <mergeCell ref="K1151:K1152"/>
    <mergeCell ref="J780:L780"/>
    <mergeCell ref="R202:R203"/>
    <mergeCell ref="B1457:H1457"/>
    <mergeCell ref="P953:P954"/>
    <mergeCell ref="O34:O35"/>
    <mergeCell ref="H434:I434"/>
    <mergeCell ref="B1451:H1451"/>
    <mergeCell ref="R371:R372"/>
    <mergeCell ref="H1496:I1496"/>
    <mergeCell ref="R502:R503"/>
    <mergeCell ref="J874:J875"/>
    <mergeCell ref="K1782:K1783"/>
    <mergeCell ref="O220:O221"/>
    <mergeCell ref="B2214:H2214"/>
    <mergeCell ref="Q1491:Q1492"/>
    <mergeCell ref="H734:I734"/>
    <mergeCell ref="J569:J570"/>
    <mergeCell ref="J1988:L1988"/>
    <mergeCell ref="Q2096:Q2097"/>
    <mergeCell ref="F2047:I2047"/>
    <mergeCell ref="K2082:K2083"/>
    <mergeCell ref="R1465:R1466"/>
    <mergeCell ref="F2003:I2003"/>
    <mergeCell ref="Q1791:Q1792"/>
    <mergeCell ref="L2506:L2507"/>
    <mergeCell ref="B350:C350"/>
    <mergeCell ref="L415:L416"/>
    <mergeCell ref="O1308:O1309"/>
    <mergeCell ref="N1503:N1504"/>
    <mergeCell ref="F1698:I1698"/>
    <mergeCell ref="Q2396:Q2397"/>
    <mergeCell ref="D27:E27"/>
    <mergeCell ref="D1813:E1813"/>
    <mergeCell ref="B1330:C1330"/>
    <mergeCell ref="B1510:H1510"/>
    <mergeCell ref="P1427:P1428"/>
    <mergeCell ref="B2120:L2120"/>
    <mergeCell ref="D2418:E2418"/>
    <mergeCell ref="K1136:K1137"/>
    <mergeCell ref="D2113:E2113"/>
    <mergeCell ref="M1253:M1254"/>
    <mergeCell ref="P1727:P1728"/>
    <mergeCell ref="H1339:I1339"/>
    <mergeCell ref="M1989:M1990"/>
    <mergeCell ref="H876:I876"/>
    <mergeCell ref="O994:O995"/>
    <mergeCell ref="B251:C251"/>
    <mergeCell ref="K2224:K2225"/>
    <mergeCell ref="O714:O715"/>
    <mergeCell ref="N2108:N2109"/>
    <mergeCell ref="Q2451:Q2452"/>
    <mergeCell ref="F115:I115"/>
    <mergeCell ref="Q322:Q323"/>
    <mergeCell ref="L557:L558"/>
    <mergeCell ref="F229:I229"/>
    <mergeCell ref="K1951:K1952"/>
    <mergeCell ref="H1964:I1964"/>
    <mergeCell ref="L1162:L1163"/>
    <mergeCell ref="N165:N166"/>
    <mergeCell ref="R1488:R1489"/>
    <mergeCell ref="A778:A779"/>
    <mergeCell ref="O1619:O1620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N2320:N2321"/>
    <mergeCell ref="P1869:P1870"/>
    <mergeCell ref="J1701:J1702"/>
    <mergeCell ref="M2044:M2045"/>
    <mergeCell ref="J1244:J1245"/>
    <mergeCell ref="M1587:M1588"/>
    <mergeCell ref="M101:M102"/>
    <mergeCell ref="P2169:P2170"/>
    <mergeCell ref="H1650:I1650"/>
    <mergeCell ref="R1715:R1716"/>
    <mergeCell ref="N34:N35"/>
    <mergeCell ref="Q2618:Q2619"/>
    <mergeCell ref="Q45:Q46"/>
    <mergeCell ref="N220:N221"/>
    <mergeCell ref="R2015:R2016"/>
    <mergeCell ref="B2184:L2184"/>
    <mergeCell ref="K25:K26"/>
    <mergeCell ref="H76:I76"/>
    <mergeCell ref="B1999:C1999"/>
    <mergeCell ref="P2096:P2097"/>
    <mergeCell ref="J1330:L1330"/>
    <mergeCell ref="K2268:K2269"/>
    <mergeCell ref="Q345:Q346"/>
    <mergeCell ref="H2319:I2319"/>
    <mergeCell ref="A1552:A1553"/>
    <mergeCell ref="A1546:A1547"/>
    <mergeCell ref="B1694:C1694"/>
    <mergeCell ref="J1935:L1935"/>
    <mergeCell ref="M1939:M1940"/>
    <mergeCell ref="Q1133:Q1134"/>
    <mergeCell ref="A1247:A1248"/>
    <mergeCell ref="N1308:N1309"/>
    <mergeCell ref="P2396:P2397"/>
    <mergeCell ref="J1630:L1630"/>
    <mergeCell ref="H2008:I2008"/>
    <mergeCell ref="Q735:Q736"/>
    <mergeCell ref="B64:H64"/>
    <mergeCell ref="M243:M244"/>
    <mergeCell ref="I1:L3"/>
    <mergeCell ref="F179:I179"/>
    <mergeCell ref="L1689:L1690"/>
    <mergeCell ref="L1232:L1233"/>
    <mergeCell ref="J1557:L1557"/>
    <mergeCell ref="F485:I485"/>
    <mergeCell ref="L927:L928"/>
    <mergeCell ref="H2220:I2220"/>
    <mergeCell ref="R2157:R2158"/>
    <mergeCell ref="O1401:O1402"/>
    <mergeCell ref="B122:H122"/>
    <mergeCell ref="D1470:E1470"/>
    <mergeCell ref="L1989:L1990"/>
    <mergeCell ref="J444:J445"/>
    <mergeCell ref="L1532:L1533"/>
    <mergeCell ref="B2234:H2234"/>
    <mergeCell ref="B2365:H2365"/>
    <mergeCell ref="J1857:L1857"/>
    <mergeCell ref="B238:H238"/>
    <mergeCell ref="A1142:A1143"/>
    <mergeCell ref="B1836:C1836"/>
    <mergeCell ref="B2534:H2534"/>
    <mergeCell ref="P322:P323"/>
    <mergeCell ref="J1641:L1641"/>
    <mergeCell ref="N1450:N1451"/>
    <mergeCell ref="P453:P454"/>
    <mergeCell ref="B538:H538"/>
    <mergeCell ref="A1442:A1443"/>
    <mergeCell ref="J1957:J1958"/>
    <mergeCell ref="B532:H532"/>
    <mergeCell ref="K1168:K1169"/>
    <mergeCell ref="K1162:K1163"/>
    <mergeCell ref="P2239:P2240"/>
    <mergeCell ref="M165:M166"/>
    <mergeCell ref="B2136:C2136"/>
    <mergeCell ref="P2233:P2234"/>
    <mergeCell ref="H120:I120"/>
    <mergeCell ref="K863:K864"/>
    <mergeCell ref="F784:I784"/>
    <mergeCell ref="M2440:O2440"/>
    <mergeCell ref="Q1177:Q1178"/>
    <mergeCell ref="N2506:N2507"/>
    <mergeCell ref="R2210:R2211"/>
    <mergeCell ref="F1084:I1084"/>
    <mergeCell ref="O1869:O1870"/>
    <mergeCell ref="N1020:N1021"/>
    <mergeCell ref="R83:R84"/>
    <mergeCell ref="D1199:E1199"/>
    <mergeCell ref="Q1477:Q1478"/>
    <mergeCell ref="A1616:A1617"/>
    <mergeCell ref="J1999:L1999"/>
    <mergeCell ref="B896:H896"/>
    <mergeCell ref="O2169:O2170"/>
    <mergeCell ref="M13:M14"/>
    <mergeCell ref="B433:H433"/>
    <mergeCell ref="J1694:L1694"/>
    <mergeCell ref="D1499:E1499"/>
    <mergeCell ref="K1221:K1222"/>
    <mergeCell ref="J2299:L2299"/>
    <mergeCell ref="F1296:I1296"/>
    <mergeCell ref="P1113:P1114"/>
    <mergeCell ref="M313:M314"/>
    <mergeCell ref="O1439:O1440"/>
    <mergeCell ref="R2384:R2385"/>
    <mergeCell ref="M307:M308"/>
    <mergeCell ref="D2281:E2281"/>
    <mergeCell ref="J25:J26"/>
    <mergeCell ref="K1005:K1006"/>
    <mergeCell ref="J2268:J2269"/>
    <mergeCell ref="R2570:R2571"/>
    <mergeCell ref="O1770:O1771"/>
    <mergeCell ref="D2587:E2587"/>
    <mergeCell ref="R2265:R2266"/>
    <mergeCell ref="D2124:E2124"/>
    <mergeCell ref="P1133:P1134"/>
    <mergeCell ref="O1465:O1466"/>
    <mergeCell ref="K1305:K1306"/>
    <mergeCell ref="M2184:O2184"/>
    <mergeCell ref="O2396:O2397"/>
    <mergeCell ref="K275:K276"/>
    <mergeCell ref="B2249:C2249"/>
    <mergeCell ref="P1738:P1739"/>
    <mergeCell ref="O2070:O2071"/>
    <mergeCell ref="O400:O401"/>
    <mergeCell ref="Q77:Q78"/>
    <mergeCell ref="B306:C306"/>
    <mergeCell ref="J2168:L2168"/>
    <mergeCell ref="L243:L244"/>
    <mergeCell ref="B1038:H1038"/>
    <mergeCell ref="K575:K576"/>
    <mergeCell ref="J530:L530"/>
    <mergeCell ref="H588:I588"/>
    <mergeCell ref="B2505:C2505"/>
    <mergeCell ref="B420:C420"/>
    <mergeCell ref="O2370:O2371"/>
    <mergeCell ref="B602:H602"/>
    <mergeCell ref="F1770:I1770"/>
    <mergeCell ref="K1232:K1233"/>
    <mergeCell ref="B733:H733"/>
    <mergeCell ref="A2058:A2059"/>
    <mergeCell ref="J225:L225"/>
    <mergeCell ref="Q377:Q378"/>
    <mergeCell ref="K1363:K1364"/>
    <mergeCell ref="N1706:N1707"/>
    <mergeCell ref="B1207:H1207"/>
    <mergeCell ref="P703:P704"/>
    <mergeCell ref="B1338:H1338"/>
    <mergeCell ref="A578:A579"/>
    <mergeCell ref="N1820:N1821"/>
    <mergeCell ref="H315:I315"/>
    <mergeCell ref="Q2157:Q2158"/>
    <mergeCell ref="N1401:N1402"/>
    <mergeCell ref="P2489:P2490"/>
    <mergeCell ref="K1532:K1533"/>
    <mergeCell ref="A2358:A2359"/>
    <mergeCell ref="K1663:K1664"/>
    <mergeCell ref="O758:O759"/>
    <mergeCell ref="J930:J931"/>
    <mergeCell ref="O301:O302"/>
    <mergeCell ref="J2621:J2622"/>
    <mergeCell ref="F1797:I1797"/>
    <mergeCell ref="M1450:M1451"/>
    <mergeCell ref="O453:O454"/>
    <mergeCell ref="Q1541:Q1542"/>
    <mergeCell ref="L1782:L1783"/>
    <mergeCell ref="L144:L145"/>
    <mergeCell ref="O2239:O2240"/>
    <mergeCell ref="B780:C780"/>
    <mergeCell ref="O1058:O1059"/>
    <mergeCell ref="L2387:L2388"/>
    <mergeCell ref="F2128:I2128"/>
    <mergeCell ref="L2082:L2083"/>
    <mergeCell ref="B1080:C1080"/>
    <mergeCell ref="B143:C143"/>
    <mergeCell ref="P1177:P1178"/>
    <mergeCell ref="F2428:I2428"/>
    <mergeCell ref="M2506:M2507"/>
    <mergeCell ref="F1965:I1965"/>
    <mergeCell ref="A170:A171"/>
    <mergeCell ref="K2137:K2138"/>
    <mergeCell ref="B1380:C1380"/>
    <mergeCell ref="P1477:P1478"/>
    <mergeCell ref="K1674:K1675"/>
    <mergeCell ref="H1089:I1089"/>
    <mergeCell ref="R1154:R1155"/>
    <mergeCell ref="K2323:K2324"/>
    <mergeCell ref="L13:L14"/>
    <mergeCell ref="K2437:K2438"/>
    <mergeCell ref="H1420:I1420"/>
    <mergeCell ref="J1221:J1222"/>
    <mergeCell ref="R938:R939"/>
    <mergeCell ref="L313:L314"/>
    <mergeCell ref="Q1875:Q1876"/>
    <mergeCell ref="H1720:I1720"/>
    <mergeCell ref="H1301:I1301"/>
    <mergeCell ref="R1238:R1239"/>
    <mergeCell ref="A528:A529"/>
    <mergeCell ref="N1770:N1771"/>
    <mergeCell ref="J1610:J1611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2314:A2315"/>
    <mergeCell ref="H1601:I1601"/>
    <mergeCell ref="N2533:N2534"/>
    <mergeCell ref="A828:A829"/>
    <mergeCell ref="N2070:N2071"/>
    <mergeCell ref="F2265:I2265"/>
    <mergeCell ref="P1625:P1626"/>
    <mergeCell ref="B1522:C1522"/>
    <mergeCell ref="P1619:P1620"/>
    <mergeCell ref="N74:N75"/>
    <mergeCell ref="J994:J995"/>
    <mergeCell ref="R1296:R1297"/>
    <mergeCell ref="J575:J576"/>
    <mergeCell ref="M2125:M2126"/>
    <mergeCell ref="R534:R535"/>
    <mergeCell ref="J906:J907"/>
    <mergeCell ref="R1596:R1597"/>
    <mergeCell ref="M1820:M1821"/>
    <mergeCell ref="J1968:J1969"/>
    <mergeCell ref="B1449:C1449"/>
    <mergeCell ref="P2294:P2295"/>
    <mergeCell ref="M2425:M2426"/>
    <mergeCell ref="J1663:J1664"/>
    <mergeCell ref="B1144:C1144"/>
    <mergeCell ref="K874:K875"/>
    <mergeCell ref="J1206:J1207"/>
    <mergeCell ref="F2492:I2492"/>
    <mergeCell ref="A697:A698"/>
    <mergeCell ref="J1086:L1086"/>
    <mergeCell ref="M1448:O1448"/>
    <mergeCell ref="J1080:L1080"/>
    <mergeCell ref="N301:N302"/>
    <mergeCell ref="B2062:H2062"/>
    <mergeCell ref="N432:N433"/>
    <mergeCell ref="A1302:A1303"/>
    <mergeCell ref="B1444:C1444"/>
    <mergeCell ref="H1743:I1743"/>
    <mergeCell ref="K2393:K2394"/>
    <mergeCell ref="Q470:Q471"/>
    <mergeCell ref="A997:A998"/>
    <mergeCell ref="N1058:N1059"/>
    <mergeCell ref="K2387:K2388"/>
    <mergeCell ref="J1380:L1380"/>
    <mergeCell ref="N601:N602"/>
    <mergeCell ref="B302:H302"/>
    <mergeCell ref="N732:N733"/>
    <mergeCell ref="J923:L923"/>
    <mergeCell ref="Q485:Q486"/>
    <mergeCell ref="P2521:P2522"/>
    <mergeCell ref="D905:E905"/>
    <mergeCell ref="J1711:L1711"/>
    <mergeCell ref="J1705:L1705"/>
    <mergeCell ref="P2189:P2190"/>
    <mergeCell ref="O851:O852"/>
    <mergeCell ref="D1668:E1668"/>
    <mergeCell ref="L982:L983"/>
    <mergeCell ref="A1628:A1629"/>
    <mergeCell ref="B2388:H2388"/>
    <mergeCell ref="R127:R128"/>
    <mergeCell ref="O1456:O1457"/>
    <mergeCell ref="J2137:J2138"/>
    <mergeCell ref="H2433:I2433"/>
    <mergeCell ref="R2370:R2371"/>
    <mergeCell ref="H2427:I2427"/>
    <mergeCell ref="J1674:J1675"/>
    <mergeCell ref="L677:L678"/>
    <mergeCell ref="H1970:I1970"/>
    <mergeCell ref="F418:I418"/>
    <mergeCell ref="O1151:O1152"/>
    <mergeCell ref="J194:J195"/>
    <mergeCell ref="J2437:J2438"/>
    <mergeCell ref="B1658:H1658"/>
    <mergeCell ref="A898:A899"/>
    <mergeCell ref="J1980:J1981"/>
    <mergeCell ref="R2282:R2283"/>
    <mergeCell ref="L2114:L2115"/>
    <mergeCell ref="M2448:M2449"/>
    <mergeCell ref="B1586:C1586"/>
    <mergeCell ref="P89:P90"/>
    <mergeCell ref="N138:N139"/>
    <mergeCell ref="K313:K314"/>
    <mergeCell ref="K444:K445"/>
    <mergeCell ref="P1875:P1876"/>
    <mergeCell ref="B1958:H1958"/>
    <mergeCell ref="B288:H288"/>
    <mergeCell ref="K918:K919"/>
    <mergeCell ref="R1666:R1667"/>
    <mergeCell ref="K613:K614"/>
    <mergeCell ref="D1563:E1563"/>
    <mergeCell ref="D1106:E1106"/>
    <mergeCell ref="M290:M291"/>
    <mergeCell ref="L1168:L1169"/>
    <mergeCell ref="P415:P416"/>
    <mergeCell ref="H2569:I2569"/>
    <mergeCell ref="M74:M75"/>
    <mergeCell ref="J205:J206"/>
    <mergeCell ref="H2270:I2270"/>
    <mergeCell ref="F1209:I1209"/>
    <mergeCell ref="M2248:O2248"/>
    <mergeCell ref="F746:I746"/>
    <mergeCell ref="L2256:L2257"/>
    <mergeCell ref="Q1602:Q1603"/>
    <mergeCell ref="Q1596:Q1597"/>
    <mergeCell ref="O51:O52"/>
    <mergeCell ref="Q1139:Q1140"/>
    <mergeCell ref="F1509:I1509"/>
    <mergeCell ref="F1046:I1046"/>
    <mergeCell ref="Q1253:Q1254"/>
    <mergeCell ref="M63:M64"/>
    <mergeCell ref="D2037:E2037"/>
    <mergeCell ref="L2093:L2094"/>
    <mergeCell ref="J2424:L2424"/>
    <mergeCell ref="Q1439:Q1440"/>
    <mergeCell ref="F1834:I1834"/>
    <mergeCell ref="K755:K756"/>
    <mergeCell ref="J1961:L1961"/>
    <mergeCell ref="P1194:P1195"/>
    <mergeCell ref="M432:M433"/>
    <mergeCell ref="O1520:O1521"/>
    <mergeCell ref="H2497:I2497"/>
    <mergeCell ref="D2337:E2337"/>
    <mergeCell ref="A2341:A2342"/>
    <mergeCell ref="R2021:R2022"/>
    <mergeCell ref="P889:P890"/>
    <mergeCell ref="B786:C786"/>
    <mergeCell ref="M1037:M1038"/>
    <mergeCell ref="M2218:M2219"/>
    <mergeCell ref="H501:I501"/>
    <mergeCell ref="F1104:I1104"/>
    <mergeCell ref="M732:M733"/>
    <mergeCell ref="D2249:E2249"/>
    <mergeCell ref="H687:I687"/>
    <mergeCell ref="R2346:R2347"/>
    <mergeCell ref="P1189:P1190"/>
    <mergeCell ref="M2518:M2519"/>
    <mergeCell ref="P159:P160"/>
    <mergeCell ref="B56:C56"/>
    <mergeCell ref="B2305:C2305"/>
    <mergeCell ref="F1404:I1404"/>
    <mergeCell ref="B788:H788"/>
    <mergeCell ref="O2189:O2190"/>
    <mergeCell ref="B2299:C2299"/>
    <mergeCell ref="J2361:J2362"/>
    <mergeCell ref="K1445:K1446"/>
    <mergeCell ref="N851:N852"/>
    <mergeCell ref="Q1744:Q1745"/>
    <mergeCell ref="B1842:C1842"/>
    <mergeCell ref="Q1738:Q1739"/>
    <mergeCell ref="O2303:O2304"/>
    <mergeCell ref="F1520:I1520"/>
    <mergeCell ref="K982:K983"/>
    <mergeCell ref="K1113:K1114"/>
    <mergeCell ref="N1456:N1457"/>
    <mergeCell ref="N1157:N1158"/>
    <mergeCell ref="N1151:N1152"/>
    <mergeCell ref="M906:M907"/>
    <mergeCell ref="K1413:K1414"/>
    <mergeCell ref="R377:R378"/>
    <mergeCell ref="A240:A241"/>
    <mergeCell ref="L1837:L1838"/>
    <mergeCell ref="A2483:A2484"/>
    <mergeCell ref="M1206:M1207"/>
    <mergeCell ref="K1325:K1326"/>
    <mergeCell ref="R220:R221"/>
    <mergeCell ref="M901:M902"/>
    <mergeCell ref="J1049:J1050"/>
    <mergeCell ref="J592:J593"/>
    <mergeCell ref="F1878:I1878"/>
    <mergeCell ref="H2520:I2520"/>
    <mergeCell ref="Q1666:Q1667"/>
    <mergeCell ref="B204:C204"/>
    <mergeCell ref="A83:A84"/>
    <mergeCell ref="M1506:M1507"/>
    <mergeCell ref="J287:J288"/>
    <mergeCell ref="O1183:O1184"/>
    <mergeCell ref="J9:L9"/>
    <mergeCell ref="F1573:I1573"/>
    <mergeCell ref="F2178:I2178"/>
    <mergeCell ref="A383:A384"/>
    <mergeCell ref="O2506:O2507"/>
    <mergeCell ref="D1356:E1356"/>
    <mergeCell ref="A714:A715"/>
    <mergeCell ref="P970:P971"/>
    <mergeCell ref="D1988:E1988"/>
    <mergeCell ref="J1375:J1376"/>
    <mergeCell ref="B856:C856"/>
    <mergeCell ref="A2405:A2406"/>
    <mergeCell ref="K2256:K2257"/>
    <mergeCell ref="D1656:E16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K2099:K2100"/>
    <mergeCell ref="Q1808:Q1809"/>
    <mergeCell ref="J62:L62"/>
    <mergeCell ref="H1051:I1051"/>
    <mergeCell ref="N1983:N1984"/>
    <mergeCell ref="F1715:I1715"/>
    <mergeCell ref="B739:H739"/>
    <mergeCell ref="L1037:L1038"/>
    <mergeCell ref="H1839:I1839"/>
    <mergeCell ref="L2218:L2219"/>
    <mergeCell ref="Q2108:Q2109"/>
    <mergeCell ref="F2021:I2021"/>
    <mergeCell ref="L732:L733"/>
    <mergeCell ref="F2015:I2015"/>
    <mergeCell ref="D344:E344"/>
    <mergeCell ref="J1150:L1150"/>
    <mergeCell ref="O1162:O1163"/>
    <mergeCell ref="H2139:I2139"/>
    <mergeCell ref="B1832:L1832"/>
    <mergeCell ref="D949:E949"/>
    <mergeCell ref="R1046:R1047"/>
    <mergeCell ref="B1696:H1696"/>
    <mergeCell ref="R589:R590"/>
    <mergeCell ref="B1827:H1827"/>
    <mergeCell ref="P1744:P1745"/>
    <mergeCell ref="M1875:M1876"/>
    <mergeCell ref="D187:E187"/>
    <mergeCell ref="J1119:J1120"/>
    <mergeCell ref="R284:R285"/>
    <mergeCell ref="K330:K331"/>
    <mergeCell ref="J656:J657"/>
    <mergeCell ref="K2573:K2574"/>
    <mergeCell ref="M1570:M1571"/>
    <mergeCell ref="P2044:P2045"/>
    <mergeCell ref="J1413:J1414"/>
    <mergeCell ref="H1193:I1193"/>
    <mergeCell ref="J956:J957"/>
    <mergeCell ref="P1672:R1672"/>
    <mergeCell ref="N182:N183"/>
    <mergeCell ref="Q525:Q526"/>
    <mergeCell ref="M872:O872"/>
    <mergeCell ref="D2488:E2488"/>
    <mergeCell ref="L1337:L1338"/>
    <mergeCell ref="N2425:N2426"/>
    <mergeCell ref="L880:L881"/>
    <mergeCell ref="P1971:P1972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B1838:H1838"/>
    <mergeCell ref="J1505:L1505"/>
    <mergeCell ref="P2271:P2272"/>
    <mergeCell ref="J1461:L1461"/>
    <mergeCell ref="A790:A791"/>
    <mergeCell ref="F458:I458"/>
    <mergeCell ref="B358:H358"/>
    <mergeCell ref="P275:P276"/>
    <mergeCell ref="P1939:P1940"/>
    <mergeCell ref="P1945:P1946"/>
    <mergeCell ref="P269:P270"/>
    <mergeCell ref="N394:N395"/>
    <mergeCell ref="O601:O602"/>
    <mergeCell ref="Q1308:Q1309"/>
    <mergeCell ref="B2138:H2138"/>
    <mergeCell ref="A1378:A1379"/>
    <mergeCell ref="M118:M119"/>
    <mergeCell ref="O1389:O1390"/>
    <mergeCell ref="F185:I185"/>
    <mergeCell ref="J731:L731"/>
    <mergeCell ref="F1971:I1971"/>
    <mergeCell ref="R1427:R1428"/>
    <mergeCell ref="O1689:O1690"/>
    <mergeCell ref="R2032:R2033"/>
    <mergeCell ref="O1232:O1233"/>
    <mergeCell ref="Q2358:Q2359"/>
    <mergeCell ref="F2271:I2271"/>
    <mergeCell ref="J2099:J2100"/>
    <mergeCell ref="K194:K195"/>
    <mergeCell ref="D556:E556"/>
    <mergeCell ref="B1711:C1711"/>
    <mergeCell ref="O1989:O1990"/>
    <mergeCell ref="R2332:R2333"/>
    <mergeCell ref="B2316:C2316"/>
    <mergeCell ref="N1325:N1326"/>
    <mergeCell ref="P2413:P2414"/>
    <mergeCell ref="A1869:A1870"/>
    <mergeCell ref="B2011:C2011"/>
    <mergeCell ref="P2108:P2109"/>
    <mergeCell ref="B81:H81"/>
    <mergeCell ref="K1157:K1158"/>
    <mergeCell ref="M72:O72"/>
    <mergeCell ref="L918:L919"/>
    <mergeCell ref="M1957:M1958"/>
    <mergeCell ref="N1162:N1163"/>
    <mergeCell ref="K406:K407"/>
    <mergeCell ref="P165:P166"/>
    <mergeCell ref="B381:H381"/>
    <mergeCell ref="H2020:I2020"/>
    <mergeCell ref="Q589:Q590"/>
    <mergeCell ref="R2085:R2086"/>
    <mergeCell ref="F959:I959"/>
    <mergeCell ref="O106:O107"/>
    <mergeCell ref="L2006:L2007"/>
    <mergeCell ref="A1491:A1492"/>
    <mergeCell ref="L1549:L1550"/>
    <mergeCell ref="J1874:L1874"/>
    <mergeCell ref="L1244:L1245"/>
    <mergeCell ref="O1587:O1588"/>
    <mergeCell ref="B308:H308"/>
    <mergeCell ref="B2369:C2369"/>
    <mergeCell ref="L2306:L2307"/>
    <mergeCell ref="L1893:L1894"/>
    <mergeCell ref="A1791:A1792"/>
    <mergeCell ref="J761:J762"/>
    <mergeCell ref="B242:C242"/>
    <mergeCell ref="B1032:L1032"/>
    <mergeCell ref="L1849:L1850"/>
    <mergeCell ref="F1590:I1590"/>
    <mergeCell ref="O101:O102"/>
    <mergeCell ref="J2174:L2174"/>
    <mergeCell ref="F1584:I1584"/>
    <mergeCell ref="B744:L744"/>
    <mergeCell ref="A1459:A1460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K1485:K1486"/>
    <mergeCell ref="J1811:J1812"/>
    <mergeCell ref="M25:M26"/>
    <mergeCell ref="D1999:E1999"/>
    <mergeCell ref="R2096:R2097"/>
    <mergeCell ref="K1180:K1181"/>
    <mergeCell ref="M2268:M2269"/>
    <mergeCell ref="R2227:R2228"/>
    <mergeCell ref="O2402:O2403"/>
    <mergeCell ref="J2599:J2600"/>
    <mergeCell ref="Q1494:Q1495"/>
    <mergeCell ref="P2184:R2184"/>
    <mergeCell ref="D2299:E2299"/>
    <mergeCell ref="H920:I920"/>
    <mergeCell ref="H463:I463"/>
    <mergeCell ref="B2380:C2380"/>
    <mergeCell ref="H1525:I1525"/>
    <mergeCell ref="J73:L73"/>
    <mergeCell ref="A1933:A1934"/>
    <mergeCell ref="M2326:M2327"/>
    <mergeCell ref="J2316:L2316"/>
    <mergeCell ref="O243:O244"/>
    <mergeCell ref="B145:H145"/>
    <mergeCell ref="M656:M657"/>
    <mergeCell ref="D30:E30"/>
    <mergeCell ref="B750:H750"/>
    <mergeCell ref="J2011:L2011"/>
    <mergeCell ref="N1232:N1233"/>
    <mergeCell ref="Q1706:Q1707"/>
    <mergeCell ref="A2233:A2234"/>
    <mergeCell ref="J42:J43"/>
    <mergeCell ref="K1538:K1539"/>
    <mergeCell ref="B451:H451"/>
    <mergeCell ref="M956:M957"/>
    <mergeCell ref="K1081:K1082"/>
    <mergeCell ref="F1613:I1613"/>
    <mergeCell ref="D361:E361"/>
    <mergeCell ref="K1075:K1076"/>
    <mergeCell ref="R458:R459"/>
    <mergeCell ref="J68:L68"/>
    <mergeCell ref="N1989:N1990"/>
    <mergeCell ref="D2604:E2604"/>
    <mergeCell ref="J2610:J2611"/>
    <mergeCell ref="R758:R759"/>
    <mergeCell ref="J37:J38"/>
    <mergeCell ref="R339:R340"/>
    <mergeCell ref="O933:O934"/>
    <mergeCell ref="L2262:L2263"/>
    <mergeCell ref="M2621:M2622"/>
    <mergeCell ref="H2601:I2601"/>
    <mergeCell ref="D2441:E2441"/>
    <mergeCell ref="D356:E356"/>
    <mergeCell ref="R453:R454"/>
    <mergeCell ref="L1957:L1958"/>
    <mergeCell ref="J825:J826"/>
    <mergeCell ref="D1569:E1569"/>
    <mergeCell ref="R1058:R1059"/>
    <mergeCell ref="F2303:I2303"/>
    <mergeCell ref="J242:L242"/>
    <mergeCell ref="Q394:Q395"/>
    <mergeCell ref="A2618:A2619"/>
    <mergeCell ref="P726:P727"/>
    <mergeCell ref="A464:A465"/>
    <mergeCell ref="J1125:J1126"/>
    <mergeCell ref="B606:C606"/>
    <mergeCell ref="J847:L847"/>
    <mergeCell ref="H905:I905"/>
    <mergeCell ref="B2409:C2409"/>
    <mergeCell ref="J428:L428"/>
    <mergeCell ref="D1412:E1412"/>
    <mergeCell ref="B919:H919"/>
    <mergeCell ref="D1406:E1406"/>
    <mergeCell ref="K1549:K1550"/>
    <mergeCell ref="J542:L542"/>
    <mergeCell ref="Q694:Q695"/>
    <mergeCell ref="P1026:P1027"/>
    <mergeCell ref="P1384:R1384"/>
    <mergeCell ref="A764:A765"/>
    <mergeCell ref="P1020:P1021"/>
    <mergeCell ref="K69:K70"/>
    <mergeCell ref="D2194:E2194"/>
    <mergeCell ref="A2613:A2614"/>
    <mergeCell ref="K2306:K2307"/>
    <mergeCell ref="K1849:K1850"/>
    <mergeCell ref="O13:O14"/>
    <mergeCell ref="D2500:E2500"/>
    <mergeCell ref="L188:L189"/>
    <mergeCell ref="D2494:E2494"/>
    <mergeCell ref="M1221:M1222"/>
    <mergeCell ref="H1595:I1595"/>
    <mergeCell ref="P2114:P2115"/>
    <mergeCell ref="O2309:O2310"/>
    <mergeCell ref="O313:O314"/>
    <mergeCell ref="B1097:C1097"/>
    <mergeCell ref="A2602:A2603"/>
    <mergeCell ref="D100:E100"/>
    <mergeCell ref="A517:A518"/>
    <mergeCell ref="J900:L900"/>
    <mergeCell ref="Q1770:Q1771"/>
    <mergeCell ref="M1610:M1611"/>
    <mergeCell ref="F2140:I2140"/>
    <mergeCell ref="O613:O614"/>
    <mergeCell ref="B1397:C1397"/>
    <mergeCell ref="Q290:Q291"/>
    <mergeCell ref="P1494:P1495"/>
    <mergeCell ref="Q2533:Q2534"/>
    <mergeCell ref="J869:J870"/>
    <mergeCell ref="F197:I197"/>
    <mergeCell ref="K211:K212"/>
    <mergeCell ref="D306:E306"/>
    <mergeCell ref="R1471:R1472"/>
    <mergeCell ref="L330:L331"/>
    <mergeCell ref="R1008:R1009"/>
    <mergeCell ref="P2125:P2126"/>
    <mergeCell ref="M1363:M1364"/>
    <mergeCell ref="P1706:P1707"/>
    <mergeCell ref="R709:R710"/>
    <mergeCell ref="J1538:J1539"/>
    <mergeCell ref="F2367:I2367"/>
    <mergeCell ref="B1150:C1150"/>
    <mergeCell ref="M1968:M1969"/>
    <mergeCell ref="P1096:R1096"/>
    <mergeCell ref="J2143:J2144"/>
    <mergeCell ref="J911:L911"/>
    <mergeCell ref="M1663:M1664"/>
    <mergeCell ref="P1395:P1396"/>
    <mergeCell ref="H1618:I1618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1695:P1696"/>
    <mergeCell ref="P25:P26"/>
    <mergeCell ref="N144:N145"/>
    <mergeCell ref="F2451:I2451"/>
    <mergeCell ref="Q1058:Q1059"/>
    <mergeCell ref="N2387:N2388"/>
    <mergeCell ref="L842:L843"/>
    <mergeCell ref="J1580:L1580"/>
    <mergeCell ref="O1756:O1757"/>
    <mergeCell ref="R1482:R1483"/>
    <mergeCell ref="O726:O727"/>
    <mergeCell ref="B2263:H2263"/>
    <mergeCell ref="F1721:I1721"/>
    <mergeCell ref="J1886:L1886"/>
    <mergeCell ref="J1880:L1880"/>
    <mergeCell ref="R1308:R1309"/>
    <mergeCell ref="M2442:M2443"/>
    <mergeCell ref="O1445:O1446"/>
    <mergeCell ref="J1680:J1681"/>
    <mergeCell ref="O1026:O1027"/>
    <mergeCell ref="H1976:I1976"/>
    <mergeCell ref="F2509:I2509"/>
    <mergeCell ref="O982:O983"/>
    <mergeCell ref="J2285:J2286"/>
    <mergeCell ref="J1986:J1987"/>
    <mergeCell ref="M2323:M2324"/>
    <mergeCell ref="B1461:C1461"/>
    <mergeCell ref="M194:M195"/>
    <mergeCell ref="J1523:J1524"/>
    <mergeCell ref="N13:N14"/>
    <mergeCell ref="B1592:C1592"/>
    <mergeCell ref="D1138:E1138"/>
    <mergeCell ref="N1075:N1076"/>
    <mergeCell ref="M1407:M1408"/>
    <mergeCell ref="O2114:O2115"/>
    <mergeCell ref="A1619:A1620"/>
    <mergeCell ref="N313:N314"/>
    <mergeCell ref="K461:K462"/>
    <mergeCell ref="D1438:E1438"/>
    <mergeCell ref="N918:N919"/>
    <mergeCell ref="K162:K163"/>
    <mergeCell ref="P2621:P2622"/>
    <mergeCell ref="K156:K157"/>
    <mergeCell ref="M2495:M2496"/>
    <mergeCell ref="L1157:L1158"/>
    <mergeCell ref="J2028:L2028"/>
    <mergeCell ref="P290:P291"/>
    <mergeCell ref="R1378:R1379"/>
    <mergeCell ref="J1609:L1609"/>
    <mergeCell ref="P2533:P2534"/>
    <mergeCell ref="L1343:L1344"/>
    <mergeCell ref="J211:J212"/>
    <mergeCell ref="F1040:I1040"/>
    <mergeCell ref="H1682:I1682"/>
    <mergeCell ref="B200:L200"/>
    <mergeCell ref="A915:A916"/>
    <mergeCell ref="O1773:O1774"/>
    <mergeCell ref="D492:E492"/>
    <mergeCell ref="B1057:C1057"/>
    <mergeCell ref="L994:L995"/>
    <mergeCell ref="H2287:I2287"/>
    <mergeCell ref="F735:I735"/>
    <mergeCell ref="B189:H189"/>
    <mergeCell ref="N671:N672"/>
    <mergeCell ref="J511:J512"/>
    <mergeCell ref="A1541:A1542"/>
    <mergeCell ref="B2432:H2432"/>
    <mergeCell ref="Q1145:Q1146"/>
    <mergeCell ref="F1340:I1340"/>
    <mergeCell ref="O2125:O2126"/>
    <mergeCell ref="A1215:A1216"/>
    <mergeCell ref="F921:I921"/>
    <mergeCell ref="O2256:O2257"/>
    <mergeCell ref="R51:R52"/>
    <mergeCell ref="L1968:L1969"/>
    <mergeCell ref="D1449:E1449"/>
    <mergeCell ref="D1580:E1580"/>
    <mergeCell ref="O2425:O2426"/>
    <mergeCell ref="O1395:O1396"/>
    <mergeCell ref="R1983:R1984"/>
    <mergeCell ref="K930:K931"/>
    <mergeCell ref="D1880:E1880"/>
    <mergeCell ref="P432:P433"/>
    <mergeCell ref="M607:M608"/>
    <mergeCell ref="O1695:O1696"/>
    <mergeCell ref="B2578:C2578"/>
    <mergeCell ref="P2218:P2219"/>
    <mergeCell ref="J2050:J2051"/>
    <mergeCell ref="M1212:M1213"/>
    <mergeCell ref="M2393:M2394"/>
    <mergeCell ref="M2387:M2388"/>
    <mergeCell ref="H676:I676"/>
    <mergeCell ref="H670:I670"/>
    <mergeCell ref="P2608:R2608"/>
    <mergeCell ref="P732:P733"/>
    <mergeCell ref="H213:I213"/>
    <mergeCell ref="H2456:I2456"/>
    <mergeCell ref="A1683:A1684"/>
    <mergeCell ref="K531:K532"/>
    <mergeCell ref="R2610:R2611"/>
    <mergeCell ref="H513:I513"/>
    <mergeCell ref="Q851:Q852"/>
    <mergeCell ref="N1445:N1446"/>
    <mergeCell ref="P360:R360"/>
    <mergeCell ref="N982:N983"/>
    <mergeCell ref="K226:K227"/>
    <mergeCell ref="P2245:P2246"/>
    <mergeCell ref="Q1456:Q1457"/>
    <mergeCell ref="N694:N695"/>
    <mergeCell ref="K831:K832"/>
    <mergeCell ref="D111:E111"/>
    <mergeCell ref="B875:H875"/>
    <mergeCell ref="R208:R209"/>
    <mergeCell ref="J498:L498"/>
    <mergeCell ref="P906:P907"/>
    <mergeCell ref="B2500:C2500"/>
    <mergeCell ref="J2410:J2411"/>
    <mergeCell ref="J193:L193"/>
    <mergeCell ref="L2111:L2112"/>
    <mergeCell ref="B1175:H1175"/>
    <mergeCell ref="M749:M750"/>
    <mergeCell ref="J2436:L2436"/>
    <mergeCell ref="R95:R96"/>
    <mergeCell ref="R89:R90"/>
    <mergeCell ref="J461:J462"/>
    <mergeCell ref="H2351:I2351"/>
    <mergeCell ref="M444:M445"/>
    <mergeCell ref="F1290:I1290"/>
    <mergeCell ref="B73:C73"/>
    <mergeCell ref="J581:J582"/>
    <mergeCell ref="O1532:O1533"/>
    <mergeCell ref="F1421:I1421"/>
    <mergeCell ref="B2502:H2502"/>
    <mergeCell ref="J162:J163"/>
    <mergeCell ref="M1049:M1050"/>
    <mergeCell ref="F2053:I2053"/>
    <mergeCell ref="Q1814:Q1815"/>
    <mergeCell ref="Q144:Q145"/>
    <mergeCell ref="B379:C379"/>
    <mergeCell ref="P476:P477"/>
    <mergeCell ref="L2038:L2039"/>
    <mergeCell ref="R1183:R1184"/>
    <mergeCell ref="Q1509:Q1510"/>
    <mergeCell ref="M1096:O1096"/>
    <mergeCell ref="B68:C68"/>
    <mergeCell ref="N1773:N1774"/>
    <mergeCell ref="L2338:L2339"/>
    <mergeCell ref="D1950:E1950"/>
    <mergeCell ref="B399:C399"/>
    <mergeCell ref="J2331:L2331"/>
    <mergeCell ref="B1649:H1649"/>
    <mergeCell ref="J335:L335"/>
    <mergeCell ref="A426:A427"/>
    <mergeCell ref="N2256:N2257"/>
    <mergeCell ref="A557:A558"/>
    <mergeCell ref="B1344:H1344"/>
    <mergeCell ref="K1974:K1975"/>
    <mergeCell ref="K1968:K1969"/>
    <mergeCell ref="H1345:I1345"/>
    <mergeCell ref="A252:A253"/>
    <mergeCell ref="K1642:K1643"/>
    <mergeCell ref="O63:O64"/>
    <mergeCell ref="N2099:N2100"/>
    <mergeCell ref="H594:I594"/>
    <mergeCell ref="B847:C847"/>
    <mergeCell ref="K2274:K2275"/>
    <mergeCell ref="Q1983:Q1984"/>
    <mergeCell ref="R1194:R1195"/>
    <mergeCell ref="B2212:C2212"/>
    <mergeCell ref="O432:O433"/>
    <mergeCell ref="R1325:R1326"/>
    <mergeCell ref="Q1520:Q1521"/>
    <mergeCell ref="F1890:I1890"/>
    <mergeCell ref="N1695:N1696"/>
    <mergeCell ref="F1433:I1433"/>
    <mergeCell ref="N1826:N1827"/>
    <mergeCell ref="O1037:O1038"/>
    <mergeCell ref="B939:H939"/>
    <mergeCell ref="D2005:E2005"/>
    <mergeCell ref="B2312:L2312"/>
    <mergeCell ref="F1733:I1733"/>
    <mergeCell ref="B1239:H1239"/>
    <mergeCell ref="D62:E62"/>
    <mergeCell ref="R159:R160"/>
    <mergeCell ref="D56:E56"/>
    <mergeCell ref="D193:E193"/>
    <mergeCell ref="D2305:E2305"/>
    <mergeCell ref="J531:J532"/>
    <mergeCell ref="M1418:M1419"/>
    <mergeCell ref="F2521:I2521"/>
    <mergeCell ref="R764:R765"/>
    <mergeCell ref="M1119:M1120"/>
    <mergeCell ref="P1456:P1457"/>
    <mergeCell ref="H1068:I1068"/>
    <mergeCell ref="J831:J832"/>
    <mergeCell ref="B443:C443"/>
    <mergeCell ref="F121:I121"/>
    <mergeCell ref="K2416:K2417"/>
    <mergeCell ref="M1413:M1414"/>
    <mergeCell ref="H1368:I1368"/>
    <mergeCell ref="Q514:Q515"/>
    <mergeCell ref="L749:L750"/>
    <mergeCell ref="J1036:L1036"/>
    <mergeCell ref="F421:I421"/>
    <mergeCell ref="H2156:I2156"/>
    <mergeCell ref="L1354:L1355"/>
    <mergeCell ref="N357:N358"/>
    <mergeCell ref="O880:O881"/>
    <mergeCell ref="O874:O875"/>
    <mergeCell ref="L1055:L1056"/>
    <mergeCell ref="L1049:L1050"/>
    <mergeCell ref="B1844:H1844"/>
    <mergeCell ref="K1381:K1382"/>
    <mergeCell ref="J1336:L1336"/>
    <mergeCell ref="L592:L593"/>
    <mergeCell ref="D661:E661"/>
    <mergeCell ref="J1467:L1467"/>
    <mergeCell ref="B2318:H2318"/>
    <mergeCell ref="D204:E204"/>
    <mergeCell ref="R301:R302"/>
    <mergeCell ref="O476:O477"/>
    <mergeCell ref="B2013:H2013"/>
    <mergeCell ref="A1253:A1254"/>
    <mergeCell ref="B2144:H2144"/>
    <mergeCell ref="J1636:L1636"/>
    <mergeCell ref="D504:E504"/>
    <mergeCell ref="J1436:J1437"/>
    <mergeCell ref="R601:R602"/>
    <mergeCell ref="M1773:M1774"/>
    <mergeCell ref="M1779:M1780"/>
    <mergeCell ref="H1726:I1726"/>
    <mergeCell ref="J973:J974"/>
    <mergeCell ref="K2469:K2470"/>
    <mergeCell ref="L1680:L1681"/>
    <mergeCell ref="P118:P119"/>
    <mergeCell ref="K342:K343"/>
    <mergeCell ref="D1292:E1292"/>
    <mergeCell ref="O1564:O1565"/>
    <mergeCell ref="O1107:O1108"/>
    <mergeCell ref="N226:N227"/>
    <mergeCell ref="B1342:C1342"/>
    <mergeCell ref="B2376:L2376"/>
    <mergeCell ref="J2061:J2062"/>
    <mergeCell ref="O1407:O1408"/>
    <mergeCell ref="J1642:J1643"/>
    <mergeCell ref="K217:K218"/>
    <mergeCell ref="N63:N64"/>
    <mergeCell ref="P2288:P2289"/>
    <mergeCell ref="D1188:E1188"/>
    <mergeCell ref="L1250:L1251"/>
    <mergeCell ref="B375:H375"/>
    <mergeCell ref="Q1325:Q1326"/>
    <mergeCell ref="P2588:P2589"/>
    <mergeCell ref="K700:K701"/>
    <mergeCell ref="N1043:N1044"/>
    <mergeCell ref="J1359:L1359"/>
    <mergeCell ref="P592:P593"/>
    <mergeCell ref="B256:H256"/>
    <mergeCell ref="K2480:K2481"/>
    <mergeCell ref="F371:I371"/>
    <mergeCell ref="F502:I502"/>
    <mergeCell ref="L1424:L1425"/>
    <mergeCell ref="D1647:E1647"/>
    <mergeCell ref="A2064:A2065"/>
    <mergeCell ref="R1744:R1745"/>
    <mergeCell ref="Q895:Q896"/>
    <mergeCell ref="R106:R107"/>
    <mergeCell ref="O1875:O1876"/>
    <mergeCell ref="L1119:L1120"/>
    <mergeCell ref="M330:M331"/>
    <mergeCell ref="R2349:R2350"/>
    <mergeCell ref="H2526:I2526"/>
    <mergeCell ref="L1724:L1725"/>
    <mergeCell ref="F1465:I1465"/>
    <mergeCell ref="J173:J174"/>
    <mergeCell ref="R2044:R2045"/>
    <mergeCell ref="B2094:H2094"/>
    <mergeCell ref="A1334:A1335"/>
    <mergeCell ref="J2416:J2417"/>
    <mergeCell ref="D873:E873"/>
    <mergeCell ref="B2028:C2028"/>
    <mergeCell ref="N1642:N1643"/>
    <mergeCell ref="D1636:E1636"/>
    <mergeCell ref="F1759:I1759"/>
    <mergeCell ref="R1733:R1734"/>
    <mergeCell ref="M1974:M1975"/>
    <mergeCell ref="A1634:A1635"/>
    <mergeCell ref="P188:P189"/>
    <mergeCell ref="B85:C85"/>
    <mergeCell ref="B2394:H2394"/>
    <mergeCell ref="P182:P183"/>
    <mergeCell ref="B267:H267"/>
    <mergeCell ref="M357:M358"/>
    <mergeCell ref="B2328:C2328"/>
    <mergeCell ref="P2425:P2426"/>
    <mergeCell ref="N880:N881"/>
    <mergeCell ref="R2102:R2103"/>
    <mergeCell ref="K1011:K1012"/>
    <mergeCell ref="R1645:R1646"/>
    <mergeCell ref="J2474:J2475"/>
    <mergeCell ref="B1598:C1598"/>
    <mergeCell ref="R2402:R2403"/>
    <mergeCell ref="R1945:R1946"/>
    <mergeCell ref="F819:I819"/>
    <mergeCell ref="B2255:C2255"/>
    <mergeCell ref="H332:I332"/>
    <mergeCell ref="J2317:J2318"/>
    <mergeCell ref="Q1669:Q1670"/>
    <mergeCell ref="J778:J779"/>
    <mergeCell ref="A1808:A1809"/>
    <mergeCell ref="L1866:L1867"/>
    <mergeCell ref="J2191:L2191"/>
    <mergeCell ref="O118:O119"/>
    <mergeCell ref="H2249:I2249"/>
    <mergeCell ref="L1561:L1562"/>
    <mergeCell ref="N1107:N1108"/>
    <mergeCell ref="Q1994:Q1995"/>
    <mergeCell ref="J248:L248"/>
    <mergeCell ref="A2108:A2109"/>
    <mergeCell ref="B559:C559"/>
    <mergeCell ref="J2491:L2491"/>
    <mergeCell ref="B320:H320"/>
    <mergeCell ref="F1488:I1488"/>
    <mergeCell ref="L1861:L1862"/>
    <mergeCell ref="A165:A166"/>
    <mergeCell ref="M499:M500"/>
    <mergeCell ref="N1407:N1408"/>
    <mergeCell ref="M42:M43"/>
    <mergeCell ref="F572:I572"/>
    <mergeCell ref="N1538:N1539"/>
    <mergeCell ref="J217:J218"/>
    <mergeCell ref="J2460:J2461"/>
    <mergeCell ref="O1962:O1963"/>
    <mergeCell ref="Q965:Q966"/>
    <mergeCell ref="R176:R177"/>
    <mergeCell ref="H2476:I2476"/>
    <mergeCell ref="B1408:H1408"/>
    <mergeCell ref="D2316:E2316"/>
    <mergeCell ref="R2413:R2414"/>
    <mergeCell ref="M2610:M2611"/>
    <mergeCell ref="J700:J701"/>
    <mergeCell ref="P584:R584"/>
    <mergeCell ref="R933:R934"/>
    <mergeCell ref="O2262:O2263"/>
    <mergeCell ref="J117:L117"/>
    <mergeCell ref="O1957:O1958"/>
    <mergeCell ref="B1288:L1288"/>
    <mergeCell ref="L435:L436"/>
    <mergeCell ref="H780:I780"/>
    <mergeCell ref="A51:A52"/>
    <mergeCell ref="B612:C612"/>
    <mergeCell ref="D1700:E1700"/>
    <mergeCell ref="B155:C155"/>
    <mergeCell ref="B193:C193"/>
    <mergeCell ref="B149:C149"/>
    <mergeCell ref="A2250:A2251"/>
    <mergeCell ref="J417:L417"/>
    <mergeCell ref="B2392:C2392"/>
    <mergeCell ref="J548:L548"/>
    <mergeCell ref="B462:H462"/>
    <mergeCell ref="P895:P896"/>
    <mergeCell ref="N2012:N2013"/>
    <mergeCell ref="J85:L85"/>
    <mergeCell ref="B2609:C2609"/>
    <mergeCell ref="A307:A308"/>
    <mergeCell ref="N1549:N1550"/>
    <mergeCell ref="K1724:K1725"/>
    <mergeCell ref="K1855:K1856"/>
    <mergeCell ref="K1392:K1393"/>
    <mergeCell ref="D2369:E2369"/>
    <mergeCell ref="J385:L385"/>
    <mergeCell ref="L761:L762"/>
    <mergeCell ref="O493:O494"/>
    <mergeCell ref="K1093:K1094"/>
    <mergeCell ref="N1849:N1850"/>
    <mergeCell ref="Q1733:Q1734"/>
    <mergeCell ref="R944:R945"/>
    <mergeCell ref="O188:O189"/>
    <mergeCell ref="H1138:I1138"/>
    <mergeCell ref="L31:L32"/>
    <mergeCell ref="Q1645:Q1646"/>
    <mergeCell ref="M1485:M1486"/>
    <mergeCell ref="H1438:I1438"/>
    <mergeCell ref="J685:J686"/>
    <mergeCell ref="F1552:I1552"/>
    <mergeCell ref="J1747:J1748"/>
    <mergeCell ref="B989:H989"/>
    <mergeCell ref="F2157:I2157"/>
    <mergeCell ref="P1037:P1038"/>
    <mergeCell ref="Q1945:Q1946"/>
    <mergeCell ref="K80:K81"/>
    <mergeCell ref="K1866:K1867"/>
    <mergeCell ref="M869:M870"/>
    <mergeCell ref="P1343:P1344"/>
    <mergeCell ref="D2380:E2380"/>
    <mergeCell ref="K1561:K1562"/>
    <mergeCell ref="P2000:P2001"/>
    <mergeCell ref="P1994:P1995"/>
    <mergeCell ref="A1450:A1451"/>
    <mergeCell ref="M1843:M1844"/>
    <mergeCell ref="O330:O331"/>
    <mergeCell ref="L505:L506"/>
    <mergeCell ref="A1145:A1146"/>
    <mergeCell ref="P2300:P2301"/>
    <mergeCell ref="L42:L43"/>
    <mergeCell ref="M1538:M1539"/>
    <mergeCell ref="H1493:I1493"/>
    <mergeCell ref="H1449:I1449"/>
    <mergeCell ref="M2143:M2144"/>
    <mergeCell ref="A720:A721"/>
    <mergeCell ref="N1962:N1963"/>
    <mergeCell ref="L805:L806"/>
    <mergeCell ref="Q176:Q177"/>
    <mergeCell ref="B1594:H1594"/>
    <mergeCell ref="A834:A835"/>
    <mergeCell ref="N2076:N2077"/>
    <mergeCell ref="A415:A416"/>
    <mergeCell ref="F83:I83"/>
    <mergeCell ref="J1217:L1217"/>
    <mergeCell ref="A371:A372"/>
    <mergeCell ref="H1793:I1793"/>
    <mergeCell ref="F214:I214"/>
    <mergeCell ref="F2326:I2326"/>
    <mergeCell ref="A1020:A1021"/>
    <mergeCell ref="N2262:N2263"/>
    <mergeCell ref="L1130:L1131"/>
    <mergeCell ref="Q476:Q477"/>
    <mergeCell ref="B1894:H1894"/>
    <mergeCell ref="Q607:Q608"/>
    <mergeCell ref="K2524:K2525"/>
    <mergeCell ref="F383:I383"/>
    <mergeCell ref="J1186:J1187"/>
    <mergeCell ref="M1529:M1530"/>
    <mergeCell ref="K397:K398"/>
    <mergeCell ref="L1430:L1431"/>
    <mergeCell ref="L400:L401"/>
    <mergeCell ref="B1806:H1806"/>
    <mergeCell ref="R726:R727"/>
    <mergeCell ref="J1429:L1429"/>
    <mergeCell ref="R1331:R1332"/>
    <mergeCell ref="M2012:M2013"/>
    <mergeCell ref="R1445:R1446"/>
    <mergeCell ref="A1346:A1347"/>
    <mergeCell ref="M1680:M1681"/>
    <mergeCell ref="R1026:R1027"/>
    <mergeCell ref="J1817:J1818"/>
    <mergeCell ref="J1855:J1856"/>
    <mergeCell ref="M69:M70"/>
    <mergeCell ref="J1398:J1399"/>
    <mergeCell ref="M2285:M2286"/>
    <mergeCell ref="B1010:C1010"/>
    <mergeCell ref="F2221:I2221"/>
    <mergeCell ref="F688:I688"/>
    <mergeCell ref="K150:K151"/>
    <mergeCell ref="P2323:P2324"/>
    <mergeCell ref="J809:L809"/>
    <mergeCell ref="J1698:J1699"/>
    <mergeCell ref="Q1081:Q1082"/>
    <mergeCell ref="N2410:N2411"/>
    <mergeCell ref="A1162:A1163"/>
    <mergeCell ref="Q1075:Q1076"/>
    <mergeCell ref="B1310:C1310"/>
    <mergeCell ref="F2527:I2527"/>
    <mergeCell ref="B1304:C1304"/>
    <mergeCell ref="K2579:K2580"/>
    <mergeCell ref="R2114:R2115"/>
    <mergeCell ref="F988:I988"/>
    <mergeCell ref="K450:K451"/>
    <mergeCell ref="K31:K32"/>
    <mergeCell ref="N924:N925"/>
    <mergeCell ref="F525:I525"/>
    <mergeCell ref="N461:N462"/>
    <mergeCell ref="A1514:A1515"/>
    <mergeCell ref="P2381:P2382"/>
    <mergeCell ref="B2398:C2398"/>
    <mergeCell ref="L1174:L1175"/>
    <mergeCell ref="A1820:A1821"/>
    <mergeCell ref="B2580:H2580"/>
    <mergeCell ref="A1814:A1815"/>
    <mergeCell ref="R1494:R1495"/>
    <mergeCell ref="J1866:J1867"/>
    <mergeCell ref="L869:L870"/>
    <mergeCell ref="H2162:I2162"/>
    <mergeCell ref="J1997:J1998"/>
    <mergeCell ref="J386:J387"/>
    <mergeCell ref="H2276:I2276"/>
    <mergeCell ref="J868:L868"/>
    <mergeCell ref="F1215:I1215"/>
    <mergeCell ref="H1857:I1857"/>
    <mergeCell ref="A1090:A1091"/>
    <mergeCell ref="J2172:J2173"/>
    <mergeCell ref="B1778:C1778"/>
    <mergeCell ref="Q671:Q672"/>
    <mergeCell ref="L1843:L1844"/>
    <mergeCell ref="H2620:I2620"/>
    <mergeCell ref="N330:N331"/>
    <mergeCell ref="D1455:E1455"/>
    <mergeCell ref="R2125:R2126"/>
    <mergeCell ref="L1517:L1518"/>
    <mergeCell ref="M1724:M1725"/>
    <mergeCell ref="P296:R296"/>
    <mergeCell ref="K173:K174"/>
    <mergeCell ref="O1968:O1969"/>
    <mergeCell ref="L2143:L2144"/>
    <mergeCell ref="J1493:L1493"/>
    <mergeCell ref="D1755:E1755"/>
    <mergeCell ref="B1000:L1000"/>
    <mergeCell ref="D1298:E1298"/>
    <mergeCell ref="R1395:R1396"/>
    <mergeCell ref="K479:K480"/>
    <mergeCell ref="K473:K474"/>
    <mergeCell ref="P912:P913"/>
    <mergeCell ref="H393:I393"/>
    <mergeCell ref="K1130:K1131"/>
    <mergeCell ref="J1462:J1463"/>
    <mergeCell ref="P607:P608"/>
    <mergeCell ref="H88:I88"/>
    <mergeCell ref="R1695:R1696"/>
    <mergeCell ref="J2524:J2525"/>
    <mergeCell ref="H219:I219"/>
    <mergeCell ref="J2067:J2068"/>
    <mergeCell ref="P2393:P2394"/>
    <mergeCell ref="H693:I693"/>
    <mergeCell ref="B1679:C1679"/>
    <mergeCell ref="K1436:K1437"/>
    <mergeCell ref="F1357:I1357"/>
    <mergeCell ref="H1999:I1999"/>
    <mergeCell ref="F938:I938"/>
    <mergeCell ref="H388:I388"/>
    <mergeCell ref="Q726:Q727"/>
    <mergeCell ref="B1374:C1374"/>
    <mergeCell ref="Q1750:Q1751"/>
    <mergeCell ref="N988:N989"/>
    <mergeCell ref="Q1331:Q1332"/>
    <mergeCell ref="F1657:I1657"/>
    <mergeCell ref="F1238:I1238"/>
    <mergeCell ref="Q1445:Q1446"/>
    <mergeCell ref="Q1026:Q1027"/>
    <mergeCell ref="J1967:L1967"/>
    <mergeCell ref="B2348:C2348"/>
    <mergeCell ref="L2285:L2286"/>
    <mergeCell ref="Q1631:Q1632"/>
    <mergeCell ref="A1770:A1771"/>
    <mergeCell ref="L1986:L1987"/>
    <mergeCell ref="A1884:A1885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2:R1302 M1305:R1305 M1308:R1308 M1311:R1311 M1314:R1314 M1317:R1317 M1322:R1322 M1325:R1325 M1328:R1328 M1331:R1331 M1334:R1334 M1337:R1337 M1340:R1340 M1343:R1343 M1346:R1346 M1349:R1349 M1354:R1354 M1357:R1357 M1360:R1360 M1363:R1363 M1366:R1366 M1369:R1369 M1372:R1372 M1375:R1375 M1378:R1378 M1381:R1381 M1386:R1386 M1389:R1389 M1392:R1392 M1395:R1395 M1398:R1398 M1401:R1401 M1404:R1404 M1407:R1407 M1410:R1410 M1413:R1413 M1418:R1418 M1421:R1421 M1424:R1424 M1427:R1427 M1430:R1430 M1433:R1433 M1436:R1436 M1439:R1439 M1442:R1442 M1445:R1445 M1450:R1450 M1453:R1453 M1456:R1456 M1459:R1459 M1462:R1462 M1465:R1465 M1468:R1468 M1471:R1471 M1474:R1474 M1477:R1477 M1482:R1482 M1485:R1485 M1488:R1488 M1491:R1491 M1494:R1494 M1497:R1497 M1500:R1500 M1503:R1503 M1506:R1506 M1509:R1509 M1514:R1514 M1517:R1517 M1520:R1520 M1523:R1523 M1526:R1526 M1529:R1529 M1532:R1532 M1535:R1535 M1538:R1538 M1541:R1541 M1546:R1546 M1549:R1549 M1552:R1552 M1555:R1555 M1558:R1558 M1561:R1561 M1564:R1564 M1567:R1567 M1570:R1570 M1573:R1573 M1578:R1578 M1581:R1581 M1584:R1584 M1587:R1587 M1590:R1590 M1593:R1593 M1596:R1596 M1599:R1599 M1602:R1602 M1605:R1605 M1610:R1610 M1613:R1613 M1616:R1616 M1619:R1619 M1622:R1622 M1625:R1625 M1628:R1628 M1631:R1631 M1634:R1634 M1637:R1637 M1642:R1642 M1645:R1645 M1648:R1648 M1651:R1651 M1654:R1654 M1657:R1657 M1660:R1660 M1663:R1663 M1666:R1666 M1669:R1669 M1674:R1674 M1677:R1677 M1680:R1680 M1683:R1683 M1686:R1686 M1689:R1689 M1692:R1692 M1695:R1695 M1698:R1698 M1701:R1701 M1706:R1706 M1709:R1709 M1712:R1712 M1715:R1715 M1718:R1718 M1721:R1721 M1724:R1724 M1727:R1727 M1730:R1730 M1733:R1733 M1738:R1738 M1741:R1741 M1744:R1744 M1747:R1747 M1750:R1750 M1753:R1753 M1756:R1756 M1759:R1759 M1762:R1762 M1765:R1765 M1770:R1770 M1773:R1773 M1776:R1776 M1779:R1779 M1782:R1782 M1785:R1785 M1788:R1788 M1791:R1791 M1794:R1794 M1797:R1797 M1802:R1802 M1805:R1805 M1808:R1808 M1811:R1811 M1814:R1814 M1817:R1817 M1820:R1820 M1823:R1823 M1826:R1826 M1829:R1829 M1834:R1834 M1837:R1837 M1840:R1840 M1843:R1843 M1846:R1846 M1849:R1849 M1852:R1852 M1855:R1855 M1858:R1858 M1861:R1861 M1866:R1866 M1869:R1869 M1872:R1872 M1875:R1875 M1878:R1878 M1881:R1881 M1884:R1884 M1887:R1887 M1890:R1890 M1893:R1893 M1930:R1930 M1933:R1933 M1936:R1936 M1939:R1939 M1942:R1942 M1945:R1945 M1948:R1948 M1951:R1951 M1954:R1954 M1957:R1957 M1962:R1962 M1965:R1965 M1968:R1968 M1971:R1971 M1974:R1974 M1977:R1977 M1980:R1980 M1983:R1983 M1986:R1986 M1989:R1989 M1994:R1994 M1997:R1997 M2000:R2000 M2003:R2003 M2006:R2006 M2009:R2009 M2012:R2012 M2015:R2015 M2018:R2018 M2021:R2021 M2026:R2026 M2029:R2029 M2032:R2032 M2035:R2035 M2038:R2038 M2041:R2041 M2044:R2044 M2047:R2047 M2050:R2050 M2053:R2053 M2058:R2058 M2061:R2061 M2064:R2064 M2067:R2067 M2070:R2070 M2073:R2073 M2076:R2076 M2079:R2079 M2082:R2082 M2085:R2085 M2090:R2090 M2093:R2093 M2096:R2096 M2099:R2099 M2102:R2102 M2105:R2105 M2108:R2108 M2111:R2111 M2114:R2114 M2117:R2117 M2122:R2122 M2125:R2125 M2128:R2128 M2131:R2131 M2134:R2134 M2137:R2137 M2140:R2140 M2143:R2143 M2146:R2146 M2149:R2149 M2154:R2154 M2157:R2157 M2160:R2160 M2163:R2163 M2166:R2166 M2169:R2169 M2172:R2172 M2175:R2175 M2178:R2178 M2181:R2181 M2186:R2186 M2189:R2189 M2192:R2192 M2195:R2195 M2198:R2198 M2201:R2201 M2204:R2204 M2207:R2207 M2210:R2210 M2213:R2213 M2218:R2218 M2221:R2221 M2224:R2224 M2227:R2227 M2230:R2230 M2233:R2233 M2236:R2236 M2239:R2239 M2242:R2242 M2245:R2245 M2250:R2250 M2253:R2253 M2256:R2256 M2259:R2259 M2262:R2262 M2265:R2265 M2268:R2268 M2271:R2271 M2274:R2274 M2277:R2277 M2282:R2282 M2285:R2285 M2288:R2288 M2291:R2291 M2294:R2294 M2297:R2297 M2300:R2300 M2303:R2303 M2306:R2306 M2309:R2309 M2314:R2314 M2317:R2317 M2320:R2320 M2323:R2323 M2326:R2326 M2329:R2329 M2332:R2332 M2335:R2335 M2338:R2338 M2341:R2341 M2346:R2346 M2349:R2349 M2352:R2352 M2355:R2355 M2358:R2358 M2361:R2361 M2364:R2364 M2367:R2367 M2370:R2370 M2373:R2373 M2378:R2378 M2381:R2381 M2384:R2384 M2387:R2387 M2390:R2390 M2393:R2393 M2396:R2396 M2399:R2399 M2402:R2402 M2405:R2405 M2410:R2410 M2413:R2413 M2416:R2416 M2419:R2419 M2422:R2422 M2425:R2425 M2428:R2428 M2431:R2431 M2434:R2434 M2437:R2437 M2442:R2442 M2445:R2445 M2448:R2448 M2451:R2451 M2454:R2454 M2457:R2457 M2460:R2460 M2463:R2463 M2466:R2466 M2469:R2469 M2474:R2474 M2477:R2477 M2480:R2480 M2483:R2483 M2486:R2486 M2489:R2489 M2492:R2492 M2495:R2495 M2498:R2498 M2501:R2501 M2506:R2506 M2509:R2509 M2512:R2512 M2515:R2515 M2518:R2518 M2521:R2521 M2524:R2524 M2527:R2527 M2530:R2530 M2533:R2533 M2570:R2570 M2573:R2573 M2576:R2576 M2579:R2579 M2582:R2582 M2585:R2585 M2588:R2588 M2591:R2591 M2596:R2596 M2599:R2599 M2602:R2602 M2605:R2605 M2610:R2610 M2613:R2613 M2618:R2618 M2621:R262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2:O1302 M1305:O1305 M1308:O1308 M1311:O1311 M1314:O1314 M1317:O1317 M1322:O1322 M1325:O1325 M1328:O1328 M1331:O1331 M1334:O1334 M1337:O1337 M1340:O1340 M1343:O1343 M1346:O1346 M1349:O1349 M1354:O1354 M1357:O1357 M1360:O1360 M1363:O1363 M1366:O1366 M1369:O1369 M1372:O1372 M1375:O1375 M1378:O1378 M1381:O1381 M1386:O1386 M1389:O1389 M1392:O1392 M1395:O1395 M1398:O1398 M1401:O1401 M1404:O1404 M1407:O1407 M1410:O1410 M1413:O1413 M1418:O1418 M1421:O1421 M1424:O1424 M1427:O1427 M1430:O1430 M1433:O1433 M1436:O1436 M1439:O1439 M1442:O1442 M1445:O1445 M1450:O1450 M1453:O1453 M1456:O1456 M1459:O1459 M1462:O1462 M1465:O1465 M1468:O1468 M1471:O1471 M1474:O1474 M1477:O1477 M1482:O1482 M1485:O1485 M1488:O1488 M1491:O1491 M1494:O1494 M1497:O1497 M1500:O1500 M1503:O1503 M1506:O1506 M1509:O1509 M1514:O1514 M1517:O1517 M1520:O1520 M1523:O1523 M1526:O1526 M1529:O1529 M1532:O1532 M1535:O1535 M1538:O1538 M1541:O1541 M1546:O1546 M1549:O1549 M1552:O1552 M1555:O1555 M1558:O1558 M1561:O1561 M1564:O1564 M1567:O1567 M1570:O1570 M1573:O1573 M1578:O1578 M1581:O1581 M1584:O1584 M1587:O1587 M1590:O1590 M1593:O1593 M1596:O1596 M1599:O1599 M1602:O1602 M1605:O1605 M1610:O1610 M1613:O1613 M1616:O1616 M1619:O1619 M1622:O1622 M1625:O1625 M1628:O1628 M1631:O1631 M1634:O1634 M1637:O1637 M1642:O1642 M1645:O1645 M1648:O1648 M1651:O1651 M1654:O1654 M1657:O1657 M1660:O1660 M1663:O1663 M1666:O1666 M1669:O1669 M1674:O1674 M1677:O1677 M1680:O1680 M1683:O1683 M1686:O1686 M1689:O1689 M1692:O1692 M1695:O1695 M1698:O1698 M1701:O1701 M1706:O1706 M1709:O1709 M1712:O1712 M1715:O1715 M1718:O1718 M1721:O1721 M1724:O1724 M1727:O1727 M1730:O1730 M1733:O1733 M1738:O1738 M1741:O1741 M1744:O1744 M1747:O1747 M1750:O1750 M1753:O1753 M1756:O1756 M1759:O1759 M1762:O1762 M1765:O1765 M1770:O1770 M1773:O1773 M1776:O1776 M1779:O1779 M1782:O1782 M1785:O1785 M1788:O1788 M1791:O1791 M1794:O1794 M1797:O1797 M1802:O1802 M1805:O1805 M1808:O1808 M1811:O1811 M1814:O1814 M1817:O1817 M1820:O1820 M1823:O1823 M1826:O1826 M1829:O1829 M1834:O1834 M1837:O1837 M1840:O1840 M1843:O1843 M1846:O1846 M1849:O1849 M1852:O1852 M1855:O1855 M1858:O1858 M1861:O1861 M1866:O1866 M1869:O1869 M1872:O1872 M1875:O1875 M1878:O1878 M1881:O1881 M1884:O1884 M1887:O1887 M1890:O1890 M1893:O1893 M1930:O1930 M1933:O1933 M1936:O1936 M1939:O1939 M1942:O1942 M1945:O1945 M1948:O1948 M1951:O1951 M1954:O1954 M1957:O1957 M1962:O1962 M1965:O1965 M1968:O1968 M1971:O1971 M1974:O1974 M1977:O1977 M1980:O1980 M1983:O1983 M1986:O1986 M1989:O1989 M1994:O1994 M1997:O1997 M2000:O2000 M2003:O2003 M2006:O2006 M2009:O2009 M2012:O2012 M2015:O2015 M2018:O2018 M2021:O2021 M2026:O2026 M2029:O2029 M2032:O2032 M2035:O2035 M2038:O2038 M2041:O2041 M2044:O2044 M2047:O2047 M2050:O2050 M2053:O2053 M2058:O2058 M2061:O2061 M2064:O2064 M2067:O2067 M2070:O2070 M2073:O2073 M2076:O2076 M2079:O2079 M2082:O2082 M2085:O2085 M2090:O2090 M2093:O2093 M2096:O2096 M2099:O2099 M2102:O2102 M2105:O2105 M2108:O2108 M2111:O2111 M2114:O2114 M2117:O2117 M2122:O2122 M2125:O2125 M2128:O2128 M2131:O2131 M2134:O2134 M2137:O2137 M2140:O2140 M2143:O2143 M2146:O2146 M2149:O2149 M2154:O2154 M2157:O2157 M2160:O2160 M2163:O2163 M2166:O2166 M2169:O2169 M2172:O2172 M2175:O2175 M2178:O2178 M2181:O2181 M2186:O2186 M2189:O2189 M2192:O2192 M2195:O2195 M2198:O2198 M2201:O2201 M2204:O2204 M2207:O2207 M2210:O2210 M2213:O2213 M2218:O2218 M2221:O2221 M2224:O2224 M2227:O2227 M2230:O2230 M2233:O2233 M2236:O2236 M2239:O2239 M2242:O2242 M2245:O2245 M2250:O2250 M2253:O2253 M2256:O2256 M2259:O2259 M2262:O2262 M2265:O2265 M2268:O2268 M2271:O2271 M2274:O2274 M2277:O2277 M2282:O2282 M2285:O2285 M2288:O2288 M2291:O2291 M2294:O2294 M2297:O2297 M2300:O2300 M2303:O2303 M2306:O2306 M2309:O2309 M2314:O2314 M2317:O2317 M2320:O2320 M2323:O2323 M2326:O2326 M2329:O2329 M2332:O2332 M2335:O2335 M2338:O2338 M2341:O2341 M2346:O2346 M2349:O2349 M2352:O2352 M2355:O2355 M2358:O2358 M2361:O2361 M2364:O2364 M2367:O2367 M2370:O2370 M2373:O2373 M2378:O2378 M2381:O2381 M2384:O2384 M2387:O2387 M2390:O2390 M2393:O2393 M2396:O2396 M2399:O2399 M2402:O2402 M2405:O2405 M2410:O2410 M2413:O2413 M2416:O2416 M2419:O2419 M2422:O2422 M2425:O2425 M2428:O2428 M2431:O2431 M2434:O2434 M2437:O2437 M2442:O2442 M2445:O2445 M2448:O2448 M2451:O2451 M2454:O2454 M2457:O2457 M2460:O2460 M2463:O2463 M2466:O2466 M2469:O2469 M2474:O2474 M2477:O2477 M2480:O2480 M2483:O2483 M2486:O2486 M2489:O2489 M2492:O2492 M2495:O2495 M2498:O2498 M2501:O2501 M2506:O2506 M2509:O2509 M2512:O2512 M2515:O2515 M2518:O2518 M2521:O2521 M2524:O2524 M2527:O2527 M2530:O2530 M2533:O2533 M2570:O2570 M2573:O2573 M2576:O2576 M2579:O2579 M2582:O2582 M2585:O2585 M2588:O2588 M2591:O2591 M2596:O2596 M2599:O2599 M2602:O2602 M2605:O2605 M2610:O2610 M2613:O2613 M2618:O2618 M2621:O2621" showDropDown="0" showInputMessage="0" showErrorMessage="0" allowBlank="1" errorTitle="Arbitro non valido" error="Nominativo non presente nell'elenco del foglio Arbitri." type="list">
      <formula1>=ARBITRI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2:R1302 P1305:R1305 P1308:R1308 P1311:R1311 P1314:R1314 P1317:R1317 P1322:R1322 P1325:R1325 P1328:R1328 P1331:R1331 P1334:R1334 P1337:R1337 P1340:R1340 P1343:R1343 P1346:R1346 P1349:R1349 P1354:R1354 P1357:R1357 P1360:R1360 P1363:R1363 P1366:R1366 P1369:R1369 P1372:R1372 P1375:R1375 P1378:R1378 P1381:R1381 P1386:R1386 P1389:R1389 P1392:R1392 P1395:R1395 P1398:R1398 P1401:R1401 P1404:R1404 P1407:R1407 P1410:R1410 P1413:R1413 P1418:R1418 P1421:R1421 P1424:R1424 P1427:R1427 P1430:R1430 P1433:R1433 P1436:R1436 P1439:R1439 P1442:R1442 P1445:R1445 P1450:R1450 P1453:R1453 P1456:R1456 P1459:R1459 P1462:R1462 P1465:R1465 P1468:R1468 P1471:R1471 P1474:R1474 P1477:R1477 P1482:R1482 P1485:R1485 P1488:R1488 P1491:R1491 P1494:R1494 P1497:R1497 P1500:R1500 P1503:R1503 P1506:R1506 P1509:R1509 P1514:R1514 P1517:R1517 P1520:R1520 P1523:R1523 P1526:R1526 P1529:R1529 P1532:R1532 P1535:R1535 P1538:R1538 P1541:R1541 P1546:R1546 P1549:R1549 P1552:R1552 P1555:R1555 P1558:R1558 P1561:R1561 P1564:R1564 P1567:R1567 P1570:R1570 P1573:R1573 P1578:R1578 P1581:R1581 P1584:R1584 P1587:R1587 P1590:R1590 P1593:R1593 P1596:R1596 P1599:R1599 P1602:R1602 P1605:R1605 P1610:R1610 P1613:R1613 P1616:R1616 P1619:R1619 P1622:R1622 P1625:R1625 P1628:R1628 P1631:R1631 P1634:R1634 P1637:R1637 P1642:R1642 P1645:R1645 P1648:R1648 P1651:R1651 P1654:R1654 P1657:R1657 P1660:R1660 P1663:R1663 P1666:R1666 P1669:R1669 P1674:R1674 P1677:R1677 P1680:R1680 P1683:R1683 P1686:R1686 P1689:R1689 P1692:R1692 P1695:R1695 P1698:R1698 P1701:R1701 P1706:R1706 P1709:R1709 P1712:R1712 P1715:R1715 P1718:R1718 P1721:R1721 P1724:R1724 P1727:R1727 P1730:R1730 P1733:R1733 P1738:R1738 P1741:R1741 P1744:R1744 P1747:R1747 P1750:R1750 P1753:R1753 P1756:R1756 P1759:R1759 P1762:R1762 P1765:R1765 P1770:R1770 P1773:R1773 P1776:R1776 P1779:R1779 P1782:R1782 P1785:R1785 P1788:R1788 P1791:R1791 P1794:R1794 P1797:R1797 P1802:R1802 P1805:R1805 P1808:R1808 P1811:R1811 P1814:R1814 P1817:R1817 P1820:R1820 P1823:R1823 P1826:R1826 P1829:R1829 P1834:R1834 P1837:R1837 P1840:R1840 P1843:R1843 P1846:R1846 P1849:R1849 P1852:R1852 P1855:R1855 P1858:R1858 P1861:R1861 P1866:R1866 P1869:R1869 P1872:R1872 P1875:R1875 P1878:R1878 P1881:R1881 P1884:R1884 P1887:R1887 P1890:R1890 P1893:R1893 P1930:R1930 P1933:R1933 P1936:R1936 P1939:R1939 P1942:R1942 P1945:R1945 P1948:R1948 P1951:R1951 P1954:R1954 P1957:R1957 P1962:R1962 P1965:R1965 P1968:R1968 P1971:R1971 P1974:R1974 P1977:R1977 P1980:R1980 P1983:R1983 P1986:R1986 P1989:R1989 P1994:R1994 P1997:R1997 P2000:R2000 P2003:R2003 P2006:R2006 P2009:R2009 P2012:R2012 P2015:R2015 P2018:R2018 P2021:R2021 P2026:R2026 P2029:R2029 P2032:R2032 P2035:R2035 P2038:R2038 P2041:R2041 P2044:R2044 P2047:R2047 P2050:R2050 P2053:R2053 P2058:R2058 P2061:R2061 P2064:R2064 P2067:R2067 P2070:R2070 P2073:R2073 P2076:R2076 P2079:R2079 P2082:R2082 P2085:R2085 P2090:R2090 P2093:R2093 P2096:R2096 P2099:R2099 P2102:R2102 P2105:R2105 P2108:R2108 P2111:R2111 P2114:R2114 P2117:R2117 P2122:R2122 P2125:R2125 P2128:R2128 P2131:R2131 P2134:R2134 P2137:R2137 P2140:R2140 P2143:R2143 P2146:R2146 P2149:R2149 P2154:R2154 P2157:R2157 P2160:R2160 P2163:R2163 P2166:R2166 P2169:R2169 P2172:R2172 P2175:R2175 P2178:R2178 P2181:R2181 P2186:R2186 P2189:R2189 P2192:R2192 P2195:R2195 P2198:R2198 P2201:R2201 P2204:R2204 P2207:R2207 P2210:R2210 P2213:R2213 P2218:R2218 P2221:R2221 P2224:R2224 P2227:R2227 P2230:R2230 P2233:R2233 P2236:R2236 P2239:R2239 P2242:R2242 P2245:R2245 P2250:R2250 P2253:R2253 P2256:R2256 P2259:R2259 P2262:R2262 P2265:R2265 P2268:R2268 P2271:R2271 P2274:R2274 P2277:R2277 P2282:R2282 P2285:R2285 P2288:R2288 P2291:R2291 P2294:R2294 P2297:R2297 P2300:R2300 P2303:R2303 P2306:R2306 P2309:R2309 P2314:R2314 P2317:R2317 P2320:R2320 P2323:R2323 P2326:R2326 P2329:R2329 P2332:R2332 P2335:R2335 P2338:R2338 P2341:R2341 P2346:R2346 P2349:R2349 P2352:R2352 P2355:R2355 P2358:R2358 P2361:R2361 P2364:R2364 P2367:R2367 P2370:R2370 P2373:R2373 P2378:R2378 P2381:R2381 P2384:R2384 P2387:R2387 P2390:R2390 P2393:R2393 P2396:R2396 P2399:R2399 P2402:R2402 P2405:R2405 P2410:R2410 P2413:R2413 P2416:R2416 P2419:R2419 P2422:R2422 P2425:R2425 P2428:R2428 P2431:R2431 P2434:R2434 P2437:R2437 P2442:R2442 P2445:R2445 P2448:R2448 P2451:R2451 P2454:R2454 P2457:R2457 P2460:R2460 P2463:R2463 P2466:R2466 P2469:R2469 P2474:R2474 P2477:R2477 P2480:R2480 P2483:R2483 P2486:R2486 P2489:R2489 P2492:R2492 P2495:R2495 P2498:R2498 P2501:R2501 P2506:R2506 P2509:R2509 P2512:R2512 P2515:R2515 P2518:R2518 P2521:R2521 P2524:R2524 P2527:R2527 P2530:R2530 P2533:R2533 P2570:R2570 P2573:R2573 P2576:R2576 P2579:R2579 P2582:R2582 P2585:R2585 P2588:R2588 P2591:R2591 P2596:R2596 P2599:R2599 P2602:R2602 P2605:R2605 P2610:R2610 P2613:R2613 P2618:R2618 P2621:R2621" showDropDown="0" showInputMessage="0" showErrorMessage="0" allowBlank="1" errorTitle="Ufficiale di campo non valido" error="Nominativo non presente nell'elenco del foglio UdC." type="list">
      <formula1>=UDC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"Arbitri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inlineStr">
        <is>
          <t>FUENTES Matteo [Aest]</t>
        </is>
      </c>
      <c r="E5" s="220" t="n"/>
      <c r="L5" s="64">
        <f>IF($D5="","",SUM(M5:O5))</f>
        <v/>
      </c>
      <c r="M5" s="64">
        <f>IF($D5="","",COUNTIF(DESIGNAZIONI!M$8:M$2629,$D5))</f>
        <v/>
      </c>
      <c r="N5" s="64">
        <f>IF($D5="","",COUNTIF(DESIGNAZIONI!N$8:N$2629,$D5))</f>
        <v/>
      </c>
      <c r="O5" s="64">
        <f>IF($D5="","",COUNTIF(DESIGNAZIONI!O$8:O$2629,$D5))</f>
        <v/>
      </c>
    </row>
    <row r="6">
      <c r="C6" s="224" t="n"/>
      <c r="D6" s="13" t="inlineStr">
        <is>
          <t>LANGER Marta [A]</t>
        </is>
      </c>
      <c r="E6" s="220" t="n"/>
      <c r="L6" s="64">
        <f>IF($D6="","",SUM(M6:O6))</f>
        <v/>
      </c>
      <c r="M6" s="64">
        <f>IF($D6="","",COUNTIF(DESIGNAZIONI!M$8:M$2629,$D6))</f>
        <v/>
      </c>
      <c r="N6" s="64">
        <f>IF($D6="","",COUNTIF(DESIGNAZIONI!N$8:N$2629,$D6))</f>
        <v/>
      </c>
      <c r="O6" s="64">
        <f>IF($D6="","",COUNTIF(DESIGNAZIONI!O$8:O$2629,$D6))</f>
        <v/>
      </c>
    </row>
    <row r="7">
      <c r="C7" s="224" t="n"/>
      <c r="D7" s="13" t="inlineStr">
        <is>
          <t>MODIC Chiara [AA]</t>
        </is>
      </c>
      <c r="E7" s="220" t="n"/>
      <c r="L7" s="64">
        <f>IF($D7="","",SUM(M7:O7))</f>
        <v/>
      </c>
      <c r="M7" s="64">
        <f>IF($D7="","",COUNTIF(DESIGNAZIONI!M$8:M$2629,$D7))</f>
        <v/>
      </c>
      <c r="N7" s="64">
        <f>IF($D7="","",COUNTIF(DESIGNAZIONI!N$8:N$2629,$D7))</f>
        <v/>
      </c>
      <c r="O7" s="64">
        <f>IF($D7="","",COUNTIF(DESIGNAZIONI!O$8:O$2629,$D7))</f>
        <v/>
      </c>
    </row>
    <row r="8">
      <c r="C8" s="224" t="n"/>
      <c r="D8" s="13" t="inlineStr">
        <is>
          <t>CARON Paolo [AA]</t>
        </is>
      </c>
      <c r="E8" s="220" t="n"/>
      <c r="L8" s="64">
        <f>IF($D8="","",SUM(M8:O8))</f>
        <v/>
      </c>
      <c r="M8" s="64">
        <f>IF($D8="","",COUNTIF(DESIGNAZIONI!M$8:M$2629,$D8))</f>
        <v/>
      </c>
      <c r="N8" s="64">
        <f>IF($D8="","",COUNTIF(DESIGNAZIONI!N$8:N$2629,$D8))</f>
        <v/>
      </c>
      <c r="O8" s="64">
        <f>IF($D8="","",COUNTIF(DESIGNAZIONI!O$8:O$2629,$D8))</f>
        <v/>
      </c>
    </row>
    <row r="9">
      <c r="C9" s="224" t="n"/>
      <c r="D9" s="13" t="inlineStr">
        <is>
          <t>BRANDT Stefano [AAt]</t>
        </is>
      </c>
      <c r="E9" s="220" t="n"/>
      <c r="L9" s="64">
        <f>IF($D9="","",SUM(M9:O9))</f>
        <v/>
      </c>
      <c r="M9" s="64">
        <f>IF($D9="","",COUNTIF(DESIGNAZIONI!M$8:M$2629,$D9))</f>
        <v/>
      </c>
      <c r="N9" s="64">
        <f>IF($D9="","",COUNTIF(DESIGNAZIONI!N$8:N$2629,$D9))</f>
        <v/>
      </c>
      <c r="O9" s="64">
        <f>IF($D9="","",COUNTIF(DESIGNAZIONI!O$8:O$2629,$D9))</f>
        <v/>
      </c>
    </row>
    <row r="10">
      <c r="C10" s="224" t="n"/>
      <c r="D10" s="13" t="inlineStr">
        <is>
          <t>AUBERT Filippo [AA]</t>
        </is>
      </c>
      <c r="E10" s="220" t="n"/>
      <c r="L10" s="64">
        <f>IF($D10="","",SUM(M10:O10))</f>
        <v/>
      </c>
      <c r="M10" s="64">
        <f>IF($D10="","",COUNTIF(DESIGNAZIONI!M$8:M$2629,$D10))</f>
        <v/>
      </c>
      <c r="N10" s="64">
        <f>IF($D10="","",COUNTIF(DESIGNAZIONI!N$8:N$2629,$D10))</f>
        <v/>
      </c>
      <c r="O10" s="64">
        <f>IF($D10="","",COUNTIF(DESIGNAZIONI!O$8:O$2629,$D10))</f>
        <v/>
      </c>
    </row>
    <row r="11">
      <c r="C11" s="224" t="n"/>
      <c r="D11" s="13" t="inlineStr">
        <is>
          <t>MARCHIONI Matteo [AAt]</t>
        </is>
      </c>
      <c r="E11" s="220" t="n"/>
      <c r="L11" s="64">
        <f>IF($D11="","",SUM(M11:O11))</f>
        <v/>
      </c>
      <c r="M11" s="64">
        <f>IF($D11="","",COUNTIF(DESIGNAZIONI!M$8:M$2629,$D11))</f>
        <v/>
      </c>
      <c r="N11" s="64">
        <f>IF($D11="","",COUNTIF(DESIGNAZIONI!N$8:N$2629,$D11))</f>
        <v/>
      </c>
      <c r="O11" s="64">
        <f>IF($D11="","",COUNTIF(DESIGNAZIONI!O$8:O$2629,$D11))</f>
        <v/>
      </c>
    </row>
    <row r="12">
      <c r="C12" s="224" t="n"/>
      <c r="D12" s="13" t="inlineStr">
        <is>
          <t>NAVARRO Matteo [AA]</t>
        </is>
      </c>
      <c r="E12" s="220" t="n"/>
      <c r="L12" s="64">
        <f>IF($D12="","",SUM(M12:O12))</f>
        <v/>
      </c>
      <c r="M12" s="64">
        <f>IF($D12="","",COUNTIF(DESIGNAZIONI!M$8:M$2629,$D12))</f>
        <v/>
      </c>
      <c r="N12" s="64">
        <f>IF($D12="","",COUNTIF(DESIGNAZIONI!N$8:N$2629,$D12))</f>
        <v/>
      </c>
      <c r="O12" s="64">
        <f>IF($D12="","",COUNTIF(DESIGNAZIONI!O$8:O$2629,$D12))</f>
        <v/>
      </c>
    </row>
    <row r="13">
      <c r="C13" s="224" t="n"/>
      <c r="D13" s="13" t="inlineStr">
        <is>
          <t>FOURNIER Tommaso [AA]</t>
        </is>
      </c>
      <c r="E13" s="220" t="n"/>
      <c r="L13" s="64">
        <f>IF($D13="","",SUM(M13:O13))</f>
        <v/>
      </c>
      <c r="M13" s="64">
        <f>IF($D13="","",COUNTIF(DESIGNAZIONI!M$8:M$2629,$D13))</f>
        <v/>
      </c>
      <c r="N13" s="64">
        <f>IF($D13="","",COUNTIF(DESIGNAZIONI!N$8:N$2629,$D13))</f>
        <v/>
      </c>
      <c r="O13" s="64">
        <f>IF($D13="","",COUNTIF(DESIGNAZIONI!O$8:O$2629,$D13))</f>
        <v/>
      </c>
    </row>
    <row r="14">
      <c r="C14" s="224" t="n"/>
      <c r="D14" s="13" t="inlineStr">
        <is>
          <t>MODIC Katrin [A]</t>
        </is>
      </c>
      <c r="E14" s="220" t="n"/>
      <c r="L14" s="64">
        <f>IF($D14="","",SUM(M14:O14))</f>
        <v/>
      </c>
      <c r="M14" s="64">
        <f>IF($D14="","",COUNTIF(DESIGNAZIONI!M$8:M$2629,$D14))</f>
        <v/>
      </c>
      <c r="N14" s="64">
        <f>IF($D14="","",COUNTIF(DESIGNAZIONI!N$8:N$2629,$D14))</f>
        <v/>
      </c>
      <c r="O14" s="64">
        <f>IF($D14="","",COUNTIF(DESIGNAZIONI!O$8:O$2629,$D14))</f>
        <v/>
      </c>
    </row>
    <row r="15">
      <c r="C15" s="224" t="n"/>
      <c r="D15" s="13" t="inlineStr">
        <is>
          <t>LEROUX Lea [Aest]</t>
        </is>
      </c>
      <c r="E15" s="220" t="n"/>
      <c r="L15" s="64">
        <f>IF($D15="","",SUM(M15:O15))</f>
        <v/>
      </c>
      <c r="M15" s="64">
        <f>IF($D15="","",COUNTIF(DESIGNAZIONI!M$8:M$2629,$D15))</f>
        <v/>
      </c>
      <c r="N15" s="64">
        <f>IF($D15="","",COUNTIF(DESIGNAZIONI!N$8:N$2629,$D15))</f>
        <v/>
      </c>
      <c r="O15" s="64">
        <f>IF($D15="","",COUNTIF(DESIGNAZIONI!O$8:O$2629,$D15))</f>
        <v/>
      </c>
    </row>
    <row r="16">
      <c r="C16" s="224" t="n"/>
      <c r="D16" s="13" t="inlineStr">
        <is>
          <t>KRUGER Sofia [A]</t>
        </is>
      </c>
      <c r="E16" s="220" t="n"/>
      <c r="L16" s="64">
        <f>IF($D16="","",SUM(M16:O16))</f>
        <v/>
      </c>
      <c r="M16" s="64">
        <f>IF($D16="","",COUNTIF(DESIGNAZIONI!M$8:M$2629,$D16))</f>
        <v/>
      </c>
      <c r="N16" s="64">
        <f>IF($D16="","",COUNTIF(DESIGNAZIONI!N$8:N$2629,$D16))</f>
        <v/>
      </c>
      <c r="O16" s="64">
        <f>IF($D16="","",COUNTIF(DESIGNAZIONI!O$8:O$2629,$D16))</f>
        <v/>
      </c>
    </row>
    <row r="17">
      <c r="C17" s="224" t="n"/>
      <c r="D17" s="13" t="inlineStr">
        <is>
          <t>BIANCHELLI Paolo [AA]</t>
        </is>
      </c>
      <c r="E17" s="220" t="n"/>
      <c r="L17" s="64">
        <f>IF($D17="","",SUM(M17:O17))</f>
        <v/>
      </c>
      <c r="M17" s="64">
        <f>IF($D17="","",COUNTIF(DESIGNAZIONI!M$8:M$2629,$D17))</f>
        <v/>
      </c>
      <c r="N17" s="64">
        <f>IF($D17="","",COUNTIF(DESIGNAZIONI!N$8:N$2629,$D17))</f>
        <v/>
      </c>
      <c r="O17" s="64">
        <f>IF($D17="","",COUNTIF(DESIGNAZIONI!O$8:O$2629,$D17))</f>
        <v/>
      </c>
    </row>
    <row r="18">
      <c r="C18" s="224" t="n"/>
      <c r="D18" s="13" t="inlineStr">
        <is>
          <t>KRAJNC Marta [Aest]</t>
        </is>
      </c>
      <c r="E18" s="220" t="n"/>
      <c r="L18" s="64">
        <f>IF($D18="","",SUM(M18:O18))</f>
        <v/>
      </c>
      <c r="M18" s="64">
        <f>IF($D18="","",COUNTIF(DESIGNAZIONI!M$8:M$2629,$D18))</f>
        <v/>
      </c>
      <c r="N18" s="64">
        <f>IF($D18="","",COUNTIF(DESIGNAZIONI!N$8:N$2629,$D18))</f>
        <v/>
      </c>
      <c r="O18" s="64">
        <f>IF($D18="","",COUNTIF(DESIGNAZIONI!O$8:O$2629,$D18))</f>
        <v/>
      </c>
    </row>
    <row r="19">
      <c r="C19" s="224" t="n"/>
      <c r="D19" s="13" t="inlineStr">
        <is>
          <t>SOLER Stefano [A]</t>
        </is>
      </c>
      <c r="E19" s="220" t="n"/>
      <c r="L19" s="64">
        <f>IF($D19="","",SUM(M19:O19))</f>
        <v/>
      </c>
      <c r="M19" s="64">
        <f>IF($D19="","",COUNTIF(DESIGNAZIONI!M$8:M$2629,$D19))</f>
        <v/>
      </c>
      <c r="N19" s="64">
        <f>IF($D19="","",COUNTIF(DESIGNAZIONI!N$8:N$2629,$D19))</f>
        <v/>
      </c>
      <c r="O19" s="64">
        <f>IF($D19="","",COUNTIF(DESIGNAZIONI!O$8:O$2629,$D19))</f>
        <v/>
      </c>
    </row>
    <row r="20">
      <c r="C20" s="224" t="n"/>
      <c r="D20" s="13" t="inlineStr">
        <is>
          <t>MARCHIONI Lea [AAt]</t>
        </is>
      </c>
      <c r="E20" s="220" t="n"/>
      <c r="L20" s="64">
        <f>IF($D20="","",SUM(M20:O20))</f>
        <v/>
      </c>
      <c r="M20" s="64">
        <f>IF($D20="","",COUNTIF(DESIGNAZIONI!M$8:M$2629,$D20))</f>
        <v/>
      </c>
      <c r="N20" s="64">
        <f>IF($D20="","",COUNTIF(DESIGNAZIONI!N$8:N$2629,$D20))</f>
        <v/>
      </c>
      <c r="O20" s="64">
        <f>IF($D20="","",COUNTIF(DESIGNAZIONI!O$8:O$2629,$D20))</f>
        <v/>
      </c>
    </row>
    <row r="21">
      <c r="C21" s="224" t="n"/>
      <c r="D21" s="13" t="inlineStr">
        <is>
          <t>MODIC Lukas [AAt]</t>
        </is>
      </c>
      <c r="E21" s="220" t="n"/>
      <c r="L21" s="64">
        <f>IF($D21="","",SUM(M21:O21))</f>
        <v/>
      </c>
      <c r="M21" s="64">
        <f>IF($D21="","",COUNTIF(DESIGNAZIONI!M$8:M$2629,$D21))</f>
        <v/>
      </c>
      <c r="N21" s="64">
        <f>IF($D21="","",COUNTIF(DESIGNAZIONI!N$8:N$2629,$D21))</f>
        <v/>
      </c>
      <c r="O21" s="64">
        <f>IF($D21="","",COUNTIF(DESIGNAZIONI!O$8:O$2629,$D21))</f>
        <v/>
      </c>
    </row>
    <row r="22">
      <c r="C22" s="224" t="n"/>
      <c r="D22" s="13" t="inlineStr">
        <is>
          <t>PRADO Eva [AAt]</t>
        </is>
      </c>
      <c r="E22" s="220" t="n"/>
      <c r="L22" s="64">
        <f>IF($D22="","",SUM(M22:O22))</f>
        <v/>
      </c>
      <c r="M22" s="64">
        <f>IF($D22="","",COUNTIF(DESIGNAZIONI!M$8:M$2629,$D22))</f>
        <v/>
      </c>
      <c r="N22" s="64">
        <f>IF($D22="","",COUNTIF(DESIGNAZIONI!N$8:N$2629,$D22))</f>
        <v/>
      </c>
      <c r="O22" s="64">
        <f>IF($D22="","",COUNTIF(DESIGNAZIONI!O$8:O$2629,$D22))</f>
        <v/>
      </c>
    </row>
    <row r="23">
      <c r="C23" s="224" t="n"/>
      <c r="D23" s="13" t="inlineStr">
        <is>
          <t>HORVAT Lea [A]</t>
        </is>
      </c>
      <c r="E23" s="220" t="n"/>
      <c r="L23" s="64">
        <f>IF($D23="","",SUM(M23:O23))</f>
        <v/>
      </c>
      <c r="M23" s="64">
        <f>IF($D23="","",COUNTIF(DESIGNAZIONI!M$8:M$2629,$D23))</f>
        <v/>
      </c>
      <c r="N23" s="64">
        <f>IF($D23="","",COUNTIF(DESIGNAZIONI!N$8:N$2629,$D23))</f>
        <v/>
      </c>
      <c r="O23" s="64">
        <f>IF($D23="","",COUNTIF(DESIGNAZIONI!O$8:O$2629,$D23))</f>
        <v/>
      </c>
    </row>
    <row r="24">
      <c r="C24" s="224" t="n"/>
      <c r="D24" s="13" t="inlineStr">
        <is>
          <t>ROMERO Elena [A]</t>
        </is>
      </c>
      <c r="E24" s="220" t="n"/>
      <c r="L24" s="64">
        <f>IF($D24="","",SUM(M24:O24))</f>
        <v/>
      </c>
      <c r="M24" s="64">
        <f>IF($D24="","",COUNTIF(DESIGNAZIONI!M$8:M$2629,$D24))</f>
        <v/>
      </c>
      <c r="N24" s="64">
        <f>IF($D24="","",COUNTIF(DESIGNAZIONI!N$8:N$2629,$D24))</f>
        <v/>
      </c>
      <c r="O24" s="64">
        <f>IF($D24="","",COUNTIF(DESIGNAZIONI!O$8:O$2629,$D24))</f>
        <v/>
      </c>
    </row>
    <row r="25">
      <c r="C25" s="224" t="n"/>
      <c r="D25" s="13" t="inlineStr">
        <is>
          <t>PRADO Giulia [AAt]</t>
        </is>
      </c>
      <c r="E25" s="220" t="n"/>
      <c r="L25" s="64">
        <f>IF($D25="","",SUM(M25:O25))</f>
        <v/>
      </c>
      <c r="M25" s="64">
        <f>IF($D25="","",COUNTIF(DESIGNAZIONI!M$8:M$2629,$D25))</f>
        <v/>
      </c>
      <c r="N25" s="64">
        <f>IF($D25="","",COUNTIF(DESIGNAZIONI!N$8:N$2629,$D25))</f>
        <v/>
      </c>
      <c r="O25" s="64">
        <f>IF($D25="","",COUNTIF(DESIGNAZIONI!O$8:O$2629,$D25))</f>
        <v/>
      </c>
    </row>
    <row r="26">
      <c r="C26" s="224" t="n"/>
      <c r="D26" s="13" t="inlineStr">
        <is>
          <t>SANTORI Sofia [AA]</t>
        </is>
      </c>
      <c r="E26" s="220" t="n"/>
      <c r="L26" s="64">
        <f>IF($D26="","",SUM(M26:O26))</f>
        <v/>
      </c>
      <c r="M26" s="64">
        <f>IF($D26="","",COUNTIF(DESIGNAZIONI!M$8:M$2629,$D26))</f>
        <v/>
      </c>
      <c r="N26" s="64">
        <f>IF($D26="","",COUNTIF(DESIGNAZIONI!N$8:N$2629,$D26))</f>
        <v/>
      </c>
      <c r="O26" s="64">
        <f>IF($D26="","",COUNTIF(DESIGNAZIONI!O$8:O$2629,$D26))</f>
        <v/>
      </c>
    </row>
    <row r="27">
      <c r="C27" s="224" t="n"/>
      <c r="D27" s="13" t="inlineStr">
        <is>
          <t>CAMPOS Miha [Aest]</t>
        </is>
      </c>
      <c r="E27" s="220" t="n"/>
      <c r="L27" s="64">
        <f>IF($D27="","",SUM(M27:O27))</f>
        <v/>
      </c>
      <c r="M27" s="64">
        <f>IF($D27="","",COUNTIF(DESIGNAZIONI!M$8:M$2629,$D27))</f>
        <v/>
      </c>
      <c r="N27" s="64">
        <f>IF($D27="","",COUNTIF(DESIGNAZIONI!N$8:N$2629,$D27))</f>
        <v/>
      </c>
      <c r="O27" s="64">
        <f>IF($D27="","",COUNTIF(DESIGNAZIONI!O$8:O$2629,$D27))</f>
        <v/>
      </c>
    </row>
    <row r="28">
      <c r="C28" s="224" t="n"/>
      <c r="D28" s="13" t="inlineStr">
        <is>
          <t>ROSSINI Irene [AA]</t>
        </is>
      </c>
      <c r="E28" s="220" t="n"/>
      <c r="L28" s="64">
        <f>IF($D28="","",SUM(M28:O28))</f>
        <v/>
      </c>
      <c r="M28" s="64">
        <f>IF($D28="","",COUNTIF(DESIGNAZIONI!M$8:M$2629,$D28))</f>
        <v/>
      </c>
      <c r="N28" s="64">
        <f>IF($D28="","",COUNTIF(DESIGNAZIONI!N$8:N$2629,$D28))</f>
        <v/>
      </c>
      <c r="O28" s="64">
        <f>IF($D28="","",COUNTIF(DESIGNAZIONI!O$8:O$2629,$D28))</f>
        <v/>
      </c>
    </row>
    <row r="29">
      <c r="C29" s="224" t="n"/>
      <c r="D29" s="13" t="inlineStr">
        <is>
          <t>BLANCHET Anja [AA]</t>
        </is>
      </c>
      <c r="E29" s="220" t="n"/>
      <c r="L29" s="64">
        <f>IF($D29="","",SUM(M29:O29))</f>
        <v/>
      </c>
      <c r="M29" s="64">
        <f>IF($D29="","",COUNTIF(DESIGNAZIONI!M$8:M$2629,$D29))</f>
        <v/>
      </c>
      <c r="N29" s="64">
        <f>IF($D29="","",COUNTIF(DESIGNAZIONI!N$8:N$2629,$D29))</f>
        <v/>
      </c>
      <c r="O29" s="64">
        <f>IF($D29="","",COUNTIF(DESIGNAZIONI!O$8:O$2629,$D29))</f>
        <v/>
      </c>
    </row>
    <row r="30">
      <c r="C30" s="224" t="n"/>
      <c r="D30" s="13" t="inlineStr">
        <is>
          <t>GALLINI Valerie [AA]</t>
        </is>
      </c>
      <c r="E30" s="220" t="n"/>
      <c r="L30" s="64">
        <f>IF($D30="","",SUM(M30:O30))</f>
        <v/>
      </c>
      <c r="M30" s="64">
        <f>IF($D30="","",COUNTIF(DESIGNAZIONI!M$8:M$2629,$D30))</f>
        <v/>
      </c>
      <c r="N30" s="64">
        <f>IF($D30="","",COUNTIF(DESIGNAZIONI!N$8:N$2629,$D30))</f>
        <v/>
      </c>
      <c r="O30" s="64">
        <f>IF($D30="","",COUNTIF(DESIGNAZIONI!O$8:O$2629,$D30))</f>
        <v/>
      </c>
    </row>
    <row r="31">
      <c r="C31" s="224" t="n"/>
      <c r="D31" s="13" t="inlineStr">
        <is>
          <t>SCHAFER Giulia [AA]</t>
        </is>
      </c>
      <c r="E31" s="220" t="n"/>
      <c r="L31" s="64">
        <f>IF($D31="","",SUM(M31:O31))</f>
        <v/>
      </c>
      <c r="M31" s="64">
        <f>IF($D31="","",COUNTIF(DESIGNAZIONI!M$8:M$2629,$D31))</f>
        <v/>
      </c>
      <c r="N31" s="64">
        <f>IF($D31="","",COUNTIF(DESIGNAZIONI!N$8:N$2629,$D31))</f>
        <v/>
      </c>
      <c r="O31" s="64">
        <f>IF($D31="","",COUNTIF(DESIGNAZIONI!O$8:O$2629,$D31))</f>
        <v/>
      </c>
    </row>
    <row r="32">
      <c r="C32" s="224" t="n"/>
      <c r="D32" s="13" t="inlineStr">
        <is>
          <t>IGLESIAS Jonas [AAt]</t>
        </is>
      </c>
      <c r="E32" s="220" t="n"/>
      <c r="L32" s="64">
        <f>IF($D32="","",SUM(M32:O32))</f>
        <v/>
      </c>
      <c r="M32" s="64">
        <f>IF($D32="","",COUNTIF(DESIGNAZIONI!M$8:M$2629,$D32))</f>
        <v/>
      </c>
      <c r="N32" s="64">
        <f>IF($D32="","",COUNTIF(DESIGNAZIONI!N$8:N$2629,$D32))</f>
        <v/>
      </c>
      <c r="O32" s="64">
        <f>IF($D32="","",COUNTIF(DESIGNAZIONI!O$8:O$2629,$D32))</f>
        <v/>
      </c>
    </row>
    <row r="33">
      <c r="C33" s="224" t="n"/>
      <c r="D33" s="13" t="inlineStr">
        <is>
          <t>KELLER Andrea [Aest]</t>
        </is>
      </c>
      <c r="E33" s="220" t="n"/>
      <c r="L33" s="64">
        <f>IF($D33="","",SUM(M33:O33))</f>
        <v/>
      </c>
      <c r="M33" s="64">
        <f>IF($D33="","",COUNTIF(DESIGNAZIONI!M$8:M$2629,$D33))</f>
        <v/>
      </c>
      <c r="N33" s="64">
        <f>IF($D33="","",COUNTIF(DESIGNAZIONI!N$8:N$2629,$D33))</f>
        <v/>
      </c>
      <c r="O33" s="64">
        <f>IF($D33="","",COUNTIF(DESIGNAZIONI!O$8:O$2629,$D33))</f>
        <v/>
      </c>
    </row>
    <row r="34">
      <c r="C34" s="224" t="n"/>
      <c r="D34" s="13" t="inlineStr">
        <is>
          <t>ENGEL Gaelle [AAt]</t>
        </is>
      </c>
      <c r="E34" s="220" t="n"/>
      <c r="L34" s="64">
        <f>IF($D34="","",SUM(M34:O34))</f>
        <v/>
      </c>
      <c r="M34" s="64">
        <f>IF($D34="","",COUNTIF(DESIGNAZIONI!M$8:M$2629,$D34))</f>
        <v/>
      </c>
      <c r="N34" s="64">
        <f>IF($D34="","",COUNTIF(DESIGNAZIONI!N$8:N$2629,$D34))</f>
        <v/>
      </c>
      <c r="O34" s="64">
        <f>IF($D34="","",COUNTIF(DESIGNAZIONI!O$8:O$2629,$D34))</f>
        <v/>
      </c>
    </row>
    <row r="35">
      <c r="C35" s="224" t="n"/>
      <c r="D35" s="13" t="inlineStr">
        <is>
          <t>KELLER Felix [AAt]</t>
        </is>
      </c>
      <c r="E35" s="220" t="n"/>
      <c r="L35" s="64">
        <f>IF($D35="","",SUM(M35:O35))</f>
        <v/>
      </c>
      <c r="M35" s="64">
        <f>IF($D35="","",COUNTIF(DESIGNAZIONI!M$8:M$2629,$D35))</f>
        <v/>
      </c>
      <c r="N35" s="64">
        <f>IF($D35="","",COUNTIF(DESIGNAZIONI!N$8:N$2629,$D35))</f>
        <v/>
      </c>
      <c r="O35" s="64">
        <f>IF($D35="","",COUNTIF(DESIGNAZIONI!O$8:O$2629,$D35))</f>
        <v/>
      </c>
    </row>
    <row r="36">
      <c r="C36" s="224" t="n"/>
      <c r="D36" s="13" t="inlineStr">
        <is>
          <t>VALLET Martina [Aest]</t>
        </is>
      </c>
      <c r="E36" s="220" t="n"/>
      <c r="L36" s="64">
        <f>IF($D36="","",SUM(M36:O36))</f>
        <v/>
      </c>
      <c r="M36" s="64">
        <f>IF($D36="","",COUNTIF(DESIGNAZIONI!M$8:M$2629,$D36))</f>
        <v/>
      </c>
      <c r="N36" s="64">
        <f>IF($D36="","",COUNTIF(DESIGNAZIONI!N$8:N$2629,$D36))</f>
        <v/>
      </c>
      <c r="O36" s="64">
        <f>IF($D36="","",COUNTIF(DESIGNAZIONI!O$8:O$2629,$D36))</f>
        <v/>
      </c>
    </row>
    <row r="37">
      <c r="C37" s="224" t="n"/>
      <c r="D37" s="13" t="inlineStr">
        <is>
          <t>CARON Alenka [AAt]</t>
        </is>
      </c>
      <c r="E37" s="220" t="n"/>
      <c r="L37" s="64">
        <f>IF($D37="","",SUM(M37:O37))</f>
        <v/>
      </c>
      <c r="M37" s="64">
        <f>IF($D37="","",COUNTIF(DESIGNAZIONI!M$8:M$2629,$D37))</f>
        <v/>
      </c>
      <c r="N37" s="64">
        <f>IF($D37="","",COUNTIF(DESIGNAZIONI!N$8:N$2629,$D37))</f>
        <v/>
      </c>
      <c r="O37" s="64">
        <f>IF($D37="","",COUNTIF(DESIGNAZIONI!O$8:O$2629,$D37))</f>
        <v/>
      </c>
    </row>
    <row r="38">
      <c r="C38" s="224" t="n"/>
      <c r="D38" s="13" t="inlineStr">
        <is>
          <t>CONTARDI Beatrice [AAt]</t>
        </is>
      </c>
      <c r="E38" s="220" t="n"/>
      <c r="L38" s="64">
        <f>IF($D38="","",SUM(M38:O38))</f>
        <v/>
      </c>
      <c r="M38" s="64">
        <f>IF($D38="","",COUNTIF(DESIGNAZIONI!M$8:M$2629,$D38))</f>
        <v/>
      </c>
      <c r="N38" s="64">
        <f>IF($D38="","",COUNTIF(DESIGNAZIONI!N$8:N$2629,$D38))</f>
        <v/>
      </c>
      <c r="O38" s="64">
        <f>IF($D38="","",COUNTIF(DESIGNAZIONI!O$8:O$2629,$D38))</f>
        <v/>
      </c>
    </row>
    <row r="39">
      <c r="C39" s="224" t="n"/>
      <c r="D39" s="13" t="inlineStr">
        <is>
          <t>LANGER Valerie [Aest]</t>
        </is>
      </c>
      <c r="E39" s="220" t="n"/>
      <c r="L39" s="64">
        <f>IF($D39="","",SUM(M39:O39))</f>
        <v/>
      </c>
      <c r="M39" s="64">
        <f>IF($D39="","",COUNTIF(DESIGNAZIONI!M$8:M$2629,$D39))</f>
        <v/>
      </c>
      <c r="N39" s="64">
        <f>IF($D39="","",COUNTIF(DESIGNAZIONI!N$8:N$2629,$D39))</f>
        <v/>
      </c>
      <c r="O39" s="64">
        <f>IF($D39="","",COUNTIF(DESIGNAZIONI!O$8:O$2629,$D39))</f>
        <v/>
      </c>
    </row>
    <row r="40">
      <c r="C40" s="224" t="n"/>
      <c r="D40" s="13" t="inlineStr">
        <is>
          <t>NADAUD Elena [AA]</t>
        </is>
      </c>
      <c r="E40" s="220" t="n"/>
      <c r="L40" s="64">
        <f>IF($D40="","",SUM(M40:O40))</f>
        <v/>
      </c>
      <c r="M40" s="64">
        <f>IF($D40="","",COUNTIF(DESIGNAZIONI!M$8:M$2629,$D40))</f>
        <v/>
      </c>
      <c r="N40" s="64">
        <f>IF($D40="","",COUNTIF(DESIGNAZIONI!N$8:N$2629,$D40))</f>
        <v/>
      </c>
      <c r="O40" s="64">
        <f>IF($D40="","",COUNTIF(DESIGNAZIONI!O$8:O$2629,$D40))</f>
        <v/>
      </c>
    </row>
    <row r="41">
      <c r="C41" s="224" t="n"/>
      <c r="D41" s="13" t="inlineStr">
        <is>
          <t>LANGER Hugo [AA]</t>
        </is>
      </c>
      <c r="E41" s="220" t="n"/>
      <c r="L41" s="64">
        <f>IF($D41="","",SUM(M41:O41))</f>
        <v/>
      </c>
      <c r="M41" s="64">
        <f>IF($D41="","",COUNTIF(DESIGNAZIONI!M$8:M$2629,$D41))</f>
        <v/>
      </c>
      <c r="N41" s="64">
        <f>IF($D41="","",COUNTIF(DESIGNAZIONI!N$8:N$2629,$D41))</f>
        <v/>
      </c>
      <c r="O41" s="64">
        <f>IF($D41="","",COUNTIF(DESIGNAZIONI!O$8:O$2629,$D41))</f>
        <v/>
      </c>
    </row>
    <row r="42">
      <c r="C42" s="224" t="n"/>
      <c r="D42" s="13" t="inlineStr">
        <is>
          <t>IGLESIAS Chiara [AAt]</t>
        </is>
      </c>
      <c r="E42" s="220" t="n"/>
      <c r="L42" s="64">
        <f>IF($D42="","",SUM(M42:O42))</f>
        <v/>
      </c>
      <c r="M42" s="64">
        <f>IF($D42="","",COUNTIF(DESIGNAZIONI!M$8:M$2629,$D42))</f>
        <v/>
      </c>
      <c r="N42" s="64">
        <f>IF($D42="","",COUNTIF(DESIGNAZIONI!N$8:N$2629,$D42))</f>
        <v/>
      </c>
      <c r="O42" s="64">
        <f>IF($D42="","",COUNTIF(DESIGNAZIONI!O$8:O$2629,$D42))</f>
        <v/>
      </c>
    </row>
    <row r="43">
      <c r="C43" s="224" t="n"/>
      <c r="D43" s="13" t="inlineStr">
        <is>
          <t>ROSSINI Chiara [AAt]</t>
        </is>
      </c>
      <c r="E43" s="220" t="n"/>
      <c r="L43" s="64">
        <f>IF($D43="","",SUM(M43:O43))</f>
        <v/>
      </c>
      <c r="M43" s="64">
        <f>IF($D43="","",COUNTIF(DESIGNAZIONI!M$8:M$2629,$D43))</f>
        <v/>
      </c>
      <c r="N43" s="64">
        <f>IF($D43="","",COUNTIF(DESIGNAZIONI!N$8:N$2629,$D43))</f>
        <v/>
      </c>
      <c r="O43" s="64">
        <f>IF($D43="","",COUNTIF(DESIGNAZIONI!O$8:O$2629,$D43))</f>
        <v/>
      </c>
    </row>
    <row r="44">
      <c r="C44" s="224" t="n"/>
      <c r="D44" s="13" t="inlineStr">
        <is>
          <t>KRAJNC Elena [AA]</t>
        </is>
      </c>
      <c r="E44" s="220" t="n"/>
      <c r="L44" s="64">
        <f>IF($D44="","",SUM(M44:O44))</f>
        <v/>
      </c>
      <c r="M44" s="64">
        <f>IF($D44="","",COUNTIF(DESIGNAZIONI!M$8:M$2629,$D44))</f>
        <v/>
      </c>
      <c r="N44" s="64">
        <f>IF($D44="","",COUNTIF(DESIGNAZIONI!N$8:N$2629,$D44))</f>
        <v/>
      </c>
      <c r="O44" s="64">
        <f>IF($D44="","",COUNTIF(DESIGNAZIONI!O$8:O$2629,$D44))</f>
        <v/>
      </c>
    </row>
    <row r="45">
      <c r="C45" s="224" t="n"/>
      <c r="D45" s="13" t="inlineStr">
        <is>
          <t>BLANCHET Giulia [AA]</t>
        </is>
      </c>
      <c r="E45" s="220" t="n"/>
      <c r="L45" s="64">
        <f>IF($D45="","",SUM(M45:O45))</f>
        <v/>
      </c>
      <c r="M45" s="64">
        <f>IF($D45="","",COUNTIF(DESIGNAZIONI!M$8:M$2629,$D45))</f>
        <v/>
      </c>
      <c r="N45" s="64">
        <f>IF($D45="","",COUNTIF(DESIGNAZIONI!N$8:N$2629,$D45))</f>
        <v/>
      </c>
      <c r="O45" s="64">
        <f>IF($D45="","",COUNTIF(DESIGNAZIONI!O$8:O$2629,$D45))</f>
        <v/>
      </c>
    </row>
    <row r="46">
      <c r="C46" s="224" t="n"/>
      <c r="D46" s="13" t="inlineStr">
        <is>
          <t>VALLET Felix [A]</t>
        </is>
      </c>
      <c r="E46" s="220" t="n"/>
      <c r="L46" s="64">
        <f>IF($D46="","",SUM(M46:O46))</f>
        <v/>
      </c>
      <c r="M46" s="64">
        <f>IF($D46="","",COUNTIF(DESIGNAZIONI!M$8:M$2629,$D46))</f>
        <v/>
      </c>
      <c r="N46" s="64">
        <f>IF($D46="","",COUNTIF(DESIGNAZIONI!N$8:N$2629,$D46))</f>
        <v/>
      </c>
      <c r="O46" s="64">
        <f>IF($D46="","",COUNTIF(DESIGNAZIONI!O$8:O$2629,$D46))</f>
        <v/>
      </c>
    </row>
    <row r="47">
      <c r="C47" s="224" t="n"/>
      <c r="D47" s="13" t="inlineStr">
        <is>
          <t>BELLANDI Paula [A]</t>
        </is>
      </c>
      <c r="E47" s="220" t="n"/>
      <c r="L47" s="64">
        <f>IF($D47="","",SUM(M47:O47))</f>
        <v/>
      </c>
      <c r="M47" s="64">
        <f>IF($D47="","",COUNTIF(DESIGNAZIONI!M$8:M$2629,$D47))</f>
        <v/>
      </c>
      <c r="N47" s="64">
        <f>IF($D47="","",COUNTIF(DESIGNAZIONI!N$8:N$2629,$D47))</f>
        <v/>
      </c>
      <c r="O47" s="64">
        <f>IF($D47="","",COUNTIF(DESIGNAZIONI!O$8:O$2629,$D47))</f>
        <v/>
      </c>
    </row>
    <row r="48">
      <c r="C48" s="224" t="n"/>
      <c r="D48" s="13" t="inlineStr">
        <is>
          <t>NOVAK Felix [A]</t>
        </is>
      </c>
      <c r="E48" s="220" t="n"/>
      <c r="L48" s="64">
        <f>IF($D48="","",SUM(M48:O48))</f>
        <v/>
      </c>
      <c r="M48" s="64">
        <f>IF($D48="","",COUNTIF(DESIGNAZIONI!M$8:M$2629,$D48))</f>
        <v/>
      </c>
      <c r="N48" s="64">
        <f>IF($D48="","",COUNTIF(DESIGNAZIONI!N$8:N$2629,$D48))</f>
        <v/>
      </c>
      <c r="O48" s="64">
        <f>IF($D48="","",COUNTIF(DESIGNAZIONI!O$8:O$2629,$D48))</f>
        <v/>
      </c>
    </row>
    <row r="49">
      <c r="C49" s="224" t="n"/>
      <c r="D49" s="13" t="inlineStr">
        <is>
          <t>VOGEL Beatrice [AAt]</t>
        </is>
      </c>
      <c r="E49" s="220" t="n"/>
      <c r="L49" s="64">
        <f>IF($D49="","",SUM(M49:O49))</f>
        <v/>
      </c>
      <c r="M49" s="64">
        <f>IF($D49="","",COUNTIF(DESIGNAZIONI!M$8:M$2629,$D49))</f>
        <v/>
      </c>
      <c r="N49" s="64">
        <f>IF($D49="","",COUNTIF(DESIGNAZIONI!N$8:N$2629,$D49))</f>
        <v/>
      </c>
      <c r="O49" s="64">
        <f>IF($D49="","",COUNTIF(DESIGNAZIONI!O$8:O$2629,$D49))</f>
        <v/>
      </c>
    </row>
    <row r="50">
      <c r="C50" s="224" t="n"/>
      <c r="D50" s="13" t="inlineStr">
        <is>
          <t>SANTORI Chiara [A]</t>
        </is>
      </c>
      <c r="E50" s="220" t="n"/>
      <c r="L50" s="64">
        <f>IF($D50="","",SUM(M50:O50))</f>
        <v/>
      </c>
      <c r="M50" s="64">
        <f>IF($D50="","",COUNTIF(DESIGNAZIONI!M$8:M$2629,$D50))</f>
        <v/>
      </c>
      <c r="N50" s="64">
        <f>IF($D50="","",COUNTIF(DESIGNAZIONI!N$8:N$2629,$D50))</f>
        <v/>
      </c>
      <c r="O50" s="64">
        <f>IF($D50="","",COUNTIF(DESIGNAZIONI!O$8:O$2629,$D50))</f>
        <v/>
      </c>
    </row>
    <row r="51">
      <c r="C51" s="224" t="n"/>
      <c r="D51" s="13" t="inlineStr">
        <is>
          <t>FUENTES Lukas [Aest]</t>
        </is>
      </c>
      <c r="E51" s="220" t="n"/>
      <c r="L51" s="64">
        <f>IF($D51="","",SUM(M51:O51))</f>
        <v/>
      </c>
      <c r="M51" s="64">
        <f>IF($D51="","",COUNTIF(DESIGNAZIONI!M$8:M$2629,$D51))</f>
        <v/>
      </c>
      <c r="N51" s="64">
        <f>IF($D51="","",COUNTIF(DESIGNAZIONI!N$8:N$2629,$D51))</f>
        <v/>
      </c>
      <c r="O51" s="64">
        <f>IF($D51="","",COUNTIF(DESIGNAZIONI!O$8:O$2629,$D51))</f>
        <v/>
      </c>
    </row>
    <row r="52">
      <c r="C52" s="224" t="n"/>
      <c r="D52" s="13" t="inlineStr">
        <is>
          <t>GAUTHIER Alenka [Aest]</t>
        </is>
      </c>
      <c r="E52" s="220" t="n"/>
      <c r="L52" s="64">
        <f>IF($D52="","",SUM(M52:O52))</f>
        <v/>
      </c>
      <c r="M52" s="64">
        <f>IF($D52="","",COUNTIF(DESIGNAZIONI!M$8:M$2629,$D52))</f>
        <v/>
      </c>
      <c r="N52" s="64">
        <f>IF($D52="","",COUNTIF(DESIGNAZIONI!N$8:N$2629,$D52))</f>
        <v/>
      </c>
      <c r="O52" s="64">
        <f>IF($D52="","",COUNTIF(DESIGNAZIONI!O$8:O$2629,$D52))</f>
        <v/>
      </c>
    </row>
    <row r="53">
      <c r="C53" s="224" t="n"/>
      <c r="D53" s="13" t="inlineStr">
        <is>
          <t>ROTH Lucia [A]</t>
        </is>
      </c>
      <c r="E53" s="220" t="n"/>
      <c r="L53" s="64">
        <f>IF($D53="","",SUM(M53:O53))</f>
        <v/>
      </c>
      <c r="M53" s="64">
        <f>IF($D53="","",COUNTIF(DESIGNAZIONI!M$8:M$2629,$D53))</f>
        <v/>
      </c>
      <c r="N53" s="64">
        <f>IF($D53="","",COUNTIF(DESIGNAZIONI!N$8:N$2629,$D53))</f>
        <v/>
      </c>
      <c r="O53" s="64">
        <f>IF($D53="","",COUNTIF(DESIGNAZIONI!O$8:O$2629,$D53))</f>
        <v/>
      </c>
    </row>
    <row r="54">
      <c r="C54" s="224" t="n"/>
      <c r="D54" s="13" t="inlineStr">
        <is>
          <t>OBLAK Stefano [AA]</t>
        </is>
      </c>
      <c r="E54" s="220" t="n"/>
      <c r="L54" s="64">
        <f>IF($D54="","",SUM(M54:O54))</f>
        <v/>
      </c>
      <c r="M54" s="64">
        <f>IF($D54="","",COUNTIF(DESIGNAZIONI!M$8:M$2629,$D54))</f>
        <v/>
      </c>
      <c r="N54" s="64">
        <f>IF($D54="","",COUNTIF(DESIGNAZIONI!N$8:N$2629,$D54))</f>
        <v/>
      </c>
      <c r="O54" s="64">
        <f>IF($D54="","",COUNTIF(DESIGNAZIONI!O$8:O$2629,$D54))</f>
        <v/>
      </c>
    </row>
    <row r="55">
      <c r="C55" s="224" t="n"/>
      <c r="D55" s="13" t="inlineStr">
        <is>
          <t>NOVAK Beatrice [Aest]</t>
        </is>
      </c>
      <c r="E55" s="220" t="n"/>
      <c r="L55" s="64">
        <f>IF($D55="","",SUM(M55:O55))</f>
        <v/>
      </c>
      <c r="M55" s="64">
        <f>IF($D55="","",COUNTIF(DESIGNAZIONI!M$8:M$2629,$D55))</f>
        <v/>
      </c>
      <c r="N55" s="64">
        <f>IF($D55="","",COUNTIF(DESIGNAZIONI!N$8:N$2629,$D55))</f>
        <v/>
      </c>
      <c r="O55" s="64">
        <f>IF($D55="","",COUNTIF(DESIGNAZIONI!O$8:O$2629,$D55))</f>
        <v/>
      </c>
    </row>
    <row r="56">
      <c r="C56" s="224" t="n"/>
      <c r="D56" s="13" t="inlineStr">
        <is>
          <t>LANGER Beatrice [Aest]</t>
        </is>
      </c>
      <c r="E56" s="220" t="n"/>
      <c r="L56" s="64">
        <f>IF($D56="","",SUM(M56:O56))</f>
        <v/>
      </c>
      <c r="M56" s="64">
        <f>IF($D56="","",COUNTIF(DESIGNAZIONI!M$8:M$2629,$D56))</f>
        <v/>
      </c>
      <c r="N56" s="64">
        <f>IF($D56="","",COUNTIF(DESIGNAZIONI!N$8:N$2629,$D56))</f>
        <v/>
      </c>
      <c r="O56" s="64">
        <f>IF($D56="","",COUNTIF(DESIGNAZIONI!O$8:O$2629,$D56))</f>
        <v/>
      </c>
    </row>
    <row r="57">
      <c r="C57" s="224" t="n"/>
      <c r="D57" s="13" t="inlineStr">
        <is>
          <t>BLANCHET Valerie [A]</t>
        </is>
      </c>
      <c r="E57" s="220" t="n"/>
      <c r="L57" s="64">
        <f>IF($D57="","",SUM(M57:O57))</f>
        <v/>
      </c>
      <c r="M57" s="64">
        <f>IF($D57="","",COUNTIF(DESIGNAZIONI!M$8:M$2629,$D57))</f>
        <v/>
      </c>
      <c r="N57" s="64">
        <f>IF($D57="","",COUNTIF(DESIGNAZIONI!N$8:N$2629,$D57))</f>
        <v/>
      </c>
      <c r="O57" s="64">
        <f>IF($D57="","",COUNTIF(DESIGNAZIONI!O$8:O$2629,$D57))</f>
        <v/>
      </c>
    </row>
    <row r="58">
      <c r="C58" s="224" t="n"/>
      <c r="D58" s="13" t="inlineStr">
        <is>
          <t>OBLAK Lucia [AAt]</t>
        </is>
      </c>
      <c r="E58" s="220" t="n"/>
      <c r="L58" s="64">
        <f>IF($D58="","",SUM(M58:O58))</f>
        <v/>
      </c>
      <c r="M58" s="64">
        <f>IF($D58="","",COUNTIF(DESIGNAZIONI!M$8:M$2629,$D58))</f>
        <v/>
      </c>
      <c r="N58" s="64">
        <f>IF($D58="","",COUNTIF(DESIGNAZIONI!N$8:N$2629,$D58))</f>
        <v/>
      </c>
      <c r="O58" s="64">
        <f>IF($D58="","",COUNTIF(DESIGNAZIONI!O$8:O$2629,$D58))</f>
        <v/>
      </c>
    </row>
    <row r="59">
      <c r="C59" s="224" t="n"/>
      <c r="D59" s="13" t="inlineStr">
        <is>
          <t>CARON Martina [AAt]</t>
        </is>
      </c>
      <c r="E59" s="220" t="n"/>
      <c r="L59" s="64">
        <f>IF($D59="","",SUM(M59:O59))</f>
        <v/>
      </c>
      <c r="M59" s="64">
        <f>IF($D59="","",COUNTIF(DESIGNAZIONI!M$8:M$2629,$D59))</f>
        <v/>
      </c>
      <c r="N59" s="64">
        <f>IF($D59="","",COUNTIF(DESIGNAZIONI!N$8:N$2629,$D59))</f>
        <v/>
      </c>
      <c r="O59" s="64">
        <f>IF($D59="","",COUNTIF(DESIGNAZIONI!O$8:O$2629,$D59))</f>
        <v/>
      </c>
    </row>
    <row r="60">
      <c r="C60" s="224" t="n"/>
      <c r="D60" s="13" t="inlineStr">
        <is>
          <t>CARON Davide [Aest]</t>
        </is>
      </c>
      <c r="E60" s="220" t="n"/>
      <c r="L60" s="64">
        <f>IF($D60="","",SUM(M60:O60))</f>
        <v/>
      </c>
      <c r="M60" s="64">
        <f>IF($D60="","",COUNTIF(DESIGNAZIONI!M$8:M$2629,$D60))</f>
        <v/>
      </c>
      <c r="N60" s="64">
        <f>IF($D60="","",COUNTIF(DESIGNAZIONI!N$8:N$2629,$D60))</f>
        <v/>
      </c>
      <c r="O60" s="64">
        <f>IF($D60="","",COUNTIF(DESIGNAZIONI!O$8:O$2629,$D60))</f>
        <v/>
      </c>
    </row>
    <row r="61">
      <c r="C61" s="224" t="n"/>
      <c r="D61" s="13" t="inlineStr">
        <is>
          <t>VOGEL Giulia [Aest]</t>
        </is>
      </c>
      <c r="E61" s="220" t="n"/>
      <c r="L61" s="64">
        <f>IF($D61="","",SUM(M61:O61))</f>
        <v/>
      </c>
      <c r="M61" s="64">
        <f>IF($D61="","",COUNTIF(DESIGNAZIONI!M$8:M$2629,$D61))</f>
        <v/>
      </c>
      <c r="N61" s="64">
        <f>IF($D61="","",COUNTIF(DESIGNAZIONI!N$8:N$2629,$D61))</f>
        <v/>
      </c>
      <c r="O61" s="64">
        <f>IF($D61="","",COUNTIF(DESIGNAZIONI!O$8:O$2629,$D61))</f>
        <v/>
      </c>
    </row>
    <row r="62">
      <c r="C62" s="224" t="n"/>
      <c r="D62" s="13" t="inlineStr">
        <is>
          <t>VOGEL Miha [AAt]</t>
        </is>
      </c>
      <c r="E62" s="220" t="n"/>
      <c r="L62" s="64">
        <f>IF($D62="","",SUM(M62:O62))</f>
        <v/>
      </c>
      <c r="M62" s="64">
        <f>IF($D62="","",COUNTIF(DESIGNAZIONI!M$8:M$2629,$D62))</f>
        <v/>
      </c>
      <c r="N62" s="64">
        <f>IF($D62="","",COUNTIF(DESIGNAZIONI!N$8:N$2629,$D62))</f>
        <v/>
      </c>
      <c r="O62" s="64">
        <f>IF($D62="","",COUNTIF(DESIGNAZIONI!O$8:O$2629,$D62))</f>
        <v/>
      </c>
    </row>
    <row r="63">
      <c r="C63" s="224" t="n"/>
      <c r="D63" s="13" t="inlineStr">
        <is>
          <t>VIDMAR Hugo [AAt]</t>
        </is>
      </c>
      <c r="E63" s="220" t="n"/>
      <c r="L63" s="64">
        <f>IF($D63="","",SUM(M63:O63))</f>
        <v/>
      </c>
      <c r="M63" s="64">
        <f>IF($D63="","",COUNTIF(DESIGNAZIONI!M$8:M$2629,$D63))</f>
        <v/>
      </c>
      <c r="N63" s="64">
        <f>IF($D63="","",COUNTIF(DESIGNAZIONI!N$8:N$2629,$D63))</f>
        <v/>
      </c>
      <c r="O63" s="64">
        <f>IF($D63="","",COUNTIF(DESIGNAZIONI!O$8:O$2629,$D63))</f>
        <v/>
      </c>
    </row>
    <row r="64">
      <c r="C64" s="224" t="n"/>
      <c r="D64" s="13" t="inlineStr">
        <is>
          <t>KELLER Chiara [AAt]</t>
        </is>
      </c>
      <c r="E64" s="220" t="n"/>
      <c r="L64" s="64">
        <f>IF($D64="","",SUM(M64:O64))</f>
        <v/>
      </c>
      <c r="M64" s="64">
        <f>IF($D64="","",COUNTIF(DESIGNAZIONI!M$8:M$2629,$D64))</f>
        <v/>
      </c>
      <c r="N64" s="64">
        <f>IF($D64="","",COUNTIF(DESIGNAZIONI!N$8:N$2629,$D64))</f>
        <v/>
      </c>
      <c r="O64" s="64">
        <f>IF($D64="","",COUNTIF(DESIGNAZIONI!O$8:O$2629,$D64))</f>
        <v/>
      </c>
    </row>
    <row r="65">
      <c r="C65" s="224" t="n"/>
      <c r="D65" s="13" t="inlineStr">
        <is>
          <t>WEBER Marco [AAt]</t>
        </is>
      </c>
      <c r="E65" s="220" t="n"/>
      <c r="L65" s="64">
        <f>IF($D65="","",SUM(M65:O65))</f>
        <v/>
      </c>
      <c r="M65" s="64">
        <f>IF($D65="","",COUNTIF(DESIGNAZIONI!M$8:M$2629,$D65))</f>
        <v/>
      </c>
      <c r="N65" s="64">
        <f>IF($D65="","",COUNTIF(DESIGNAZIONI!N$8:N$2629,$D65))</f>
        <v/>
      </c>
      <c r="O65" s="64">
        <f>IF($D65="","",COUNTIF(DESIGNAZIONI!O$8:O$2629,$D65))</f>
        <v/>
      </c>
    </row>
    <row r="66">
      <c r="C66" s="224" t="n"/>
      <c r="D66" s="13" t="inlineStr">
        <is>
          <t>MARCHIONI Katrin [AA]</t>
        </is>
      </c>
      <c r="E66" s="220" t="n"/>
      <c r="L66" s="64">
        <f>IF($D66="","",SUM(M66:O66))</f>
        <v/>
      </c>
      <c r="M66" s="64">
        <f>IF($D66="","",COUNTIF(DESIGNAZIONI!M$8:M$2629,$D66))</f>
        <v/>
      </c>
      <c r="N66" s="64">
        <f>IF($D66="","",COUNTIF(DESIGNAZIONI!N$8:N$2629,$D66))</f>
        <v/>
      </c>
      <c r="O66" s="64">
        <f>IF($D66="","",COUNTIF(DESIGNAZIONI!O$8:O$2629,$D66))</f>
        <v/>
      </c>
    </row>
    <row r="67">
      <c r="C67" s="224" t="n"/>
      <c r="D67" s="13" t="inlineStr">
        <is>
          <t>MARCHIONI Lukas [AAt]</t>
        </is>
      </c>
      <c r="E67" s="220" t="n"/>
      <c r="L67" s="64">
        <f>IF($D67="","",SUM(M67:O67))</f>
        <v/>
      </c>
      <c r="M67" s="64">
        <f>IF($D67="","",COUNTIF(DESIGNAZIONI!M$8:M$2629,$D67))</f>
        <v/>
      </c>
      <c r="N67" s="64">
        <f>IF($D67="","",COUNTIF(DESIGNAZIONI!N$8:N$2629,$D67))</f>
        <v/>
      </c>
      <c r="O67" s="64">
        <f>IF($D67="","",COUNTIF(DESIGNAZIONI!O$8:O$2629,$D67))</f>
        <v/>
      </c>
    </row>
    <row r="68">
      <c r="C68" s="224" t="n"/>
      <c r="D68" s="13" t="inlineStr">
        <is>
          <t>ENGEL Luca [AA]</t>
        </is>
      </c>
      <c r="E68" s="220" t="n"/>
      <c r="L68" s="64">
        <f>IF($D68="","",SUM(M68:O68))</f>
        <v/>
      </c>
      <c r="M68" s="64">
        <f>IF($D68="","",COUNTIF(DESIGNAZIONI!M$8:M$2629,$D68))</f>
        <v/>
      </c>
      <c r="N68" s="64">
        <f>IF($D68="","",COUNTIF(DESIGNAZIONI!N$8:N$2629,$D68))</f>
        <v/>
      </c>
      <c r="O68" s="64">
        <f>IF($D68="","",COUNTIF(DESIGNAZIONI!O$8:O$2629,$D68))</f>
        <v/>
      </c>
    </row>
    <row r="69">
      <c r="C69" s="224" t="n"/>
      <c r="D69" s="13" t="inlineStr">
        <is>
          <t>SEVER Nicola [AA]</t>
        </is>
      </c>
      <c r="E69" s="220" t="n"/>
      <c r="L69" s="64">
        <f>IF($D69="","",SUM(M69:O69))</f>
        <v/>
      </c>
      <c r="M69" s="64">
        <f>IF($D69="","",COUNTIF(DESIGNAZIONI!M$8:M$2629,$D69))</f>
        <v/>
      </c>
      <c r="N69" s="64">
        <f>IF($D69="","",COUNTIF(DESIGNAZIONI!N$8:N$2629,$D69))</f>
        <v/>
      </c>
      <c r="O69" s="64">
        <f>IF($D69="","",COUNTIF(DESIGNAZIONI!O$8:O$2629,$D69))</f>
        <v/>
      </c>
    </row>
    <row r="70">
      <c r="C70" s="224" t="n"/>
      <c r="D70" s="13" t="inlineStr">
        <is>
          <t>ORTEGA Katrin [Aest]</t>
        </is>
      </c>
      <c r="E70" s="220" t="n"/>
      <c r="L70" s="64">
        <f>IF($D70="","",SUM(M70:O70))</f>
        <v/>
      </c>
      <c r="M70" s="64">
        <f>IF($D70="","",COUNTIF(DESIGNAZIONI!M$8:M$2629,$D70))</f>
        <v/>
      </c>
      <c r="N70" s="64">
        <f>IF($D70="","",COUNTIF(DESIGNAZIONI!N$8:N$2629,$D70))</f>
        <v/>
      </c>
      <c r="O70" s="64">
        <f>IF($D70="","",COUNTIF(DESIGNAZIONI!O$8:O$2629,$D70))</f>
        <v/>
      </c>
    </row>
    <row r="71">
      <c r="C71" s="224" t="n"/>
      <c r="D71" s="13" t="inlineStr">
        <is>
          <t>ROMERO Diego [AA]</t>
        </is>
      </c>
      <c r="E71" s="220" t="n"/>
      <c r="L71" s="64">
        <f>IF($D71="","",SUM(M71:O71))</f>
        <v/>
      </c>
      <c r="M71" s="64">
        <f>IF($D71="","",COUNTIF(DESIGNAZIONI!M$8:M$2629,$D71))</f>
        <v/>
      </c>
      <c r="N71" s="64">
        <f>IF($D71="","",COUNTIF(DESIGNAZIONI!N$8:N$2629,$D71))</f>
        <v/>
      </c>
      <c r="O71" s="64">
        <f>IF($D71="","",COUNTIF(DESIGNAZIONI!O$8:O$2629,$D71))</f>
        <v/>
      </c>
    </row>
    <row r="72">
      <c r="C72" s="224" t="n"/>
      <c r="D72" s="13" t="inlineStr">
        <is>
          <t>PRADO Marta [AAt]</t>
        </is>
      </c>
      <c r="E72" s="220" t="n"/>
      <c r="L72" s="64">
        <f>IF($D72="","",SUM(M72:O72))</f>
        <v/>
      </c>
      <c r="M72" s="64">
        <f>IF($D72="","",COUNTIF(DESIGNAZIONI!M$8:M$2629,$D72))</f>
        <v/>
      </c>
      <c r="N72" s="64">
        <f>IF($D72="","",COUNTIF(DESIGNAZIONI!N$8:N$2629,$D72))</f>
        <v/>
      </c>
      <c r="O72" s="64">
        <f>IF($D72="","",COUNTIF(DESIGNAZIONI!O$8:O$2629,$D72))</f>
        <v/>
      </c>
    </row>
    <row r="73">
      <c r="C73" s="224" t="n"/>
      <c r="D73" s="13" t="inlineStr">
        <is>
          <t>AUBERT Beatrice [AA]</t>
        </is>
      </c>
      <c r="E73" s="220" t="n"/>
      <c r="L73" s="64">
        <f>IF($D73="","",SUM(M73:O73))</f>
        <v/>
      </c>
      <c r="M73" s="64">
        <f>IF($D73="","",COUNTIF(DESIGNAZIONI!M$8:M$2629,$D73))</f>
        <v/>
      </c>
      <c r="N73" s="64">
        <f>IF($D73="","",COUNTIF(DESIGNAZIONI!N$8:N$2629,$D73))</f>
        <v/>
      </c>
      <c r="O73" s="64">
        <f>IF($D73="","",COUNTIF(DESIGNAZIONI!O$8:O$2629,$D73))</f>
        <v/>
      </c>
    </row>
    <row r="74">
      <c r="C74" s="224" t="n"/>
      <c r="D74" s="13" t="inlineStr">
        <is>
          <t>SANTORI Gaelle [AA]</t>
        </is>
      </c>
      <c r="E74" s="220" t="n"/>
      <c r="L74" s="64">
        <f>IF($D74="","",SUM(M74:O74))</f>
        <v/>
      </c>
      <c r="M74" s="64">
        <f>IF($D74="","",COUNTIF(DESIGNAZIONI!M$8:M$2629,$D74))</f>
        <v/>
      </c>
      <c r="N74" s="64">
        <f>IF($D74="","",COUNTIF(DESIGNAZIONI!N$8:N$2629,$D74))</f>
        <v/>
      </c>
      <c r="O74" s="64">
        <f>IF($D74="","",COUNTIF(DESIGNAZIONI!O$8:O$2629,$D74))</f>
        <v/>
      </c>
    </row>
    <row r="75">
      <c r="C75" s="224" t="n"/>
      <c r="D75" s="13" t="inlineStr">
        <is>
          <t>VIDMAR Noemi [AA]</t>
        </is>
      </c>
      <c r="E75" s="220" t="n"/>
      <c r="L75" s="64">
        <f>IF($D75="","",SUM(M75:O75))</f>
        <v/>
      </c>
      <c r="M75" s="64">
        <f>IF($D75="","",COUNTIF(DESIGNAZIONI!M$8:M$2629,$D75))</f>
        <v/>
      </c>
      <c r="N75" s="64">
        <f>IF($D75="","",COUNTIF(DESIGNAZIONI!N$8:N$2629,$D75))</f>
        <v/>
      </c>
      <c r="O75" s="64">
        <f>IF($D75="","",COUNTIF(DESIGNAZIONI!O$8:O$2629,$D75))</f>
        <v/>
      </c>
    </row>
    <row r="76">
      <c r="C76" s="224" t="n"/>
      <c r="D76" s="13" t="inlineStr">
        <is>
          <t>HORVAT Davide [Aest]</t>
        </is>
      </c>
      <c r="E76" s="220" t="n"/>
      <c r="L76" s="64">
        <f>IF($D76="","",SUM(M76:O76))</f>
        <v/>
      </c>
      <c r="M76" s="64">
        <f>IF($D76="","",COUNTIF(DESIGNAZIONI!M$8:M$2629,$D76))</f>
        <v/>
      </c>
      <c r="N76" s="64">
        <f>IF($D76="","",COUNTIF(DESIGNAZIONI!N$8:N$2629,$D76))</f>
        <v/>
      </c>
      <c r="O76" s="64">
        <f>IF($D76="","",COUNTIF(DESIGNAZIONI!O$8:O$2629,$D76))</f>
        <v/>
      </c>
    </row>
    <row r="77">
      <c r="C77" s="224" t="n"/>
      <c r="D77" s="13" t="inlineStr">
        <is>
          <t>SOLER Ottavia [AAt]</t>
        </is>
      </c>
      <c r="E77" s="220" t="n"/>
      <c r="L77" s="64">
        <f>IF($D77="","",SUM(M77:O77))</f>
        <v/>
      </c>
      <c r="M77" s="64">
        <f>IF($D77="","",COUNTIF(DESIGNAZIONI!M$8:M$2629,$D77))</f>
        <v/>
      </c>
      <c r="N77" s="64">
        <f>IF($D77="","",COUNTIF(DESIGNAZIONI!N$8:N$2629,$D77))</f>
        <v/>
      </c>
      <c r="O77" s="64">
        <f>IF($D77="","",COUNTIF(DESIGNAZIONI!O$8:O$2629,$D77))</f>
        <v/>
      </c>
    </row>
    <row r="78">
      <c r="C78" s="224" t="n"/>
      <c r="D78" s="13" t="inlineStr">
        <is>
          <t>VOGEL Martina [AA]</t>
        </is>
      </c>
      <c r="E78" s="220" t="n"/>
      <c r="L78" s="64">
        <f>IF($D78="","",SUM(M78:O78))</f>
        <v/>
      </c>
      <c r="M78" s="64">
        <f>IF($D78="","",COUNTIF(DESIGNAZIONI!M$8:M$2629,$D78))</f>
        <v/>
      </c>
      <c r="N78" s="64">
        <f>IF($D78="","",COUNTIF(DESIGNAZIONI!N$8:N$2629,$D78))</f>
        <v/>
      </c>
      <c r="O78" s="64">
        <f>IF($D78="","",COUNTIF(DESIGNAZIONI!O$8:O$2629,$D78))</f>
        <v/>
      </c>
    </row>
    <row r="79">
      <c r="C79" s="224" t="n"/>
      <c r="D79" s="13" t="inlineStr">
        <is>
          <t>BELLANDI Matteo [AA]</t>
        </is>
      </c>
      <c r="E79" s="220" t="n"/>
      <c r="L79" s="64">
        <f>IF($D79="","",SUM(M79:O79))</f>
        <v/>
      </c>
      <c r="M79" s="64">
        <f>IF($D79="","",COUNTIF(DESIGNAZIONI!M$8:M$2629,$D79))</f>
        <v/>
      </c>
      <c r="N79" s="64">
        <f>IF($D79="","",COUNTIF(DESIGNAZIONI!N$8:N$2629,$D79))</f>
        <v/>
      </c>
      <c r="O79" s="64">
        <f>IF($D79="","",COUNTIF(DESIGNAZIONI!O$8:O$2629,$D79))</f>
        <v/>
      </c>
    </row>
    <row r="80">
      <c r="C80" s="224" t="n"/>
      <c r="D80" s="13" t="inlineStr">
        <is>
          <t>OBLAK Mathilde [A]</t>
        </is>
      </c>
      <c r="E80" s="220" t="n"/>
      <c r="L80" s="64">
        <f>IF($D80="","",SUM(M80:O80))</f>
        <v/>
      </c>
      <c r="M80" s="64">
        <f>IF($D80="","",COUNTIF(DESIGNAZIONI!M$8:M$2629,$D80))</f>
        <v/>
      </c>
      <c r="N80" s="64">
        <f>IF($D80="","",COUNTIF(DESIGNAZIONI!N$8:N$2629,$D80))</f>
        <v/>
      </c>
      <c r="O80" s="64">
        <f>IF($D80="","",COUNTIF(DESIGNAZIONI!O$8:O$2629,$D80))</f>
        <v/>
      </c>
    </row>
    <row r="81">
      <c r="C81" s="224" t="n"/>
      <c r="D81" s="13" t="inlineStr">
        <is>
          <t>PETERLIN Beatrice [Aest]</t>
        </is>
      </c>
      <c r="E81" s="220" t="n"/>
      <c r="L81" s="64">
        <f>IF($D81="","",SUM(M81:O81))</f>
        <v/>
      </c>
      <c r="M81" s="64">
        <f>IF($D81="","",COUNTIF(DESIGNAZIONI!M$8:M$2629,$D81))</f>
        <v/>
      </c>
      <c r="N81" s="64">
        <f>IF($D81="","",COUNTIF(DESIGNAZIONI!N$8:N$2629,$D81))</f>
        <v/>
      </c>
      <c r="O81" s="64">
        <f>IF($D81="","",COUNTIF(DESIGNAZIONI!O$8:O$2629,$D81))</f>
        <v/>
      </c>
    </row>
    <row r="82">
      <c r="C82" s="224" t="n"/>
      <c r="D82" s="13" t="inlineStr">
        <is>
          <t>GALLINI Sofia [AA]</t>
        </is>
      </c>
      <c r="E82" s="220" t="n"/>
      <c r="L82" s="64">
        <f>IF($D82="","",SUM(M82:O82))</f>
        <v/>
      </c>
      <c r="M82" s="64">
        <f>IF($D82="","",COUNTIF(DESIGNAZIONI!M$8:M$2629,$D82))</f>
        <v/>
      </c>
      <c r="N82" s="64">
        <f>IF($D82="","",COUNTIF(DESIGNAZIONI!N$8:N$2629,$D82))</f>
        <v/>
      </c>
      <c r="O82" s="64">
        <f>IF($D82="","",COUNTIF(DESIGNAZIONI!O$8:O$2629,$D82))</f>
        <v/>
      </c>
    </row>
    <row r="83">
      <c r="C83" s="224" t="n"/>
      <c r="D83" s="13" t="inlineStr">
        <is>
          <t>KELLER Valerie [AAt]</t>
        </is>
      </c>
      <c r="E83" s="220" t="n"/>
      <c r="L83" s="64">
        <f>IF($D83="","",SUM(M83:O83))</f>
        <v/>
      </c>
      <c r="M83" s="64">
        <f>IF($D83="","",COUNTIF(DESIGNAZIONI!M$8:M$2629,$D83))</f>
        <v/>
      </c>
      <c r="N83" s="64">
        <f>IF($D83="","",COUNTIF(DESIGNAZIONI!N$8:N$2629,$D83))</f>
        <v/>
      </c>
      <c r="O83" s="64">
        <f>IF($D83="","",COUNTIF(DESIGNAZIONI!O$8:O$2629,$D83))</f>
        <v/>
      </c>
    </row>
    <row r="84">
      <c r="C84" s="224" t="n"/>
      <c r="D84" s="13" t="inlineStr">
        <is>
          <t>KELLER Beatrice [AAt]</t>
        </is>
      </c>
      <c r="E84" s="220" t="n"/>
      <c r="L84" s="64">
        <f>IF($D84="","",SUM(M84:O84))</f>
        <v/>
      </c>
      <c r="M84" s="64">
        <f>IF($D84="","",COUNTIF(DESIGNAZIONI!M$8:M$2629,$D84))</f>
        <v/>
      </c>
      <c r="N84" s="64">
        <f>IF($D84="","",COUNTIF(DESIGNAZIONI!N$8:N$2629,$D84))</f>
        <v/>
      </c>
      <c r="O84" s="64">
        <f>IF($D84="","",COUNTIF(DESIGNAZIONI!O$8:O$2629,$D84))</f>
        <v/>
      </c>
    </row>
    <row r="85">
      <c r="C85" s="224" t="n"/>
      <c r="D85" s="13" t="inlineStr">
        <is>
          <t>BELLANDI Chiara [Aest]</t>
        </is>
      </c>
      <c r="E85" s="220" t="n"/>
      <c r="L85" s="64">
        <f>IF($D85="","",SUM(M85:O85))</f>
        <v/>
      </c>
      <c r="M85" s="64">
        <f>IF($D85="","",COUNTIF(DESIGNAZIONI!M$8:M$2629,$D85))</f>
        <v/>
      </c>
      <c r="N85" s="64">
        <f>IF($D85="","",COUNTIF(DESIGNAZIONI!N$8:N$2629,$D85))</f>
        <v/>
      </c>
      <c r="O85" s="64">
        <f>IF($D85="","",COUNTIF(DESIGNAZIONI!O$8:O$2629,$D85))</f>
        <v/>
      </c>
    </row>
    <row r="86">
      <c r="C86" s="224" t="n"/>
      <c r="D86" s="13" t="inlineStr">
        <is>
          <t>CASTILLO Paolo [AAt]</t>
        </is>
      </c>
      <c r="E86" s="220" t="n"/>
      <c r="L86" s="64">
        <f>IF($D86="","",SUM(M86:O86))</f>
        <v/>
      </c>
      <c r="M86" s="64">
        <f>IF($D86="","",COUNTIF(DESIGNAZIONI!M$8:M$2629,$D86))</f>
        <v/>
      </c>
      <c r="N86" s="64">
        <f>IF($D86="","",COUNTIF(DESIGNAZIONI!N$8:N$2629,$D86))</f>
        <v/>
      </c>
      <c r="O86" s="64">
        <f>IF($D86="","",COUNTIF(DESIGNAZIONI!O$8:O$2629,$D86))</f>
        <v/>
      </c>
    </row>
    <row r="87">
      <c r="C87" s="224" t="n"/>
      <c r="D87" s="13" t="inlineStr">
        <is>
          <t>BELLANDI Vid [Aest]</t>
        </is>
      </c>
      <c r="E87" s="220" t="n"/>
      <c r="L87" s="64">
        <f>IF($D87="","",SUM(M87:O87))</f>
        <v/>
      </c>
      <c r="M87" s="64">
        <f>IF($D87="","",COUNTIF(DESIGNAZIONI!M$8:M$2629,$D87))</f>
        <v/>
      </c>
      <c r="N87" s="64">
        <f>IF($D87="","",COUNTIF(DESIGNAZIONI!N$8:N$2629,$D87))</f>
        <v/>
      </c>
      <c r="O87" s="64">
        <f>IF($D87="","",COUNTIF(DESIGNAZIONI!O$8:O$2629,$D87))</f>
        <v/>
      </c>
    </row>
    <row r="88">
      <c r="C88" s="224" t="n"/>
      <c r="D88" s="13" t="inlineStr">
        <is>
          <t>ROSSINI Beatrice [Aest]</t>
        </is>
      </c>
      <c r="E88" s="220" t="n"/>
      <c r="L88" s="64">
        <f>IF($D88="","",SUM(M88:O88))</f>
        <v/>
      </c>
      <c r="M88" s="64">
        <f>IF($D88="","",COUNTIF(DESIGNAZIONI!M$8:M$2629,$D88))</f>
        <v/>
      </c>
      <c r="N88" s="64">
        <f>IF($D88="","",COUNTIF(DESIGNAZIONI!N$8:N$2629,$D88))</f>
        <v/>
      </c>
      <c r="O88" s="64">
        <f>IF($D88="","",COUNTIF(DESIGNAZIONI!O$8:O$2629,$D88))</f>
        <v/>
      </c>
    </row>
    <row r="89">
      <c r="C89" s="224" t="n"/>
      <c r="D89" s="13" t="inlineStr">
        <is>
          <t>NOVAK Lea [AA]</t>
        </is>
      </c>
      <c r="E89" s="220" t="n"/>
      <c r="L89" s="64">
        <f>IF($D89="","",SUM(M89:O89))</f>
        <v/>
      </c>
      <c r="M89" s="64">
        <f>IF($D89="","",COUNTIF(DESIGNAZIONI!M$8:M$2629,$D89))</f>
        <v/>
      </c>
      <c r="N89" s="64">
        <f>IF($D89="","",COUNTIF(DESIGNAZIONI!N$8:N$2629,$D89))</f>
        <v/>
      </c>
      <c r="O89" s="64">
        <f>IF($D89="","",COUNTIF(DESIGNAZIONI!O$8:O$2629,$D89))</f>
        <v/>
      </c>
    </row>
    <row r="90">
      <c r="C90" s="224" t="n"/>
      <c r="D90" s="13" t="inlineStr">
        <is>
          <t>NAVARRO Gaelle [A]</t>
        </is>
      </c>
      <c r="E90" s="220" t="n"/>
      <c r="L90" s="64">
        <f>IF($D90="","",SUM(M90:O90))</f>
        <v/>
      </c>
      <c r="M90" s="64">
        <f>IF($D90="","",COUNTIF(DESIGNAZIONI!M$8:M$2629,$D90))</f>
        <v/>
      </c>
      <c r="N90" s="64">
        <f>IF($D90="","",COUNTIF(DESIGNAZIONI!N$8:N$2629,$D90))</f>
        <v/>
      </c>
      <c r="O90" s="64">
        <f>IF($D90="","",COUNTIF(DESIGNAZIONI!O$8:O$2629,$D90))</f>
        <v/>
      </c>
    </row>
    <row r="91">
      <c r="C91" s="224" t="n"/>
      <c r="D91" s="13" t="inlineStr">
        <is>
          <t>ZUPAN Diego [AA]</t>
        </is>
      </c>
      <c r="E91" s="220" t="n"/>
      <c r="L91" s="64">
        <f>IF($D91="","",SUM(M91:O91))</f>
        <v/>
      </c>
      <c r="M91" s="64">
        <f>IF($D91="","",COUNTIF(DESIGNAZIONI!M$8:M$2629,$D91))</f>
        <v/>
      </c>
      <c r="N91" s="64">
        <f>IF($D91="","",COUNTIF(DESIGNAZIONI!N$8:N$2629,$D91))</f>
        <v/>
      </c>
      <c r="O91" s="64">
        <f>IF($D91="","",COUNTIF(DESIGNAZIONI!O$8:O$2629,$D91))</f>
        <v/>
      </c>
    </row>
    <row r="92">
      <c r="C92" s="224" t="n"/>
      <c r="D92" s="13" t="inlineStr">
        <is>
          <t>MOREAU Katrin [A]</t>
        </is>
      </c>
      <c r="E92" s="220" t="n"/>
      <c r="L92" s="64">
        <f>IF($D92="","",SUM(M92:O92))</f>
        <v/>
      </c>
      <c r="M92" s="64">
        <f>IF($D92="","",COUNTIF(DESIGNAZIONI!M$8:M$2629,$D92))</f>
        <v/>
      </c>
      <c r="N92" s="64">
        <f>IF($D92="","",COUNTIF(DESIGNAZIONI!N$8:N$2629,$D92))</f>
        <v/>
      </c>
      <c r="O92" s="64">
        <f>IF($D92="","",COUNTIF(DESIGNAZIONI!O$8:O$2629,$D92))</f>
        <v/>
      </c>
    </row>
    <row r="93">
      <c r="C93" s="224" t="n"/>
      <c r="D93" s="13" t="inlineStr">
        <is>
          <t>ROTH Eva [A]</t>
        </is>
      </c>
      <c r="E93" s="220" t="n"/>
      <c r="L93" s="64">
        <f>IF($D93="","",SUM(M93:O93))</f>
        <v/>
      </c>
      <c r="M93" s="64">
        <f>IF($D93="","",COUNTIF(DESIGNAZIONI!M$8:M$2629,$D93))</f>
        <v/>
      </c>
      <c r="N93" s="64">
        <f>IF($D93="","",COUNTIF(DESIGNAZIONI!N$8:N$2629,$D93))</f>
        <v/>
      </c>
      <c r="O93" s="64">
        <f>IF($D93="","",COUNTIF(DESIGNAZIONI!O$8:O$2629,$D93))</f>
        <v/>
      </c>
    </row>
    <row r="94">
      <c r="C94" s="224" t="n"/>
      <c r="D94" s="13" t="inlineStr">
        <is>
          <t>BLANCHET Nicola [AA]</t>
        </is>
      </c>
      <c r="E94" s="220" t="n"/>
      <c r="L94" s="64">
        <f>IF($D94="","",SUM(M94:O94))</f>
        <v/>
      </c>
      <c r="M94" s="64">
        <f>IF($D94="","",COUNTIF(DESIGNAZIONI!M$8:M$2629,$D94))</f>
        <v/>
      </c>
      <c r="N94" s="64">
        <f>IF($D94="","",COUNTIF(DESIGNAZIONI!N$8:N$2629,$D94))</f>
        <v/>
      </c>
      <c r="O94" s="64">
        <f>IF($D94="","",COUNTIF(DESIGNAZIONI!O$8:O$2629,$D94))</f>
        <v/>
      </c>
    </row>
    <row r="95">
      <c r="C95" s="224" t="n"/>
      <c r="D95" s="13" t="inlineStr">
        <is>
          <t>MORETTO Jonas [AAt]</t>
        </is>
      </c>
      <c r="E95" s="220" t="n"/>
      <c r="L95" s="64">
        <f>IF($D95="","",SUM(M95:O95))</f>
        <v/>
      </c>
      <c r="M95" s="64">
        <f>IF($D95="","",COUNTIF(DESIGNAZIONI!M$8:M$2629,$D95))</f>
        <v/>
      </c>
      <c r="N95" s="64">
        <f>IF($D95="","",COUNTIF(DESIGNAZIONI!N$8:N$2629,$D95))</f>
        <v/>
      </c>
      <c r="O95" s="64">
        <f>IF($D95="","",COUNTIF(DESIGNAZIONI!O$8:O$2629,$D95))</f>
        <v/>
      </c>
    </row>
    <row r="96">
      <c r="C96" s="224" t="n"/>
      <c r="D96" s="13" t="inlineStr">
        <is>
          <t>GALLINI Elena [AAt]</t>
        </is>
      </c>
      <c r="E96" s="220" t="n"/>
      <c r="L96" s="64">
        <f>IF($D96="","",SUM(M96:O96))</f>
        <v/>
      </c>
      <c r="M96" s="64">
        <f>IF($D96="","",COUNTIF(DESIGNAZIONI!M$8:M$2629,$D96))</f>
        <v/>
      </c>
      <c r="N96" s="64">
        <f>IF($D96="","",COUNTIF(DESIGNAZIONI!N$8:N$2629,$D96))</f>
        <v/>
      </c>
      <c r="O96" s="64">
        <f>IF($D96="","",COUNTIF(DESIGNAZIONI!O$8:O$2629,$D96))</f>
        <v/>
      </c>
    </row>
    <row r="97">
      <c r="C97" s="224" t="n"/>
      <c r="D97" s="13" t="inlineStr">
        <is>
          <t>CONTARDI Mathilde [A]</t>
        </is>
      </c>
      <c r="E97" s="220" t="n"/>
      <c r="L97" s="64">
        <f>IF($D97="","",SUM(M97:O97))</f>
        <v/>
      </c>
      <c r="M97" s="64">
        <f>IF($D97="","",COUNTIF(DESIGNAZIONI!M$8:M$2629,$D97))</f>
        <v/>
      </c>
      <c r="N97" s="64">
        <f>IF($D97="","",COUNTIF(DESIGNAZIONI!N$8:N$2629,$D97))</f>
        <v/>
      </c>
      <c r="O97" s="64">
        <f>IF($D97="","",COUNTIF(DESIGNAZIONI!O$8:O$2629,$D97))</f>
        <v/>
      </c>
    </row>
    <row r="98">
      <c r="C98" s="224" t="n"/>
      <c r="D98" s="13" t="inlineStr">
        <is>
          <t>SANTORI Jonas [Aest]</t>
        </is>
      </c>
      <c r="E98" s="220" t="n"/>
      <c r="L98" s="64">
        <f>IF($D98="","",SUM(M98:O98))</f>
        <v/>
      </c>
      <c r="M98" s="64">
        <f>IF($D98="","",COUNTIF(DESIGNAZIONI!M$8:M$2629,$D98))</f>
        <v/>
      </c>
      <c r="N98" s="64">
        <f>IF($D98="","",COUNTIF(DESIGNAZIONI!N$8:N$2629,$D98))</f>
        <v/>
      </c>
      <c r="O98" s="64">
        <f>IF($D98="","",COUNTIF(DESIGNAZIONI!O$8:O$2629,$D98))</f>
        <v/>
      </c>
    </row>
    <row r="99">
      <c r="C99" s="224" t="n"/>
      <c r="D99" s="13" t="inlineStr">
        <is>
          <t>IGLESIAS Marco [AAt]</t>
        </is>
      </c>
      <c r="E99" s="220" t="n"/>
      <c r="L99" s="64">
        <f>IF($D99="","",SUM(M99:O99))</f>
        <v/>
      </c>
      <c r="M99" s="64">
        <f>IF($D99="","",COUNTIF(DESIGNAZIONI!M$8:M$2629,$D99))</f>
        <v/>
      </c>
      <c r="N99" s="64">
        <f>IF($D99="","",COUNTIF(DESIGNAZIONI!N$8:N$2629,$D99))</f>
        <v/>
      </c>
      <c r="O99" s="64">
        <f>IF($D99="","",COUNTIF(DESIGNAZIONI!O$8:O$2629,$D99))</f>
        <v/>
      </c>
    </row>
    <row r="100">
      <c r="C100" s="224" t="n"/>
      <c r="D100" s="13" t="inlineStr">
        <is>
          <t>CARON Elena [A]</t>
        </is>
      </c>
      <c r="E100" s="220" t="n"/>
      <c r="L100" s="64">
        <f>IF($D100="","",SUM(M100:O100))</f>
        <v/>
      </c>
      <c r="M100" s="64">
        <f>IF($D100="","",COUNTIF(DESIGNAZIONI!M$8:M$2629,$D100))</f>
        <v/>
      </c>
      <c r="N100" s="64">
        <f>IF($D100="","",COUNTIF(DESIGNAZIONI!N$8:N$2629,$D100))</f>
        <v/>
      </c>
      <c r="O100" s="64">
        <f>IF($D100="","",COUNTIF(DESIGNAZIONI!O$8:O$2629,$D100))</f>
        <v/>
      </c>
    </row>
    <row r="101">
      <c r="C101" s="224" t="n"/>
      <c r="D101" s="13" t="inlineStr">
        <is>
          <t>GAUTHIER Irene [Aest]</t>
        </is>
      </c>
      <c r="E101" s="220" t="n"/>
      <c r="L101" s="64">
        <f>IF($D101="","",SUM(M101:O101))</f>
        <v/>
      </c>
      <c r="M101" s="64">
        <f>IF($D101="","",COUNTIF(DESIGNAZIONI!M$8:M$2629,$D101))</f>
        <v/>
      </c>
      <c r="N101" s="64">
        <f>IF($D101="","",COUNTIF(DESIGNAZIONI!N$8:N$2629,$D101))</f>
        <v/>
      </c>
      <c r="O101" s="64">
        <f>IF($D101="","",COUNTIF(DESIGNAZIONI!O$8:O$2629,$D101))</f>
        <v/>
      </c>
    </row>
    <row r="102">
      <c r="C102" s="224" t="n"/>
      <c r="D102" s="13" t="inlineStr">
        <is>
          <t>HOFFMANN Filippo [AA]</t>
        </is>
      </c>
      <c r="E102" s="220" t="n"/>
      <c r="L102" s="64">
        <f>IF($D102="","",SUM(M102:O102))</f>
        <v/>
      </c>
      <c r="M102" s="64">
        <f>IF($D102="","",COUNTIF(DESIGNAZIONI!M$8:M$2629,$D102))</f>
        <v/>
      </c>
      <c r="N102" s="64">
        <f>IF($D102="","",COUNTIF(DESIGNAZIONI!N$8:N$2629,$D102))</f>
        <v/>
      </c>
      <c r="O102" s="64">
        <f>IF($D102="","",COUNTIF(DESIGNAZIONI!O$8:O$2629,$D102))</f>
        <v/>
      </c>
    </row>
    <row r="103">
      <c r="C103" s="224" t="n"/>
      <c r="D103" s="13" t="inlineStr">
        <is>
          <t>BIANCHELLI Vid [AAt]</t>
        </is>
      </c>
      <c r="E103" s="220" t="n"/>
      <c r="L103" s="64">
        <f>IF($D103="","",SUM(M103:O103))</f>
        <v/>
      </c>
      <c r="M103" s="64">
        <f>IF($D103="","",COUNTIF(DESIGNAZIONI!M$8:M$2629,$D103))</f>
        <v/>
      </c>
      <c r="N103" s="64">
        <f>IF($D103="","",COUNTIF(DESIGNAZIONI!N$8:N$2629,$D103))</f>
        <v/>
      </c>
      <c r="O103" s="64">
        <f>IF($D103="","",COUNTIF(DESIGNAZIONI!O$8:O$2629,$D103))</f>
        <v/>
      </c>
    </row>
    <row r="104">
      <c r="C104" s="224" t="n"/>
      <c r="D104" s="13" t="inlineStr">
        <is>
          <t>FOURNIER Ottavia [A]</t>
        </is>
      </c>
      <c r="E104" s="220" t="n"/>
      <c r="L104" s="64">
        <f>IF($D104="","",SUM(M104:O104))</f>
        <v/>
      </c>
      <c r="M104" s="64">
        <f>IF($D104="","",COUNTIF(DESIGNAZIONI!M$8:M$2629,$D104))</f>
        <v/>
      </c>
      <c r="N104" s="64">
        <f>IF($D104="","",COUNTIF(DESIGNAZIONI!N$8:N$2629,$D104))</f>
        <v/>
      </c>
      <c r="O104" s="64">
        <f>IF($D104="","",COUNTIF(DESIGNAZIONI!O$8:O$2629,$D104))</f>
        <v/>
      </c>
    </row>
    <row r="105">
      <c r="C105" s="224" t="n"/>
      <c r="D105" s="13" t="inlineStr">
        <is>
          <t>ENGEL Lea [AAt]</t>
        </is>
      </c>
      <c r="E105" s="220" t="n"/>
      <c r="L105" s="64">
        <f>IF($D105="","",SUM(M105:O105))</f>
        <v/>
      </c>
      <c r="M105" s="64">
        <f>IF($D105="","",COUNTIF(DESIGNAZIONI!M$8:M$2629,$D105))</f>
        <v/>
      </c>
      <c r="N105" s="64">
        <f>IF($D105="","",COUNTIF(DESIGNAZIONI!N$8:N$2629,$D105))</f>
        <v/>
      </c>
      <c r="O105" s="64">
        <f>IF($D105="","",COUNTIF(DESIGNAZIONI!O$8:O$2629,$D105))</f>
        <v/>
      </c>
    </row>
    <row r="106">
      <c r="C106" s="224" t="n"/>
      <c r="D106" s="13" t="inlineStr">
        <is>
          <t>MARCHIONI Miha [Aest]</t>
        </is>
      </c>
      <c r="E106" s="220" t="n"/>
      <c r="L106" s="64">
        <f>IF($D106="","",SUM(M106:O106))</f>
        <v/>
      </c>
      <c r="M106" s="64">
        <f>IF($D106="","",COUNTIF(DESIGNAZIONI!M$8:M$2629,$D106))</f>
        <v/>
      </c>
      <c r="N106" s="64">
        <f>IF($D106="","",COUNTIF(DESIGNAZIONI!N$8:N$2629,$D106))</f>
        <v/>
      </c>
      <c r="O106" s="64">
        <f>IF($D106="","",COUNTIF(DESIGNAZIONI!O$8:O$2629,$D106))</f>
        <v/>
      </c>
    </row>
    <row r="107">
      <c r="C107" s="224" t="n"/>
      <c r="D107" s="13" t="inlineStr">
        <is>
          <t>OBLAK Jonas [AAt]</t>
        </is>
      </c>
      <c r="E107" s="220" t="n"/>
      <c r="L107" s="64">
        <f>IF($D107="","",SUM(M107:O107))</f>
        <v/>
      </c>
      <c r="M107" s="64">
        <f>IF($D107="","",COUNTIF(DESIGNAZIONI!M$8:M$2629,$D107))</f>
        <v/>
      </c>
      <c r="N107" s="64">
        <f>IF($D107="","",COUNTIF(DESIGNAZIONI!N$8:N$2629,$D107))</f>
        <v/>
      </c>
      <c r="O107" s="64">
        <f>IF($D107="","",COUNTIF(DESIGNAZIONI!O$8:O$2629,$D107))</f>
        <v/>
      </c>
    </row>
    <row r="108">
      <c r="C108" s="224" t="n"/>
      <c r="D108" s="13" t="inlineStr">
        <is>
          <t>KRUGER Lea [AA]</t>
        </is>
      </c>
      <c r="E108" s="220" t="n"/>
      <c r="L108" s="64">
        <f>IF($D108="","",SUM(M108:O108))</f>
        <v/>
      </c>
      <c r="M108" s="64">
        <f>IF($D108="","",COUNTIF(DESIGNAZIONI!M$8:M$2629,$D108))</f>
        <v/>
      </c>
      <c r="N108" s="64">
        <f>IF($D108="","",COUNTIF(DESIGNAZIONI!N$8:N$2629,$D108))</f>
        <v/>
      </c>
      <c r="O108" s="64">
        <f>IF($D108="","",COUNTIF(DESIGNAZIONI!O$8:O$2629,$D108))</f>
        <v/>
      </c>
    </row>
    <row r="109">
      <c r="C109" s="224" t="n"/>
      <c r="D109" s="13" t="inlineStr">
        <is>
          <t>NOVAK Mathilde [Aest]</t>
        </is>
      </c>
      <c r="E109" s="220" t="n"/>
      <c r="L109" s="64">
        <f>IF($D109="","",SUM(M109:O109))</f>
        <v/>
      </c>
      <c r="M109" s="64">
        <f>IF($D109="","",COUNTIF(DESIGNAZIONI!M$8:M$2629,$D109))</f>
        <v/>
      </c>
      <c r="N109" s="64">
        <f>IF($D109="","",COUNTIF(DESIGNAZIONI!N$8:N$2629,$D109))</f>
        <v/>
      </c>
      <c r="O109" s="64">
        <f>IF($D109="","",COUNTIF(DESIGNAZIONI!O$8:O$2629,$D109))</f>
        <v/>
      </c>
    </row>
    <row r="110">
      <c r="C110" s="224" t="n"/>
      <c r="D110" s="13" t="inlineStr">
        <is>
          <t>ENGEL Valerie [Aest]</t>
        </is>
      </c>
      <c r="E110" s="220" t="n"/>
      <c r="L110" s="64">
        <f>IF($D110="","",SUM(M110:O110))</f>
        <v/>
      </c>
      <c r="M110" s="64">
        <f>IF($D110="","",COUNTIF(DESIGNAZIONI!M$8:M$2629,$D110))</f>
        <v/>
      </c>
      <c r="N110" s="64">
        <f>IF($D110="","",COUNTIF(DESIGNAZIONI!N$8:N$2629,$D110))</f>
        <v/>
      </c>
      <c r="O110" s="64">
        <f>IF($D110="","",COUNTIF(DESIGNAZIONI!O$8:O$2629,$D110))</f>
        <v/>
      </c>
    </row>
    <row r="111">
      <c r="C111" s="224" t="n"/>
      <c r="D111" s="13" t="inlineStr">
        <is>
          <t>GAUTHIER Elena [AA]</t>
        </is>
      </c>
      <c r="E111" s="220" t="n"/>
      <c r="L111" s="64">
        <f>IF($D111="","",SUM(M111:O111))</f>
        <v/>
      </c>
      <c r="M111" s="64">
        <f>IF($D111="","",COUNTIF(DESIGNAZIONI!M$8:M$2629,$D111))</f>
        <v/>
      </c>
      <c r="N111" s="64">
        <f>IF($D111="","",COUNTIF(DESIGNAZIONI!N$8:N$2629,$D111))</f>
        <v/>
      </c>
      <c r="O111" s="64">
        <f>IF($D111="","",COUNTIF(DESIGNAZIONI!O$8:O$2629,$D111))</f>
        <v/>
      </c>
    </row>
    <row r="112">
      <c r="C112" s="224" t="n"/>
      <c r="D112" s="13" t="inlineStr">
        <is>
          <t>IGLESIAS Lukas [Aest]</t>
        </is>
      </c>
      <c r="E112" s="220" t="n"/>
      <c r="L112" s="64">
        <f>IF($D112="","",SUM(M112:O112))</f>
        <v/>
      </c>
      <c r="M112" s="64">
        <f>IF($D112="","",COUNTIF(DESIGNAZIONI!M$8:M$2629,$D112))</f>
        <v/>
      </c>
      <c r="N112" s="64">
        <f>IF($D112="","",COUNTIF(DESIGNAZIONI!N$8:N$2629,$D112))</f>
        <v/>
      </c>
      <c r="O112" s="64">
        <f>IF($D112="","",COUNTIF(DESIGNAZIONI!O$8:O$2629,$D112))</f>
        <v/>
      </c>
    </row>
    <row r="113">
      <c r="C113" s="224" t="n"/>
      <c r="D113" s="13" t="inlineStr">
        <is>
          <t>CARON Greta [AA]</t>
        </is>
      </c>
      <c r="E113" s="220" t="n"/>
      <c r="L113" s="64">
        <f>IF($D113="","",SUM(M113:O113))</f>
        <v/>
      </c>
      <c r="M113" s="64">
        <f>IF($D113="","",COUNTIF(DESIGNAZIONI!M$8:M$2629,$D113))</f>
        <v/>
      </c>
      <c r="N113" s="64">
        <f>IF($D113="","",COUNTIF(DESIGNAZIONI!N$8:N$2629,$D113))</f>
        <v/>
      </c>
      <c r="O113" s="64">
        <f>IF($D113="","",COUNTIF(DESIGNAZIONI!O$8:O$2629,$D113))</f>
        <v/>
      </c>
    </row>
    <row r="114">
      <c r="C114" s="224" t="n"/>
      <c r="D114" s="13" t="inlineStr">
        <is>
          <t>SEVER Tommaso [AAt]</t>
        </is>
      </c>
      <c r="E114" s="220" t="n"/>
      <c r="L114" s="64">
        <f>IF($D114="","",SUM(M114:O114))</f>
        <v/>
      </c>
      <c r="M114" s="64">
        <f>IF($D114="","",COUNTIF(DESIGNAZIONI!M$8:M$2629,$D114))</f>
        <v/>
      </c>
      <c r="N114" s="64">
        <f>IF($D114="","",COUNTIF(DESIGNAZIONI!N$8:N$2629,$D114))</f>
        <v/>
      </c>
      <c r="O114" s="64">
        <f>IF($D114="","",COUNTIF(DESIGNAZIONI!O$8:O$2629,$D114))</f>
        <v/>
      </c>
    </row>
    <row r="115">
      <c r="C115" s="224" t="n"/>
      <c r="D115" s="13" t="inlineStr">
        <is>
          <t>GAUTHIER Noemi [AA]</t>
        </is>
      </c>
      <c r="E115" s="220" t="n"/>
      <c r="L115" s="64">
        <f>IF($D115="","",SUM(M115:O115))</f>
        <v/>
      </c>
      <c r="M115" s="64">
        <f>IF($D115="","",COUNTIF(DESIGNAZIONI!M$8:M$2629,$D115))</f>
        <v/>
      </c>
      <c r="N115" s="64">
        <f>IF($D115="","",COUNTIF(DESIGNAZIONI!N$8:N$2629,$D115))</f>
        <v/>
      </c>
      <c r="O115" s="64">
        <f>IF($D115="","",COUNTIF(DESIGNAZIONI!O$8:O$2629,$D115))</f>
        <v/>
      </c>
    </row>
    <row r="116">
      <c r="C116" s="224" t="n"/>
      <c r="D116" s="13" t="inlineStr">
        <is>
          <t>ENGEL Noemi [Aest]</t>
        </is>
      </c>
      <c r="E116" s="220" t="n"/>
      <c r="L116" s="64">
        <f>IF($D116="","",SUM(M116:O116))</f>
        <v/>
      </c>
      <c r="M116" s="64">
        <f>IF($D116="","",COUNTIF(DESIGNAZIONI!M$8:M$2629,$D116))</f>
        <v/>
      </c>
      <c r="N116" s="64">
        <f>IF($D116="","",COUNTIF(DESIGNAZIONI!N$8:N$2629,$D116))</f>
        <v/>
      </c>
      <c r="O116" s="64">
        <f>IF($D116="","",COUNTIF(DESIGNAZIONI!O$8:O$2629,$D116))</f>
        <v/>
      </c>
    </row>
    <row r="117">
      <c r="C117" s="224" t="n"/>
      <c r="D117" s="13" t="inlineStr">
        <is>
          <t>MODIC Gaelle [AA]</t>
        </is>
      </c>
      <c r="E117" s="220" t="n"/>
      <c r="L117" s="64">
        <f>IF($D117="","",SUM(M117:O117))</f>
        <v/>
      </c>
      <c r="M117" s="64">
        <f>IF($D117="","",COUNTIF(DESIGNAZIONI!M$8:M$2629,$D117))</f>
        <v/>
      </c>
      <c r="N117" s="64">
        <f>IF($D117="","",COUNTIF(DESIGNAZIONI!N$8:N$2629,$D117))</f>
        <v/>
      </c>
      <c r="O117" s="64">
        <f>IF($D117="","",COUNTIF(DESIGNAZIONI!O$8:O$2629,$D117))</f>
        <v/>
      </c>
    </row>
    <row r="118">
      <c r="C118" s="224" t="n"/>
      <c r="D118" s="13" t="inlineStr">
        <is>
          <t>CAMPOS Ottavia [A]</t>
        </is>
      </c>
      <c r="E118" s="220" t="n"/>
      <c r="L118" s="64">
        <f>IF($D118="","",SUM(M118:O118))</f>
        <v/>
      </c>
      <c r="M118" s="64">
        <f>IF($D118="","",COUNTIF(DESIGNAZIONI!M$8:M$2629,$D118))</f>
        <v/>
      </c>
      <c r="N118" s="64">
        <f>IF($D118="","",COUNTIF(DESIGNAZIONI!N$8:N$2629,$D118))</f>
        <v/>
      </c>
      <c r="O118" s="64">
        <f>IF($D118="","",COUNTIF(DESIGNAZIONI!O$8:O$2629,$D118))</f>
        <v/>
      </c>
    </row>
    <row r="119">
      <c r="C119" s="224" t="n"/>
      <c r="D119" s="13" t="inlineStr">
        <is>
          <t>BRANDT Filippo [AAt]</t>
        </is>
      </c>
      <c r="E119" s="220" t="n"/>
      <c r="L119" s="64">
        <f>IF($D119="","",SUM(M119:O119))</f>
        <v/>
      </c>
      <c r="M119" s="64">
        <f>IF($D119="","",COUNTIF(DESIGNAZIONI!M$8:M$2629,$D119))</f>
        <v/>
      </c>
      <c r="N119" s="64">
        <f>IF($D119="","",COUNTIF(DESIGNAZIONI!N$8:N$2629,$D119))</f>
        <v/>
      </c>
      <c r="O119" s="64">
        <f>IF($D119="","",COUNTIF(DESIGNAZIONI!O$8:O$2629,$D119))</f>
        <v/>
      </c>
    </row>
    <row r="120">
      <c r="C120" s="224" t="n"/>
      <c r="D120" s="13" t="inlineStr">
        <is>
          <t>ROMERO Matteo [Aest]</t>
        </is>
      </c>
      <c r="E120" s="220" t="n"/>
      <c r="L120" s="64">
        <f>IF($D120="","",SUM(M120:O120))</f>
        <v/>
      </c>
      <c r="M120" s="64">
        <f>IF($D120="","",COUNTIF(DESIGNAZIONI!M$8:M$2629,$D120))</f>
        <v/>
      </c>
      <c r="N120" s="64">
        <f>IF($D120="","",COUNTIF(DESIGNAZIONI!N$8:N$2629,$D120))</f>
        <v/>
      </c>
      <c r="O120" s="64">
        <f>IF($D120="","",COUNTIF(DESIGNAZIONI!O$8:O$2629,$D120))</f>
        <v/>
      </c>
    </row>
    <row r="121">
      <c r="C121" s="224" t="n"/>
      <c r="D121" s="13" t="inlineStr">
        <is>
          <t>FUENTES Marta [Aest]</t>
        </is>
      </c>
      <c r="E121" s="220" t="n"/>
      <c r="L121" s="64">
        <f>IF($D121="","",SUM(M121:O121))</f>
        <v/>
      </c>
      <c r="M121" s="64">
        <f>IF($D121="","",COUNTIF(DESIGNAZIONI!M$8:M$2629,$D121))</f>
        <v/>
      </c>
      <c r="N121" s="64">
        <f>IF($D121="","",COUNTIF(DESIGNAZIONI!N$8:N$2629,$D121))</f>
        <v/>
      </c>
      <c r="O121" s="64">
        <f>IF($D121="","",COUNTIF(DESIGNAZIONI!O$8:O$2629,$D121))</f>
        <v/>
      </c>
    </row>
    <row r="122">
      <c r="C122" s="224" t="n"/>
      <c r="D122" s="13" t="inlineStr">
        <is>
          <t>BIANCHELLI Tommaso [A]</t>
        </is>
      </c>
      <c r="E122" s="220" t="n"/>
      <c r="L122" s="64">
        <f>IF($D122="","",SUM(M122:O122))</f>
        <v/>
      </c>
      <c r="M122" s="64">
        <f>IF($D122="","",COUNTIF(DESIGNAZIONI!M$8:M$2629,$D122))</f>
        <v/>
      </c>
      <c r="N122" s="64">
        <f>IF($D122="","",COUNTIF(DESIGNAZIONI!N$8:N$2629,$D122))</f>
        <v/>
      </c>
      <c r="O122" s="64">
        <f>IF($D122="","",COUNTIF(DESIGNAZIONI!O$8:O$2629,$D122))</f>
        <v/>
      </c>
    </row>
    <row r="123">
      <c r="C123" s="224" t="n"/>
      <c r="D123" s="13" t="inlineStr">
        <is>
          <t>FOURNIER Lucia [AA]</t>
        </is>
      </c>
      <c r="E123" s="220" t="n"/>
      <c r="L123" s="64">
        <f>IF($D123="","",SUM(M123:O123))</f>
        <v/>
      </c>
      <c r="M123" s="64">
        <f>IF($D123="","",COUNTIF(DESIGNAZIONI!M$8:M$2629,$D123))</f>
        <v/>
      </c>
      <c r="N123" s="64">
        <f>IF($D123="","",COUNTIF(DESIGNAZIONI!N$8:N$2629,$D123))</f>
        <v/>
      </c>
      <c r="O123" s="64">
        <f>IF($D123="","",COUNTIF(DESIGNAZIONI!O$8:O$2629,$D123))</f>
        <v/>
      </c>
    </row>
    <row r="124">
      <c r="C124" s="224" t="n"/>
      <c r="D124" s="13" t="inlineStr">
        <is>
          <t>PRADO Marco [AAt]</t>
        </is>
      </c>
      <c r="E124" s="220" t="n"/>
      <c r="L124" s="64">
        <f>IF($D124="","",SUM(M124:O124))</f>
        <v/>
      </c>
      <c r="M124" s="64">
        <f>IF($D124="","",COUNTIF(DESIGNAZIONI!M$8:M$2629,$D124))</f>
        <v/>
      </c>
      <c r="N124" s="64">
        <f>IF($D124="","",COUNTIF(DESIGNAZIONI!N$8:N$2629,$D124))</f>
        <v/>
      </c>
      <c r="O124" s="64">
        <f>IF($D124="","",COUNTIF(DESIGNAZIONI!O$8:O$2629,$D124))</f>
        <v/>
      </c>
    </row>
    <row r="125">
      <c r="C125" s="224" t="n"/>
      <c r="D125" s="13" t="inlineStr">
        <is>
          <t>ENGEL Diego [A]</t>
        </is>
      </c>
      <c r="E125" s="220" t="n"/>
      <c r="L125" s="64">
        <f>IF($D125="","",SUM(M125:O125))</f>
        <v/>
      </c>
      <c r="M125" s="64">
        <f>IF($D125="","",COUNTIF(DESIGNAZIONI!M$8:M$2629,$D125))</f>
        <v/>
      </c>
      <c r="N125" s="64">
        <f>IF($D125="","",COUNTIF(DESIGNAZIONI!N$8:N$2629,$D125))</f>
        <v/>
      </c>
      <c r="O125" s="64">
        <f>IF($D125="","",COUNTIF(DESIGNAZIONI!O$8:O$2629,$D125))</f>
        <v/>
      </c>
    </row>
    <row r="126">
      <c r="C126" s="224" t="n"/>
      <c r="D126" s="13" t="inlineStr">
        <is>
          <t>LEFEVRE Sofia [AAt]</t>
        </is>
      </c>
      <c r="E126" s="220" t="n"/>
      <c r="L126" s="64">
        <f>IF($D126="","",SUM(M126:O126))</f>
        <v/>
      </c>
      <c r="M126" s="64">
        <f>IF($D126="","",COUNTIF(DESIGNAZIONI!M$8:M$2629,$D126))</f>
        <v/>
      </c>
      <c r="N126" s="64">
        <f>IF($D126="","",COUNTIF(DESIGNAZIONI!N$8:N$2629,$D126))</f>
        <v/>
      </c>
      <c r="O126" s="64">
        <f>IF($D126="","",COUNTIF(DESIGNAZIONI!O$8:O$2629,$D126))</f>
        <v/>
      </c>
    </row>
    <row r="127">
      <c r="C127" s="224" t="n"/>
      <c r="D127" s="13" t="inlineStr">
        <is>
          <t>LEROUX Elena [AA]</t>
        </is>
      </c>
      <c r="E127" s="220" t="n"/>
      <c r="L127" s="64">
        <f>IF($D127="","",SUM(M127:O127))</f>
        <v/>
      </c>
      <c r="M127" s="64">
        <f>IF($D127="","",COUNTIF(DESIGNAZIONI!M$8:M$2629,$D127))</f>
        <v/>
      </c>
      <c r="N127" s="64">
        <f>IF($D127="","",COUNTIF(DESIGNAZIONI!N$8:N$2629,$D127))</f>
        <v/>
      </c>
      <c r="O127" s="64">
        <f>IF($D127="","",COUNTIF(DESIGNAZIONI!O$8:O$2629,$D127))</f>
        <v/>
      </c>
    </row>
    <row r="128">
      <c r="C128" s="224" t="n"/>
      <c r="D128" s="13" t="inlineStr">
        <is>
          <t>SOLER Marta [AAt]</t>
        </is>
      </c>
      <c r="E128" s="220" t="n"/>
      <c r="L128" s="64">
        <f>IF($D128="","",SUM(M128:O128))</f>
        <v/>
      </c>
      <c r="M128" s="64">
        <f>IF($D128="","",COUNTIF(DESIGNAZIONI!M$8:M$2629,$D128))</f>
        <v/>
      </c>
      <c r="N128" s="64">
        <f>IF($D128="","",COUNTIF(DESIGNAZIONI!N$8:N$2629,$D128))</f>
        <v/>
      </c>
      <c r="O128" s="64">
        <f>IF($D128="","",COUNTIF(DESIGNAZIONI!O$8:O$2629,$D128))</f>
        <v/>
      </c>
    </row>
    <row r="129">
      <c r="C129" s="224" t="n"/>
      <c r="D129" s="13" t="inlineStr">
        <is>
          <t>LANGER Ilaria [Aest]</t>
        </is>
      </c>
      <c r="E129" s="220" t="n"/>
      <c r="L129" s="64">
        <f>IF($D129="","",SUM(M129:O129))</f>
        <v/>
      </c>
      <c r="M129" s="64">
        <f>IF($D129="","",COUNTIF(DESIGNAZIONI!M$8:M$2629,$D129))</f>
        <v/>
      </c>
      <c r="N129" s="64">
        <f>IF($D129="","",COUNTIF(DESIGNAZIONI!N$8:N$2629,$D129))</f>
        <v/>
      </c>
      <c r="O129" s="64">
        <f>IF($D129="","",COUNTIF(DESIGNAZIONI!O$8:O$2629,$D129))</f>
        <v/>
      </c>
    </row>
    <row r="130">
      <c r="C130" s="224" t="n"/>
      <c r="D130" s="13" t="inlineStr">
        <is>
          <t>AUBERT Gaelle [AAt]</t>
        </is>
      </c>
      <c r="E130" s="220" t="n"/>
      <c r="L130" s="64">
        <f>IF($D130="","",SUM(M130:O130))</f>
        <v/>
      </c>
      <c r="M130" s="64">
        <f>IF($D130="","",COUNTIF(DESIGNAZIONI!M$8:M$2629,$D130))</f>
        <v/>
      </c>
      <c r="N130" s="64">
        <f>IF($D130="","",COUNTIF(DESIGNAZIONI!N$8:N$2629,$D130))</f>
        <v/>
      </c>
      <c r="O130" s="64">
        <f>IF($D130="","",COUNTIF(DESIGNAZIONI!O$8:O$2629,$D130))</f>
        <v/>
      </c>
    </row>
    <row r="131">
      <c r="C131" s="224" t="n"/>
      <c r="D131" s="13" t="inlineStr">
        <is>
          <t>VIDMAR Elena [AAt]</t>
        </is>
      </c>
      <c r="E131" s="220" t="n"/>
      <c r="L131" s="64">
        <f>IF($D131="","",SUM(M131:O131))</f>
        <v/>
      </c>
      <c r="M131" s="64">
        <f>IF($D131="","",COUNTIF(DESIGNAZIONI!M$8:M$2629,$D131))</f>
        <v/>
      </c>
      <c r="N131" s="64">
        <f>IF($D131="","",COUNTIF(DESIGNAZIONI!N$8:N$2629,$D131))</f>
        <v/>
      </c>
      <c r="O131" s="64">
        <f>IF($D131="","",COUNTIF(DESIGNAZIONI!O$8:O$2629,$D131))</f>
        <v/>
      </c>
    </row>
    <row r="132">
      <c r="C132" s="224" t="n"/>
      <c r="D132" s="13" t="inlineStr">
        <is>
          <t>CONTARDI Lucia [AA]</t>
        </is>
      </c>
      <c r="E132" s="220" t="n"/>
      <c r="L132" s="64">
        <f>IF($D132="","",SUM(M132:O132))</f>
        <v/>
      </c>
      <c r="M132" s="64">
        <f>IF($D132="","",COUNTIF(DESIGNAZIONI!M$8:M$2629,$D132))</f>
        <v/>
      </c>
      <c r="N132" s="64">
        <f>IF($D132="","",COUNTIF(DESIGNAZIONI!N$8:N$2629,$D132))</f>
        <v/>
      </c>
      <c r="O132" s="64">
        <f>IF($D132="","",COUNTIF(DESIGNAZIONI!O$8:O$2629,$D132))</f>
        <v/>
      </c>
    </row>
    <row r="133">
      <c r="C133" s="224" t="n"/>
      <c r="D133" s="13" t="inlineStr">
        <is>
          <t>NADAUD Greta [A]</t>
        </is>
      </c>
      <c r="E133" s="220" t="n"/>
      <c r="L133" s="64">
        <f>IF($D133="","",SUM(M133:O133))</f>
        <v/>
      </c>
      <c r="M133" s="64">
        <f>IF($D133="","",COUNTIF(DESIGNAZIONI!M$8:M$2629,$D133))</f>
        <v/>
      </c>
      <c r="N133" s="64">
        <f>IF($D133="","",COUNTIF(DESIGNAZIONI!N$8:N$2629,$D133))</f>
        <v/>
      </c>
      <c r="O133" s="64">
        <f>IF($D133="","",COUNTIF(DESIGNAZIONI!O$8:O$2629,$D133))</f>
        <v/>
      </c>
    </row>
    <row r="134">
      <c r="C134" s="224" t="n"/>
      <c r="D134" s="13" t="inlineStr">
        <is>
          <t>PETERLIN Mathilde [Aest]</t>
        </is>
      </c>
      <c r="E134" s="220" t="n"/>
      <c r="L134" s="64">
        <f>IF($D134="","",SUM(M134:O134))</f>
        <v/>
      </c>
      <c r="M134" s="64">
        <f>IF($D134="","",COUNTIF(DESIGNAZIONI!M$8:M$2629,$D134))</f>
        <v/>
      </c>
      <c r="N134" s="64">
        <f>IF($D134="","",COUNTIF(DESIGNAZIONI!N$8:N$2629,$D134))</f>
        <v/>
      </c>
      <c r="O134" s="64">
        <f>IF($D134="","",COUNTIF(DESIGNAZIONI!O$8:O$2629,$D134))</f>
        <v/>
      </c>
    </row>
    <row r="135">
      <c r="C135" s="224" t="n"/>
      <c r="D135" s="13" t="inlineStr">
        <is>
          <t>GALLINI Lukas [AA]</t>
        </is>
      </c>
      <c r="E135" s="220" t="n"/>
      <c r="L135" s="64">
        <f>IF($D135="","",SUM(M135:O135))</f>
        <v/>
      </c>
      <c r="M135" s="64">
        <f>IF($D135="","",COUNTIF(DESIGNAZIONI!M$8:M$2629,$D135))</f>
        <v/>
      </c>
      <c r="N135" s="64">
        <f>IF($D135="","",COUNTIF(DESIGNAZIONI!N$8:N$2629,$D135))</f>
        <v/>
      </c>
      <c r="O135" s="64">
        <f>IF($D135="","",COUNTIF(DESIGNAZIONI!O$8:O$2629,$D135))</f>
        <v/>
      </c>
    </row>
    <row r="136">
      <c r="C136" s="224" t="n"/>
      <c r="D136" s="13" t="inlineStr">
        <is>
          <t>PETERLIN Filippo [AAt]</t>
        </is>
      </c>
      <c r="E136" s="220" t="n"/>
      <c r="L136" s="64">
        <f>IF($D136="","",SUM(M136:O136))</f>
        <v/>
      </c>
      <c r="M136" s="64">
        <f>IF($D136="","",COUNTIF(DESIGNAZIONI!M$8:M$2629,$D136))</f>
        <v/>
      </c>
      <c r="N136" s="64">
        <f>IF($D136="","",COUNTIF(DESIGNAZIONI!N$8:N$2629,$D136))</f>
        <v/>
      </c>
      <c r="O136" s="64">
        <f>IF($D136="","",COUNTIF(DESIGNAZIONI!O$8:O$2629,$D136))</f>
        <v/>
      </c>
    </row>
    <row r="137">
      <c r="C137" s="224" t="n"/>
      <c r="D137" s="13" t="inlineStr">
        <is>
          <t>PELLEGRI Paolo [AAt]</t>
        </is>
      </c>
      <c r="E137" s="220" t="n"/>
      <c r="L137" s="64">
        <f>IF($D137="","",SUM(M137:O137))</f>
        <v/>
      </c>
      <c r="M137" s="64">
        <f>IF($D137="","",COUNTIF(DESIGNAZIONI!M$8:M$2629,$D137))</f>
        <v/>
      </c>
      <c r="N137" s="64">
        <f>IF($D137="","",COUNTIF(DESIGNAZIONI!N$8:N$2629,$D137))</f>
        <v/>
      </c>
      <c r="O137" s="64">
        <f>IF($D137="","",COUNTIF(DESIGNAZIONI!O$8:O$2629,$D137))</f>
        <v/>
      </c>
    </row>
    <row r="138">
      <c r="C138" s="224" t="n"/>
      <c r="D138" s="13" t="inlineStr">
        <is>
          <t>NAVARRO Katrin [A]</t>
        </is>
      </c>
      <c r="E138" s="220" t="n"/>
      <c r="L138" s="64">
        <f>IF($D138="","",SUM(M138:O138))</f>
        <v/>
      </c>
      <c r="M138" s="64">
        <f>IF($D138="","",COUNTIF(DESIGNAZIONI!M$8:M$2629,$D138))</f>
        <v/>
      </c>
      <c r="N138" s="64">
        <f>IF($D138="","",COUNTIF(DESIGNAZIONI!N$8:N$2629,$D138))</f>
        <v/>
      </c>
      <c r="O138" s="64">
        <f>IF($D138="","",COUNTIF(DESIGNAZIONI!O$8:O$2629,$D138))</f>
        <v/>
      </c>
    </row>
    <row r="139">
      <c r="C139" s="224" t="n"/>
      <c r="D139" s="13" t="inlineStr">
        <is>
          <t>CASTILLO Jonas [AA]</t>
        </is>
      </c>
      <c r="E139" s="220" t="n"/>
      <c r="L139" s="64">
        <f>IF($D139="","",SUM(M139:O139))</f>
        <v/>
      </c>
      <c r="M139" s="64">
        <f>IF($D139="","",COUNTIF(DESIGNAZIONI!M$8:M$2629,$D139))</f>
        <v/>
      </c>
      <c r="N139" s="64">
        <f>IF($D139="","",COUNTIF(DESIGNAZIONI!N$8:N$2629,$D139))</f>
        <v/>
      </c>
      <c r="O139" s="64">
        <f>IF($D139="","",COUNTIF(DESIGNAZIONI!O$8:O$2629,$D139))</f>
        <v/>
      </c>
    </row>
    <row r="140">
      <c r="C140" s="224" t="n"/>
      <c r="D140" s="13" t="inlineStr">
        <is>
          <t>BLANCHET Diego [A]</t>
        </is>
      </c>
      <c r="E140" s="220" t="n"/>
      <c r="L140" s="64">
        <f>IF($D140="","",SUM(M140:O140))</f>
        <v/>
      </c>
      <c r="M140" s="64">
        <f>IF($D140="","",COUNTIF(DESIGNAZIONI!M$8:M$2629,$D140))</f>
        <v/>
      </c>
      <c r="N140" s="64">
        <f>IF($D140="","",COUNTIF(DESIGNAZIONI!N$8:N$2629,$D140))</f>
        <v/>
      </c>
      <c r="O140" s="64">
        <f>IF($D140="","",COUNTIF(DESIGNAZIONI!O$8:O$2629,$D140))</f>
        <v/>
      </c>
    </row>
    <row r="141">
      <c r="C141" s="224" t="n"/>
      <c r="D141" s="13" t="inlineStr">
        <is>
          <t>MODIC Valerie [A]</t>
        </is>
      </c>
      <c r="E141" s="220" t="n"/>
      <c r="L141" s="64">
        <f>IF($D141="","",SUM(M141:O141))</f>
        <v/>
      </c>
      <c r="M141" s="64">
        <f>IF($D141="","",COUNTIF(DESIGNAZIONI!M$8:M$2629,$D141))</f>
        <v/>
      </c>
      <c r="N141" s="64">
        <f>IF($D141="","",COUNTIF(DESIGNAZIONI!N$8:N$2629,$D141))</f>
        <v/>
      </c>
      <c r="O141" s="64">
        <f>IF($D141="","",COUNTIF(DESIGNAZIONI!O$8:O$2629,$D141))</f>
        <v/>
      </c>
    </row>
    <row r="142">
      <c r="C142" s="224" t="n"/>
      <c r="D142" s="13" t="inlineStr">
        <is>
          <t>FUENTES Valerie [AAt]</t>
        </is>
      </c>
      <c r="E142" s="220" t="n"/>
      <c r="L142" s="64">
        <f>IF($D142="","",SUM(M142:O142))</f>
        <v/>
      </c>
      <c r="M142" s="64">
        <f>IF($D142="","",COUNTIF(DESIGNAZIONI!M$8:M$2629,$D142))</f>
        <v/>
      </c>
      <c r="N142" s="64">
        <f>IF($D142="","",COUNTIF(DESIGNAZIONI!N$8:N$2629,$D142))</f>
        <v/>
      </c>
      <c r="O142" s="64">
        <f>IF($D142="","",COUNTIF(DESIGNAZIONI!O$8:O$2629,$D142))</f>
        <v/>
      </c>
    </row>
    <row r="143">
      <c r="C143" s="224" t="n"/>
      <c r="D143" s="13" t="inlineStr">
        <is>
          <t>HOFFMANN Anja [A]</t>
        </is>
      </c>
      <c r="E143" s="220" t="n"/>
      <c r="L143" s="64">
        <f>IF($D143="","",SUM(M143:O143))</f>
        <v/>
      </c>
      <c r="M143" s="64">
        <f>IF($D143="","",COUNTIF(DESIGNAZIONI!M$8:M$2629,$D143))</f>
        <v/>
      </c>
      <c r="N143" s="64">
        <f>IF($D143="","",COUNTIF(DESIGNAZIONI!N$8:N$2629,$D143))</f>
        <v/>
      </c>
      <c r="O143" s="64">
        <f>IF($D143="","",COUNTIF(DESIGNAZIONI!O$8:O$2629,$D143))</f>
        <v/>
      </c>
    </row>
    <row r="144">
      <c r="C144" s="224" t="n"/>
      <c r="D144" s="13" t="inlineStr">
        <is>
          <t>VOGEL Andrea [A]</t>
        </is>
      </c>
      <c r="E144" s="220" t="n"/>
      <c r="L144" s="64">
        <f>IF($D144="","",SUM(M144:O144))</f>
        <v/>
      </c>
      <c r="M144" s="64">
        <f>IF($D144="","",COUNTIF(DESIGNAZIONI!M$8:M$2629,$D144))</f>
        <v/>
      </c>
      <c r="N144" s="64">
        <f>IF($D144="","",COUNTIF(DESIGNAZIONI!N$8:N$2629,$D144))</f>
        <v/>
      </c>
      <c r="O144" s="64">
        <f>IF($D144="","",COUNTIF(DESIGNAZIONI!O$8:O$2629,$D144))</f>
        <v/>
      </c>
    </row>
    <row r="145">
      <c r="C145" s="224" t="n"/>
      <c r="D145" s="13" t="inlineStr">
        <is>
          <t>BLANCO Ottavia [AA]</t>
        </is>
      </c>
      <c r="E145" s="220" t="n"/>
      <c r="L145" s="64">
        <f>IF($D145="","",SUM(M145:O145))</f>
        <v/>
      </c>
      <c r="M145" s="64">
        <f>IF($D145="","",COUNTIF(DESIGNAZIONI!M$8:M$2629,$D145))</f>
        <v/>
      </c>
      <c r="N145" s="64">
        <f>IF($D145="","",COUNTIF(DESIGNAZIONI!N$8:N$2629,$D145))</f>
        <v/>
      </c>
      <c r="O145" s="64">
        <f>IF($D145="","",COUNTIF(DESIGNAZIONI!O$8:O$2629,$D145))</f>
        <v/>
      </c>
    </row>
    <row r="146">
      <c r="C146" s="224" t="n"/>
      <c r="D146" s="13" t="inlineStr">
        <is>
          <t>WEBER Nicola [AAt]</t>
        </is>
      </c>
      <c r="E146" s="220" t="n"/>
      <c r="L146" s="64">
        <f>IF($D146="","",SUM(M146:O146))</f>
        <v/>
      </c>
      <c r="M146" s="64">
        <f>IF($D146="","",COUNTIF(DESIGNAZIONI!M$8:M$2629,$D146))</f>
        <v/>
      </c>
      <c r="N146" s="64">
        <f>IF($D146="","",COUNTIF(DESIGNAZIONI!N$8:N$2629,$D146))</f>
        <v/>
      </c>
      <c r="O146" s="64">
        <f>IF($D146="","",COUNTIF(DESIGNAZIONI!O$8:O$2629,$D146))</f>
        <v/>
      </c>
    </row>
    <row r="147">
      <c r="C147" s="224" t="n"/>
      <c r="D147" s="13" t="inlineStr">
        <is>
          <t>CAMPOS Anja [Aest]</t>
        </is>
      </c>
      <c r="E147" s="220" t="n"/>
      <c r="L147" s="64">
        <f>IF($D147="","",SUM(M147:O147))</f>
        <v/>
      </c>
      <c r="M147" s="64">
        <f>IF($D147="","",COUNTIF(DESIGNAZIONI!M$8:M$2629,$D147))</f>
        <v/>
      </c>
      <c r="N147" s="64">
        <f>IF($D147="","",COUNTIF(DESIGNAZIONI!N$8:N$2629,$D147))</f>
        <v/>
      </c>
      <c r="O147" s="64">
        <f>IF($D147="","",COUNTIF(DESIGNAZIONI!O$8:O$2629,$D147))</f>
        <v/>
      </c>
    </row>
    <row r="148">
      <c r="C148" s="224" t="n"/>
      <c r="D148" s="13" t="inlineStr">
        <is>
          <t>HORVAT Marco [AA]</t>
        </is>
      </c>
      <c r="E148" s="220" t="n"/>
      <c r="L148" s="64">
        <f>IF($D148="","",SUM(M148:O148))</f>
        <v/>
      </c>
      <c r="M148" s="64">
        <f>IF($D148="","",COUNTIF(DESIGNAZIONI!M$8:M$2629,$D148))</f>
        <v/>
      </c>
      <c r="N148" s="64">
        <f>IF($D148="","",COUNTIF(DESIGNAZIONI!N$8:N$2629,$D148))</f>
        <v/>
      </c>
      <c r="O148" s="64">
        <f>IF($D148="","",COUNTIF(DESIGNAZIONI!O$8:O$2629,$D148))</f>
        <v/>
      </c>
    </row>
    <row r="149">
      <c r="C149" s="224" t="n"/>
      <c r="D149" s="13" t="inlineStr">
        <is>
          <t>BLANCO Sofia [AA]</t>
        </is>
      </c>
      <c r="E149" s="220" t="n"/>
      <c r="L149" s="64">
        <f>IF($D149="","",SUM(M149:O149))</f>
        <v/>
      </c>
      <c r="M149" s="64">
        <f>IF($D149="","",COUNTIF(DESIGNAZIONI!M$8:M$2629,$D149))</f>
        <v/>
      </c>
      <c r="N149" s="64">
        <f>IF($D149="","",COUNTIF(DESIGNAZIONI!N$8:N$2629,$D149))</f>
        <v/>
      </c>
      <c r="O149" s="64">
        <f>IF($D149="","",COUNTIF(DESIGNAZIONI!O$8:O$2629,$D149))</f>
        <v/>
      </c>
    </row>
    <row r="150">
      <c r="C150" s="224" t="n"/>
      <c r="D150" s="13" t="inlineStr">
        <is>
          <t>CAMPOS Felix [Aest]</t>
        </is>
      </c>
      <c r="E150" s="220" t="n"/>
      <c r="L150" s="64">
        <f>IF($D150="","",SUM(M150:O150))</f>
        <v/>
      </c>
      <c r="M150" s="64">
        <f>IF($D150="","",COUNTIF(DESIGNAZIONI!M$8:M$2629,$D150))</f>
        <v/>
      </c>
      <c r="N150" s="64">
        <f>IF($D150="","",COUNTIF(DESIGNAZIONI!N$8:N$2629,$D150))</f>
        <v/>
      </c>
      <c r="O150" s="64">
        <f>IF($D150="","",COUNTIF(DESIGNAZIONI!O$8:O$2629,$D150))</f>
        <v/>
      </c>
    </row>
    <row r="151">
      <c r="C151" s="224" t="n"/>
      <c r="D151" s="13" t="inlineStr">
        <is>
          <t>LEROUX Filippo [Aest]</t>
        </is>
      </c>
      <c r="E151" s="220" t="n"/>
      <c r="L151" s="64">
        <f>IF($D151="","",SUM(M151:O151))</f>
        <v/>
      </c>
      <c r="M151" s="64">
        <f>IF($D151="","",COUNTIF(DESIGNAZIONI!M$8:M$2629,$D151))</f>
        <v/>
      </c>
      <c r="N151" s="64">
        <f>IF($D151="","",COUNTIF(DESIGNAZIONI!N$8:N$2629,$D151))</f>
        <v/>
      </c>
      <c r="O151" s="64">
        <f>IF($D151="","",COUNTIF(DESIGNAZIONI!O$8:O$2629,$D151))</f>
        <v/>
      </c>
    </row>
    <row r="152">
      <c r="C152" s="224" t="n"/>
      <c r="D152" s="13" t="inlineStr">
        <is>
          <t>BELLANDI Marta [A]</t>
        </is>
      </c>
      <c r="E152" s="220" t="n"/>
      <c r="L152" s="64">
        <f>IF($D152="","",SUM(M152:O152))</f>
        <v/>
      </c>
      <c r="M152" s="64">
        <f>IF($D152="","",COUNTIF(DESIGNAZIONI!M$8:M$2629,$D152))</f>
        <v/>
      </c>
      <c r="N152" s="64">
        <f>IF($D152="","",COUNTIF(DESIGNAZIONI!N$8:N$2629,$D152))</f>
        <v/>
      </c>
      <c r="O152" s="64">
        <f>IF($D152="","",COUNTIF(DESIGNAZIONI!O$8:O$2629,$D152))</f>
        <v/>
      </c>
    </row>
    <row r="153">
      <c r="C153" s="224" t="n"/>
      <c r="D153" s="13" t="inlineStr">
        <is>
          <t>KRAJNC Paolo [Aest]</t>
        </is>
      </c>
      <c r="E153" s="220" t="n"/>
      <c r="L153" s="64">
        <f>IF($D153="","",SUM(M153:O153))</f>
        <v/>
      </c>
      <c r="M153" s="64">
        <f>IF($D153="","",COUNTIF(DESIGNAZIONI!M$8:M$2629,$D153))</f>
        <v/>
      </c>
      <c r="N153" s="64">
        <f>IF($D153="","",COUNTIF(DESIGNAZIONI!N$8:N$2629,$D153))</f>
        <v/>
      </c>
      <c r="O153" s="64">
        <f>IF($D153="","",COUNTIF(DESIGNAZIONI!O$8:O$2629,$D153))</f>
        <v/>
      </c>
    </row>
    <row r="154">
      <c r="C154" s="224" t="n"/>
      <c r="D154" s="13" t="inlineStr">
        <is>
          <t>BIANCHELLI Martina [AAt]</t>
        </is>
      </c>
      <c r="E154" s="220" t="n"/>
      <c r="L154" s="64">
        <f>IF($D154="","",SUM(M154:O154))</f>
        <v/>
      </c>
      <c r="M154" s="64">
        <f>IF($D154="","",COUNTIF(DESIGNAZIONI!M$8:M$2629,$D154))</f>
        <v/>
      </c>
      <c r="N154" s="64">
        <f>IF($D154="","",COUNTIF(DESIGNAZIONI!N$8:N$2629,$D154))</f>
        <v/>
      </c>
      <c r="O154" s="64">
        <f>IF($D154="","",COUNTIF(DESIGNAZIONI!O$8:O$2629,$D154))</f>
        <v/>
      </c>
    </row>
    <row r="155">
      <c r="C155" s="224" t="n"/>
      <c r="D155" s="13" t="inlineStr">
        <is>
          <t>MARCHIONI Paula [Aest]</t>
        </is>
      </c>
      <c r="E155" s="220" t="n"/>
      <c r="L155" s="64">
        <f>IF($D155="","",SUM(M155:O155))</f>
        <v/>
      </c>
      <c r="M155" s="64">
        <f>IF($D155="","",COUNTIF(DESIGNAZIONI!M$8:M$2629,$D155))</f>
        <v/>
      </c>
      <c r="N155" s="64">
        <f>IF($D155="","",COUNTIF(DESIGNAZIONI!N$8:N$2629,$D155))</f>
        <v/>
      </c>
      <c r="O155" s="64">
        <f>IF($D155="","",COUNTIF(DESIGNAZIONI!O$8:O$2629,$D155))</f>
        <v/>
      </c>
    </row>
    <row r="156">
      <c r="C156" s="224" t="n"/>
      <c r="D156" s="13" t="inlineStr">
        <is>
          <t>GALLINI Filippo [A]</t>
        </is>
      </c>
      <c r="E156" s="220" t="n"/>
      <c r="L156" s="64">
        <f>IF($D156="","",SUM(M156:O156))</f>
        <v/>
      </c>
      <c r="M156" s="64">
        <f>IF($D156="","",COUNTIF(DESIGNAZIONI!M$8:M$2629,$D156))</f>
        <v/>
      </c>
      <c r="N156" s="64">
        <f>IF($D156="","",COUNTIF(DESIGNAZIONI!N$8:N$2629,$D156))</f>
        <v/>
      </c>
      <c r="O156" s="64">
        <f>IF($D156="","",COUNTIF(DESIGNAZIONI!O$8:O$2629,$D156))</f>
        <v/>
      </c>
    </row>
    <row r="157">
      <c r="C157" s="224" t="n"/>
      <c r="D157" s="13" t="inlineStr">
        <is>
          <t>AUBERT Martina [AA]</t>
        </is>
      </c>
      <c r="E157" s="220" t="n"/>
      <c r="L157" s="64">
        <f>IF($D157="","",SUM(M157:O157))</f>
        <v/>
      </c>
      <c r="M157" s="64">
        <f>IF($D157="","",COUNTIF(DESIGNAZIONI!M$8:M$2629,$D157))</f>
        <v/>
      </c>
      <c r="N157" s="64">
        <f>IF($D157="","",COUNTIF(DESIGNAZIONI!N$8:N$2629,$D157))</f>
        <v/>
      </c>
      <c r="O157" s="64">
        <f>IF($D157="","",COUNTIF(DESIGNAZIONI!O$8:O$2629,$D157))</f>
        <v/>
      </c>
    </row>
    <row r="158">
      <c r="C158" s="224" t="n"/>
      <c r="D158" s="13" t="inlineStr">
        <is>
          <t>KOVAC Diego [AAt]</t>
        </is>
      </c>
      <c r="E158" s="220" t="n"/>
      <c r="L158" s="64">
        <f>IF($D158="","",SUM(M158:O158))</f>
        <v/>
      </c>
      <c r="M158" s="64">
        <f>IF($D158="","",COUNTIF(DESIGNAZIONI!M$8:M$2629,$D158))</f>
        <v/>
      </c>
      <c r="N158" s="64">
        <f>IF($D158="","",COUNTIF(DESIGNAZIONI!N$8:N$2629,$D158))</f>
        <v/>
      </c>
      <c r="O158" s="64">
        <f>IF($D158="","",COUNTIF(DESIGNAZIONI!O$8:O$2629,$D158))</f>
        <v/>
      </c>
    </row>
    <row r="159">
      <c r="C159" s="224" t="n"/>
      <c r="D159" s="13" t="inlineStr">
        <is>
          <t>ENGEL Stefano [AAt]</t>
        </is>
      </c>
      <c r="E159" s="220" t="n"/>
      <c r="L159" s="64">
        <f>IF($D159="","",SUM(M159:O159))</f>
        <v/>
      </c>
      <c r="M159" s="64">
        <f>IF($D159="","",COUNTIF(DESIGNAZIONI!M$8:M$2629,$D159))</f>
        <v/>
      </c>
      <c r="N159" s="64">
        <f>IF($D159="","",COUNTIF(DESIGNAZIONI!N$8:N$2629,$D159))</f>
        <v/>
      </c>
      <c r="O159" s="64">
        <f>IF($D159="","",COUNTIF(DESIGNAZIONI!O$8:O$2629,$D159))</f>
        <v/>
      </c>
    </row>
    <row r="160">
      <c r="C160" s="224" t="n"/>
      <c r="D160" s="13" t="inlineStr">
        <is>
          <t>PRADO Luca [AA]</t>
        </is>
      </c>
      <c r="E160" s="220" t="n"/>
      <c r="L160" s="64">
        <f>IF($D160="","",SUM(M160:O160))</f>
        <v/>
      </c>
      <c r="M160" s="64">
        <f>IF($D160="","",COUNTIF(DESIGNAZIONI!M$8:M$2629,$D160))</f>
        <v/>
      </c>
      <c r="N160" s="64">
        <f>IF($D160="","",COUNTIF(DESIGNAZIONI!N$8:N$2629,$D160))</f>
        <v/>
      </c>
      <c r="O160" s="64">
        <f>IF($D160="","",COUNTIF(DESIGNAZIONI!O$8:O$2629,$D160))</f>
        <v/>
      </c>
    </row>
    <row r="161">
      <c r="C161" s="224" t="n"/>
      <c r="D161" s="13" t="inlineStr">
        <is>
          <t>VALLET Tommaso [AAt]</t>
        </is>
      </c>
      <c r="E161" s="220" t="n"/>
      <c r="L161" s="64">
        <f>IF($D161="","",SUM(M161:O161))</f>
        <v/>
      </c>
      <c r="M161" s="64">
        <f>IF($D161="","",COUNTIF(DESIGNAZIONI!M$8:M$2629,$D161))</f>
        <v/>
      </c>
      <c r="N161" s="64">
        <f>IF($D161="","",COUNTIF(DESIGNAZIONI!N$8:N$2629,$D161))</f>
        <v/>
      </c>
      <c r="O161" s="64">
        <f>IF($D161="","",COUNTIF(DESIGNAZIONI!O$8:O$2629,$D161))</f>
        <v/>
      </c>
    </row>
    <row r="162">
      <c r="C162" s="224" t="n"/>
      <c r="D162" s="13" t="inlineStr">
        <is>
          <t>CONTARDI Tommaso [AA]</t>
        </is>
      </c>
      <c r="E162" s="220" t="n"/>
      <c r="L162" s="64">
        <f>IF($D162="","",SUM(M162:O162))</f>
        <v/>
      </c>
      <c r="M162" s="64">
        <f>IF($D162="","",COUNTIF(DESIGNAZIONI!M$8:M$2629,$D162))</f>
        <v/>
      </c>
      <c r="N162" s="64">
        <f>IF($D162="","",COUNTIF(DESIGNAZIONI!N$8:N$2629,$D162))</f>
        <v/>
      </c>
      <c r="O162" s="64">
        <f>IF($D162="","",COUNTIF(DESIGNAZIONI!O$8:O$2629,$D162))</f>
        <v/>
      </c>
    </row>
    <row r="163">
      <c r="C163" s="224" t="n"/>
      <c r="D163" s="13" t="inlineStr">
        <is>
          <t>CASTILLO Irene [Aest]</t>
        </is>
      </c>
      <c r="E163" s="220" t="n"/>
      <c r="L163" s="64">
        <f>IF($D163="","",SUM(M163:O163))</f>
        <v/>
      </c>
      <c r="M163" s="64">
        <f>IF($D163="","",COUNTIF(DESIGNAZIONI!M$8:M$2629,$D163))</f>
        <v/>
      </c>
      <c r="N163" s="64">
        <f>IF($D163="","",COUNTIF(DESIGNAZIONI!N$8:N$2629,$D163))</f>
        <v/>
      </c>
      <c r="O163" s="64">
        <f>IF($D163="","",COUNTIF(DESIGNAZIONI!O$8:O$2629,$D163))</f>
        <v/>
      </c>
    </row>
    <row r="164">
      <c r="C164" s="224" t="n"/>
      <c r="D164" s="13" t="inlineStr">
        <is>
          <t>NAVARRO Martina [A]</t>
        </is>
      </c>
      <c r="E164" s="220" t="n"/>
      <c r="L164" s="64">
        <f>IF($D164="","",SUM(M164:O164))</f>
        <v/>
      </c>
      <c r="M164" s="64">
        <f>IF($D164="","",COUNTIF(DESIGNAZIONI!M$8:M$2629,$D164))</f>
        <v/>
      </c>
      <c r="N164" s="64">
        <f>IF($D164="","",COUNTIF(DESIGNAZIONI!N$8:N$2629,$D164))</f>
        <v/>
      </c>
      <c r="O164" s="64">
        <f>IF($D164="","",COUNTIF(DESIGNAZIONI!O$8:O$2629,$D164))</f>
        <v/>
      </c>
    </row>
    <row r="165">
      <c r="C165" s="224" t="n"/>
      <c r="D165" s="13" t="inlineStr">
        <is>
          <t>LEROUX Mathilde [AA]</t>
        </is>
      </c>
      <c r="E165" s="220" t="n"/>
      <c r="L165" s="64">
        <f>IF($D165="","",SUM(M165:O165))</f>
        <v/>
      </c>
      <c r="M165" s="64">
        <f>IF($D165="","",COUNTIF(DESIGNAZIONI!M$8:M$2629,$D165))</f>
        <v/>
      </c>
      <c r="N165" s="64">
        <f>IF($D165="","",COUNTIF(DESIGNAZIONI!N$8:N$2629,$D165))</f>
        <v/>
      </c>
      <c r="O165" s="64">
        <f>IF($D165="","",COUNTIF(DESIGNAZIONI!O$8:O$2629,$D165))</f>
        <v/>
      </c>
    </row>
    <row r="166">
      <c r="C166" s="224" t="n"/>
      <c r="D166" s="13" t="inlineStr">
        <is>
          <t>MORETTO Chiara [A]</t>
        </is>
      </c>
      <c r="E166" s="220" t="n"/>
      <c r="L166" s="64">
        <f>IF($D166="","",SUM(M166:O166))</f>
        <v/>
      </c>
      <c r="M166" s="64">
        <f>IF($D166="","",COUNTIF(DESIGNAZIONI!M$8:M$2629,$D166))</f>
        <v/>
      </c>
      <c r="N166" s="64">
        <f>IF($D166="","",COUNTIF(DESIGNAZIONI!N$8:N$2629,$D166))</f>
        <v/>
      </c>
      <c r="O166" s="64">
        <f>IF($D166="","",COUNTIF(DESIGNAZIONI!O$8:O$2629,$D166))</f>
        <v/>
      </c>
    </row>
    <row r="167">
      <c r="C167" s="224" t="n"/>
      <c r="D167" s="13" t="inlineStr">
        <is>
          <t>ROSSINI Sofia [AA]</t>
        </is>
      </c>
      <c r="E167" s="220" t="n"/>
      <c r="L167" s="64">
        <f>IF($D167="","",SUM(M167:O167))</f>
        <v/>
      </c>
      <c r="M167" s="64">
        <f>IF($D167="","",COUNTIF(DESIGNAZIONI!M$8:M$2629,$D167))</f>
        <v/>
      </c>
      <c r="N167" s="64">
        <f>IF($D167="","",COUNTIF(DESIGNAZIONI!N$8:N$2629,$D167))</f>
        <v/>
      </c>
      <c r="O167" s="64">
        <f>IF($D167="","",COUNTIF(DESIGNAZIONI!O$8:O$2629,$D167))</f>
        <v/>
      </c>
    </row>
    <row r="168">
      <c r="C168" s="224" t="n"/>
      <c r="D168" s="13" t="inlineStr">
        <is>
          <t>ORTEGA Diego [A]</t>
        </is>
      </c>
      <c r="E168" s="220" t="n"/>
      <c r="L168" s="64">
        <f>IF($D168="","",SUM(M168:O168))</f>
        <v/>
      </c>
      <c r="M168" s="64">
        <f>IF($D168="","",COUNTIF(DESIGNAZIONI!M$8:M$2629,$D168))</f>
        <v/>
      </c>
      <c r="N168" s="64">
        <f>IF($D168="","",COUNTIF(DESIGNAZIONI!N$8:N$2629,$D168))</f>
        <v/>
      </c>
      <c r="O168" s="64">
        <f>IF($D168="","",COUNTIF(DESIGNAZIONI!O$8:O$2629,$D168))</f>
        <v/>
      </c>
    </row>
    <row r="169">
      <c r="C169" s="224" t="n"/>
      <c r="D169" s="13" t="inlineStr">
        <is>
          <t>WEBER Matteo [A]</t>
        </is>
      </c>
      <c r="E169" s="220" t="n"/>
      <c r="L169" s="64">
        <f>IF($D169="","",SUM(M169:O169))</f>
        <v/>
      </c>
      <c r="M169" s="64">
        <f>IF($D169="","",COUNTIF(DESIGNAZIONI!M$8:M$2629,$D169))</f>
        <v/>
      </c>
      <c r="N169" s="64">
        <f>IF($D169="","",COUNTIF(DESIGNAZIONI!N$8:N$2629,$D169))</f>
        <v/>
      </c>
      <c r="O169" s="64">
        <f>IF($D169="","",COUNTIF(DESIGNAZIONI!O$8:O$2629,$D169))</f>
        <v/>
      </c>
    </row>
    <row r="170">
      <c r="C170" s="224" t="n"/>
      <c r="D170" s="13" t="inlineStr">
        <is>
          <t>ROSSINI Paula [AAt]</t>
        </is>
      </c>
      <c r="E170" s="220" t="n"/>
      <c r="L170" s="64">
        <f>IF($D170="","",SUM(M170:O170))</f>
        <v/>
      </c>
      <c r="M170" s="64">
        <f>IF($D170="","",COUNTIF(DESIGNAZIONI!M$8:M$2629,$D170))</f>
        <v/>
      </c>
      <c r="N170" s="64">
        <f>IF($D170="","",COUNTIF(DESIGNAZIONI!N$8:N$2629,$D170))</f>
        <v/>
      </c>
      <c r="O170" s="64">
        <f>IF($D170="","",COUNTIF(DESIGNAZIONI!O$8:O$2629,$D170))</f>
        <v/>
      </c>
    </row>
    <row r="171">
      <c r="C171" s="224" t="n"/>
      <c r="D171" s="13" t="inlineStr">
        <is>
          <t>ZUPAN Felix [AAt]</t>
        </is>
      </c>
      <c r="E171" s="220" t="n"/>
      <c r="L171" s="64">
        <f>IF($D171="","",SUM(M171:O171))</f>
        <v/>
      </c>
      <c r="M171" s="64">
        <f>IF($D171="","",COUNTIF(DESIGNAZIONI!M$8:M$2629,$D171))</f>
        <v/>
      </c>
      <c r="N171" s="64">
        <f>IF($D171="","",COUNTIF(DESIGNAZIONI!N$8:N$2629,$D171))</f>
        <v/>
      </c>
      <c r="O171" s="64">
        <f>IF($D171="","",COUNTIF(DESIGNAZIONI!O$8:O$2629,$D171))</f>
        <v/>
      </c>
    </row>
    <row r="172">
      <c r="C172" s="224" t="n"/>
      <c r="D172" s="13" t="inlineStr">
        <is>
          <t>ROTH Katrin [A]</t>
        </is>
      </c>
      <c r="E172" s="220" t="n"/>
      <c r="L172" s="64">
        <f>IF($D172="","",SUM(M172:O172))</f>
        <v/>
      </c>
      <c r="M172" s="64">
        <f>IF($D172="","",COUNTIF(DESIGNAZIONI!M$8:M$2629,$D172))</f>
        <v/>
      </c>
      <c r="N172" s="64">
        <f>IF($D172="","",COUNTIF(DESIGNAZIONI!N$8:N$2629,$D172))</f>
        <v/>
      </c>
      <c r="O172" s="64">
        <f>IF($D172="","",COUNTIF(DESIGNAZIONI!O$8:O$2629,$D172))</f>
        <v/>
      </c>
    </row>
    <row r="173">
      <c r="C173" s="224" t="n"/>
      <c r="D173" s="13" t="inlineStr">
        <is>
          <t>LANGER Katrin [AAt]</t>
        </is>
      </c>
      <c r="E173" s="220" t="n"/>
      <c r="L173" s="64">
        <f>IF($D173="","",SUM(M173:O173))</f>
        <v/>
      </c>
      <c r="M173" s="64">
        <f>IF($D173="","",COUNTIF(DESIGNAZIONI!M$8:M$2629,$D173))</f>
        <v/>
      </c>
      <c r="N173" s="64">
        <f>IF($D173="","",COUNTIF(DESIGNAZIONI!N$8:N$2629,$D173))</f>
        <v/>
      </c>
      <c r="O173" s="64">
        <f>IF($D173="","",COUNTIF(DESIGNAZIONI!O$8:O$2629,$D173))</f>
        <v/>
      </c>
    </row>
    <row r="174">
      <c r="C174" s="224" t="n"/>
      <c r="D174" s="13" t="inlineStr">
        <is>
          <t>LANGER Sofia [A]</t>
        </is>
      </c>
      <c r="E174" s="220" t="n"/>
      <c r="L174" s="64">
        <f>IF($D174="","",SUM(M174:O174))</f>
        <v/>
      </c>
      <c r="M174" s="64">
        <f>IF($D174="","",COUNTIF(DESIGNAZIONI!M$8:M$2629,$D174))</f>
        <v/>
      </c>
      <c r="N174" s="64">
        <f>IF($D174="","",COUNTIF(DESIGNAZIONI!N$8:N$2629,$D174))</f>
        <v/>
      </c>
      <c r="O174" s="64">
        <f>IF($D174="","",COUNTIF(DESIGNAZIONI!O$8:O$2629,$D174))</f>
        <v/>
      </c>
    </row>
    <row r="175">
      <c r="C175" s="224" t="n"/>
      <c r="D175" s="13" t="inlineStr">
        <is>
          <t>KELLER Mathilde [Aest]</t>
        </is>
      </c>
      <c r="E175" s="220" t="n"/>
      <c r="L175" s="64">
        <f>IF($D175="","",SUM(M175:O175))</f>
        <v/>
      </c>
      <c r="M175" s="64">
        <f>IF($D175="","",COUNTIF(DESIGNAZIONI!M$8:M$2629,$D175))</f>
        <v/>
      </c>
      <c r="N175" s="64">
        <f>IF($D175="","",COUNTIF(DESIGNAZIONI!N$8:N$2629,$D175))</f>
        <v/>
      </c>
      <c r="O175" s="64">
        <f>IF($D175="","",COUNTIF(DESIGNAZIONI!O$8:O$2629,$D175))</f>
        <v/>
      </c>
    </row>
    <row r="176">
      <c r="C176" s="224" t="n"/>
      <c r="D176" s="13" t="inlineStr">
        <is>
          <t>KRUGER Greta [A]</t>
        </is>
      </c>
      <c r="E176" s="220" t="n"/>
      <c r="L176" s="64">
        <f>IF($D176="","",SUM(M176:O176))</f>
        <v/>
      </c>
      <c r="M176" s="64">
        <f>IF($D176="","",COUNTIF(DESIGNAZIONI!M$8:M$2629,$D176))</f>
        <v/>
      </c>
      <c r="N176" s="64">
        <f>IF($D176="","",COUNTIF(DESIGNAZIONI!N$8:N$2629,$D176))</f>
        <v/>
      </c>
      <c r="O176" s="64">
        <f>IF($D176="","",COUNTIF(DESIGNAZIONI!O$8:O$2629,$D176))</f>
        <v/>
      </c>
    </row>
    <row r="177">
      <c r="C177" s="224" t="n"/>
      <c r="D177" s="13" t="inlineStr">
        <is>
          <t>SOLER Mathilde [AA]</t>
        </is>
      </c>
      <c r="E177" s="220" t="n"/>
      <c r="L177" s="64">
        <f>IF($D177="","",SUM(M177:O177))</f>
        <v/>
      </c>
      <c r="M177" s="64">
        <f>IF($D177="","",COUNTIF(DESIGNAZIONI!M$8:M$2629,$D177))</f>
        <v/>
      </c>
      <c r="N177" s="64">
        <f>IF($D177="","",COUNTIF(DESIGNAZIONI!N$8:N$2629,$D177))</f>
        <v/>
      </c>
      <c r="O177" s="64">
        <f>IF($D177="","",COUNTIF(DESIGNAZIONI!O$8:O$2629,$D177))</f>
        <v/>
      </c>
    </row>
    <row r="178">
      <c r="C178" s="224" t="n"/>
      <c r="D178" s="13" t="inlineStr">
        <is>
          <t>CARON Vid [A]</t>
        </is>
      </c>
      <c r="E178" s="220" t="n"/>
      <c r="L178" s="64">
        <f>IF($D178="","",SUM(M178:O178))</f>
        <v/>
      </c>
      <c r="M178" s="64">
        <f>IF($D178="","",COUNTIF(DESIGNAZIONI!M$8:M$2629,$D178))</f>
        <v/>
      </c>
      <c r="N178" s="64">
        <f>IF($D178="","",COUNTIF(DESIGNAZIONI!N$8:N$2629,$D178))</f>
        <v/>
      </c>
      <c r="O178" s="64">
        <f>IF($D178="","",COUNTIF(DESIGNAZIONI!O$8:O$2629,$D178))</f>
        <v/>
      </c>
    </row>
    <row r="179">
      <c r="C179" s="224" t="n"/>
      <c r="D179" s="13" t="inlineStr">
        <is>
          <t>IGLESIAS Giulia [AAt]</t>
        </is>
      </c>
      <c r="E179" s="220" t="n"/>
      <c r="L179" s="64">
        <f>IF($D179="","",SUM(M179:O179))</f>
        <v/>
      </c>
      <c r="M179" s="64">
        <f>IF($D179="","",COUNTIF(DESIGNAZIONI!M$8:M$2629,$D179))</f>
        <v/>
      </c>
      <c r="N179" s="64">
        <f>IF($D179="","",COUNTIF(DESIGNAZIONI!N$8:N$2629,$D179))</f>
        <v/>
      </c>
      <c r="O179" s="64">
        <f>IF($D179="","",COUNTIF(DESIGNAZIONI!O$8:O$2629,$D179))</f>
        <v/>
      </c>
    </row>
    <row r="180">
      <c r="C180" s="224" t="n"/>
      <c r="D180" s="13" t="inlineStr">
        <is>
          <t>BLANCO Stefano [A]</t>
        </is>
      </c>
      <c r="E180" s="220" t="n"/>
      <c r="L180" s="64">
        <f>IF($D180="","",SUM(M180:O180))</f>
        <v/>
      </c>
      <c r="M180" s="64">
        <f>IF($D180="","",COUNTIF(DESIGNAZIONI!M$8:M$2629,$D180))</f>
        <v/>
      </c>
      <c r="N180" s="64">
        <f>IF($D180="","",COUNTIF(DESIGNAZIONI!N$8:N$2629,$D180))</f>
        <v/>
      </c>
      <c r="O180" s="64">
        <f>IF($D180="","",COUNTIF(DESIGNAZIONI!O$8:O$2629,$D180))</f>
        <v/>
      </c>
    </row>
    <row r="181">
      <c r="C181" s="224" t="n"/>
      <c r="D181" s="13" t="inlineStr">
        <is>
          <t>ROTH Andrea [AAt]</t>
        </is>
      </c>
      <c r="E181" s="220" t="n"/>
      <c r="L181" s="64">
        <f>IF($D181="","",SUM(M181:O181))</f>
        <v/>
      </c>
      <c r="M181" s="64">
        <f>IF($D181="","",COUNTIF(DESIGNAZIONI!M$8:M$2629,$D181))</f>
        <v/>
      </c>
      <c r="N181" s="64">
        <f>IF($D181="","",COUNTIF(DESIGNAZIONI!N$8:N$2629,$D181))</f>
        <v/>
      </c>
      <c r="O181" s="64">
        <f>IF($D181="","",COUNTIF(DESIGNAZIONI!O$8:O$2629,$D181))</f>
        <v/>
      </c>
    </row>
    <row r="182">
      <c r="C182" s="224" t="n"/>
      <c r="D182" s="13" t="inlineStr">
        <is>
          <t>VIDMAR Eva [AA]</t>
        </is>
      </c>
      <c r="E182" s="220" t="n"/>
      <c r="L182" s="64">
        <f>IF($D182="","",SUM(M182:O182))</f>
        <v/>
      </c>
      <c r="M182" s="64">
        <f>IF($D182="","",COUNTIF(DESIGNAZIONI!M$8:M$2629,$D182))</f>
        <v/>
      </c>
      <c r="N182" s="64">
        <f>IF($D182="","",COUNTIF(DESIGNAZIONI!N$8:N$2629,$D182))</f>
        <v/>
      </c>
      <c r="O182" s="64">
        <f>IF($D182="","",COUNTIF(DESIGNAZIONI!O$8:O$2629,$D182))</f>
        <v/>
      </c>
    </row>
    <row r="183">
      <c r="C183" s="224" t="n"/>
      <c r="D183" s="13" t="inlineStr">
        <is>
          <t>ROMERO Stefano [Aest]</t>
        </is>
      </c>
      <c r="E183" s="220" t="n"/>
      <c r="L183" s="64">
        <f>IF($D183="","",SUM(M183:O183))</f>
        <v/>
      </c>
      <c r="M183" s="64">
        <f>IF($D183="","",COUNTIF(DESIGNAZIONI!M$8:M$2629,$D183))</f>
        <v/>
      </c>
      <c r="N183" s="64">
        <f>IF($D183="","",COUNTIF(DESIGNAZIONI!N$8:N$2629,$D183))</f>
        <v/>
      </c>
      <c r="O183" s="64">
        <f>IF($D183="","",COUNTIF(DESIGNAZIONI!O$8:O$2629,$D183))</f>
        <v/>
      </c>
    </row>
    <row r="184">
      <c r="C184" s="224" t="n"/>
      <c r="D184" s="13" t="inlineStr">
        <is>
          <t>MARCHIONI Marco [Aest]</t>
        </is>
      </c>
      <c r="E184" s="220" t="n"/>
      <c r="L184" s="64">
        <f>IF($D184="","",SUM(M184:O184))</f>
        <v/>
      </c>
      <c r="M184" s="64">
        <f>IF($D184="","",COUNTIF(DESIGNAZIONI!M$8:M$2629,$D184))</f>
        <v/>
      </c>
      <c r="N184" s="64">
        <f>IF($D184="","",COUNTIF(DESIGNAZIONI!N$8:N$2629,$D184))</f>
        <v/>
      </c>
      <c r="O184" s="64">
        <f>IF($D184="","",COUNTIF(DESIGNAZIONI!O$8:O$2629,$D184))</f>
        <v/>
      </c>
    </row>
    <row r="185">
      <c r="C185" s="224" t="n"/>
      <c r="D185" s="13" t="inlineStr">
        <is>
          <t>ROSSINI Martina [AAt]</t>
        </is>
      </c>
      <c r="E185" s="220" t="n"/>
      <c r="L185" s="64">
        <f>IF($D185="","",SUM(M185:O185))</f>
        <v/>
      </c>
      <c r="M185" s="64">
        <f>IF($D185="","",COUNTIF(DESIGNAZIONI!M$8:M$2629,$D185))</f>
        <v/>
      </c>
      <c r="N185" s="64">
        <f>IF($D185="","",COUNTIF(DESIGNAZIONI!N$8:N$2629,$D185))</f>
        <v/>
      </c>
      <c r="O185" s="64">
        <f>IF($D185="","",COUNTIF(DESIGNAZIONI!O$8:O$2629,$D185))</f>
        <v/>
      </c>
    </row>
    <row r="186">
      <c r="C186" s="224" t="n"/>
      <c r="D186" s="13" t="inlineStr">
        <is>
          <t>LEFEVRE Mathilde [A]</t>
        </is>
      </c>
      <c r="E186" s="220" t="n"/>
      <c r="L186" s="64">
        <f>IF($D186="","",SUM(M186:O186))</f>
        <v/>
      </c>
      <c r="M186" s="64">
        <f>IF($D186="","",COUNTIF(DESIGNAZIONI!M$8:M$2629,$D186))</f>
        <v/>
      </c>
      <c r="N186" s="64">
        <f>IF($D186="","",COUNTIF(DESIGNAZIONI!N$8:N$2629,$D186))</f>
        <v/>
      </c>
      <c r="O186" s="64">
        <f>IF($D186="","",COUNTIF(DESIGNAZIONI!O$8:O$2629,$D186))</f>
        <v/>
      </c>
    </row>
    <row r="187">
      <c r="C187" s="224" t="n"/>
      <c r="D187" s="13" t="inlineStr">
        <is>
          <t>KRAJNC Lukas [Aest]</t>
        </is>
      </c>
      <c r="E187" s="220" t="n"/>
      <c r="L187" s="64">
        <f>IF($D187="","",SUM(M187:O187))</f>
        <v/>
      </c>
      <c r="M187" s="64">
        <f>IF($D187="","",COUNTIF(DESIGNAZIONI!M$8:M$2629,$D187))</f>
        <v/>
      </c>
      <c r="N187" s="64">
        <f>IF($D187="","",COUNTIF(DESIGNAZIONI!N$8:N$2629,$D187))</f>
        <v/>
      </c>
      <c r="O187" s="64">
        <f>IF($D187="","",COUNTIF(DESIGNAZIONI!O$8:O$2629,$D187))</f>
        <v/>
      </c>
    </row>
    <row r="188">
      <c r="C188" s="224" t="n"/>
      <c r="D188" s="13" t="inlineStr">
        <is>
          <t>CAMPOS Mathilde [Aest]</t>
        </is>
      </c>
      <c r="E188" s="220" t="n"/>
      <c r="L188" s="64">
        <f>IF($D188="","",SUM(M188:O188))</f>
        <v/>
      </c>
      <c r="M188" s="64">
        <f>IF($D188="","",COUNTIF(DESIGNAZIONI!M$8:M$2629,$D188))</f>
        <v/>
      </c>
      <c r="N188" s="64">
        <f>IF($D188="","",COUNTIF(DESIGNAZIONI!N$8:N$2629,$D188))</f>
        <v/>
      </c>
      <c r="O188" s="64">
        <f>IF($D188="","",COUNTIF(DESIGNAZIONI!O$8:O$2629,$D188))</f>
        <v/>
      </c>
    </row>
    <row r="189">
      <c r="C189" s="224" t="n"/>
      <c r="D189" s="13" t="inlineStr">
        <is>
          <t>KOVAC Noemi [Aest]</t>
        </is>
      </c>
      <c r="E189" s="220" t="n"/>
      <c r="L189" s="64">
        <f>IF($D189="","",SUM(M189:O189))</f>
        <v/>
      </c>
      <c r="M189" s="64">
        <f>IF($D189="","",COUNTIF(DESIGNAZIONI!M$8:M$2629,$D189))</f>
        <v/>
      </c>
      <c r="N189" s="64">
        <f>IF($D189="","",COUNTIF(DESIGNAZIONI!N$8:N$2629,$D189))</f>
        <v/>
      </c>
      <c r="O189" s="64">
        <f>IF($D189="","",COUNTIF(DESIGNAZIONI!O$8:O$2629,$D189))</f>
        <v/>
      </c>
    </row>
    <row r="190">
      <c r="C190" s="224" t="n"/>
      <c r="D190" s="13" t="inlineStr">
        <is>
          <t>CASTILLO Ilaria [AAt]</t>
        </is>
      </c>
      <c r="E190" s="220" t="n"/>
      <c r="L190" s="64">
        <f>IF($D190="","",SUM(M190:O190))</f>
        <v/>
      </c>
      <c r="M190" s="64">
        <f>IF($D190="","",COUNTIF(DESIGNAZIONI!M$8:M$2629,$D190))</f>
        <v/>
      </c>
      <c r="N190" s="64">
        <f>IF($D190="","",COUNTIF(DESIGNAZIONI!N$8:N$2629,$D190))</f>
        <v/>
      </c>
      <c r="O190" s="64">
        <f>IF($D190="","",COUNTIF(DESIGNAZIONI!O$8:O$2629,$D190))</f>
        <v/>
      </c>
    </row>
    <row r="191">
      <c r="C191" s="224" t="n"/>
      <c r="D191" s="13" t="inlineStr">
        <is>
          <t>SOLER Alenka [A]</t>
        </is>
      </c>
      <c r="E191" s="220" t="n"/>
      <c r="L191" s="64">
        <f>IF($D191="","",SUM(M191:O191))</f>
        <v/>
      </c>
      <c r="M191" s="64">
        <f>IF($D191="","",COUNTIF(DESIGNAZIONI!M$8:M$2629,$D191))</f>
        <v/>
      </c>
      <c r="N191" s="64">
        <f>IF($D191="","",COUNTIF(DESIGNAZIONI!N$8:N$2629,$D191))</f>
        <v/>
      </c>
      <c r="O191" s="64">
        <f>IF($D191="","",COUNTIF(DESIGNAZIONI!O$8:O$2629,$D191))</f>
        <v/>
      </c>
    </row>
    <row r="192">
      <c r="C192" s="224" t="n"/>
      <c r="D192" s="13" t="inlineStr">
        <is>
          <t>KRUGER Ilaria [A]</t>
        </is>
      </c>
      <c r="E192" s="220" t="n"/>
      <c r="L192" s="64">
        <f>IF($D192="","",SUM(M192:O192))</f>
        <v/>
      </c>
      <c r="M192" s="64">
        <f>IF($D192="","",COUNTIF(DESIGNAZIONI!M$8:M$2629,$D192))</f>
        <v/>
      </c>
      <c r="N192" s="64">
        <f>IF($D192="","",COUNTIF(DESIGNAZIONI!N$8:N$2629,$D192))</f>
        <v/>
      </c>
      <c r="O192" s="64">
        <f>IF($D192="","",COUNTIF(DESIGNAZIONI!O$8:O$2629,$D192))</f>
        <v/>
      </c>
    </row>
    <row r="193">
      <c r="C193" s="224" t="n"/>
      <c r="D193" s="13" t="inlineStr">
        <is>
          <t>SCHAFER Eva [AA]</t>
        </is>
      </c>
      <c r="E193" s="220" t="n"/>
      <c r="L193" s="64">
        <f>IF($D193="","",SUM(M193:O193))</f>
        <v/>
      </c>
      <c r="M193" s="64">
        <f>IF($D193="","",COUNTIF(DESIGNAZIONI!M$8:M$2629,$D193))</f>
        <v/>
      </c>
      <c r="N193" s="64">
        <f>IF($D193="","",COUNTIF(DESIGNAZIONI!N$8:N$2629,$D193))</f>
        <v/>
      </c>
      <c r="O193" s="64">
        <f>IF($D193="","",COUNTIF(DESIGNAZIONI!O$8:O$2629,$D193))</f>
        <v/>
      </c>
    </row>
    <row r="194">
      <c r="C194" s="224" t="n"/>
      <c r="D194" s="13" t="inlineStr">
        <is>
          <t>NADAUD Mathilde [AA]</t>
        </is>
      </c>
      <c r="E194" s="220" t="n"/>
      <c r="L194" s="64">
        <f>IF($D194="","",SUM(M194:O194))</f>
        <v/>
      </c>
      <c r="M194" s="64">
        <f>IF($D194="","",COUNTIF(DESIGNAZIONI!M$8:M$2629,$D194))</f>
        <v/>
      </c>
      <c r="N194" s="64">
        <f>IF($D194="","",COUNTIF(DESIGNAZIONI!N$8:N$2629,$D194))</f>
        <v/>
      </c>
      <c r="O194" s="64">
        <f>IF($D194="","",COUNTIF(DESIGNAZIONI!O$8:O$2629,$D194))</f>
        <v/>
      </c>
    </row>
    <row r="195">
      <c r="C195" s="224" t="n"/>
      <c r="D195" s="13" t="inlineStr">
        <is>
          <t>KELLER Marta [AAt]</t>
        </is>
      </c>
      <c r="E195" s="220" t="n"/>
      <c r="L195" s="64">
        <f>IF($D195="","",SUM(M195:O195))</f>
        <v/>
      </c>
      <c r="M195" s="64">
        <f>IF($D195="","",COUNTIF(DESIGNAZIONI!M$8:M$2629,$D195))</f>
        <v/>
      </c>
      <c r="N195" s="64">
        <f>IF($D195="","",COUNTIF(DESIGNAZIONI!N$8:N$2629,$D195))</f>
        <v/>
      </c>
      <c r="O195" s="64">
        <f>IF($D195="","",COUNTIF(DESIGNAZIONI!O$8:O$2629,$D195))</f>
        <v/>
      </c>
    </row>
    <row r="196">
      <c r="C196" s="224" t="n"/>
      <c r="D196" s="13" t="inlineStr">
        <is>
          <t>CONTARDI Marta [Aest]</t>
        </is>
      </c>
      <c r="E196" s="220" t="n"/>
      <c r="L196" s="64">
        <f>IF($D196="","",SUM(M196:O196))</f>
        <v/>
      </c>
      <c r="M196" s="64">
        <f>IF($D196="","",COUNTIF(DESIGNAZIONI!M$8:M$2629,$D196))</f>
        <v/>
      </c>
      <c r="N196" s="64">
        <f>IF($D196="","",COUNTIF(DESIGNAZIONI!N$8:N$2629,$D196))</f>
        <v/>
      </c>
      <c r="O196" s="64">
        <f>IF($D196="","",COUNTIF(DESIGNAZIONI!O$8:O$2629,$D196))</f>
        <v/>
      </c>
    </row>
    <row r="197">
      <c r="C197" s="224" t="n"/>
      <c r="D197" s="13" t="inlineStr">
        <is>
          <t>NADAUD Hugo [AAt]</t>
        </is>
      </c>
      <c r="E197" s="220" t="n"/>
      <c r="L197" s="64">
        <f>IF($D197="","",SUM(M197:O197))</f>
        <v/>
      </c>
      <c r="M197" s="64">
        <f>IF($D197="","",COUNTIF(DESIGNAZIONI!M$8:M$2629,$D197))</f>
        <v/>
      </c>
      <c r="N197" s="64">
        <f>IF($D197="","",COUNTIF(DESIGNAZIONI!N$8:N$2629,$D197))</f>
        <v/>
      </c>
      <c r="O197" s="64">
        <f>IF($D197="","",COUNTIF(DESIGNAZIONI!O$8:O$2629,$D197))</f>
        <v/>
      </c>
    </row>
    <row r="198">
      <c r="C198" s="224" t="n"/>
      <c r="D198" s="13" t="inlineStr">
        <is>
          <t>MOREAU Andrea [AAt]</t>
        </is>
      </c>
      <c r="E198" s="220" t="n"/>
      <c r="L198" s="64">
        <f>IF($D198="","",SUM(M198:O198))</f>
        <v/>
      </c>
      <c r="M198" s="64">
        <f>IF($D198="","",COUNTIF(DESIGNAZIONI!M$8:M$2629,$D198))</f>
        <v/>
      </c>
      <c r="N198" s="64">
        <f>IF($D198="","",COUNTIF(DESIGNAZIONI!N$8:N$2629,$D198))</f>
        <v/>
      </c>
      <c r="O198" s="64">
        <f>IF($D198="","",COUNTIF(DESIGNAZIONI!O$8:O$2629,$D198))</f>
        <v/>
      </c>
    </row>
    <row r="199">
      <c r="C199" s="224" t="n"/>
      <c r="D199" s="13" t="inlineStr">
        <is>
          <t>HOFFMANN Mathilde [AAt]</t>
        </is>
      </c>
      <c r="E199" s="220" t="n"/>
      <c r="L199" s="64">
        <f>IF($D199="","",SUM(M199:O199))</f>
        <v/>
      </c>
      <c r="M199" s="64">
        <f>IF($D199="","",COUNTIF(DESIGNAZIONI!M$8:M$2629,$D199))</f>
        <v/>
      </c>
      <c r="N199" s="64">
        <f>IF($D199="","",COUNTIF(DESIGNAZIONI!N$8:N$2629,$D199))</f>
        <v/>
      </c>
      <c r="O199" s="64">
        <f>IF($D199="","",COUNTIF(DESIGNAZIONI!O$8:O$2629,$D199))</f>
        <v/>
      </c>
    </row>
    <row r="200">
      <c r="C200" s="224" t="n"/>
      <c r="D200" s="13" t="inlineStr">
        <is>
          <t>MOREAU Martina [Aest]</t>
        </is>
      </c>
      <c r="E200" s="220" t="n"/>
      <c r="L200" s="64">
        <f>IF($D200="","",SUM(M200:O200))</f>
        <v/>
      </c>
      <c r="M200" s="64">
        <f>IF($D200="","",COUNTIF(DESIGNAZIONI!M$8:M$2629,$D200))</f>
        <v/>
      </c>
      <c r="N200" s="64">
        <f>IF($D200="","",COUNTIF(DESIGNAZIONI!N$8:N$2629,$D200))</f>
        <v/>
      </c>
      <c r="O200" s="64">
        <f>IF($D200="","",COUNTIF(DESIGNAZIONI!O$8:O$2629,$D200))</f>
        <v/>
      </c>
    </row>
    <row r="201">
      <c r="C201" s="224" t="n"/>
      <c r="D201" s="13" t="inlineStr">
        <is>
          <t>BIANCHELLI Filippo [AAt]</t>
        </is>
      </c>
      <c r="E201" s="220" t="n"/>
      <c r="L201" s="64">
        <f>IF($D201="","",SUM(M201:O201))</f>
        <v/>
      </c>
      <c r="M201" s="64">
        <f>IF($D201="","",COUNTIF(DESIGNAZIONI!M$8:M$2629,$D201))</f>
        <v/>
      </c>
      <c r="N201" s="64">
        <f>IF($D201="","",COUNTIF(DESIGNAZIONI!N$8:N$2629,$D201))</f>
        <v/>
      </c>
      <c r="O201" s="64">
        <f>IF($D201="","",COUNTIF(DESIGNAZIONI!O$8:O$2629,$D201))</f>
        <v/>
      </c>
    </row>
    <row r="202">
      <c r="C202" s="224" t="n"/>
      <c r="D202" s="13" t="inlineStr">
        <is>
          <t>MOREAU Pablo [AAt]</t>
        </is>
      </c>
      <c r="E202" s="220" t="n"/>
      <c r="L202" s="64">
        <f>IF($D202="","",SUM(M202:O202))</f>
        <v/>
      </c>
      <c r="M202" s="64">
        <f>IF($D202="","",COUNTIF(DESIGNAZIONI!M$8:M$2629,$D202))</f>
        <v/>
      </c>
      <c r="N202" s="64">
        <f>IF($D202="","",COUNTIF(DESIGNAZIONI!N$8:N$2629,$D202))</f>
        <v/>
      </c>
      <c r="O202" s="64">
        <f>IF($D202="","",COUNTIF(DESIGNAZIONI!O$8:O$2629,$D202))</f>
        <v/>
      </c>
    </row>
    <row r="203">
      <c r="C203" s="224" t="n"/>
      <c r="D203" s="13" t="inlineStr">
        <is>
          <t>MARCHIONI Filippo [AAt]</t>
        </is>
      </c>
      <c r="E203" s="220" t="n"/>
      <c r="L203" s="64">
        <f>IF($D203="","",SUM(M203:O203))</f>
        <v/>
      </c>
      <c r="M203" s="64">
        <f>IF($D203="","",COUNTIF(DESIGNAZIONI!M$8:M$2629,$D203))</f>
        <v/>
      </c>
      <c r="N203" s="64">
        <f>IF($D203="","",COUNTIF(DESIGNAZIONI!N$8:N$2629,$D203))</f>
        <v/>
      </c>
      <c r="O203" s="64">
        <f>IF($D203="","",COUNTIF(DESIGNAZIONI!O$8:O$2629,$D203))</f>
        <v/>
      </c>
    </row>
    <row r="204">
      <c r="C204" s="224" t="n"/>
      <c r="D204" s="13" t="inlineStr">
        <is>
          <t>HOFFMANN Valerie [A]</t>
        </is>
      </c>
      <c r="E204" s="220" t="n"/>
      <c r="L204" s="64">
        <f>IF($D204="","",SUM(M204:O204))</f>
        <v/>
      </c>
      <c r="M204" s="64">
        <f>IF($D204="","",COUNTIF(DESIGNAZIONI!M$8:M$2629,$D204))</f>
        <v/>
      </c>
      <c r="N204" s="64">
        <f>IF($D204="","",COUNTIF(DESIGNAZIONI!N$8:N$2629,$D204))</f>
        <v/>
      </c>
      <c r="O204" s="64">
        <f>IF($D204="","",COUNTIF(DESIGNAZIONI!O$8:O$2629,$D204))</f>
        <v/>
      </c>
    </row>
    <row r="205">
      <c r="C205" s="224" t="n"/>
      <c r="D205" s="13" t="inlineStr">
        <is>
          <t>HOFFMANN Lea [AAt]</t>
        </is>
      </c>
      <c r="E205" s="220" t="n"/>
      <c r="L205" s="64">
        <f>IF($D205="","",SUM(M205:O205))</f>
        <v/>
      </c>
      <c r="M205" s="64">
        <f>IF($D205="","",COUNTIF(DESIGNAZIONI!M$8:M$2629,$D205))</f>
        <v/>
      </c>
      <c r="N205" s="64">
        <f>IF($D205="","",COUNTIF(DESIGNAZIONI!N$8:N$2629,$D205))</f>
        <v/>
      </c>
      <c r="O205" s="64">
        <f>IF($D205="","",COUNTIF(DESIGNAZIONI!O$8:O$2629,$D205))</f>
        <v/>
      </c>
    </row>
    <row r="206">
      <c r="C206" s="224" t="n"/>
      <c r="D206" s="13" t="inlineStr">
        <is>
          <t>LEFEVRE Vid [A]</t>
        </is>
      </c>
      <c r="E206" s="220" t="n"/>
      <c r="L206" s="64">
        <f>IF($D206="","",SUM(M206:O206))</f>
        <v/>
      </c>
      <c r="M206" s="64">
        <f>IF($D206="","",COUNTIF(DESIGNAZIONI!M$8:M$2629,$D206))</f>
        <v/>
      </c>
      <c r="N206" s="64">
        <f>IF($D206="","",COUNTIF(DESIGNAZIONI!N$8:N$2629,$D206))</f>
        <v/>
      </c>
      <c r="O206" s="64">
        <f>IF($D206="","",COUNTIF(DESIGNAZIONI!O$8:O$2629,$D206))</f>
        <v/>
      </c>
    </row>
    <row r="207">
      <c r="C207" s="224" t="n"/>
      <c r="D207" s="13" t="inlineStr">
        <is>
          <t>CARON Giulia [AAt]</t>
        </is>
      </c>
      <c r="E207" s="220" t="n"/>
      <c r="L207" s="64">
        <f>IF($D207="","",SUM(M207:O207))</f>
        <v/>
      </c>
      <c r="M207" s="64">
        <f>IF($D207="","",COUNTIF(DESIGNAZIONI!M$8:M$2629,$D207))</f>
        <v/>
      </c>
      <c r="N207" s="64">
        <f>IF($D207="","",COUNTIF(DESIGNAZIONI!N$8:N$2629,$D207))</f>
        <v/>
      </c>
      <c r="O207" s="64">
        <f>IF($D207="","",COUNTIF(DESIGNAZIONI!O$8:O$2629,$D207))</f>
        <v/>
      </c>
    </row>
    <row r="208">
      <c r="C208" s="224" t="n"/>
      <c r="D208" s="13" t="inlineStr">
        <is>
          <t>IGLESIAS Felix [AAt]</t>
        </is>
      </c>
      <c r="E208" s="220" t="n"/>
      <c r="L208" s="64">
        <f>IF($D208="","",SUM(M208:O208))</f>
        <v/>
      </c>
      <c r="M208" s="64">
        <f>IF($D208="","",COUNTIF(DESIGNAZIONI!M$8:M$2629,$D208))</f>
        <v/>
      </c>
      <c r="N208" s="64">
        <f>IF($D208="","",COUNTIF(DESIGNAZIONI!N$8:N$2629,$D208))</f>
        <v/>
      </c>
      <c r="O208" s="64">
        <f>IF($D208="","",COUNTIF(DESIGNAZIONI!O$8:O$2629,$D208))</f>
        <v/>
      </c>
    </row>
    <row r="209">
      <c r="C209" s="224" t="n"/>
      <c r="D209" s="13" t="inlineStr">
        <is>
          <t>OBLAK Beatrice [AA]</t>
        </is>
      </c>
      <c r="E209" s="220" t="n"/>
      <c r="L209" s="64">
        <f>IF($D209="","",SUM(M209:O209))</f>
        <v/>
      </c>
      <c r="M209" s="64">
        <f>IF($D209="","",COUNTIF(DESIGNAZIONI!M$8:M$2629,$D209))</f>
        <v/>
      </c>
      <c r="N209" s="64">
        <f>IF($D209="","",COUNTIF(DESIGNAZIONI!N$8:N$2629,$D209))</f>
        <v/>
      </c>
      <c r="O209" s="64">
        <f>IF($D209="","",COUNTIF(DESIGNAZIONI!O$8:O$2629,$D209))</f>
        <v/>
      </c>
    </row>
    <row r="210">
      <c r="C210" s="224" t="n"/>
      <c r="D210" s="13" t="inlineStr">
        <is>
          <t>BELLANDI Andrea [AA]</t>
        </is>
      </c>
      <c r="E210" s="220" t="n"/>
      <c r="L210" s="64">
        <f>IF($D210="","",SUM(M210:O210))</f>
        <v/>
      </c>
      <c r="M210" s="64">
        <f>IF($D210="","",COUNTIF(DESIGNAZIONI!M$8:M$2629,$D210))</f>
        <v/>
      </c>
      <c r="N210" s="64">
        <f>IF($D210="","",COUNTIF(DESIGNAZIONI!N$8:N$2629,$D210))</f>
        <v/>
      </c>
      <c r="O210" s="64">
        <f>IF($D210="","",COUNTIF(DESIGNAZIONI!O$8:O$2629,$D210))</f>
        <v/>
      </c>
    </row>
    <row r="211">
      <c r="C211" s="224" t="n"/>
      <c r="D211" s="13" t="inlineStr">
        <is>
          <t>ORTEGA Felix [AA]</t>
        </is>
      </c>
      <c r="E211" s="220" t="n"/>
      <c r="L211" s="64">
        <f>IF($D211="","",SUM(M211:O211))</f>
        <v/>
      </c>
      <c r="M211" s="64">
        <f>IF($D211="","",COUNTIF(DESIGNAZIONI!M$8:M$2629,$D211))</f>
        <v/>
      </c>
      <c r="N211" s="64">
        <f>IF($D211="","",COUNTIF(DESIGNAZIONI!N$8:N$2629,$D211))</f>
        <v/>
      </c>
      <c r="O211" s="64">
        <f>IF($D211="","",COUNTIF(DESIGNAZIONI!O$8:O$2629,$D211))</f>
        <v/>
      </c>
    </row>
    <row r="212">
      <c r="C212" s="224" t="n"/>
      <c r="D212" s="13" t="inlineStr">
        <is>
          <t>WEBER Martina [A]</t>
        </is>
      </c>
      <c r="E212" s="220" t="n"/>
      <c r="L212" s="64">
        <f>IF($D212="","",SUM(M212:O212))</f>
        <v/>
      </c>
      <c r="M212" s="64">
        <f>IF($D212="","",COUNTIF(DESIGNAZIONI!M$8:M$2629,$D212))</f>
        <v/>
      </c>
      <c r="N212" s="64">
        <f>IF($D212="","",COUNTIF(DESIGNAZIONI!N$8:N$2629,$D212))</f>
        <v/>
      </c>
      <c r="O212" s="64">
        <f>IF($D212="","",COUNTIF(DESIGNAZIONI!O$8:O$2629,$D212))</f>
        <v/>
      </c>
    </row>
    <row r="213">
      <c r="C213" s="224" t="n"/>
      <c r="D213" s="13" t="inlineStr">
        <is>
          <t>CASTILLO Lucia [AA]</t>
        </is>
      </c>
      <c r="E213" s="220" t="n"/>
      <c r="L213" s="64">
        <f>IF($D213="","",SUM(M213:O213))</f>
        <v/>
      </c>
      <c r="M213" s="64">
        <f>IF($D213="","",COUNTIF(DESIGNAZIONI!M$8:M$2629,$D213))</f>
        <v/>
      </c>
      <c r="N213" s="64">
        <f>IF($D213="","",COUNTIF(DESIGNAZIONI!N$8:N$2629,$D213))</f>
        <v/>
      </c>
      <c r="O213" s="64">
        <f>IF($D213="","",COUNTIF(DESIGNAZIONI!O$8:O$2629,$D213))</f>
        <v/>
      </c>
    </row>
    <row r="214">
      <c r="C214" s="224" t="n"/>
      <c r="D214" s="13" t="inlineStr">
        <is>
          <t>FOURNIER Matteo [AAt]</t>
        </is>
      </c>
      <c r="E214" s="220" t="n"/>
      <c r="L214" s="64">
        <f>IF($D214="","",SUM(M214:O214))</f>
        <v/>
      </c>
      <c r="M214" s="64">
        <f>IF($D214="","",COUNTIF(DESIGNAZIONI!M$8:M$2629,$D214))</f>
        <v/>
      </c>
      <c r="N214" s="64">
        <f>IF($D214="","",COUNTIF(DESIGNAZIONI!N$8:N$2629,$D214))</f>
        <v/>
      </c>
      <c r="O214" s="64">
        <f>IF($D214="","",COUNTIF(DESIGNAZIONI!O$8:O$2629,$D214))</f>
        <v/>
      </c>
    </row>
    <row r="215">
      <c r="C215" s="224" t="n"/>
      <c r="D215" s="13" t="inlineStr">
        <is>
          <t>FOURNIER Andrea [AA]</t>
        </is>
      </c>
      <c r="E215" s="220" t="n"/>
      <c r="L215" s="64">
        <f>IF($D215="","",SUM(M215:O215))</f>
        <v/>
      </c>
      <c r="M215" s="64">
        <f>IF($D215="","",COUNTIF(DESIGNAZIONI!M$8:M$2629,$D215))</f>
        <v/>
      </c>
      <c r="N215" s="64">
        <f>IF($D215="","",COUNTIF(DESIGNAZIONI!N$8:N$2629,$D215))</f>
        <v/>
      </c>
      <c r="O215" s="64">
        <f>IF($D215="","",COUNTIF(DESIGNAZIONI!O$8:O$2629,$D215))</f>
        <v/>
      </c>
    </row>
    <row r="216">
      <c r="C216" s="224" t="n"/>
      <c r="D216" s="13" t="inlineStr">
        <is>
          <t>CAMPOS Vid [AA]</t>
        </is>
      </c>
      <c r="E216" s="220" t="n"/>
      <c r="L216" s="64">
        <f>IF($D216="","",SUM(M216:O216))</f>
        <v/>
      </c>
      <c r="M216" s="64">
        <f>IF($D216="","",COUNTIF(DESIGNAZIONI!M$8:M$2629,$D216))</f>
        <v/>
      </c>
      <c r="N216" s="64">
        <f>IF($D216="","",COUNTIF(DESIGNAZIONI!N$8:N$2629,$D216))</f>
        <v/>
      </c>
      <c r="O216" s="64">
        <f>IF($D216="","",COUNTIF(DESIGNAZIONI!O$8:O$2629,$D216))</f>
        <v/>
      </c>
    </row>
    <row r="217">
      <c r="C217" s="224" t="n"/>
      <c r="D217" s="13" t="inlineStr">
        <is>
          <t>KOVAC Valerie [AAt]</t>
        </is>
      </c>
      <c r="E217" s="220" t="n"/>
      <c r="L217" s="64">
        <f>IF($D217="","",SUM(M217:O217))</f>
        <v/>
      </c>
      <c r="M217" s="64">
        <f>IF($D217="","",COUNTIF(DESIGNAZIONI!M$8:M$2629,$D217))</f>
        <v/>
      </c>
      <c r="N217" s="64">
        <f>IF($D217="","",COUNTIF(DESIGNAZIONI!N$8:N$2629,$D217))</f>
        <v/>
      </c>
      <c r="O217" s="64">
        <f>IF($D217="","",COUNTIF(DESIGNAZIONI!O$8:O$2629,$D217))</f>
        <v/>
      </c>
    </row>
    <row r="218">
      <c r="C218" s="224" t="n"/>
      <c r="D218" s="13" t="inlineStr">
        <is>
          <t>HOFFMANN Tommaso [A]</t>
        </is>
      </c>
      <c r="E218" s="220" t="n"/>
      <c r="L218" s="64">
        <f>IF($D218="","",SUM(M218:O218))</f>
        <v/>
      </c>
      <c r="M218" s="64">
        <f>IF($D218="","",COUNTIF(DESIGNAZIONI!M$8:M$2629,$D218))</f>
        <v/>
      </c>
      <c r="N218" s="64">
        <f>IF($D218="","",COUNTIF(DESIGNAZIONI!N$8:N$2629,$D218))</f>
        <v/>
      </c>
      <c r="O218" s="64">
        <f>IF($D218="","",COUNTIF(DESIGNAZIONI!O$8:O$2629,$D218))</f>
        <v/>
      </c>
    </row>
    <row r="219">
      <c r="C219" s="224" t="n"/>
      <c r="D219" s="13" t="inlineStr">
        <is>
          <t>GAUTHIER Lukas [AA]</t>
        </is>
      </c>
      <c r="E219" s="220" t="n"/>
      <c r="L219" s="64">
        <f>IF($D219="","",SUM(M219:O219))</f>
        <v/>
      </c>
      <c r="M219" s="64">
        <f>IF($D219="","",COUNTIF(DESIGNAZIONI!M$8:M$2629,$D219))</f>
        <v/>
      </c>
      <c r="N219" s="64">
        <f>IF($D219="","",COUNTIF(DESIGNAZIONI!N$8:N$2629,$D219))</f>
        <v/>
      </c>
      <c r="O219" s="64">
        <f>IF($D219="","",COUNTIF(DESIGNAZIONI!O$8:O$2629,$D219))</f>
        <v/>
      </c>
    </row>
    <row r="220">
      <c r="C220" s="224" t="n"/>
      <c r="D220" s="13" t="inlineStr">
        <is>
          <t>LEFEVRE Pablo [AA]</t>
        </is>
      </c>
      <c r="E220" s="220" t="n"/>
      <c r="L220" s="64">
        <f>IF($D220="","",SUM(M220:O220))</f>
        <v/>
      </c>
      <c r="M220" s="64">
        <f>IF($D220="","",COUNTIF(DESIGNAZIONI!M$8:M$2629,$D220))</f>
        <v/>
      </c>
      <c r="N220" s="64">
        <f>IF($D220="","",COUNTIF(DESIGNAZIONI!N$8:N$2629,$D220))</f>
        <v/>
      </c>
      <c r="O220" s="64">
        <f>IF($D220="","",COUNTIF(DESIGNAZIONI!O$8:O$2629,$D220))</f>
        <v/>
      </c>
    </row>
    <row r="221">
      <c r="C221" s="224" t="n"/>
      <c r="D221" s="13" t="inlineStr">
        <is>
          <t>CAMPOS Jonas [AAt]</t>
        </is>
      </c>
      <c r="E221" s="220" t="n"/>
      <c r="L221" s="64">
        <f>IF($D221="","",SUM(M221:O221))</f>
        <v/>
      </c>
      <c r="M221" s="64">
        <f>IF($D221="","",COUNTIF(DESIGNAZIONI!M$8:M$2629,$D221))</f>
        <v/>
      </c>
      <c r="N221" s="64">
        <f>IF($D221="","",COUNTIF(DESIGNAZIONI!N$8:N$2629,$D221))</f>
        <v/>
      </c>
      <c r="O221" s="64">
        <f>IF($D221="","",COUNTIF(DESIGNAZIONI!O$8:O$2629,$D221))</f>
        <v/>
      </c>
    </row>
    <row r="222">
      <c r="C222" s="224" t="n"/>
      <c r="D222" s="13" t="inlineStr">
        <is>
          <t>CONTARDI Giulia [AAt]</t>
        </is>
      </c>
      <c r="E222" s="220" t="n"/>
      <c r="L222" s="64">
        <f>IF($D222="","",SUM(M222:O222))</f>
        <v/>
      </c>
      <c r="M222" s="64">
        <f>IF($D222="","",COUNTIF(DESIGNAZIONI!M$8:M$2629,$D222))</f>
        <v/>
      </c>
      <c r="N222" s="64">
        <f>IF($D222="","",COUNTIF(DESIGNAZIONI!N$8:N$2629,$D222))</f>
        <v/>
      </c>
      <c r="O222" s="64">
        <f>IF($D222="","",COUNTIF(DESIGNAZIONI!O$8:O$2629,$D222))</f>
        <v/>
      </c>
    </row>
    <row r="223">
      <c r="C223" s="224" t="n"/>
      <c r="D223" s="13" t="inlineStr">
        <is>
          <t>HOFFMANN Ottavia [AA]</t>
        </is>
      </c>
      <c r="E223" s="220" t="n"/>
      <c r="L223" s="64">
        <f>IF($D223="","",SUM(M223:O223))</f>
        <v/>
      </c>
      <c r="M223" s="64">
        <f>IF($D223="","",COUNTIF(DESIGNAZIONI!M$8:M$2629,$D223))</f>
        <v/>
      </c>
      <c r="N223" s="64">
        <f>IF($D223="","",COUNTIF(DESIGNAZIONI!N$8:N$2629,$D223))</f>
        <v/>
      </c>
      <c r="O223" s="64">
        <f>IF($D223="","",COUNTIF(DESIGNAZIONI!O$8:O$2629,$D223))</f>
        <v/>
      </c>
    </row>
    <row r="224">
      <c r="C224" s="224" t="n"/>
      <c r="D224" s="13" t="inlineStr">
        <is>
          <t>NAVARRO Irene [Aest]</t>
        </is>
      </c>
      <c r="E224" s="220" t="n"/>
      <c r="L224" s="64">
        <f>IF($D224="","",SUM(M224:O224))</f>
        <v/>
      </c>
      <c r="M224" s="64">
        <f>IF($D224="","",COUNTIF(DESIGNAZIONI!M$8:M$2629,$D224))</f>
        <v/>
      </c>
      <c r="N224" s="64">
        <f>IF($D224="","",COUNTIF(DESIGNAZIONI!N$8:N$2629,$D224))</f>
        <v/>
      </c>
      <c r="O224" s="64">
        <f>IF($D224="","",COUNTIF(DESIGNAZIONI!O$8:O$2629,$D224))</f>
        <v/>
      </c>
    </row>
    <row r="225">
      <c r="C225" s="224" t="n"/>
      <c r="D225" s="13" t="inlineStr">
        <is>
          <t>HORVAT Ottavia [A]</t>
        </is>
      </c>
      <c r="E225" s="220" t="n"/>
      <c r="L225" s="64">
        <f>IF($D225="","",SUM(M225:O225))</f>
        <v/>
      </c>
      <c r="M225" s="64">
        <f>IF($D225="","",COUNTIF(DESIGNAZIONI!M$8:M$2629,$D225))</f>
        <v/>
      </c>
      <c r="N225" s="64">
        <f>IF($D225="","",COUNTIF(DESIGNAZIONI!N$8:N$2629,$D225))</f>
        <v/>
      </c>
      <c r="O225" s="64">
        <f>IF($D225="","",COUNTIF(DESIGNAZIONI!O$8:O$2629,$D225))</f>
        <v/>
      </c>
    </row>
    <row r="226">
      <c r="C226" s="224" t="n"/>
      <c r="D226" s="13" t="inlineStr">
        <is>
          <t>ROTH Mathilde [A]</t>
        </is>
      </c>
      <c r="E226" s="220" t="n"/>
      <c r="L226" s="64">
        <f>IF($D226="","",SUM(M226:O226))</f>
        <v/>
      </c>
      <c r="M226" s="64">
        <f>IF($D226="","",COUNTIF(DESIGNAZIONI!M$8:M$2629,$D226))</f>
        <v/>
      </c>
      <c r="N226" s="64">
        <f>IF($D226="","",COUNTIF(DESIGNAZIONI!N$8:N$2629,$D226))</f>
        <v/>
      </c>
      <c r="O226" s="64">
        <f>IF($D226="","",COUNTIF(DESIGNAZIONI!O$8:O$2629,$D226))</f>
        <v/>
      </c>
    </row>
    <row r="227">
      <c r="C227" s="224" t="n"/>
      <c r="D227" s="13" t="inlineStr">
        <is>
          <t>AUBERT Greta [Aest]</t>
        </is>
      </c>
      <c r="E227" s="220" t="n"/>
      <c r="L227" s="64">
        <f>IF($D227="","",SUM(M227:O227))</f>
        <v/>
      </c>
      <c r="M227" s="64">
        <f>IF($D227="","",COUNTIF(DESIGNAZIONI!M$8:M$2629,$D227))</f>
        <v/>
      </c>
      <c r="N227" s="64">
        <f>IF($D227="","",COUNTIF(DESIGNAZIONI!N$8:N$2629,$D227))</f>
        <v/>
      </c>
      <c r="O227" s="64">
        <f>IF($D227="","",COUNTIF(DESIGNAZIONI!O$8:O$2629,$D227))</f>
        <v/>
      </c>
    </row>
    <row r="228">
      <c r="C228" s="224" t="n"/>
      <c r="D228" s="13" t="inlineStr">
        <is>
          <t>FUENTES Katrin [A]</t>
        </is>
      </c>
      <c r="E228" s="220" t="n"/>
      <c r="L228" s="64">
        <f>IF($D228="","",SUM(M228:O228))</f>
        <v/>
      </c>
      <c r="M228" s="64">
        <f>IF($D228="","",COUNTIF(DESIGNAZIONI!M$8:M$2629,$D228))</f>
        <v/>
      </c>
      <c r="N228" s="64">
        <f>IF($D228="","",COUNTIF(DESIGNAZIONI!N$8:N$2629,$D228))</f>
        <v/>
      </c>
      <c r="O228" s="64">
        <f>IF($D228="","",COUNTIF(DESIGNAZIONI!O$8:O$2629,$D228))</f>
        <v/>
      </c>
    </row>
    <row r="229">
      <c r="C229" s="224" t="n"/>
      <c r="D229" s="13" t="inlineStr">
        <is>
          <t>ORTEGA Elena [Aest]</t>
        </is>
      </c>
      <c r="E229" s="220" t="n"/>
      <c r="L229" s="64">
        <f>IF($D229="","",SUM(M229:O229))</f>
        <v/>
      </c>
      <c r="M229" s="64">
        <f>IF($D229="","",COUNTIF(DESIGNAZIONI!M$8:M$2629,$D229))</f>
        <v/>
      </c>
      <c r="N229" s="64">
        <f>IF($D229="","",COUNTIF(DESIGNAZIONI!N$8:N$2629,$D229))</f>
        <v/>
      </c>
      <c r="O229" s="64">
        <f>IF($D229="","",COUNTIF(DESIGNAZIONI!O$8:O$2629,$D229))</f>
        <v/>
      </c>
    </row>
    <row r="230">
      <c r="C230" s="224" t="n"/>
      <c r="D230" s="13" t="inlineStr">
        <is>
          <t>SCHAFER Stefano [A]</t>
        </is>
      </c>
      <c r="E230" s="220" t="n"/>
      <c r="L230" s="64">
        <f>IF($D230="","",SUM(M230:O230))</f>
        <v/>
      </c>
      <c r="M230" s="64">
        <f>IF($D230="","",COUNTIF(DESIGNAZIONI!M$8:M$2629,$D230))</f>
        <v/>
      </c>
      <c r="N230" s="64">
        <f>IF($D230="","",COUNTIF(DESIGNAZIONI!N$8:N$2629,$D230))</f>
        <v/>
      </c>
      <c r="O230" s="64">
        <f>IF($D230="","",COUNTIF(DESIGNAZIONI!O$8:O$2629,$D230))</f>
        <v/>
      </c>
    </row>
    <row r="231">
      <c r="C231" s="224" t="n"/>
      <c r="D231" s="13" t="inlineStr">
        <is>
          <t>CONTARDI Lea [AAt]</t>
        </is>
      </c>
      <c r="E231" s="220" t="n"/>
      <c r="L231" s="64">
        <f>IF($D231="","",SUM(M231:O231))</f>
        <v/>
      </c>
      <c r="M231" s="64">
        <f>IF($D231="","",COUNTIF(DESIGNAZIONI!M$8:M$2629,$D231))</f>
        <v/>
      </c>
      <c r="N231" s="64">
        <f>IF($D231="","",COUNTIF(DESIGNAZIONI!N$8:N$2629,$D231))</f>
        <v/>
      </c>
      <c r="O231" s="64">
        <f>IF($D231="","",COUNTIF(DESIGNAZIONI!O$8:O$2629,$D231))</f>
        <v/>
      </c>
    </row>
    <row r="232">
      <c r="C232" s="224" t="n"/>
      <c r="D232" s="13" t="inlineStr">
        <is>
          <t>NADAUD Lucia [AA]</t>
        </is>
      </c>
      <c r="E232" s="220" t="n"/>
      <c r="L232" s="64">
        <f>IF($D232="","",SUM(M232:O232))</f>
        <v/>
      </c>
      <c r="M232" s="64">
        <f>IF($D232="","",COUNTIF(DESIGNAZIONI!M$8:M$2629,$D232))</f>
        <v/>
      </c>
      <c r="N232" s="64">
        <f>IF($D232="","",COUNTIF(DESIGNAZIONI!N$8:N$2629,$D232))</f>
        <v/>
      </c>
      <c r="O232" s="64">
        <f>IF($D232="","",COUNTIF(DESIGNAZIONI!O$8:O$2629,$D232))</f>
        <v/>
      </c>
    </row>
    <row r="233">
      <c r="C233" s="224" t="n"/>
      <c r="D233" s="13" t="inlineStr">
        <is>
          <t>ZUPAN Mathilde [A]</t>
        </is>
      </c>
      <c r="E233" s="220" t="n"/>
      <c r="L233" s="64">
        <f>IF($D233="","",SUM(M233:O233))</f>
        <v/>
      </c>
      <c r="M233" s="64">
        <f>IF($D233="","",COUNTIF(DESIGNAZIONI!M$8:M$2629,$D233))</f>
        <v/>
      </c>
      <c r="N233" s="64">
        <f>IF($D233="","",COUNTIF(DESIGNAZIONI!N$8:N$2629,$D233))</f>
        <v/>
      </c>
      <c r="O233" s="64">
        <f>IF($D233="","",COUNTIF(DESIGNAZIONI!O$8:O$2629,$D233))</f>
        <v/>
      </c>
    </row>
    <row r="234">
      <c r="C234" s="224" t="n"/>
      <c r="D234" s="13" t="inlineStr">
        <is>
          <t>WEBER Filippo [AA]</t>
        </is>
      </c>
      <c r="E234" s="220" t="n"/>
      <c r="L234" s="64">
        <f>IF($D234="","",SUM(M234:O234))</f>
        <v/>
      </c>
      <c r="M234" s="64">
        <f>IF($D234="","",COUNTIF(DESIGNAZIONI!M$8:M$2629,$D234))</f>
        <v/>
      </c>
      <c r="N234" s="64">
        <f>IF($D234="","",COUNTIF(DESIGNAZIONI!N$8:N$2629,$D234))</f>
        <v/>
      </c>
      <c r="O234" s="64">
        <f>IF($D234="","",COUNTIF(DESIGNAZIONI!O$8:O$2629,$D234))</f>
        <v/>
      </c>
    </row>
    <row r="235">
      <c r="C235" s="224" t="n"/>
      <c r="D235" s="13" t="inlineStr">
        <is>
          <t>AUBERT Lucia [AAt]</t>
        </is>
      </c>
      <c r="E235" s="220" t="n"/>
      <c r="L235" s="64">
        <f>IF($D235="","",SUM(M235:O235))</f>
        <v/>
      </c>
      <c r="M235" s="64">
        <f>IF($D235="","",COUNTIF(DESIGNAZIONI!M$8:M$2629,$D235))</f>
        <v/>
      </c>
      <c r="N235" s="64">
        <f>IF($D235="","",COUNTIF(DESIGNAZIONI!N$8:N$2629,$D235))</f>
        <v/>
      </c>
      <c r="O235" s="64">
        <f>IF($D235="","",COUNTIF(DESIGNAZIONI!O$8:O$2629,$D235))</f>
        <v/>
      </c>
    </row>
    <row r="236">
      <c r="C236" s="224" t="n"/>
      <c r="D236" s="13" t="inlineStr">
        <is>
          <t>ROTH Sofia [A]</t>
        </is>
      </c>
      <c r="E236" s="220" t="n"/>
      <c r="L236" s="64">
        <f>IF($D236="","",SUM(M236:O236))</f>
        <v/>
      </c>
      <c r="M236" s="64">
        <f>IF($D236="","",COUNTIF(DESIGNAZIONI!M$8:M$2629,$D236))</f>
        <v/>
      </c>
      <c r="N236" s="64">
        <f>IF($D236="","",COUNTIF(DESIGNAZIONI!N$8:N$2629,$D236))</f>
        <v/>
      </c>
      <c r="O236" s="64">
        <f>IF($D236="","",COUNTIF(DESIGNAZIONI!O$8:O$2629,$D236))</f>
        <v/>
      </c>
    </row>
    <row r="237">
      <c r="C237" s="224" t="n"/>
      <c r="D237" s="13" t="inlineStr">
        <is>
          <t>SOLER Davide [A]</t>
        </is>
      </c>
      <c r="E237" s="220" t="n"/>
      <c r="L237" s="64">
        <f>IF($D237="","",SUM(M237:O237))</f>
        <v/>
      </c>
      <c r="M237" s="64">
        <f>IF($D237="","",COUNTIF(DESIGNAZIONI!M$8:M$2629,$D237))</f>
        <v/>
      </c>
      <c r="N237" s="64">
        <f>IF($D237="","",COUNTIF(DESIGNAZIONI!N$8:N$2629,$D237))</f>
        <v/>
      </c>
      <c r="O237" s="64">
        <f>IF($D237="","",COUNTIF(DESIGNAZIONI!O$8:O$2629,$D237))</f>
        <v/>
      </c>
    </row>
    <row r="238">
      <c r="C238" s="224" t="n"/>
      <c r="D238" s="13" t="inlineStr">
        <is>
          <t>LEROUX Diego [AAt]</t>
        </is>
      </c>
      <c r="E238" s="220" t="n"/>
      <c r="L238" s="64">
        <f>IF($D238="","",SUM(M238:O238))</f>
        <v/>
      </c>
      <c r="M238" s="64">
        <f>IF($D238="","",COUNTIF(DESIGNAZIONI!M$8:M$2629,$D238))</f>
        <v/>
      </c>
      <c r="N238" s="64">
        <f>IF($D238="","",COUNTIF(DESIGNAZIONI!N$8:N$2629,$D238))</f>
        <v/>
      </c>
      <c r="O238" s="64">
        <f>IF($D238="","",COUNTIF(DESIGNAZIONI!O$8:O$2629,$D238))</f>
        <v/>
      </c>
    </row>
    <row r="239">
      <c r="C239" s="224" t="n"/>
      <c r="D239" s="13" t="inlineStr">
        <is>
          <t>PETERLIN Luca [Aest]</t>
        </is>
      </c>
      <c r="E239" s="220" t="n"/>
      <c r="L239" s="64">
        <f>IF($D239="","",SUM(M239:O239))</f>
        <v/>
      </c>
      <c r="M239" s="64">
        <f>IF($D239="","",COUNTIF(DESIGNAZIONI!M$8:M$2629,$D239))</f>
        <v/>
      </c>
      <c r="N239" s="64">
        <f>IF($D239="","",COUNTIF(DESIGNAZIONI!N$8:N$2629,$D239))</f>
        <v/>
      </c>
      <c r="O239" s="64">
        <f>IF($D239="","",COUNTIF(DESIGNAZIONI!O$8:O$2629,$D239))</f>
        <v/>
      </c>
    </row>
    <row r="240">
      <c r="C240" s="224" t="n"/>
      <c r="D240" s="13" t="inlineStr">
        <is>
          <t>LEFEVRE Lukas [Aest]</t>
        </is>
      </c>
      <c r="E240" s="220" t="n"/>
      <c r="L240" s="64">
        <f>IF($D240="","",SUM(M240:O240))</f>
        <v/>
      </c>
      <c r="M240" s="64">
        <f>IF($D240="","",COUNTIF(DESIGNAZIONI!M$8:M$2629,$D240))</f>
        <v/>
      </c>
      <c r="N240" s="64">
        <f>IF($D240="","",COUNTIF(DESIGNAZIONI!N$8:N$2629,$D240))</f>
        <v/>
      </c>
      <c r="O240" s="64">
        <f>IF($D240="","",COUNTIF(DESIGNAZIONI!O$8:O$2629,$D240))</f>
        <v/>
      </c>
    </row>
    <row r="241">
      <c r="C241" s="224" t="n"/>
      <c r="D241" s="13" t="inlineStr">
        <is>
          <t>ENGEL Marco [AA]</t>
        </is>
      </c>
      <c r="E241" s="220" t="n"/>
      <c r="L241" s="64">
        <f>IF($D241="","",SUM(M241:O241))</f>
        <v/>
      </c>
      <c r="M241" s="64">
        <f>IF($D241="","",COUNTIF(DESIGNAZIONI!M$8:M$2629,$D241))</f>
        <v/>
      </c>
      <c r="N241" s="64">
        <f>IF($D241="","",COUNTIF(DESIGNAZIONI!N$8:N$2629,$D241))</f>
        <v/>
      </c>
      <c r="O241" s="64">
        <f>IF($D241="","",COUNTIF(DESIGNAZIONI!O$8:O$2629,$D241))</f>
        <v/>
      </c>
    </row>
    <row r="242">
      <c r="C242" s="224" t="n"/>
      <c r="D242" s="13" t="inlineStr">
        <is>
          <t>LEROUX Hugo [Aest]</t>
        </is>
      </c>
      <c r="E242" s="220" t="n"/>
      <c r="L242" s="64">
        <f>IF($D242="","",SUM(M242:O242))</f>
        <v/>
      </c>
      <c r="M242" s="64">
        <f>IF($D242="","",COUNTIF(DESIGNAZIONI!M$8:M$2629,$D242))</f>
        <v/>
      </c>
      <c r="N242" s="64">
        <f>IF($D242="","",COUNTIF(DESIGNAZIONI!N$8:N$2629,$D242))</f>
        <v/>
      </c>
      <c r="O242" s="64">
        <f>IF($D242="","",COUNTIF(DESIGNAZIONI!O$8:O$2629,$D242))</f>
        <v/>
      </c>
    </row>
    <row r="243">
      <c r="C243" s="224" t="n"/>
      <c r="D243" s="13" t="inlineStr">
        <is>
          <t>BELLANDI Ottavia [Aest]</t>
        </is>
      </c>
      <c r="E243" s="220" t="n"/>
      <c r="L243" s="64">
        <f>IF($D243="","",SUM(M243:O243))</f>
        <v/>
      </c>
      <c r="M243" s="64">
        <f>IF($D243="","",COUNTIF(DESIGNAZIONI!M$8:M$2629,$D243))</f>
        <v/>
      </c>
      <c r="N243" s="64">
        <f>IF($D243="","",COUNTIF(DESIGNAZIONI!N$8:N$2629,$D243))</f>
        <v/>
      </c>
      <c r="O243" s="64">
        <f>IF($D243="","",COUNTIF(DESIGNAZIONI!O$8:O$2629,$D243))</f>
        <v/>
      </c>
    </row>
    <row r="244">
      <c r="C244" s="224" t="n"/>
      <c r="D244" s="13" t="inlineStr">
        <is>
          <t>MODIC Matteo [AA]</t>
        </is>
      </c>
      <c r="E244" s="220" t="n"/>
      <c r="L244" s="64">
        <f>IF($D244="","",SUM(M244:O244))</f>
        <v/>
      </c>
      <c r="M244" s="64">
        <f>IF($D244="","",COUNTIF(DESIGNAZIONI!M$8:M$2629,$D244))</f>
        <v/>
      </c>
      <c r="N244" s="64">
        <f>IF($D244="","",COUNTIF(DESIGNAZIONI!N$8:N$2629,$D244))</f>
        <v/>
      </c>
      <c r="O244" s="64">
        <f>IF($D244="","",COUNTIF(DESIGNAZIONI!O$8:O$2629,$D244))</f>
        <v/>
      </c>
    </row>
    <row r="245">
      <c r="C245" s="224" t="n"/>
      <c r="D245" s="13" t="inlineStr">
        <is>
          <t>PETERLIN Tommaso [AAt]</t>
        </is>
      </c>
      <c r="E245" s="220" t="n"/>
      <c r="L245" s="64">
        <f>IF($D245="","",SUM(M245:O245))</f>
        <v/>
      </c>
      <c r="M245" s="64">
        <f>IF($D245="","",COUNTIF(DESIGNAZIONI!M$8:M$2629,$D245))</f>
        <v/>
      </c>
      <c r="N245" s="64">
        <f>IF($D245="","",COUNTIF(DESIGNAZIONI!N$8:N$2629,$D245))</f>
        <v/>
      </c>
      <c r="O245" s="64">
        <f>IF($D245="","",COUNTIF(DESIGNAZIONI!O$8:O$2629,$D245))</f>
        <v/>
      </c>
    </row>
    <row r="246">
      <c r="C246" s="224" t="n"/>
      <c r="D246" s="13" t="inlineStr">
        <is>
          <t>HORVAT Giulia [A]</t>
        </is>
      </c>
      <c r="E246" s="220" t="n"/>
      <c r="L246" s="64">
        <f>IF($D246="","",SUM(M246:O246))</f>
        <v/>
      </c>
      <c r="M246" s="64">
        <f>IF($D246="","",COUNTIF(DESIGNAZIONI!M$8:M$2629,$D246))</f>
        <v/>
      </c>
      <c r="N246" s="64">
        <f>IF($D246="","",COUNTIF(DESIGNAZIONI!N$8:N$2629,$D246))</f>
        <v/>
      </c>
      <c r="O246" s="64">
        <f>IF($D246="","",COUNTIF(DESIGNAZIONI!O$8:O$2629,$D246))</f>
        <v/>
      </c>
    </row>
    <row r="247">
      <c r="C247" s="224" t="n"/>
      <c r="D247" s="13" t="inlineStr">
        <is>
          <t>KRUGER Nicola [Aest]</t>
        </is>
      </c>
      <c r="E247" s="220" t="n"/>
      <c r="L247" s="64">
        <f>IF($D247="","",SUM(M247:O247))</f>
        <v/>
      </c>
      <c r="M247" s="64">
        <f>IF($D247="","",COUNTIF(DESIGNAZIONI!M$8:M$2629,$D247))</f>
        <v/>
      </c>
      <c r="N247" s="64">
        <f>IF($D247="","",COUNTIF(DESIGNAZIONI!N$8:N$2629,$D247))</f>
        <v/>
      </c>
      <c r="O247" s="64">
        <f>IF($D247="","",COUNTIF(DESIGNAZIONI!O$8:O$2629,$D247))</f>
        <v/>
      </c>
    </row>
    <row r="248">
      <c r="C248" s="224" t="n"/>
      <c r="D248" s="13" t="inlineStr">
        <is>
          <t>PELLEGRI Chiara [AAt]</t>
        </is>
      </c>
      <c r="E248" s="220" t="n"/>
      <c r="L248" s="64">
        <f>IF($D248="","",SUM(M248:O248))</f>
        <v/>
      </c>
      <c r="M248" s="64">
        <f>IF($D248="","",COUNTIF(DESIGNAZIONI!M$8:M$2629,$D248))</f>
        <v/>
      </c>
      <c r="N248" s="64">
        <f>IF($D248="","",COUNTIF(DESIGNAZIONI!N$8:N$2629,$D248))</f>
        <v/>
      </c>
      <c r="O248" s="64">
        <f>IF($D248="","",COUNTIF(DESIGNAZIONI!O$8:O$2629,$D248))</f>
        <v/>
      </c>
    </row>
    <row r="249">
      <c r="C249" s="224" t="n"/>
      <c r="D249" s="13" t="inlineStr">
        <is>
          <t>CAMPOS Noemi [AA]</t>
        </is>
      </c>
      <c r="E249" s="220" t="n"/>
      <c r="L249" s="64">
        <f>IF($D249="","",SUM(M249:O249))</f>
        <v/>
      </c>
      <c r="M249" s="64">
        <f>IF($D249="","",COUNTIF(DESIGNAZIONI!M$8:M$2629,$D249))</f>
        <v/>
      </c>
      <c r="N249" s="64">
        <f>IF($D249="","",COUNTIF(DESIGNAZIONI!N$8:N$2629,$D249))</f>
        <v/>
      </c>
      <c r="O249" s="64">
        <f>IF($D249="","",COUNTIF(DESIGNAZIONI!O$8:O$2629,$D249))</f>
        <v/>
      </c>
    </row>
    <row r="250">
      <c r="C250" s="224" t="n"/>
      <c r="D250" s="13" t="inlineStr">
        <is>
          <t>BLANCO Tommaso [AAt]</t>
        </is>
      </c>
      <c r="E250" s="220" t="n"/>
      <c r="L250" s="64">
        <f>IF($D250="","",SUM(M250:O250))</f>
        <v/>
      </c>
      <c r="M250" s="64">
        <f>IF($D250="","",COUNTIF(DESIGNAZIONI!M$8:M$2629,$D250))</f>
        <v/>
      </c>
      <c r="N250" s="64">
        <f>IF($D250="","",COUNTIF(DESIGNAZIONI!N$8:N$2629,$D250))</f>
        <v/>
      </c>
      <c r="O250" s="64">
        <f>IF($D250="","",COUNTIF(DESIGNAZIONI!O$8:O$2629,$D250))</f>
        <v/>
      </c>
    </row>
    <row r="251">
      <c r="C251" s="224" t="n"/>
      <c r="D251" s="13" t="inlineStr">
        <is>
          <t>KRAJNC Nicola [A]</t>
        </is>
      </c>
      <c r="E251" s="220" t="n"/>
      <c r="L251" s="64">
        <f>IF($D251="","",SUM(M251:O251))</f>
        <v/>
      </c>
      <c r="M251" s="64">
        <f>IF($D251="","",COUNTIF(DESIGNAZIONI!M$8:M$2629,$D251))</f>
        <v/>
      </c>
      <c r="N251" s="64">
        <f>IF($D251="","",COUNTIF(DESIGNAZIONI!N$8:N$2629,$D251))</f>
        <v/>
      </c>
      <c r="O251" s="64">
        <f>IF($D251="","",COUNTIF(DESIGNAZIONI!O$8:O$2629,$D251))</f>
        <v/>
      </c>
    </row>
    <row r="252">
      <c r="C252" s="224" t="n"/>
      <c r="D252" s="13" t="inlineStr">
        <is>
          <t>VIDMAR Matteo [AA]</t>
        </is>
      </c>
      <c r="E252" s="220" t="n"/>
      <c r="L252" s="64">
        <f>IF($D252="","",SUM(M252:O252))</f>
        <v/>
      </c>
      <c r="M252" s="64">
        <f>IF($D252="","",COUNTIF(DESIGNAZIONI!M$8:M$2629,$D252))</f>
        <v/>
      </c>
      <c r="N252" s="64">
        <f>IF($D252="","",COUNTIF(DESIGNAZIONI!N$8:N$2629,$D252))</f>
        <v/>
      </c>
      <c r="O252" s="64">
        <f>IF($D252="","",COUNTIF(DESIGNAZIONI!O$8:O$2629,$D252))</f>
        <v/>
      </c>
    </row>
    <row r="253">
      <c r="C253" s="224" t="n"/>
      <c r="D253" s="13" t="inlineStr">
        <is>
          <t>HOFFMANN Marco [Aest]</t>
        </is>
      </c>
      <c r="E253" s="220" t="n"/>
      <c r="L253" s="64">
        <f>IF($D253="","",SUM(M253:O253))</f>
        <v/>
      </c>
      <c r="M253" s="64">
        <f>IF($D253="","",COUNTIF(DESIGNAZIONI!M$8:M$2629,$D253))</f>
        <v/>
      </c>
      <c r="N253" s="64">
        <f>IF($D253="","",COUNTIF(DESIGNAZIONI!N$8:N$2629,$D253))</f>
        <v/>
      </c>
      <c r="O253" s="64">
        <f>IF($D253="","",COUNTIF(DESIGNAZIONI!O$8:O$2629,$D253))</f>
        <v/>
      </c>
    </row>
    <row r="254">
      <c r="C254" s="224" t="n"/>
      <c r="D254" s="13" t="inlineStr">
        <is>
          <t>ROTH Lea [A]</t>
        </is>
      </c>
      <c r="E254" s="220" t="n"/>
      <c r="L254" s="64">
        <f>IF($D254="","",SUM(M254:O254))</f>
        <v/>
      </c>
      <c r="M254" s="64">
        <f>IF($D254="","",COUNTIF(DESIGNAZIONI!M$8:M$2629,$D254))</f>
        <v/>
      </c>
      <c r="N254" s="64">
        <f>IF($D254="","",COUNTIF(DESIGNAZIONI!N$8:N$2629,$D254))</f>
        <v/>
      </c>
      <c r="O254" s="64">
        <f>IF($D254="","",COUNTIF(DESIGNAZIONI!O$8:O$2629,$D254))</f>
        <v/>
      </c>
    </row>
    <row r="255">
      <c r="C255" s="224" t="n"/>
      <c r="D255" s="13" t="inlineStr">
        <is>
          <t>GAUTHIER Davide [AA]</t>
        </is>
      </c>
      <c r="E255" s="220" t="n"/>
      <c r="L255" s="64">
        <f>IF($D255="","",SUM(M255:O255))</f>
        <v/>
      </c>
      <c r="M255" s="64">
        <f>IF($D255="","",COUNTIF(DESIGNAZIONI!M$8:M$2629,$D255))</f>
        <v/>
      </c>
      <c r="N255" s="64">
        <f>IF($D255="","",COUNTIF(DESIGNAZIONI!N$8:N$2629,$D255))</f>
        <v/>
      </c>
      <c r="O255" s="64">
        <f>IF($D255="","",COUNTIF(DESIGNAZIONI!O$8:O$2629,$D255))</f>
        <v/>
      </c>
    </row>
    <row r="256">
      <c r="C256" s="224" t="n"/>
      <c r="D256" s="13" t="inlineStr">
        <is>
          <t>KRUGER Gaelle [AAt]</t>
        </is>
      </c>
      <c r="E256" s="220" t="n"/>
      <c r="L256" s="64">
        <f>IF($D256="","",SUM(M256:O256))</f>
        <v/>
      </c>
      <c r="M256" s="64">
        <f>IF($D256="","",COUNTIF(DESIGNAZIONI!M$8:M$2629,$D256))</f>
        <v/>
      </c>
      <c r="N256" s="64">
        <f>IF($D256="","",COUNTIF(DESIGNAZIONI!N$8:N$2629,$D256))</f>
        <v/>
      </c>
      <c r="O256" s="64">
        <f>IF($D256="","",COUNTIF(DESIGNAZIONI!O$8:O$2629,$D256))</f>
        <v/>
      </c>
    </row>
    <row r="257">
      <c r="C257" s="224" t="n"/>
      <c r="D257" s="13" t="inlineStr">
        <is>
          <t>FUENTES Stefano [Aest]</t>
        </is>
      </c>
      <c r="E257" s="220" t="n"/>
      <c r="L257" s="64">
        <f>IF($D257="","",SUM(M257:O257))</f>
        <v/>
      </c>
      <c r="M257" s="64">
        <f>IF($D257="","",COUNTIF(DESIGNAZIONI!M$8:M$2629,$D257))</f>
        <v/>
      </c>
      <c r="N257" s="64">
        <f>IF($D257="","",COUNTIF(DESIGNAZIONI!N$8:N$2629,$D257))</f>
        <v/>
      </c>
      <c r="O257" s="64">
        <f>IF($D257="","",COUNTIF(DESIGNAZIONI!O$8:O$2629,$D257))</f>
        <v/>
      </c>
    </row>
    <row r="258">
      <c r="C258" s="224" t="n"/>
      <c r="D258" s="13" t="inlineStr">
        <is>
          <t>CONTARDI Nicola [Aest]</t>
        </is>
      </c>
      <c r="E258" s="220" t="n"/>
      <c r="L258" s="64">
        <f>IF($D258="","",SUM(M258:O258))</f>
        <v/>
      </c>
      <c r="M258" s="64">
        <f>IF($D258="","",COUNTIF(DESIGNAZIONI!M$8:M$2629,$D258))</f>
        <v/>
      </c>
      <c r="N258" s="64">
        <f>IF($D258="","",COUNTIF(DESIGNAZIONI!N$8:N$2629,$D258))</f>
        <v/>
      </c>
      <c r="O258" s="64">
        <f>IF($D258="","",COUNTIF(DESIGNAZIONI!O$8:O$2629,$D258))</f>
        <v/>
      </c>
    </row>
    <row r="259">
      <c r="C259" s="224" t="n"/>
      <c r="D259" s="13" t="inlineStr">
        <is>
          <t>IGLESIAS Beatrice [A]</t>
        </is>
      </c>
      <c r="E259" s="220" t="n"/>
      <c r="L259" s="64">
        <f>IF($D259="","",SUM(M259:O259))</f>
        <v/>
      </c>
      <c r="M259" s="64">
        <f>IF($D259="","",COUNTIF(DESIGNAZIONI!M$8:M$2629,$D259))</f>
        <v/>
      </c>
      <c r="N259" s="64">
        <f>IF($D259="","",COUNTIF(DESIGNAZIONI!N$8:N$2629,$D259))</f>
        <v/>
      </c>
      <c r="O259" s="64">
        <f>IF($D259="","",COUNTIF(DESIGNAZIONI!O$8:O$2629,$D259))</f>
        <v/>
      </c>
    </row>
    <row r="260">
      <c r="C260" s="224" t="n"/>
      <c r="D260" s="13" t="inlineStr">
        <is>
          <t>AUBERT Diego [A]</t>
        </is>
      </c>
      <c r="E260" s="220" t="n"/>
      <c r="L260" s="64">
        <f>IF($D260="","",SUM(M260:O260))</f>
        <v/>
      </c>
      <c r="M260" s="64">
        <f>IF($D260="","",COUNTIF(DESIGNAZIONI!M$8:M$2629,$D260))</f>
        <v/>
      </c>
      <c r="N260" s="64">
        <f>IF($D260="","",COUNTIF(DESIGNAZIONI!N$8:N$2629,$D260))</f>
        <v/>
      </c>
      <c r="O260" s="64">
        <f>IF($D260="","",COUNTIF(DESIGNAZIONI!O$8:O$2629,$D260))</f>
        <v/>
      </c>
    </row>
    <row r="261">
      <c r="C261" s="224" t="n"/>
      <c r="D261" s="13" t="inlineStr">
        <is>
          <t>PRADO Diego [Aest]</t>
        </is>
      </c>
      <c r="E261" s="220" t="n"/>
      <c r="L261" s="64">
        <f>IF($D261="","",SUM(M261:O261))</f>
        <v/>
      </c>
      <c r="M261" s="64">
        <f>IF($D261="","",COUNTIF(DESIGNAZIONI!M$8:M$2629,$D261))</f>
        <v/>
      </c>
      <c r="N261" s="64">
        <f>IF($D261="","",COUNTIF(DESIGNAZIONI!N$8:N$2629,$D261))</f>
        <v/>
      </c>
      <c r="O261" s="64">
        <f>IF($D261="","",COUNTIF(DESIGNAZIONI!O$8:O$2629,$D261))</f>
        <v/>
      </c>
    </row>
    <row r="262">
      <c r="C262" s="224" t="n"/>
      <c r="D262" s="13" t="inlineStr">
        <is>
          <t>VALLET Gaelle [Aest]</t>
        </is>
      </c>
      <c r="E262" s="220" t="n"/>
      <c r="L262" s="64">
        <f>IF($D262="","",SUM(M262:O262))</f>
        <v/>
      </c>
      <c r="M262" s="64">
        <f>IF($D262="","",COUNTIF(DESIGNAZIONI!M$8:M$2629,$D262))</f>
        <v/>
      </c>
      <c r="N262" s="64">
        <f>IF($D262="","",COUNTIF(DESIGNAZIONI!N$8:N$2629,$D262))</f>
        <v/>
      </c>
      <c r="O262" s="64">
        <f>IF($D262="","",COUNTIF(DESIGNAZIONI!O$8:O$2629,$D262))</f>
        <v/>
      </c>
    </row>
    <row r="263">
      <c r="C263" s="224" t="n"/>
      <c r="D263" s="13" t="inlineStr">
        <is>
          <t>FUENTES Noemi [Aest]</t>
        </is>
      </c>
      <c r="E263" s="220" t="n"/>
      <c r="L263" s="64">
        <f>IF($D263="","",SUM(M263:O263))</f>
        <v/>
      </c>
      <c r="M263" s="64">
        <f>IF($D263="","",COUNTIF(DESIGNAZIONI!M$8:M$2629,$D263))</f>
        <v/>
      </c>
      <c r="N263" s="64">
        <f>IF($D263="","",COUNTIF(DESIGNAZIONI!N$8:N$2629,$D263))</f>
        <v/>
      </c>
      <c r="O263" s="64">
        <f>IF($D263="","",COUNTIF(DESIGNAZIONI!O$8:O$2629,$D263))</f>
        <v/>
      </c>
    </row>
    <row r="264">
      <c r="C264" s="224" t="n"/>
      <c r="D264" s="13" t="inlineStr">
        <is>
          <t>BLANCO Lucia [Aest]</t>
        </is>
      </c>
      <c r="E264" s="220" t="n"/>
      <c r="L264" s="64">
        <f>IF($D264="","",SUM(M264:O264))</f>
        <v/>
      </c>
      <c r="M264" s="64">
        <f>IF($D264="","",COUNTIF(DESIGNAZIONI!M$8:M$2629,$D264))</f>
        <v/>
      </c>
      <c r="N264" s="64">
        <f>IF($D264="","",COUNTIF(DESIGNAZIONI!N$8:N$2629,$D264))</f>
        <v/>
      </c>
      <c r="O264" s="64">
        <f>IF($D264="","",COUNTIF(DESIGNAZIONI!O$8:O$2629,$D264))</f>
        <v/>
      </c>
    </row>
    <row r="265">
      <c r="C265" s="224" t="n"/>
      <c r="D265" s="13" t="inlineStr">
        <is>
          <t>BIANCHELLI Felix [Aest]</t>
        </is>
      </c>
      <c r="E265" s="220" t="n"/>
      <c r="L265" s="64">
        <f>IF($D265="","",SUM(M265:O265))</f>
        <v/>
      </c>
      <c r="M265" s="64">
        <f>IF($D265="","",COUNTIF(DESIGNAZIONI!M$8:M$2629,$D265))</f>
        <v/>
      </c>
      <c r="N265" s="64">
        <f>IF($D265="","",COUNTIF(DESIGNAZIONI!N$8:N$2629,$D265))</f>
        <v/>
      </c>
      <c r="O265" s="64">
        <f>IF($D265="","",COUNTIF(DESIGNAZIONI!O$8:O$2629,$D265))</f>
        <v/>
      </c>
    </row>
    <row r="266">
      <c r="C266" s="224" t="n"/>
      <c r="D266" s="13" t="inlineStr">
        <is>
          <t>SANTORI Nicola [AA]</t>
        </is>
      </c>
      <c r="E266" s="220" t="n"/>
      <c r="L266" s="64">
        <f>IF($D266="","",SUM(M266:O266))</f>
        <v/>
      </c>
      <c r="M266" s="64">
        <f>IF($D266="","",COUNTIF(DESIGNAZIONI!M$8:M$2629,$D266))</f>
        <v/>
      </c>
      <c r="N266" s="64">
        <f>IF($D266="","",COUNTIF(DESIGNAZIONI!N$8:N$2629,$D266))</f>
        <v/>
      </c>
      <c r="O266" s="64">
        <f>IF($D266="","",COUNTIF(DESIGNAZIONI!O$8:O$2629,$D266))</f>
        <v/>
      </c>
    </row>
    <row r="267">
      <c r="C267" s="224" t="n"/>
      <c r="D267" s="13" t="inlineStr">
        <is>
          <t>MODIC Vid [Aest]</t>
        </is>
      </c>
      <c r="E267" s="220" t="n"/>
      <c r="L267" s="64">
        <f>IF($D267="","",SUM(M267:O267))</f>
        <v/>
      </c>
      <c r="M267" s="64">
        <f>IF($D267="","",COUNTIF(DESIGNAZIONI!M$8:M$2629,$D267))</f>
        <v/>
      </c>
      <c r="N267" s="64">
        <f>IF($D267="","",COUNTIF(DESIGNAZIONI!N$8:N$2629,$D267))</f>
        <v/>
      </c>
      <c r="O267" s="64">
        <f>IF($D267="","",COUNTIF(DESIGNAZIONI!O$8:O$2629,$D267))</f>
        <v/>
      </c>
    </row>
    <row r="268">
      <c r="C268" s="224" t="n"/>
      <c r="D268" s="13" t="inlineStr">
        <is>
          <t>SEVER Diego [A]</t>
        </is>
      </c>
      <c r="E268" s="220" t="n"/>
      <c r="L268" s="64">
        <f>IF($D268="","",SUM(M268:O268))</f>
        <v/>
      </c>
      <c r="M268" s="64">
        <f>IF($D268="","",COUNTIF(DESIGNAZIONI!M$8:M$2629,$D268))</f>
        <v/>
      </c>
      <c r="N268" s="64">
        <f>IF($D268="","",COUNTIF(DESIGNAZIONI!N$8:N$2629,$D268))</f>
        <v/>
      </c>
      <c r="O268" s="64">
        <f>IF($D268="","",COUNTIF(DESIGNAZIONI!O$8:O$2629,$D268))</f>
        <v/>
      </c>
    </row>
    <row r="269">
      <c r="C269" s="224" t="n"/>
      <c r="D269" s="13" t="inlineStr">
        <is>
          <t>FUENTES Eva [A]</t>
        </is>
      </c>
      <c r="E269" s="220" t="n"/>
      <c r="L269" s="64">
        <f>IF($D269="","",SUM(M269:O269))</f>
        <v/>
      </c>
      <c r="M269" s="64">
        <f>IF($D269="","",COUNTIF(DESIGNAZIONI!M$8:M$2629,$D269))</f>
        <v/>
      </c>
      <c r="N269" s="64">
        <f>IF($D269="","",COUNTIF(DESIGNAZIONI!N$8:N$2629,$D269))</f>
        <v/>
      </c>
      <c r="O269" s="64">
        <f>IF($D269="","",COUNTIF(DESIGNAZIONI!O$8:O$2629,$D269))</f>
        <v/>
      </c>
    </row>
    <row r="270">
      <c r="C270" s="224" t="n"/>
      <c r="D270" s="13" t="inlineStr">
        <is>
          <t>KRAJNC Beatrice [Aest]</t>
        </is>
      </c>
      <c r="E270" s="220" t="n"/>
      <c r="L270" s="64">
        <f>IF($D270="","",SUM(M270:O270))</f>
        <v/>
      </c>
      <c r="M270" s="64">
        <f>IF($D270="","",COUNTIF(DESIGNAZIONI!M$8:M$2629,$D270))</f>
        <v/>
      </c>
      <c r="N270" s="64">
        <f>IF($D270="","",COUNTIF(DESIGNAZIONI!N$8:N$2629,$D270))</f>
        <v/>
      </c>
      <c r="O270" s="64">
        <f>IF($D270="","",COUNTIF(DESIGNAZIONI!O$8:O$2629,$D270))</f>
        <v/>
      </c>
    </row>
    <row r="271">
      <c r="C271" s="224" t="n"/>
      <c r="D271" s="13" t="inlineStr">
        <is>
          <t>KOVAC Miha [Aest]</t>
        </is>
      </c>
      <c r="E271" s="220" t="n"/>
      <c r="L271" s="64">
        <f>IF($D271="","",SUM(M271:O271))</f>
        <v/>
      </c>
      <c r="M271" s="64">
        <f>IF($D271="","",COUNTIF(DESIGNAZIONI!M$8:M$2629,$D271))</f>
        <v/>
      </c>
      <c r="N271" s="64">
        <f>IF($D271="","",COUNTIF(DESIGNAZIONI!N$8:N$2629,$D271))</f>
        <v/>
      </c>
      <c r="O271" s="64">
        <f>IF($D271="","",COUNTIF(DESIGNAZIONI!O$8:O$2629,$D271))</f>
        <v/>
      </c>
    </row>
    <row r="272">
      <c r="C272" s="224" t="n"/>
      <c r="D272" s="13" t="inlineStr">
        <is>
          <t>WEBER Andrea [AAt]</t>
        </is>
      </c>
      <c r="E272" s="220" t="n"/>
      <c r="L272" s="64">
        <f>IF($D272="","",SUM(M272:O272))</f>
        <v/>
      </c>
      <c r="M272" s="64">
        <f>IF($D272="","",COUNTIF(DESIGNAZIONI!M$8:M$2629,$D272))</f>
        <v/>
      </c>
      <c r="N272" s="64">
        <f>IF($D272="","",COUNTIF(DESIGNAZIONI!N$8:N$2629,$D272))</f>
        <v/>
      </c>
      <c r="O272" s="64">
        <f>IF($D272="","",COUNTIF(DESIGNAZIONI!O$8:O$2629,$D272))</f>
        <v/>
      </c>
    </row>
    <row r="273">
      <c r="C273" s="224" t="n"/>
      <c r="D273" s="13" t="inlineStr">
        <is>
          <t>NAVARRO Miha [A]</t>
        </is>
      </c>
      <c r="E273" s="220" t="n"/>
      <c r="L273" s="64">
        <f>IF($D273="","",SUM(M273:O273))</f>
        <v/>
      </c>
      <c r="M273" s="64">
        <f>IF($D273="","",COUNTIF(DESIGNAZIONI!M$8:M$2629,$D273))</f>
        <v/>
      </c>
      <c r="N273" s="64">
        <f>IF($D273="","",COUNTIF(DESIGNAZIONI!N$8:N$2629,$D273))</f>
        <v/>
      </c>
      <c r="O273" s="64">
        <f>IF($D273="","",COUNTIF(DESIGNAZIONI!O$8:O$2629,$D273))</f>
        <v/>
      </c>
    </row>
    <row r="274">
      <c r="C274" s="224" t="n"/>
      <c r="D274" s="13" t="inlineStr">
        <is>
          <t>MODIC Miha [A]</t>
        </is>
      </c>
      <c r="E274" s="220" t="n"/>
      <c r="L274" s="64">
        <f>IF($D274="","",SUM(M274:O274))</f>
        <v/>
      </c>
      <c r="M274" s="64">
        <f>IF($D274="","",COUNTIF(DESIGNAZIONI!M$8:M$2629,$D274))</f>
        <v/>
      </c>
      <c r="N274" s="64">
        <f>IF($D274="","",COUNTIF(DESIGNAZIONI!N$8:N$2629,$D274))</f>
        <v/>
      </c>
      <c r="O274" s="64">
        <f>IF($D274="","",COUNTIF(DESIGNAZIONI!O$8:O$2629,$D274))</f>
        <v/>
      </c>
    </row>
    <row r="275">
      <c r="C275" s="224" t="n"/>
      <c r="D275" s="13" t="inlineStr">
        <is>
          <t>ROSSINI Alenka [AAt]</t>
        </is>
      </c>
      <c r="E275" s="220" t="n"/>
      <c r="L275" s="64">
        <f>IF($D275="","",SUM(M275:O275))</f>
        <v/>
      </c>
      <c r="M275" s="64">
        <f>IF($D275="","",COUNTIF(DESIGNAZIONI!M$8:M$2629,$D275))</f>
        <v/>
      </c>
      <c r="N275" s="64">
        <f>IF($D275="","",COUNTIF(DESIGNAZIONI!N$8:N$2629,$D275))</f>
        <v/>
      </c>
      <c r="O275" s="64">
        <f>IF($D275="","",COUNTIF(DESIGNAZIONI!O$8:O$2629,$D275))</f>
        <v/>
      </c>
    </row>
    <row r="276">
      <c r="C276" s="224" t="n"/>
      <c r="D276" s="13" t="inlineStr">
        <is>
          <t>PELLEGRI Valerie [AA]</t>
        </is>
      </c>
      <c r="E276" s="220" t="n"/>
      <c r="L276" s="64">
        <f>IF($D276="","",SUM(M276:O276))</f>
        <v/>
      </c>
      <c r="M276" s="64">
        <f>IF($D276="","",COUNTIF(DESIGNAZIONI!M$8:M$2629,$D276))</f>
        <v/>
      </c>
      <c r="N276" s="64">
        <f>IF($D276="","",COUNTIF(DESIGNAZIONI!N$8:N$2629,$D276))</f>
        <v/>
      </c>
      <c r="O276" s="64">
        <f>IF($D276="","",COUNTIF(DESIGNAZIONI!O$8:O$2629,$D276))</f>
        <v/>
      </c>
    </row>
    <row r="277">
      <c r="C277" s="224" t="n"/>
      <c r="D277" s="13" t="inlineStr">
        <is>
          <t>BLANCHET Lucia [Aest]</t>
        </is>
      </c>
      <c r="E277" s="220" t="n"/>
      <c r="L277" s="64">
        <f>IF($D277="","",SUM(M277:O277))</f>
        <v/>
      </c>
      <c r="M277" s="64">
        <f>IF($D277="","",COUNTIF(DESIGNAZIONI!M$8:M$2629,$D277))</f>
        <v/>
      </c>
      <c r="N277" s="64">
        <f>IF($D277="","",COUNTIF(DESIGNAZIONI!N$8:N$2629,$D277))</f>
        <v/>
      </c>
      <c r="O277" s="64">
        <f>IF($D277="","",COUNTIF(DESIGNAZIONI!O$8:O$2629,$D277))</f>
        <v/>
      </c>
    </row>
    <row r="278">
      <c r="C278" s="224" t="n"/>
      <c r="D278" s="13" t="inlineStr">
        <is>
          <t>SANTORI Eva [AAt]</t>
        </is>
      </c>
      <c r="E278" s="220" t="n"/>
      <c r="L278" s="64">
        <f>IF($D278="","",SUM(M278:O278))</f>
        <v/>
      </c>
      <c r="M278" s="64">
        <f>IF($D278="","",COUNTIF(DESIGNAZIONI!M$8:M$2629,$D278))</f>
        <v/>
      </c>
      <c r="N278" s="64">
        <f>IF($D278="","",COUNTIF(DESIGNAZIONI!N$8:N$2629,$D278))</f>
        <v/>
      </c>
      <c r="O278" s="64">
        <f>IF($D278="","",COUNTIF(DESIGNAZIONI!O$8:O$2629,$D278))</f>
        <v/>
      </c>
    </row>
    <row r="279">
      <c r="C279" s="224" t="n"/>
      <c r="D279" s="13" t="inlineStr">
        <is>
          <t>VALLET Stefano [AAt]</t>
        </is>
      </c>
      <c r="E279" s="220" t="n"/>
      <c r="L279" s="64">
        <f>IF($D279="","",SUM(M279:O279))</f>
        <v/>
      </c>
      <c r="M279" s="64">
        <f>IF($D279="","",COUNTIF(DESIGNAZIONI!M$8:M$2629,$D279))</f>
        <v/>
      </c>
      <c r="N279" s="64">
        <f>IF($D279="","",COUNTIF(DESIGNAZIONI!N$8:N$2629,$D279))</f>
        <v/>
      </c>
      <c r="O279" s="64">
        <f>IF($D279="","",COUNTIF(DESIGNAZIONI!O$8:O$2629,$D279))</f>
        <v/>
      </c>
    </row>
    <row r="280">
      <c r="C280" s="224" t="n"/>
      <c r="D280" s="13" t="inlineStr">
        <is>
          <t>MARCHIONI Paolo [AAt]</t>
        </is>
      </c>
      <c r="E280" s="220" t="n"/>
      <c r="L280" s="64">
        <f>IF($D280="","",SUM(M280:O280))</f>
        <v/>
      </c>
      <c r="M280" s="64">
        <f>IF($D280="","",COUNTIF(DESIGNAZIONI!M$8:M$2629,$D280))</f>
        <v/>
      </c>
      <c r="N280" s="64">
        <f>IF($D280="","",COUNTIF(DESIGNAZIONI!N$8:N$2629,$D280))</f>
        <v/>
      </c>
      <c r="O280" s="64">
        <f>IF($D280="","",COUNTIF(DESIGNAZIONI!O$8:O$2629,$D280))</f>
        <v/>
      </c>
    </row>
    <row r="281">
      <c r="C281" s="224" t="n"/>
      <c r="D281" s="13" t="inlineStr">
        <is>
          <t>FUENTES Irene [AA]</t>
        </is>
      </c>
      <c r="E281" s="220" t="n"/>
      <c r="L281" s="64">
        <f>IF($D281="","",SUM(M281:O281))</f>
        <v/>
      </c>
      <c r="M281" s="64">
        <f>IF($D281="","",COUNTIF(DESIGNAZIONI!M$8:M$2629,$D281))</f>
        <v/>
      </c>
      <c r="N281" s="64">
        <f>IF($D281="","",COUNTIF(DESIGNAZIONI!N$8:N$2629,$D281))</f>
        <v/>
      </c>
      <c r="O281" s="64">
        <f>IF($D281="","",COUNTIF(DESIGNAZIONI!O$8:O$2629,$D281))</f>
        <v/>
      </c>
    </row>
    <row r="282">
      <c r="C282" s="224" t="n"/>
      <c r="D282" s="13" t="inlineStr">
        <is>
          <t>NADAUD Paula [Aest]</t>
        </is>
      </c>
      <c r="E282" s="220" t="n"/>
      <c r="L282" s="64">
        <f>IF($D282="","",SUM(M282:O282))</f>
        <v/>
      </c>
      <c r="M282" s="64">
        <f>IF($D282="","",COUNTIF(DESIGNAZIONI!M$8:M$2629,$D282))</f>
        <v/>
      </c>
      <c r="N282" s="64">
        <f>IF($D282="","",COUNTIF(DESIGNAZIONI!N$8:N$2629,$D282))</f>
        <v/>
      </c>
      <c r="O282" s="64">
        <f>IF($D282="","",COUNTIF(DESIGNAZIONI!O$8:O$2629,$D282))</f>
        <v/>
      </c>
    </row>
    <row r="283">
      <c r="C283" s="224" t="n"/>
      <c r="D283" s="13" t="inlineStr">
        <is>
          <t>MORETTO Anja [Aest]</t>
        </is>
      </c>
      <c r="E283" s="220" t="n"/>
      <c r="L283" s="64">
        <f>IF($D283="","",SUM(M283:O283))</f>
        <v/>
      </c>
      <c r="M283" s="64">
        <f>IF($D283="","",COUNTIF(DESIGNAZIONI!M$8:M$2629,$D283))</f>
        <v/>
      </c>
      <c r="N283" s="64">
        <f>IF($D283="","",COUNTIF(DESIGNAZIONI!N$8:N$2629,$D283))</f>
        <v/>
      </c>
      <c r="O283" s="64">
        <f>IF($D283="","",COUNTIF(DESIGNAZIONI!O$8:O$2629,$D283))</f>
        <v/>
      </c>
    </row>
    <row r="284">
      <c r="C284" s="224" t="n"/>
      <c r="D284" s="13" t="inlineStr">
        <is>
          <t>GALLINI Gaelle [A]</t>
        </is>
      </c>
      <c r="E284" s="220" t="n"/>
      <c r="L284" s="64">
        <f>IF($D284="","",SUM(M284:O284))</f>
        <v/>
      </c>
      <c r="M284" s="64">
        <f>IF($D284="","",COUNTIF(DESIGNAZIONI!M$8:M$2629,$D284))</f>
        <v/>
      </c>
      <c r="N284" s="64">
        <f>IF($D284="","",COUNTIF(DESIGNAZIONI!N$8:N$2629,$D284))</f>
        <v/>
      </c>
      <c r="O284" s="64">
        <f>IF($D284="","",COUNTIF(DESIGNAZIONI!O$8:O$2629,$D284))</f>
        <v/>
      </c>
    </row>
    <row r="285">
      <c r="C285" s="224" t="n"/>
      <c r="D285" s="13" t="inlineStr">
        <is>
          <t>LEFEVRE Filippo [AA]</t>
        </is>
      </c>
      <c r="E285" s="220" t="n"/>
      <c r="L285" s="64">
        <f>IF($D285="","",SUM(M285:O285))</f>
        <v/>
      </c>
      <c r="M285" s="64">
        <f>IF($D285="","",COUNTIF(DESIGNAZIONI!M$8:M$2629,$D285))</f>
        <v/>
      </c>
      <c r="N285" s="64">
        <f>IF($D285="","",COUNTIF(DESIGNAZIONI!N$8:N$2629,$D285))</f>
        <v/>
      </c>
      <c r="O285" s="64">
        <f>IF($D285="","",COUNTIF(DESIGNAZIONI!O$8:O$2629,$D285))</f>
        <v/>
      </c>
    </row>
    <row r="286">
      <c r="C286" s="224" t="n"/>
      <c r="D286" s="13" t="inlineStr">
        <is>
          <t>VIDMAR Greta [Aest]</t>
        </is>
      </c>
      <c r="E286" s="220" t="n"/>
      <c r="L286" s="64">
        <f>IF($D286="","",SUM(M286:O286))</f>
        <v/>
      </c>
      <c r="M286" s="64">
        <f>IF($D286="","",COUNTIF(DESIGNAZIONI!M$8:M$2629,$D286))</f>
        <v/>
      </c>
      <c r="N286" s="64">
        <f>IF($D286="","",COUNTIF(DESIGNAZIONI!N$8:N$2629,$D286))</f>
        <v/>
      </c>
      <c r="O286" s="64">
        <f>IF($D286="","",COUNTIF(DESIGNAZIONI!O$8:O$2629,$D286))</f>
        <v/>
      </c>
    </row>
    <row r="287">
      <c r="C287" s="224" t="n"/>
      <c r="D287" s="13" t="inlineStr">
        <is>
          <t>HORVAT Vid [A]</t>
        </is>
      </c>
      <c r="E287" s="220" t="n"/>
      <c r="L287" s="64">
        <f>IF($D287="","",SUM(M287:O287))</f>
        <v/>
      </c>
      <c r="M287" s="64">
        <f>IF($D287="","",COUNTIF(DESIGNAZIONI!M$8:M$2629,$D287))</f>
        <v/>
      </c>
      <c r="N287" s="64">
        <f>IF($D287="","",COUNTIF(DESIGNAZIONI!N$8:N$2629,$D287))</f>
        <v/>
      </c>
      <c r="O287" s="64">
        <f>IF($D287="","",COUNTIF(DESIGNAZIONI!O$8:O$2629,$D287))</f>
        <v/>
      </c>
    </row>
    <row r="288">
      <c r="C288" s="224" t="n"/>
      <c r="D288" s="13" t="inlineStr">
        <is>
          <t>HOFFMANN Gaelle [AA]</t>
        </is>
      </c>
      <c r="E288" s="220" t="n"/>
      <c r="L288" s="64">
        <f>IF($D288="","",SUM(M288:O288))</f>
        <v/>
      </c>
      <c r="M288" s="64">
        <f>IF($D288="","",COUNTIF(DESIGNAZIONI!M$8:M$2629,$D288))</f>
        <v/>
      </c>
      <c r="N288" s="64">
        <f>IF($D288="","",COUNTIF(DESIGNAZIONI!N$8:N$2629,$D288))</f>
        <v/>
      </c>
      <c r="O288" s="64">
        <f>IF($D288="","",COUNTIF(DESIGNAZIONI!O$8:O$2629,$D288))</f>
        <v/>
      </c>
    </row>
    <row r="289">
      <c r="C289" s="224" t="n"/>
      <c r="D289" s="13" t="inlineStr">
        <is>
          <t>ROTH Martina [AA]</t>
        </is>
      </c>
      <c r="E289" s="220" t="n"/>
      <c r="L289" s="64">
        <f>IF($D289="","",SUM(M289:O289))</f>
        <v/>
      </c>
      <c r="M289" s="64">
        <f>IF($D289="","",COUNTIF(DESIGNAZIONI!M$8:M$2629,$D289))</f>
        <v/>
      </c>
      <c r="N289" s="64">
        <f>IF($D289="","",COUNTIF(DESIGNAZIONI!N$8:N$2629,$D289))</f>
        <v/>
      </c>
      <c r="O289" s="64">
        <f>IF($D289="","",COUNTIF(DESIGNAZIONI!O$8:O$2629,$D289))</f>
        <v/>
      </c>
    </row>
    <row r="290">
      <c r="C290" s="224" t="n"/>
      <c r="D290" s="13" t="inlineStr">
        <is>
          <t>OBLAK Valerie [AA]</t>
        </is>
      </c>
      <c r="E290" s="220" t="n"/>
      <c r="L290" s="64">
        <f>IF($D290="","",SUM(M290:O290))</f>
        <v/>
      </c>
      <c r="M290" s="64">
        <f>IF($D290="","",COUNTIF(DESIGNAZIONI!M$8:M$2629,$D290))</f>
        <v/>
      </c>
      <c r="N290" s="64">
        <f>IF($D290="","",COUNTIF(DESIGNAZIONI!N$8:N$2629,$D290))</f>
        <v/>
      </c>
      <c r="O290" s="64">
        <f>IF($D290="","",COUNTIF(DESIGNAZIONI!O$8:O$2629,$D290))</f>
        <v/>
      </c>
    </row>
    <row r="291">
      <c r="C291" s="224" t="n"/>
      <c r="D291" s="13" t="inlineStr">
        <is>
          <t>MORETTO Ottavia [A]</t>
        </is>
      </c>
      <c r="E291" s="220" t="n"/>
      <c r="L291" s="64">
        <f>IF($D291="","",SUM(M291:O291))</f>
        <v/>
      </c>
      <c r="M291" s="64">
        <f>IF($D291="","",COUNTIF(DESIGNAZIONI!M$8:M$2629,$D291))</f>
        <v/>
      </c>
      <c r="N291" s="64">
        <f>IF($D291="","",COUNTIF(DESIGNAZIONI!N$8:N$2629,$D291))</f>
        <v/>
      </c>
      <c r="O291" s="64">
        <f>IF($D291="","",COUNTIF(DESIGNAZIONI!O$8:O$2629,$D291))</f>
        <v/>
      </c>
    </row>
    <row r="292">
      <c r="C292" s="224" t="n"/>
      <c r="D292" s="13" t="inlineStr">
        <is>
          <t>ENGEL Filippo [A]</t>
        </is>
      </c>
      <c r="E292" s="220" t="n"/>
      <c r="L292" s="64">
        <f>IF($D292="","",SUM(M292:O292))</f>
        <v/>
      </c>
      <c r="M292" s="64">
        <f>IF($D292="","",COUNTIF(DESIGNAZIONI!M$8:M$2629,$D292))</f>
        <v/>
      </c>
      <c r="N292" s="64">
        <f>IF($D292="","",COUNTIF(DESIGNAZIONI!N$8:N$2629,$D292))</f>
        <v/>
      </c>
      <c r="O292" s="64">
        <f>IF($D292="","",COUNTIF(DESIGNAZIONI!O$8:O$2629,$D292))</f>
        <v/>
      </c>
    </row>
    <row r="293">
      <c r="C293" s="224" t="n"/>
      <c r="D293" s="13" t="inlineStr">
        <is>
          <t>FERRANTE Luca [AAt]</t>
        </is>
      </c>
      <c r="E293" s="220" t="n"/>
      <c r="L293" s="64">
        <f>IF($D293="","",SUM(M293:O293))</f>
        <v/>
      </c>
      <c r="M293" s="64">
        <f>IF($D293="","",COUNTIF(DESIGNAZIONI!M$8:M$2629,$D293))</f>
        <v/>
      </c>
      <c r="N293" s="64">
        <f>IF($D293="","",COUNTIF(DESIGNAZIONI!N$8:N$2629,$D293))</f>
        <v/>
      </c>
      <c r="O293" s="64">
        <f>IF($D293="","",COUNTIF(DESIGNAZIONI!O$8:O$2629,$D293))</f>
        <v/>
      </c>
    </row>
    <row r="294">
      <c r="C294" s="224" t="n"/>
      <c r="D294" s="13" t="inlineStr">
        <is>
          <t>VIDMAR Stefano [AAt]</t>
        </is>
      </c>
      <c r="E294" s="220" t="n"/>
      <c r="L294" s="64">
        <f>IF($D294="","",SUM(M294:O294))</f>
        <v/>
      </c>
      <c r="M294" s="64">
        <f>IF($D294="","",COUNTIF(DESIGNAZIONI!M$8:M$2629,$D294))</f>
        <v/>
      </c>
      <c r="N294" s="64">
        <f>IF($D294="","",COUNTIF(DESIGNAZIONI!N$8:N$2629,$D294))</f>
        <v/>
      </c>
      <c r="O294" s="64">
        <f>IF($D294="","",COUNTIF(DESIGNAZIONI!O$8:O$2629,$D294))</f>
        <v/>
      </c>
    </row>
    <row r="295">
      <c r="C295" s="224" t="n"/>
      <c r="D295" s="13" t="inlineStr">
        <is>
          <t>LEFEVRE Paula [A]</t>
        </is>
      </c>
      <c r="E295" s="220" t="n"/>
      <c r="L295" s="64">
        <f>IF($D295="","",SUM(M295:O295))</f>
        <v/>
      </c>
      <c r="M295" s="64">
        <f>IF($D295="","",COUNTIF(DESIGNAZIONI!M$8:M$2629,$D295))</f>
        <v/>
      </c>
      <c r="N295" s="64">
        <f>IF($D295="","",COUNTIF(DESIGNAZIONI!N$8:N$2629,$D295))</f>
        <v/>
      </c>
      <c r="O295" s="64">
        <f>IF($D295="","",COUNTIF(DESIGNAZIONI!O$8:O$2629,$D295))</f>
        <v/>
      </c>
    </row>
    <row r="296">
      <c r="C296" s="224" t="n"/>
      <c r="D296" s="13" t="inlineStr">
        <is>
          <t>PELLEGRI Eva [AA]</t>
        </is>
      </c>
      <c r="E296" s="220" t="n"/>
      <c r="L296" s="64">
        <f>IF($D296="","",SUM(M296:O296))</f>
        <v/>
      </c>
      <c r="M296" s="64">
        <f>IF($D296="","",COUNTIF(DESIGNAZIONI!M$8:M$2629,$D296))</f>
        <v/>
      </c>
      <c r="N296" s="64">
        <f>IF($D296="","",COUNTIF(DESIGNAZIONI!N$8:N$2629,$D296))</f>
        <v/>
      </c>
      <c r="O296" s="64">
        <f>IF($D296="","",COUNTIF(DESIGNAZIONI!O$8:O$2629,$D296))</f>
        <v/>
      </c>
    </row>
    <row r="297">
      <c r="C297" s="224" t="n"/>
      <c r="D297" s="13" t="inlineStr">
        <is>
          <t>CAMPOS Ilaria [A]</t>
        </is>
      </c>
      <c r="E297" s="220" t="n"/>
      <c r="L297" s="64">
        <f>IF($D297="","",SUM(M297:O297))</f>
        <v/>
      </c>
      <c r="M297" s="64">
        <f>IF($D297="","",COUNTIF(DESIGNAZIONI!M$8:M$2629,$D297))</f>
        <v/>
      </c>
      <c r="N297" s="64">
        <f>IF($D297="","",COUNTIF(DESIGNAZIONI!N$8:N$2629,$D297))</f>
        <v/>
      </c>
      <c r="O297" s="64">
        <f>IF($D297="","",COUNTIF(DESIGNAZIONI!O$8:O$2629,$D297))</f>
        <v/>
      </c>
    </row>
    <row r="298">
      <c r="C298" s="224" t="n"/>
      <c r="D298" s="13" t="inlineStr">
        <is>
          <t>VOGEL Stefano [AAt]</t>
        </is>
      </c>
      <c r="E298" s="220" t="n"/>
      <c r="L298" s="64">
        <f>IF($D298="","",SUM(M298:O298))</f>
        <v/>
      </c>
      <c r="M298" s="64">
        <f>IF($D298="","",COUNTIF(DESIGNAZIONI!M$8:M$2629,$D298))</f>
        <v/>
      </c>
      <c r="N298" s="64">
        <f>IF($D298="","",COUNTIF(DESIGNAZIONI!N$8:N$2629,$D298))</f>
        <v/>
      </c>
      <c r="O298" s="64">
        <f>IF($D298="","",COUNTIF(DESIGNAZIONI!O$8:O$2629,$D298))</f>
        <v/>
      </c>
    </row>
    <row r="299">
      <c r="C299" s="224" t="n"/>
      <c r="D299" s="13" t="inlineStr">
        <is>
          <t>FERRANTE Filippo [AAt]</t>
        </is>
      </c>
      <c r="E299" s="220" t="n"/>
      <c r="L299" s="64">
        <f>IF($D299="","",SUM(M299:O299))</f>
        <v/>
      </c>
      <c r="M299" s="64">
        <f>IF($D299="","",COUNTIF(DESIGNAZIONI!M$8:M$2629,$D299))</f>
        <v/>
      </c>
      <c r="N299" s="64">
        <f>IF($D299="","",COUNTIF(DESIGNAZIONI!N$8:N$2629,$D299))</f>
        <v/>
      </c>
      <c r="O299" s="64">
        <f>IF($D299="","",COUNTIF(DESIGNAZIONI!O$8:O$2629,$D299))</f>
        <v/>
      </c>
    </row>
    <row r="300">
      <c r="C300" s="224" t="n"/>
      <c r="D300" s="13" t="inlineStr">
        <is>
          <t>ZUPAN Beatrice [AAt]</t>
        </is>
      </c>
      <c r="E300" s="220" t="n"/>
      <c r="L300" s="64">
        <f>IF($D300="","",SUM(M300:O300))</f>
        <v/>
      </c>
      <c r="M300" s="64">
        <f>IF($D300="","",COUNTIF(DESIGNAZIONI!M$8:M$2629,$D300))</f>
        <v/>
      </c>
      <c r="N300" s="64">
        <f>IF($D300="","",COUNTIF(DESIGNAZIONI!N$8:N$2629,$D300))</f>
        <v/>
      </c>
      <c r="O300" s="64">
        <f>IF($D300="","",COUNTIF(DESIGNAZIONI!O$8:O$2629,$D300))</f>
        <v/>
      </c>
    </row>
    <row r="301">
      <c r="C301" s="224" t="n"/>
      <c r="D301" s="13" t="inlineStr">
        <is>
          <t>VIDMAR Pablo [Aest]</t>
        </is>
      </c>
      <c r="E301" s="220" t="n"/>
      <c r="L301" s="64">
        <f>IF($D301="","",SUM(M301:O301))</f>
        <v/>
      </c>
      <c r="M301" s="64">
        <f>IF($D301="","",COUNTIF(DESIGNAZIONI!M$8:M$2629,$D301))</f>
        <v/>
      </c>
      <c r="N301" s="64">
        <f>IF($D301="","",COUNTIF(DESIGNAZIONI!N$8:N$2629,$D301))</f>
        <v/>
      </c>
      <c r="O301" s="64">
        <f>IF($D301="","",COUNTIF(DESIGNAZIONI!O$8:O$2629,$D301))</f>
        <v/>
      </c>
    </row>
    <row r="302">
      <c r="C302" s="224" t="n"/>
      <c r="D302" s="13" t="inlineStr">
        <is>
          <t>WEBER Lucia [AA]</t>
        </is>
      </c>
      <c r="E302" s="220" t="n"/>
      <c r="L302" s="64">
        <f>IF($D302="","",SUM(M302:O302))</f>
        <v/>
      </c>
      <c r="M302" s="64">
        <f>IF($D302="","",COUNTIF(DESIGNAZIONI!M$8:M$2629,$D302))</f>
        <v/>
      </c>
      <c r="N302" s="64">
        <f>IF($D302="","",COUNTIF(DESIGNAZIONI!N$8:N$2629,$D302))</f>
        <v/>
      </c>
      <c r="O302" s="64">
        <f>IF($D302="","",COUNTIF(DESIGNAZIONI!O$8:O$2629,$D302))</f>
        <v/>
      </c>
    </row>
    <row r="303">
      <c r="C303" s="224" t="n"/>
      <c r="D303" s="13" t="inlineStr">
        <is>
          <t>BRANDT Felix [A]</t>
        </is>
      </c>
      <c r="E303" s="220" t="n"/>
      <c r="L303" s="64">
        <f>IF($D303="","",SUM(M303:O303))</f>
        <v/>
      </c>
      <c r="M303" s="64">
        <f>IF($D303="","",COUNTIF(DESIGNAZIONI!M$8:M$2629,$D303))</f>
        <v/>
      </c>
      <c r="N303" s="64">
        <f>IF($D303="","",COUNTIF(DESIGNAZIONI!N$8:N$2629,$D303))</f>
        <v/>
      </c>
      <c r="O303" s="64">
        <f>IF($D303="","",COUNTIF(DESIGNAZIONI!O$8:O$2629,$D303))</f>
        <v/>
      </c>
    </row>
    <row r="304">
      <c r="C304" s="224" t="n"/>
      <c r="D304" s="13" t="inlineStr">
        <is>
          <t>KELLER Marco [Aest]</t>
        </is>
      </c>
      <c r="E304" s="220" t="n"/>
      <c r="L304" s="64">
        <f>IF($D304="","",SUM(M304:O304))</f>
        <v/>
      </c>
      <c r="M304" s="64">
        <f>IF($D304="","",COUNTIF(DESIGNAZIONI!M$8:M$2629,$D304))</f>
        <v/>
      </c>
      <c r="N304" s="64">
        <f>IF($D304="","",COUNTIF(DESIGNAZIONI!N$8:N$2629,$D304))</f>
        <v/>
      </c>
      <c r="O304" s="64">
        <f>IF($D304="","",COUNTIF(DESIGNAZIONI!O$8:O$2629,$D304))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"Ufficiali di campo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inlineStr">
        <is>
          <t>MARCHIONI Irene</t>
        </is>
      </c>
      <c r="E5" s="220" t="n"/>
      <c r="L5" s="64">
        <f>IF($D5="","",SUM(M5:O5))</f>
        <v/>
      </c>
      <c r="M5" s="64">
        <f>IF($D5="","",COUNTIF(DESIGNAZIONI!P$8:P$2629,$D5))</f>
        <v/>
      </c>
      <c r="N5" s="64">
        <f>IF($D5="","",COUNTIF(DESIGNAZIONI!Q$8:Q$2629,$D5))</f>
        <v/>
      </c>
      <c r="O5" s="64">
        <f>IF($D5="","",COUNTIF(DESIGNAZIONI!R$8:R$2629,$D5))</f>
        <v/>
      </c>
    </row>
    <row r="6">
      <c r="C6" s="224" t="n"/>
      <c r="D6" s="13" t="inlineStr">
        <is>
          <t>VOGEL Irene</t>
        </is>
      </c>
      <c r="E6" s="220" t="n"/>
      <c r="L6" s="64">
        <f>IF($D6="","",SUM(M6:O6))</f>
        <v/>
      </c>
      <c r="M6" s="64">
        <f>IF($D6="","",COUNTIF(DESIGNAZIONI!P$8:P$2629,$D6))</f>
        <v/>
      </c>
      <c r="N6" s="64">
        <f>IF($D6="","",COUNTIF(DESIGNAZIONI!Q$8:Q$2629,$D6))</f>
        <v/>
      </c>
      <c r="O6" s="64">
        <f>IF($D6="","",COUNTIF(DESIGNAZIONI!R$8:R$2629,$D6))</f>
        <v/>
      </c>
    </row>
    <row r="7">
      <c r="C7" s="224" t="n"/>
      <c r="D7" s="13" t="inlineStr">
        <is>
          <t>ORTEGA Alenka</t>
        </is>
      </c>
      <c r="E7" s="220" t="n"/>
      <c r="L7" s="64">
        <f>IF($D7="","",SUM(M7:O7))</f>
        <v/>
      </c>
      <c r="M7" s="64">
        <f>IF($D7="","",COUNTIF(DESIGNAZIONI!P$8:P$2629,$D7))</f>
        <v/>
      </c>
      <c r="N7" s="64">
        <f>IF($D7="","",COUNTIF(DESIGNAZIONI!Q$8:Q$2629,$D7))</f>
        <v/>
      </c>
      <c r="O7" s="64">
        <f>IF($D7="","",COUNTIF(DESIGNAZIONI!R$8:R$2629,$D7))</f>
        <v/>
      </c>
    </row>
    <row r="8">
      <c r="C8" s="224" t="n"/>
      <c r="D8" s="13" t="inlineStr">
        <is>
          <t>BELLANDI Irene</t>
        </is>
      </c>
      <c r="E8" s="220" t="n"/>
      <c r="L8" s="64">
        <f>IF($D8="","",SUM(M8:O8))</f>
        <v/>
      </c>
      <c r="M8" s="64">
        <f>IF($D8="","",COUNTIF(DESIGNAZIONI!P$8:P$2629,$D8))</f>
        <v/>
      </c>
      <c r="N8" s="64">
        <f>IF($D8="","",COUNTIF(DESIGNAZIONI!Q$8:Q$2629,$D8))</f>
        <v/>
      </c>
      <c r="O8" s="64">
        <f>IF($D8="","",COUNTIF(DESIGNAZIONI!R$8:R$2629,$D8))</f>
        <v/>
      </c>
    </row>
    <row r="9">
      <c r="C9" s="224" t="n"/>
      <c r="D9" s="13" t="inlineStr">
        <is>
          <t>BLANCHET Matteo</t>
        </is>
      </c>
      <c r="E9" s="220" t="n"/>
      <c r="L9" s="64">
        <f>IF($D9="","",SUM(M9:O9))</f>
        <v/>
      </c>
      <c r="M9" s="64">
        <f>IF($D9="","",COUNTIF(DESIGNAZIONI!P$8:P$2629,$D9))</f>
        <v/>
      </c>
      <c r="N9" s="64">
        <f>IF($D9="","",COUNTIF(DESIGNAZIONI!Q$8:Q$2629,$D9))</f>
        <v/>
      </c>
      <c r="O9" s="64">
        <f>IF($D9="","",COUNTIF(DESIGNAZIONI!R$8:R$2629,$D9))</f>
        <v/>
      </c>
    </row>
    <row r="10">
      <c r="C10" s="224" t="n"/>
      <c r="D10" s="13" t="inlineStr">
        <is>
          <t>LEFEVRE Filippo</t>
        </is>
      </c>
      <c r="E10" s="220" t="n"/>
      <c r="L10" s="64">
        <f>IF($D10="","",SUM(M10:O10))</f>
        <v/>
      </c>
      <c r="M10" s="64">
        <f>IF($D10="","",COUNTIF(DESIGNAZIONI!P$8:P$2629,$D10))</f>
        <v/>
      </c>
      <c r="N10" s="64">
        <f>IF($D10="","",COUNTIF(DESIGNAZIONI!Q$8:Q$2629,$D10))</f>
        <v/>
      </c>
      <c r="O10" s="64">
        <f>IF($D10="","",COUNTIF(DESIGNAZIONI!R$8:R$2629,$D10))</f>
        <v/>
      </c>
    </row>
    <row r="11">
      <c r="C11" s="224" t="n"/>
      <c r="D11" s="13" t="inlineStr">
        <is>
          <t>BELLANDI Giulia</t>
        </is>
      </c>
      <c r="E11" s="220" t="n"/>
      <c r="L11" s="64">
        <f>IF($D11="","",SUM(M11:O11))</f>
        <v/>
      </c>
      <c r="M11" s="64">
        <f>IF($D11="","",COUNTIF(DESIGNAZIONI!P$8:P$2629,$D11))</f>
        <v/>
      </c>
      <c r="N11" s="64">
        <f>IF($D11="","",COUNTIF(DESIGNAZIONI!Q$8:Q$2629,$D11))</f>
        <v/>
      </c>
      <c r="O11" s="64">
        <f>IF($D11="","",COUNTIF(DESIGNAZIONI!R$8:R$2629,$D11))</f>
        <v/>
      </c>
    </row>
    <row r="12">
      <c r="C12" s="224" t="n"/>
      <c r="D12" s="13" t="inlineStr">
        <is>
          <t>VIDMAR Ilaria</t>
        </is>
      </c>
      <c r="E12" s="220" t="n"/>
      <c r="L12" s="64">
        <f>IF($D12="","",SUM(M12:O12))</f>
        <v/>
      </c>
      <c r="M12" s="64">
        <f>IF($D12="","",COUNTIF(DESIGNAZIONI!P$8:P$2629,$D12))</f>
        <v/>
      </c>
      <c r="N12" s="64">
        <f>IF($D12="","",COUNTIF(DESIGNAZIONI!Q$8:Q$2629,$D12))</f>
        <v/>
      </c>
      <c r="O12" s="64">
        <f>IF($D12="","",COUNTIF(DESIGNAZIONI!R$8:R$2629,$D12))</f>
        <v/>
      </c>
    </row>
    <row r="13">
      <c r="C13" s="224" t="n"/>
      <c r="D13" s="13" t="inlineStr">
        <is>
          <t>GAUTHIER Filippo</t>
        </is>
      </c>
      <c r="E13" s="220" t="n"/>
      <c r="L13" s="64">
        <f>IF($D13="","",SUM(M13:O13))</f>
        <v/>
      </c>
      <c r="M13" s="64">
        <f>IF($D13="","",COUNTIF(DESIGNAZIONI!P$8:P$2629,$D13))</f>
        <v/>
      </c>
      <c r="N13" s="64">
        <f>IF($D13="","",COUNTIF(DESIGNAZIONI!Q$8:Q$2629,$D13))</f>
        <v/>
      </c>
      <c r="O13" s="64">
        <f>IF($D13="","",COUNTIF(DESIGNAZIONI!R$8:R$2629,$D13))</f>
        <v/>
      </c>
    </row>
    <row r="14">
      <c r="C14" s="224" t="n"/>
      <c r="D14" s="13" t="inlineStr">
        <is>
          <t>GAUTHIER Diego</t>
        </is>
      </c>
      <c r="E14" s="220" t="n"/>
      <c r="L14" s="64">
        <f>IF($D14="","",SUM(M14:O14))</f>
        <v/>
      </c>
      <c r="M14" s="64">
        <f>IF($D14="","",COUNTIF(DESIGNAZIONI!P$8:P$2629,$D14))</f>
        <v/>
      </c>
      <c r="N14" s="64">
        <f>IF($D14="","",COUNTIF(DESIGNAZIONI!Q$8:Q$2629,$D14))</f>
        <v/>
      </c>
      <c r="O14" s="64">
        <f>IF($D14="","",COUNTIF(DESIGNAZIONI!R$8:R$2629,$D14))</f>
        <v/>
      </c>
    </row>
    <row r="15">
      <c r="C15" s="224" t="n"/>
      <c r="D15" s="13" t="inlineStr">
        <is>
          <t>SOLER Stefano</t>
        </is>
      </c>
      <c r="E15" s="220" t="n"/>
      <c r="L15" s="64">
        <f>IF($D15="","",SUM(M15:O15))</f>
        <v/>
      </c>
      <c r="M15" s="64">
        <f>IF($D15="","",COUNTIF(DESIGNAZIONI!P$8:P$2629,$D15))</f>
        <v/>
      </c>
      <c r="N15" s="64">
        <f>IF($D15="","",COUNTIF(DESIGNAZIONI!Q$8:Q$2629,$D15))</f>
        <v/>
      </c>
      <c r="O15" s="64">
        <f>IF($D15="","",COUNTIF(DESIGNAZIONI!R$8:R$2629,$D15))</f>
        <v/>
      </c>
    </row>
    <row r="16">
      <c r="C16" s="224" t="n"/>
      <c r="D16" s="13" t="inlineStr">
        <is>
          <t>PELLEGRI Lea</t>
        </is>
      </c>
      <c r="E16" s="220" t="n"/>
      <c r="L16" s="64">
        <f>IF($D16="","",SUM(M16:O16))</f>
        <v/>
      </c>
      <c r="M16" s="64">
        <f>IF($D16="","",COUNTIF(DESIGNAZIONI!P$8:P$2629,$D16))</f>
        <v/>
      </c>
      <c r="N16" s="64">
        <f>IF($D16="","",COUNTIF(DESIGNAZIONI!Q$8:Q$2629,$D16))</f>
        <v/>
      </c>
      <c r="O16" s="64">
        <f>IF($D16="","",COUNTIF(DESIGNAZIONI!R$8:R$2629,$D16))</f>
        <v/>
      </c>
    </row>
    <row r="17">
      <c r="C17" s="224" t="n"/>
      <c r="D17" s="13" t="inlineStr">
        <is>
          <t>HORVAT Matteo</t>
        </is>
      </c>
      <c r="E17" s="220" t="n"/>
      <c r="L17" s="64">
        <f>IF($D17="","",SUM(M17:O17))</f>
        <v/>
      </c>
      <c r="M17" s="64">
        <f>IF($D17="","",COUNTIF(DESIGNAZIONI!P$8:P$2629,$D17))</f>
        <v/>
      </c>
      <c r="N17" s="64">
        <f>IF($D17="","",COUNTIF(DESIGNAZIONI!Q$8:Q$2629,$D17))</f>
        <v/>
      </c>
      <c r="O17" s="64">
        <f>IF($D17="","",COUNTIF(DESIGNAZIONI!R$8:R$2629,$D17))</f>
        <v/>
      </c>
    </row>
    <row r="18">
      <c r="C18" s="224" t="n"/>
      <c r="D18" s="13" t="inlineStr">
        <is>
          <t>FOURNIER Lucia</t>
        </is>
      </c>
      <c r="E18" s="220" t="n"/>
      <c r="L18" s="64">
        <f>IF($D18="","",SUM(M18:O18))</f>
        <v/>
      </c>
      <c r="M18" s="64">
        <f>IF($D18="","",COUNTIF(DESIGNAZIONI!P$8:P$2629,$D18))</f>
        <v/>
      </c>
      <c r="N18" s="64">
        <f>IF($D18="","",COUNTIF(DESIGNAZIONI!Q$8:Q$2629,$D18))</f>
        <v/>
      </c>
      <c r="O18" s="64">
        <f>IF($D18="","",COUNTIF(DESIGNAZIONI!R$8:R$2629,$D18))</f>
        <v/>
      </c>
    </row>
    <row r="19">
      <c r="C19" s="224" t="n"/>
      <c r="D19" s="13" t="inlineStr">
        <is>
          <t>SOLER Pablo</t>
        </is>
      </c>
      <c r="E19" s="220" t="n"/>
      <c r="L19" s="64">
        <f>IF($D19="","",SUM(M19:O19))</f>
        <v/>
      </c>
      <c r="M19" s="64">
        <f>IF($D19="","",COUNTIF(DESIGNAZIONI!P$8:P$2629,$D19))</f>
        <v/>
      </c>
      <c r="N19" s="64">
        <f>IF($D19="","",COUNTIF(DESIGNAZIONI!Q$8:Q$2629,$D19))</f>
        <v/>
      </c>
      <c r="O19" s="64">
        <f>IF($D19="","",COUNTIF(DESIGNAZIONI!R$8:R$2629,$D19))</f>
        <v/>
      </c>
    </row>
    <row r="20">
      <c r="C20" s="224" t="n"/>
      <c r="D20" s="13" t="inlineStr">
        <is>
          <t>GAUTHIER Andrea</t>
        </is>
      </c>
      <c r="E20" s="220" t="n"/>
      <c r="L20" s="64">
        <f>IF($D20="","",SUM(M20:O20))</f>
        <v/>
      </c>
      <c r="M20" s="64">
        <f>IF($D20="","",COUNTIF(DESIGNAZIONI!P$8:P$2629,$D20))</f>
        <v/>
      </c>
      <c r="N20" s="64">
        <f>IF($D20="","",COUNTIF(DESIGNAZIONI!Q$8:Q$2629,$D20))</f>
        <v/>
      </c>
      <c r="O20" s="64">
        <f>IF($D20="","",COUNTIF(DESIGNAZIONI!R$8:R$2629,$D20))</f>
        <v/>
      </c>
    </row>
    <row r="21">
      <c r="C21" s="224" t="n"/>
      <c r="D21" s="13" t="inlineStr">
        <is>
          <t>WEBER Ilaria</t>
        </is>
      </c>
      <c r="E21" s="220" t="n"/>
      <c r="L21" s="64">
        <f>IF($D21="","",SUM(M21:O21))</f>
        <v/>
      </c>
      <c r="M21" s="64">
        <f>IF($D21="","",COUNTIF(DESIGNAZIONI!P$8:P$2629,$D21))</f>
        <v/>
      </c>
      <c r="N21" s="64">
        <f>IF($D21="","",COUNTIF(DESIGNAZIONI!Q$8:Q$2629,$D21))</f>
        <v/>
      </c>
      <c r="O21" s="64">
        <f>IF($D21="","",COUNTIF(DESIGNAZIONI!R$8:R$2629,$D21))</f>
        <v/>
      </c>
    </row>
    <row r="22">
      <c r="C22" s="224" t="n"/>
      <c r="D22" s="13" t="inlineStr">
        <is>
          <t>MARCHIONI Miha</t>
        </is>
      </c>
      <c r="E22" s="220" t="n"/>
      <c r="L22" s="64">
        <f>IF($D22="","",SUM(M22:O22))</f>
        <v/>
      </c>
      <c r="M22" s="64">
        <f>IF($D22="","",COUNTIF(DESIGNAZIONI!P$8:P$2629,$D22))</f>
        <v/>
      </c>
      <c r="N22" s="64">
        <f>IF($D22="","",COUNTIF(DESIGNAZIONI!Q$8:Q$2629,$D22))</f>
        <v/>
      </c>
      <c r="O22" s="64">
        <f>IF($D22="","",COUNTIF(DESIGNAZIONI!R$8:R$2629,$D22))</f>
        <v/>
      </c>
    </row>
    <row r="23">
      <c r="C23" s="224" t="n"/>
      <c r="D23" s="13" t="inlineStr">
        <is>
          <t>WEBER Matteo</t>
        </is>
      </c>
      <c r="E23" s="220" t="n"/>
      <c r="L23" s="64">
        <f>IF($D23="","",SUM(M23:O23))</f>
        <v/>
      </c>
      <c r="M23" s="64">
        <f>IF($D23="","",COUNTIF(DESIGNAZIONI!P$8:P$2629,$D23))</f>
        <v/>
      </c>
      <c r="N23" s="64">
        <f>IF($D23="","",COUNTIF(DESIGNAZIONI!Q$8:Q$2629,$D23))</f>
        <v/>
      </c>
      <c r="O23" s="64">
        <f>IF($D23="","",COUNTIF(DESIGNAZIONI!R$8:R$2629,$D23))</f>
        <v/>
      </c>
    </row>
    <row r="24">
      <c r="C24" s="224" t="n"/>
      <c r="D24" s="13" t="inlineStr">
        <is>
          <t>WEBER Lea</t>
        </is>
      </c>
      <c r="E24" s="220" t="n"/>
      <c r="L24" s="64">
        <f>IF($D24="","",SUM(M24:O24))</f>
        <v/>
      </c>
      <c r="M24" s="64">
        <f>IF($D24="","",COUNTIF(DESIGNAZIONI!P$8:P$2629,$D24))</f>
        <v/>
      </c>
      <c r="N24" s="64">
        <f>IF($D24="","",COUNTIF(DESIGNAZIONI!Q$8:Q$2629,$D24))</f>
        <v/>
      </c>
      <c r="O24" s="64">
        <f>IF($D24="","",COUNTIF(DESIGNAZIONI!R$8:R$2629,$D24))</f>
        <v/>
      </c>
    </row>
    <row r="25">
      <c r="C25" s="224" t="n"/>
      <c r="D25" s="13" t="inlineStr">
        <is>
          <t>ZUPAN Katrin</t>
        </is>
      </c>
      <c r="E25" s="220" t="n"/>
      <c r="L25" s="64">
        <f>IF($D25="","",SUM(M25:O25))</f>
        <v/>
      </c>
      <c r="M25" s="64">
        <f>IF($D25="","",COUNTIF(DESIGNAZIONI!P$8:P$2629,$D25))</f>
        <v/>
      </c>
      <c r="N25" s="64">
        <f>IF($D25="","",COUNTIF(DESIGNAZIONI!Q$8:Q$2629,$D25))</f>
        <v/>
      </c>
      <c r="O25" s="64">
        <f>IF($D25="","",COUNTIF(DESIGNAZIONI!R$8:R$2629,$D25))</f>
        <v/>
      </c>
    </row>
    <row r="26">
      <c r="C26" s="224" t="n"/>
      <c r="D26" s="13" t="inlineStr">
        <is>
          <t>SEVER Greta</t>
        </is>
      </c>
      <c r="E26" s="220" t="n"/>
      <c r="L26" s="64">
        <f>IF($D26="","",SUM(M26:O26))</f>
        <v/>
      </c>
      <c r="M26" s="64">
        <f>IF($D26="","",COUNTIF(DESIGNAZIONI!P$8:P$2629,$D26))</f>
        <v/>
      </c>
      <c r="N26" s="64">
        <f>IF($D26="","",COUNTIF(DESIGNAZIONI!Q$8:Q$2629,$D26))</f>
        <v/>
      </c>
      <c r="O26" s="64">
        <f>IF($D26="","",COUNTIF(DESIGNAZIONI!R$8:R$2629,$D26))</f>
        <v/>
      </c>
    </row>
    <row r="27">
      <c r="C27" s="224" t="n"/>
      <c r="D27" s="13" t="inlineStr">
        <is>
          <t>LANGER Valerie</t>
        </is>
      </c>
      <c r="E27" s="220" t="n"/>
      <c r="L27" s="64">
        <f>IF($D27="","",SUM(M27:O27))</f>
        <v/>
      </c>
      <c r="M27" s="64">
        <f>IF($D27="","",COUNTIF(DESIGNAZIONI!P$8:P$2629,$D27))</f>
        <v/>
      </c>
      <c r="N27" s="64">
        <f>IF($D27="","",COUNTIF(DESIGNAZIONI!Q$8:Q$2629,$D27))</f>
        <v/>
      </c>
      <c r="O27" s="64">
        <f>IF($D27="","",COUNTIF(DESIGNAZIONI!R$8:R$2629,$D27))</f>
        <v/>
      </c>
    </row>
    <row r="28">
      <c r="C28" s="224" t="n"/>
      <c r="D28" s="13" t="inlineStr">
        <is>
          <t>BLANCHET Luca</t>
        </is>
      </c>
      <c r="E28" s="220" t="n"/>
      <c r="L28" s="64">
        <f>IF($D28="","",SUM(M28:O28))</f>
        <v/>
      </c>
      <c r="M28" s="64">
        <f>IF($D28="","",COUNTIF(DESIGNAZIONI!P$8:P$2629,$D28))</f>
        <v/>
      </c>
      <c r="N28" s="64">
        <f>IF($D28="","",COUNTIF(DESIGNAZIONI!Q$8:Q$2629,$D28))</f>
        <v/>
      </c>
      <c r="O28" s="64">
        <f>IF($D28="","",COUNTIF(DESIGNAZIONI!R$8:R$2629,$D28))</f>
        <v/>
      </c>
    </row>
    <row r="29">
      <c r="C29" s="224" t="n"/>
      <c r="D29" s="13" t="inlineStr">
        <is>
          <t>BLANCO Elena</t>
        </is>
      </c>
      <c r="E29" s="220" t="n"/>
      <c r="L29" s="64">
        <f>IF($D29="","",SUM(M29:O29))</f>
        <v/>
      </c>
      <c r="M29" s="64">
        <f>IF($D29="","",COUNTIF(DESIGNAZIONI!P$8:P$2629,$D29))</f>
        <v/>
      </c>
      <c r="N29" s="64">
        <f>IF($D29="","",COUNTIF(DESIGNAZIONI!Q$8:Q$2629,$D29))</f>
        <v/>
      </c>
      <c r="O29" s="64">
        <f>IF($D29="","",COUNTIF(DESIGNAZIONI!R$8:R$2629,$D29))</f>
        <v/>
      </c>
    </row>
    <row r="30">
      <c r="C30" s="224" t="n"/>
      <c r="D30" s="13" t="inlineStr">
        <is>
          <t>ZUPAN Paula</t>
        </is>
      </c>
      <c r="E30" s="220" t="n"/>
      <c r="L30" s="64">
        <f>IF($D30="","",SUM(M30:O30))</f>
        <v/>
      </c>
      <c r="M30" s="64">
        <f>IF($D30="","",COUNTIF(DESIGNAZIONI!P$8:P$2629,$D30))</f>
        <v/>
      </c>
      <c r="N30" s="64">
        <f>IF($D30="","",COUNTIF(DESIGNAZIONI!Q$8:Q$2629,$D30))</f>
        <v/>
      </c>
      <c r="O30" s="64">
        <f>IF($D30="","",COUNTIF(DESIGNAZIONI!R$8:R$2629,$D30))</f>
        <v/>
      </c>
    </row>
    <row r="31">
      <c r="C31" s="224" t="n"/>
      <c r="D31" s="13" t="inlineStr">
        <is>
          <t>ZUPAN Noemi</t>
        </is>
      </c>
      <c r="E31" s="220" t="n"/>
      <c r="L31" s="64">
        <f>IF($D31="","",SUM(M31:O31))</f>
        <v/>
      </c>
      <c r="M31" s="64">
        <f>IF($D31="","",COUNTIF(DESIGNAZIONI!P$8:P$2629,$D31))</f>
        <v/>
      </c>
      <c r="N31" s="64">
        <f>IF($D31="","",COUNTIF(DESIGNAZIONI!Q$8:Q$2629,$D31))</f>
        <v/>
      </c>
      <c r="O31" s="64">
        <f>IF($D31="","",COUNTIF(DESIGNAZIONI!R$8:R$2629,$D31))</f>
        <v/>
      </c>
    </row>
    <row r="32">
      <c r="C32" s="224" t="n"/>
      <c r="D32" s="13" t="inlineStr">
        <is>
          <t>HOFFMANN Davide</t>
        </is>
      </c>
      <c r="E32" s="220" t="n"/>
      <c r="L32" s="64">
        <f>IF($D32="","",SUM(M32:O32))</f>
        <v/>
      </c>
      <c r="M32" s="64">
        <f>IF($D32="","",COUNTIF(DESIGNAZIONI!P$8:P$2629,$D32))</f>
        <v/>
      </c>
      <c r="N32" s="64">
        <f>IF($D32="","",COUNTIF(DESIGNAZIONI!Q$8:Q$2629,$D32))</f>
        <v/>
      </c>
      <c r="O32" s="64">
        <f>IF($D32="","",COUNTIF(DESIGNAZIONI!R$8:R$2629,$D32))</f>
        <v/>
      </c>
    </row>
    <row r="33">
      <c r="C33" s="224" t="n"/>
      <c r="D33" s="13" t="inlineStr">
        <is>
          <t>FUENTES Lukas</t>
        </is>
      </c>
      <c r="E33" s="220" t="n"/>
      <c r="L33" s="64">
        <f>IF($D33="","",SUM(M33:O33))</f>
        <v/>
      </c>
      <c r="M33" s="64">
        <f>IF($D33="","",COUNTIF(DESIGNAZIONI!P$8:P$2629,$D33))</f>
        <v/>
      </c>
      <c r="N33" s="64">
        <f>IF($D33="","",COUNTIF(DESIGNAZIONI!Q$8:Q$2629,$D33))</f>
        <v/>
      </c>
      <c r="O33" s="64">
        <f>IF($D33="","",COUNTIF(DESIGNAZIONI!R$8:R$2629,$D33))</f>
        <v/>
      </c>
    </row>
    <row r="34">
      <c r="C34" s="224" t="n"/>
      <c r="D34" s="13" t="inlineStr">
        <is>
          <t>FERRANTE Andrea</t>
        </is>
      </c>
      <c r="E34" s="220" t="n"/>
      <c r="L34" s="64">
        <f>IF($D34="","",SUM(M34:O34))</f>
        <v/>
      </c>
      <c r="M34" s="64">
        <f>IF($D34="","",COUNTIF(DESIGNAZIONI!P$8:P$2629,$D34))</f>
        <v/>
      </c>
      <c r="N34" s="64">
        <f>IF($D34="","",COUNTIF(DESIGNAZIONI!Q$8:Q$2629,$D34))</f>
        <v/>
      </c>
      <c r="O34" s="64">
        <f>IF($D34="","",COUNTIF(DESIGNAZIONI!R$8:R$2629,$D34))</f>
        <v/>
      </c>
    </row>
    <row r="35">
      <c r="C35" s="224" t="n"/>
      <c r="D35" s="13" t="inlineStr">
        <is>
          <t>BLANCO Valerie</t>
        </is>
      </c>
      <c r="E35" s="220" t="n"/>
      <c r="L35" s="64">
        <f>IF($D35="","",SUM(M35:O35))</f>
        <v/>
      </c>
      <c r="M35" s="64">
        <f>IF($D35="","",COUNTIF(DESIGNAZIONI!P$8:P$2629,$D35))</f>
        <v/>
      </c>
      <c r="N35" s="64">
        <f>IF($D35="","",COUNTIF(DESIGNAZIONI!Q$8:Q$2629,$D35))</f>
        <v/>
      </c>
      <c r="O35" s="64">
        <f>IF($D35="","",COUNTIF(DESIGNAZIONI!R$8:R$2629,$D35))</f>
        <v/>
      </c>
    </row>
    <row r="36">
      <c r="C36" s="224" t="n"/>
      <c r="D36" s="13" t="inlineStr">
        <is>
          <t>ZUPAN Miha</t>
        </is>
      </c>
      <c r="E36" s="220" t="n"/>
      <c r="L36" s="64">
        <f>IF($D36="","",SUM(M36:O36))</f>
        <v/>
      </c>
      <c r="M36" s="64">
        <f>IF($D36="","",COUNTIF(DESIGNAZIONI!P$8:P$2629,$D36))</f>
        <v/>
      </c>
      <c r="N36" s="64">
        <f>IF($D36="","",COUNTIF(DESIGNAZIONI!Q$8:Q$2629,$D36))</f>
        <v/>
      </c>
      <c r="O36" s="64">
        <f>IF($D36="","",COUNTIF(DESIGNAZIONI!R$8:R$2629,$D36))</f>
        <v/>
      </c>
    </row>
    <row r="37">
      <c r="C37" s="224" t="n"/>
      <c r="D37" s="13" t="inlineStr">
        <is>
          <t>WEBER Nicola</t>
        </is>
      </c>
      <c r="E37" s="220" t="n"/>
      <c r="L37" s="64">
        <f>IF($D37="","",SUM(M37:O37))</f>
        <v/>
      </c>
      <c r="M37" s="64">
        <f>IF($D37="","",COUNTIF(DESIGNAZIONI!P$8:P$2629,$D37))</f>
        <v/>
      </c>
      <c r="N37" s="64">
        <f>IF($D37="","",COUNTIF(DESIGNAZIONI!Q$8:Q$2629,$D37))</f>
        <v/>
      </c>
      <c r="O37" s="64">
        <f>IF($D37="","",COUNTIF(DESIGNAZIONI!R$8:R$2629,$D37))</f>
        <v/>
      </c>
    </row>
    <row r="38">
      <c r="C38" s="224" t="n"/>
      <c r="D38" s="13" t="inlineStr">
        <is>
          <t>ORTEGA Ilaria</t>
        </is>
      </c>
      <c r="E38" s="220" t="n"/>
      <c r="L38" s="64">
        <f>IF($D38="","",SUM(M38:O38))</f>
        <v/>
      </c>
      <c r="M38" s="64">
        <f>IF($D38="","",COUNTIF(DESIGNAZIONI!P$8:P$2629,$D38))</f>
        <v/>
      </c>
      <c r="N38" s="64">
        <f>IF($D38="","",COUNTIF(DESIGNAZIONI!Q$8:Q$2629,$D38))</f>
        <v/>
      </c>
      <c r="O38" s="64">
        <f>IF($D38="","",COUNTIF(DESIGNAZIONI!R$8:R$2629,$D38))</f>
        <v/>
      </c>
    </row>
    <row r="39">
      <c r="C39" s="224" t="n"/>
      <c r="D39" s="13" t="inlineStr">
        <is>
          <t>KRAJNC Greta</t>
        </is>
      </c>
      <c r="E39" s="220" t="n"/>
      <c r="L39" s="64">
        <f>IF($D39="","",SUM(M39:O39))</f>
        <v/>
      </c>
      <c r="M39" s="64">
        <f>IF($D39="","",COUNTIF(DESIGNAZIONI!P$8:P$2629,$D39))</f>
        <v/>
      </c>
      <c r="N39" s="64">
        <f>IF($D39="","",COUNTIF(DESIGNAZIONI!Q$8:Q$2629,$D39))</f>
        <v/>
      </c>
      <c r="O39" s="64">
        <f>IF($D39="","",COUNTIF(DESIGNAZIONI!R$8:R$2629,$D39))</f>
        <v/>
      </c>
    </row>
    <row r="40">
      <c r="C40" s="224" t="n"/>
      <c r="D40" s="13" t="inlineStr">
        <is>
          <t>LEROUX Stefano</t>
        </is>
      </c>
      <c r="E40" s="220" t="n"/>
      <c r="L40" s="64">
        <f>IF($D40="","",SUM(M40:O40))</f>
        <v/>
      </c>
      <c r="M40" s="64">
        <f>IF($D40="","",COUNTIF(DESIGNAZIONI!P$8:P$2629,$D40))</f>
        <v/>
      </c>
      <c r="N40" s="64">
        <f>IF($D40="","",COUNTIF(DESIGNAZIONI!Q$8:Q$2629,$D40))</f>
        <v/>
      </c>
      <c r="O40" s="64">
        <f>IF($D40="","",COUNTIF(DESIGNAZIONI!R$8:R$2629,$D40))</f>
        <v/>
      </c>
    </row>
    <row r="41">
      <c r="C41" s="224" t="n"/>
      <c r="D41" s="13" t="inlineStr">
        <is>
          <t>FOURNIER Paula</t>
        </is>
      </c>
      <c r="E41" s="220" t="n"/>
      <c r="L41" s="64">
        <f>IF($D41="","",SUM(M41:O41))</f>
        <v/>
      </c>
      <c r="M41" s="64">
        <f>IF($D41="","",COUNTIF(DESIGNAZIONI!P$8:P$2629,$D41))</f>
        <v/>
      </c>
      <c r="N41" s="64">
        <f>IF($D41="","",COUNTIF(DESIGNAZIONI!Q$8:Q$2629,$D41))</f>
        <v/>
      </c>
      <c r="O41" s="64">
        <f>IF($D41="","",COUNTIF(DESIGNAZIONI!R$8:R$2629,$D41))</f>
        <v/>
      </c>
    </row>
    <row r="42">
      <c r="C42" s="224" t="n"/>
      <c r="D42" s="13" t="inlineStr">
        <is>
          <t>BIANCHELLI Valerie</t>
        </is>
      </c>
      <c r="E42" s="220" t="n"/>
      <c r="L42" s="64">
        <f>IF($D42="","",SUM(M42:O42))</f>
        <v/>
      </c>
      <c r="M42" s="64">
        <f>IF($D42="","",COUNTIF(DESIGNAZIONI!P$8:P$2629,$D42))</f>
        <v/>
      </c>
      <c r="N42" s="64">
        <f>IF($D42="","",COUNTIF(DESIGNAZIONI!Q$8:Q$2629,$D42))</f>
        <v/>
      </c>
      <c r="O42" s="64">
        <f>IF($D42="","",COUNTIF(DESIGNAZIONI!R$8:R$2629,$D42))</f>
        <v/>
      </c>
    </row>
    <row r="43">
      <c r="C43" s="224" t="n"/>
      <c r="D43" s="13" t="inlineStr">
        <is>
          <t>VALLET Stefano</t>
        </is>
      </c>
      <c r="E43" s="220" t="n"/>
      <c r="L43" s="64">
        <f>IF($D43="","",SUM(M43:O43))</f>
        <v/>
      </c>
      <c r="M43" s="64">
        <f>IF($D43="","",COUNTIF(DESIGNAZIONI!P$8:P$2629,$D43))</f>
        <v/>
      </c>
      <c r="N43" s="64">
        <f>IF($D43="","",COUNTIF(DESIGNAZIONI!Q$8:Q$2629,$D43))</f>
        <v/>
      </c>
      <c r="O43" s="64">
        <f>IF($D43="","",COUNTIF(DESIGNAZIONI!R$8:R$2629,$D43))</f>
        <v/>
      </c>
    </row>
    <row r="44">
      <c r="C44" s="224" t="n"/>
      <c r="D44" s="13" t="inlineStr">
        <is>
          <t>ROSSINI Gaelle</t>
        </is>
      </c>
      <c r="E44" s="220" t="n"/>
      <c r="L44" s="64">
        <f>IF($D44="","",SUM(M44:O44))</f>
        <v/>
      </c>
      <c r="M44" s="64">
        <f>IF($D44="","",COUNTIF(DESIGNAZIONI!P$8:P$2629,$D44))</f>
        <v/>
      </c>
      <c r="N44" s="64">
        <f>IF($D44="","",COUNTIF(DESIGNAZIONI!Q$8:Q$2629,$D44))</f>
        <v/>
      </c>
      <c r="O44" s="64">
        <f>IF($D44="","",COUNTIF(DESIGNAZIONI!R$8:R$2629,$D44))</f>
        <v/>
      </c>
    </row>
    <row r="45">
      <c r="C45" s="224" t="n"/>
      <c r="D45" s="13" t="inlineStr">
        <is>
          <t>NAVARRO Pablo</t>
        </is>
      </c>
      <c r="E45" s="220" t="n"/>
      <c r="L45" s="64">
        <f>IF($D45="","",SUM(M45:O45))</f>
        <v/>
      </c>
      <c r="M45" s="64">
        <f>IF($D45="","",COUNTIF(DESIGNAZIONI!P$8:P$2629,$D45))</f>
        <v/>
      </c>
      <c r="N45" s="64">
        <f>IF($D45="","",COUNTIF(DESIGNAZIONI!Q$8:Q$2629,$D45))</f>
        <v/>
      </c>
      <c r="O45" s="64">
        <f>IF($D45="","",COUNTIF(DESIGNAZIONI!R$8:R$2629,$D45))</f>
        <v/>
      </c>
    </row>
    <row r="46">
      <c r="C46" s="224" t="n"/>
      <c r="D46" s="13" t="inlineStr">
        <is>
          <t>IGLESIAS Giulia</t>
        </is>
      </c>
      <c r="E46" s="220" t="n"/>
      <c r="L46" s="64">
        <f>IF($D46="","",SUM(M46:O46))</f>
        <v/>
      </c>
      <c r="M46" s="64">
        <f>IF($D46="","",COUNTIF(DESIGNAZIONI!P$8:P$2629,$D46))</f>
        <v/>
      </c>
      <c r="N46" s="64">
        <f>IF($D46="","",COUNTIF(DESIGNAZIONI!Q$8:Q$2629,$D46))</f>
        <v/>
      </c>
      <c r="O46" s="64">
        <f>IF($D46="","",COUNTIF(DESIGNAZIONI!R$8:R$2629,$D46))</f>
        <v/>
      </c>
    </row>
    <row r="47">
      <c r="C47" s="224" t="n"/>
      <c r="D47" s="13" t="inlineStr">
        <is>
          <t>VOGEL Giulia</t>
        </is>
      </c>
      <c r="E47" s="220" t="n"/>
      <c r="L47" s="64">
        <f>IF($D47="","",SUM(M47:O47))</f>
        <v/>
      </c>
      <c r="M47" s="64">
        <f>IF($D47="","",COUNTIF(DESIGNAZIONI!P$8:P$2629,$D47))</f>
        <v/>
      </c>
      <c r="N47" s="64">
        <f>IF($D47="","",COUNTIF(DESIGNAZIONI!Q$8:Q$2629,$D47))</f>
        <v/>
      </c>
      <c r="O47" s="64">
        <f>IF($D47="","",COUNTIF(DESIGNAZIONI!R$8:R$2629,$D47))</f>
        <v/>
      </c>
    </row>
    <row r="48">
      <c r="C48" s="224" t="n"/>
      <c r="D48" s="13" t="inlineStr">
        <is>
          <t>FERRANTE Greta</t>
        </is>
      </c>
      <c r="E48" s="220" t="n"/>
      <c r="L48" s="64">
        <f>IF($D48="","",SUM(M48:O48))</f>
        <v/>
      </c>
      <c r="M48" s="64">
        <f>IF($D48="","",COUNTIF(DESIGNAZIONI!P$8:P$2629,$D48))</f>
        <v/>
      </c>
      <c r="N48" s="64">
        <f>IF($D48="","",COUNTIF(DESIGNAZIONI!Q$8:Q$2629,$D48))</f>
        <v/>
      </c>
      <c r="O48" s="64">
        <f>IF($D48="","",COUNTIF(DESIGNAZIONI!R$8:R$2629,$D48))</f>
        <v/>
      </c>
    </row>
    <row r="49">
      <c r="C49" s="224" t="n"/>
      <c r="D49" s="13" t="inlineStr">
        <is>
          <t>VOGEL Greta</t>
        </is>
      </c>
      <c r="E49" s="220" t="n"/>
      <c r="L49" s="64">
        <f>IF($D49="","",SUM(M49:O49))</f>
        <v/>
      </c>
      <c r="M49" s="64">
        <f>IF($D49="","",COUNTIF(DESIGNAZIONI!P$8:P$2629,$D49))</f>
        <v/>
      </c>
      <c r="N49" s="64">
        <f>IF($D49="","",COUNTIF(DESIGNAZIONI!Q$8:Q$2629,$D49))</f>
        <v/>
      </c>
      <c r="O49" s="64">
        <f>IF($D49="","",COUNTIF(DESIGNAZIONI!R$8:R$2629,$D49))</f>
        <v/>
      </c>
    </row>
    <row r="50">
      <c r="C50" s="224" t="n"/>
      <c r="D50" s="13" t="inlineStr">
        <is>
          <t>NOVAK Giulia</t>
        </is>
      </c>
      <c r="E50" s="220" t="n"/>
      <c r="L50" s="64">
        <f>IF($D50="","",SUM(M50:O50))</f>
        <v/>
      </c>
      <c r="M50" s="64">
        <f>IF($D50="","",COUNTIF(DESIGNAZIONI!P$8:P$2629,$D50))</f>
        <v/>
      </c>
      <c r="N50" s="64">
        <f>IF($D50="","",COUNTIF(DESIGNAZIONI!Q$8:Q$2629,$D50))</f>
        <v/>
      </c>
      <c r="O50" s="64">
        <f>IF($D50="","",COUNTIF(DESIGNAZIONI!R$8:R$2629,$D50))</f>
        <v/>
      </c>
    </row>
    <row r="51">
      <c r="C51" s="224" t="n"/>
      <c r="D51" s="13" t="inlineStr">
        <is>
          <t>ROSSINI Andrea</t>
        </is>
      </c>
      <c r="E51" s="220" t="n"/>
      <c r="L51" s="64">
        <f>IF($D51="","",SUM(M51:O51))</f>
        <v/>
      </c>
      <c r="M51" s="64">
        <f>IF($D51="","",COUNTIF(DESIGNAZIONI!P$8:P$2629,$D51))</f>
        <v/>
      </c>
      <c r="N51" s="64">
        <f>IF($D51="","",COUNTIF(DESIGNAZIONI!Q$8:Q$2629,$D51))</f>
        <v/>
      </c>
      <c r="O51" s="64">
        <f>IF($D51="","",COUNTIF(DESIGNAZIONI!R$8:R$2629,$D51))</f>
        <v/>
      </c>
    </row>
    <row r="52">
      <c r="C52" s="224" t="n"/>
      <c r="D52" s="13" t="inlineStr">
        <is>
          <t>ROTH Stefano</t>
        </is>
      </c>
      <c r="E52" s="220" t="n"/>
      <c r="L52" s="64">
        <f>IF($D52="","",SUM(M52:O52))</f>
        <v/>
      </c>
      <c r="M52" s="64">
        <f>IF($D52="","",COUNTIF(DESIGNAZIONI!P$8:P$2629,$D52))</f>
        <v/>
      </c>
      <c r="N52" s="64">
        <f>IF($D52="","",COUNTIF(DESIGNAZIONI!Q$8:Q$2629,$D52))</f>
        <v/>
      </c>
      <c r="O52" s="64">
        <f>IF($D52="","",COUNTIF(DESIGNAZIONI!R$8:R$2629,$D52))</f>
        <v/>
      </c>
    </row>
    <row r="53">
      <c r="C53" s="224" t="n"/>
      <c r="D53" s="13" t="inlineStr">
        <is>
          <t>ENGEL Lucia</t>
        </is>
      </c>
      <c r="E53" s="220" t="n"/>
      <c r="L53" s="64">
        <f>IF($D53="","",SUM(M53:O53))</f>
        <v/>
      </c>
      <c r="M53" s="64">
        <f>IF($D53="","",COUNTIF(DESIGNAZIONI!P$8:P$2629,$D53))</f>
        <v/>
      </c>
      <c r="N53" s="64">
        <f>IF($D53="","",COUNTIF(DESIGNAZIONI!Q$8:Q$2629,$D53))</f>
        <v/>
      </c>
      <c r="O53" s="64">
        <f>IF($D53="","",COUNTIF(DESIGNAZIONI!R$8:R$2629,$D53))</f>
        <v/>
      </c>
    </row>
    <row r="54">
      <c r="C54" s="224" t="n"/>
      <c r="D54" s="13" t="inlineStr">
        <is>
          <t>FOURNIER Lea</t>
        </is>
      </c>
      <c r="E54" s="220" t="n"/>
      <c r="L54" s="64">
        <f>IF($D54="","",SUM(M54:O54))</f>
        <v/>
      </c>
      <c r="M54" s="64">
        <f>IF($D54="","",COUNTIF(DESIGNAZIONI!P$8:P$2629,$D54))</f>
        <v/>
      </c>
      <c r="N54" s="64">
        <f>IF($D54="","",COUNTIF(DESIGNAZIONI!Q$8:Q$2629,$D54))</f>
        <v/>
      </c>
      <c r="O54" s="64">
        <f>IF($D54="","",COUNTIF(DESIGNAZIONI!R$8:R$2629,$D54))</f>
        <v/>
      </c>
    </row>
    <row r="55">
      <c r="C55" s="224" t="n"/>
      <c r="D55" s="13" t="inlineStr">
        <is>
          <t>SEVER Marco</t>
        </is>
      </c>
      <c r="E55" s="220" t="n"/>
      <c r="L55" s="64">
        <f>IF($D55="","",SUM(M55:O55))</f>
        <v/>
      </c>
      <c r="M55" s="64">
        <f>IF($D55="","",COUNTIF(DESIGNAZIONI!P$8:P$2629,$D55))</f>
        <v/>
      </c>
      <c r="N55" s="64">
        <f>IF($D55="","",COUNTIF(DESIGNAZIONI!Q$8:Q$2629,$D55))</f>
        <v/>
      </c>
      <c r="O55" s="64">
        <f>IF($D55="","",COUNTIF(DESIGNAZIONI!R$8:R$2629,$D55))</f>
        <v/>
      </c>
    </row>
    <row r="56">
      <c r="C56" s="224" t="n"/>
      <c r="D56" s="13" t="inlineStr">
        <is>
          <t>SCHAFER Lea</t>
        </is>
      </c>
      <c r="E56" s="220" t="n"/>
      <c r="L56" s="64">
        <f>IF($D56="","",SUM(M56:O56))</f>
        <v/>
      </c>
      <c r="M56" s="64">
        <f>IF($D56="","",COUNTIF(DESIGNAZIONI!P$8:P$2629,$D56))</f>
        <v/>
      </c>
      <c r="N56" s="64">
        <f>IF($D56="","",COUNTIF(DESIGNAZIONI!Q$8:Q$2629,$D56))</f>
        <v/>
      </c>
      <c r="O56" s="64">
        <f>IF($D56="","",COUNTIF(DESIGNAZIONI!R$8:R$2629,$D56))</f>
        <v/>
      </c>
    </row>
    <row r="57">
      <c r="C57" s="224" t="n"/>
      <c r="D57" s="13" t="inlineStr">
        <is>
          <t>HOFFMANN Andrea</t>
        </is>
      </c>
      <c r="E57" s="220" t="n"/>
      <c r="L57" s="64">
        <f>IF($D57="","",SUM(M57:O57))</f>
        <v/>
      </c>
      <c r="M57" s="64">
        <f>IF($D57="","",COUNTIF(DESIGNAZIONI!P$8:P$2629,$D57))</f>
        <v/>
      </c>
      <c r="N57" s="64">
        <f>IF($D57="","",COUNTIF(DESIGNAZIONI!Q$8:Q$2629,$D57))</f>
        <v/>
      </c>
      <c r="O57" s="64">
        <f>IF($D57="","",COUNTIF(DESIGNAZIONI!R$8:R$2629,$D57))</f>
        <v/>
      </c>
    </row>
    <row r="58">
      <c r="C58" s="224" t="n"/>
      <c r="D58" s="13" t="inlineStr">
        <is>
          <t>SCHAFER Greta</t>
        </is>
      </c>
      <c r="E58" s="220" t="n"/>
      <c r="L58" s="64">
        <f>IF($D58="","",SUM(M58:O58))</f>
        <v/>
      </c>
      <c r="M58" s="64">
        <f>IF($D58="","",COUNTIF(DESIGNAZIONI!P$8:P$2629,$D58))</f>
        <v/>
      </c>
      <c r="N58" s="64">
        <f>IF($D58="","",COUNTIF(DESIGNAZIONI!Q$8:Q$2629,$D58))</f>
        <v/>
      </c>
      <c r="O58" s="64">
        <f>IF($D58="","",COUNTIF(DESIGNAZIONI!R$8:R$2629,$D58))</f>
        <v/>
      </c>
    </row>
    <row r="59">
      <c r="C59" s="224" t="n"/>
      <c r="D59" s="13" t="inlineStr">
        <is>
          <t>VIDMAR Felix</t>
        </is>
      </c>
      <c r="E59" s="220" t="n"/>
      <c r="L59" s="64">
        <f>IF($D59="","",SUM(M59:O59))</f>
        <v/>
      </c>
      <c r="M59" s="64">
        <f>IF($D59="","",COUNTIF(DESIGNAZIONI!P$8:P$2629,$D59))</f>
        <v/>
      </c>
      <c r="N59" s="64">
        <f>IF($D59="","",COUNTIF(DESIGNAZIONI!Q$8:Q$2629,$D59))</f>
        <v/>
      </c>
      <c r="O59" s="64">
        <f>IF($D59="","",COUNTIF(DESIGNAZIONI!R$8:R$2629,$D59))</f>
        <v/>
      </c>
    </row>
    <row r="60">
      <c r="C60" s="224" t="n"/>
      <c r="D60" s="13" t="inlineStr">
        <is>
          <t>ENGEL Elena</t>
        </is>
      </c>
      <c r="E60" s="220" t="n"/>
      <c r="L60" s="64">
        <f>IF($D60="","",SUM(M60:O60))</f>
        <v/>
      </c>
      <c r="M60" s="64">
        <f>IF($D60="","",COUNTIF(DESIGNAZIONI!P$8:P$2629,$D60))</f>
        <v/>
      </c>
      <c r="N60" s="64">
        <f>IF($D60="","",COUNTIF(DESIGNAZIONI!Q$8:Q$2629,$D60))</f>
        <v/>
      </c>
      <c r="O60" s="64">
        <f>IF($D60="","",COUNTIF(DESIGNAZIONI!R$8:R$2629,$D60))</f>
        <v/>
      </c>
    </row>
    <row r="61">
      <c r="C61" s="224" t="n"/>
      <c r="D61" s="13" t="inlineStr">
        <is>
          <t>ORTEGA Jonas</t>
        </is>
      </c>
      <c r="E61" s="220" t="n"/>
      <c r="L61" s="64">
        <f>IF($D61="","",SUM(M61:O61))</f>
        <v/>
      </c>
      <c r="M61" s="64">
        <f>IF($D61="","",COUNTIF(DESIGNAZIONI!P$8:P$2629,$D61))</f>
        <v/>
      </c>
      <c r="N61" s="64">
        <f>IF($D61="","",COUNTIF(DESIGNAZIONI!Q$8:Q$2629,$D61))</f>
        <v/>
      </c>
      <c r="O61" s="64">
        <f>IF($D61="","",COUNTIF(DESIGNAZIONI!R$8:R$2629,$D61))</f>
        <v/>
      </c>
    </row>
    <row r="62">
      <c r="C62" s="224" t="n"/>
      <c r="D62" s="13" t="inlineStr">
        <is>
          <t>SANTORI Gaelle</t>
        </is>
      </c>
      <c r="E62" s="220" t="n"/>
      <c r="L62" s="64">
        <f>IF($D62="","",SUM(M62:O62))</f>
        <v/>
      </c>
      <c r="M62" s="64">
        <f>IF($D62="","",COUNTIF(DESIGNAZIONI!P$8:P$2629,$D62))</f>
        <v/>
      </c>
      <c r="N62" s="64">
        <f>IF($D62="","",COUNTIF(DESIGNAZIONI!Q$8:Q$2629,$D62))</f>
        <v/>
      </c>
      <c r="O62" s="64">
        <f>IF($D62="","",COUNTIF(DESIGNAZIONI!R$8:R$2629,$D62))</f>
        <v/>
      </c>
    </row>
    <row r="63">
      <c r="C63" s="224" t="n"/>
      <c r="D63" s="13" t="inlineStr">
        <is>
          <t>MORETTO Lea</t>
        </is>
      </c>
      <c r="E63" s="220" t="n"/>
      <c r="L63" s="64">
        <f>IF($D63="","",SUM(M63:O63))</f>
        <v/>
      </c>
      <c r="M63" s="64">
        <f>IF($D63="","",COUNTIF(DESIGNAZIONI!P$8:P$2629,$D63))</f>
        <v/>
      </c>
      <c r="N63" s="64">
        <f>IF($D63="","",COUNTIF(DESIGNAZIONI!Q$8:Q$2629,$D63))</f>
        <v/>
      </c>
      <c r="O63" s="64">
        <f>IF($D63="","",COUNTIF(DESIGNAZIONI!R$8:R$2629,$D63))</f>
        <v/>
      </c>
    </row>
    <row r="64">
      <c r="C64" s="224" t="n"/>
      <c r="D64" s="13" t="inlineStr">
        <is>
          <t>FERRANTE Stefano</t>
        </is>
      </c>
      <c r="E64" s="220" t="n"/>
      <c r="L64" s="64">
        <f>IF($D64="","",SUM(M64:O64))</f>
        <v/>
      </c>
      <c r="M64" s="64">
        <f>IF($D64="","",COUNTIF(DESIGNAZIONI!P$8:P$2629,$D64))</f>
        <v/>
      </c>
      <c r="N64" s="64">
        <f>IF($D64="","",COUNTIF(DESIGNAZIONI!Q$8:Q$2629,$D64))</f>
        <v/>
      </c>
      <c r="O64" s="64">
        <f>IF($D64="","",COUNTIF(DESIGNAZIONI!R$8:R$2629,$D64))</f>
        <v/>
      </c>
    </row>
    <row r="65">
      <c r="C65" s="224" t="n"/>
      <c r="D65" s="13" t="inlineStr">
        <is>
          <t>CASTILLO Stefano</t>
        </is>
      </c>
      <c r="E65" s="220" t="n"/>
      <c r="L65" s="64">
        <f>IF($D65="","",SUM(M65:O65))</f>
        <v/>
      </c>
      <c r="M65" s="64">
        <f>IF($D65="","",COUNTIF(DESIGNAZIONI!P$8:P$2629,$D65))</f>
        <v/>
      </c>
      <c r="N65" s="64">
        <f>IF($D65="","",COUNTIF(DESIGNAZIONI!Q$8:Q$2629,$D65))</f>
        <v/>
      </c>
      <c r="O65" s="64">
        <f>IF($D65="","",COUNTIF(DESIGNAZIONI!R$8:R$2629,$D65))</f>
        <v/>
      </c>
    </row>
    <row r="66">
      <c r="C66" s="224" t="n"/>
      <c r="D66" s="13" t="inlineStr">
        <is>
          <t>BLANCHET Alenka</t>
        </is>
      </c>
      <c r="E66" s="220" t="n"/>
      <c r="L66" s="64">
        <f>IF($D66="","",SUM(M66:O66))</f>
        <v/>
      </c>
      <c r="M66" s="64">
        <f>IF($D66="","",COUNTIF(DESIGNAZIONI!P$8:P$2629,$D66))</f>
        <v/>
      </c>
      <c r="N66" s="64">
        <f>IF($D66="","",COUNTIF(DESIGNAZIONI!Q$8:Q$2629,$D66))</f>
        <v/>
      </c>
      <c r="O66" s="64">
        <f>IF($D66="","",COUNTIF(DESIGNAZIONI!R$8:R$2629,$D66))</f>
        <v/>
      </c>
    </row>
    <row r="67">
      <c r="C67" s="224" t="n"/>
      <c r="D67" s="13" t="inlineStr">
        <is>
          <t>ENGEL Tommaso</t>
        </is>
      </c>
      <c r="E67" s="220" t="n"/>
      <c r="L67" s="64">
        <f>IF($D67="","",SUM(M67:O67))</f>
        <v/>
      </c>
      <c r="M67" s="64">
        <f>IF($D67="","",COUNTIF(DESIGNAZIONI!P$8:P$2629,$D67))</f>
        <v/>
      </c>
      <c r="N67" s="64">
        <f>IF($D67="","",COUNTIF(DESIGNAZIONI!Q$8:Q$2629,$D67))</f>
        <v/>
      </c>
      <c r="O67" s="64">
        <f>IF($D67="","",COUNTIF(DESIGNAZIONI!R$8:R$2629,$D67))</f>
        <v/>
      </c>
    </row>
    <row r="68">
      <c r="C68" s="224" t="n"/>
      <c r="D68" s="13" t="inlineStr">
        <is>
          <t>BLANCO Eva</t>
        </is>
      </c>
      <c r="E68" s="220" t="n"/>
      <c r="L68" s="64">
        <f>IF($D68="","",SUM(M68:O68))</f>
        <v/>
      </c>
      <c r="M68" s="64">
        <f>IF($D68="","",COUNTIF(DESIGNAZIONI!P$8:P$2629,$D68))</f>
        <v/>
      </c>
      <c r="N68" s="64">
        <f>IF($D68="","",COUNTIF(DESIGNAZIONI!Q$8:Q$2629,$D68))</f>
        <v/>
      </c>
      <c r="O68" s="64">
        <f>IF($D68="","",COUNTIF(DESIGNAZIONI!R$8:R$2629,$D68))</f>
        <v/>
      </c>
    </row>
    <row r="69">
      <c r="C69" s="224" t="n"/>
      <c r="D69" s="13" t="inlineStr">
        <is>
          <t>KRUGER Irene</t>
        </is>
      </c>
      <c r="E69" s="220" t="n"/>
      <c r="L69" s="64">
        <f>IF($D69="","",SUM(M69:O69))</f>
        <v/>
      </c>
      <c r="M69" s="64">
        <f>IF($D69="","",COUNTIF(DESIGNAZIONI!P$8:P$2629,$D69))</f>
        <v/>
      </c>
      <c r="N69" s="64">
        <f>IF($D69="","",COUNTIF(DESIGNAZIONI!Q$8:Q$2629,$D69))</f>
        <v/>
      </c>
      <c r="O69" s="64">
        <f>IF($D69="","",COUNTIF(DESIGNAZIONI!R$8:R$2629,$D69))</f>
        <v/>
      </c>
    </row>
    <row r="70">
      <c r="C70" s="224" t="n"/>
      <c r="D70" s="13" t="inlineStr">
        <is>
          <t>SEVER Nicola</t>
        </is>
      </c>
      <c r="E70" s="220" t="n"/>
      <c r="L70" s="64">
        <f>IF($D70="","",SUM(M70:O70))</f>
        <v/>
      </c>
      <c r="M70" s="64">
        <f>IF($D70="","",COUNTIF(DESIGNAZIONI!P$8:P$2629,$D70))</f>
        <v/>
      </c>
      <c r="N70" s="64">
        <f>IF($D70="","",COUNTIF(DESIGNAZIONI!Q$8:Q$2629,$D70))</f>
        <v/>
      </c>
      <c r="O70" s="64">
        <f>IF($D70="","",COUNTIF(DESIGNAZIONI!R$8:R$2629,$D70))</f>
        <v/>
      </c>
    </row>
    <row r="71">
      <c r="C71" s="224" t="n"/>
      <c r="D71" s="13" t="inlineStr">
        <is>
          <t>CONTARDI Greta</t>
        </is>
      </c>
      <c r="E71" s="220" t="n"/>
      <c r="L71" s="64">
        <f>IF($D71="","",SUM(M71:O71))</f>
        <v/>
      </c>
      <c r="M71" s="64">
        <f>IF($D71="","",COUNTIF(DESIGNAZIONI!P$8:P$2629,$D71))</f>
        <v/>
      </c>
      <c r="N71" s="64">
        <f>IF($D71="","",COUNTIF(DESIGNAZIONI!Q$8:Q$2629,$D71))</f>
        <v/>
      </c>
      <c r="O71" s="64">
        <f>IF($D71="","",COUNTIF(DESIGNAZIONI!R$8:R$2629,$D71))</f>
        <v/>
      </c>
    </row>
    <row r="72">
      <c r="C72" s="224" t="n"/>
      <c r="D72" s="13" t="inlineStr">
        <is>
          <t>BELLANDI Tommaso</t>
        </is>
      </c>
      <c r="E72" s="220" t="n"/>
      <c r="L72" s="64">
        <f>IF($D72="","",SUM(M72:O72))</f>
        <v/>
      </c>
      <c r="M72" s="64">
        <f>IF($D72="","",COUNTIF(DESIGNAZIONI!P$8:P$2629,$D72))</f>
        <v/>
      </c>
      <c r="N72" s="64">
        <f>IF($D72="","",COUNTIF(DESIGNAZIONI!Q$8:Q$2629,$D72))</f>
        <v/>
      </c>
      <c r="O72" s="64">
        <f>IF($D72="","",COUNTIF(DESIGNAZIONI!R$8:R$2629,$D72))</f>
        <v/>
      </c>
    </row>
    <row r="73">
      <c r="C73" s="224" t="n"/>
      <c r="D73" s="13" t="inlineStr">
        <is>
          <t>KELLER Alenka</t>
        </is>
      </c>
      <c r="E73" s="220" t="n"/>
      <c r="L73" s="64">
        <f>IF($D73="","",SUM(M73:O73))</f>
        <v/>
      </c>
      <c r="M73" s="64">
        <f>IF($D73="","",COUNTIF(DESIGNAZIONI!P$8:P$2629,$D73))</f>
        <v/>
      </c>
      <c r="N73" s="64">
        <f>IF($D73="","",COUNTIF(DESIGNAZIONI!Q$8:Q$2629,$D73))</f>
        <v/>
      </c>
      <c r="O73" s="64">
        <f>IF($D73="","",COUNTIF(DESIGNAZIONI!R$8:R$2629,$D73))</f>
        <v/>
      </c>
    </row>
    <row r="74">
      <c r="C74" s="224" t="n"/>
      <c r="D74" s="13" t="inlineStr">
        <is>
          <t>ROSSINI Filippo</t>
        </is>
      </c>
      <c r="E74" s="220" t="n"/>
      <c r="L74" s="64">
        <f>IF($D74="","",SUM(M74:O74))</f>
        <v/>
      </c>
      <c r="M74" s="64">
        <f>IF($D74="","",COUNTIF(DESIGNAZIONI!P$8:P$2629,$D74))</f>
        <v/>
      </c>
      <c r="N74" s="64">
        <f>IF($D74="","",COUNTIF(DESIGNAZIONI!Q$8:Q$2629,$D74))</f>
        <v/>
      </c>
      <c r="O74" s="64">
        <f>IF($D74="","",COUNTIF(DESIGNAZIONI!R$8:R$2629,$D74))</f>
        <v/>
      </c>
    </row>
    <row r="75">
      <c r="C75" s="224" t="n"/>
      <c r="D75" s="13" t="inlineStr">
        <is>
          <t>FERRANTE Felix</t>
        </is>
      </c>
      <c r="E75" s="220" t="n"/>
      <c r="L75" s="64">
        <f>IF($D75="","",SUM(M75:O75))</f>
        <v/>
      </c>
      <c r="M75" s="64">
        <f>IF($D75="","",COUNTIF(DESIGNAZIONI!P$8:P$2629,$D75))</f>
        <v/>
      </c>
      <c r="N75" s="64">
        <f>IF($D75="","",COUNTIF(DESIGNAZIONI!Q$8:Q$2629,$D75))</f>
        <v/>
      </c>
      <c r="O75" s="64">
        <f>IF($D75="","",COUNTIF(DESIGNAZIONI!R$8:R$2629,$D75))</f>
        <v/>
      </c>
    </row>
    <row r="76">
      <c r="C76" s="224" t="n"/>
      <c r="D76" s="13" t="inlineStr">
        <is>
          <t>KOVAC Nicola</t>
        </is>
      </c>
      <c r="E76" s="220" t="n"/>
      <c r="L76" s="64">
        <f>IF($D76="","",SUM(M76:O76))</f>
        <v/>
      </c>
      <c r="M76" s="64">
        <f>IF($D76="","",COUNTIF(DESIGNAZIONI!P$8:P$2629,$D76))</f>
        <v/>
      </c>
      <c r="N76" s="64">
        <f>IF($D76="","",COUNTIF(DESIGNAZIONI!Q$8:Q$2629,$D76))</f>
        <v/>
      </c>
      <c r="O76" s="64">
        <f>IF($D76="","",COUNTIF(DESIGNAZIONI!R$8:R$2629,$D76))</f>
        <v/>
      </c>
    </row>
    <row r="77">
      <c r="C77" s="224" t="n"/>
      <c r="D77" s="13" t="inlineStr">
        <is>
          <t>LEROUX Paolo</t>
        </is>
      </c>
      <c r="E77" s="220" t="n"/>
      <c r="L77" s="64">
        <f>IF($D77="","",SUM(M77:O77))</f>
        <v/>
      </c>
      <c r="M77" s="64">
        <f>IF($D77="","",COUNTIF(DESIGNAZIONI!P$8:P$2629,$D77))</f>
        <v/>
      </c>
      <c r="N77" s="64">
        <f>IF($D77="","",COUNTIF(DESIGNAZIONI!Q$8:Q$2629,$D77))</f>
        <v/>
      </c>
      <c r="O77" s="64">
        <f>IF($D77="","",COUNTIF(DESIGNAZIONI!R$8:R$2629,$D77))</f>
        <v/>
      </c>
    </row>
    <row r="78">
      <c r="C78" s="224" t="n"/>
      <c r="D78" s="13" t="inlineStr">
        <is>
          <t>WEBER Jonas</t>
        </is>
      </c>
      <c r="E78" s="220" t="n"/>
      <c r="L78" s="64">
        <f>IF($D78="","",SUM(M78:O78))</f>
        <v/>
      </c>
      <c r="M78" s="64">
        <f>IF($D78="","",COUNTIF(DESIGNAZIONI!P$8:P$2629,$D78))</f>
        <v/>
      </c>
      <c r="N78" s="64">
        <f>IF($D78="","",COUNTIF(DESIGNAZIONI!Q$8:Q$2629,$D78))</f>
        <v/>
      </c>
      <c r="O78" s="64">
        <f>IF($D78="","",COUNTIF(DESIGNAZIONI!R$8:R$2629,$D78))</f>
        <v/>
      </c>
    </row>
    <row r="79">
      <c r="C79" s="224" t="n"/>
      <c r="D79" s="13" t="inlineStr">
        <is>
          <t>VIDMAR Matteo</t>
        </is>
      </c>
      <c r="E79" s="220" t="n"/>
      <c r="L79" s="64">
        <f>IF($D79="","",SUM(M79:O79))</f>
        <v/>
      </c>
      <c r="M79" s="64">
        <f>IF($D79="","",COUNTIF(DESIGNAZIONI!P$8:P$2629,$D79))</f>
        <v/>
      </c>
      <c r="N79" s="64">
        <f>IF($D79="","",COUNTIF(DESIGNAZIONI!Q$8:Q$2629,$D79))</f>
        <v/>
      </c>
      <c r="O79" s="64">
        <f>IF($D79="","",COUNTIF(DESIGNAZIONI!R$8:R$2629,$D79))</f>
        <v/>
      </c>
    </row>
    <row r="80">
      <c r="C80" s="224" t="n"/>
      <c r="D80" s="13" t="inlineStr">
        <is>
          <t>SANTORI Paolo</t>
        </is>
      </c>
      <c r="E80" s="220" t="n"/>
      <c r="L80" s="64">
        <f>IF($D80="","",SUM(M80:O80))</f>
        <v/>
      </c>
      <c r="M80" s="64">
        <f>IF($D80="","",COUNTIF(DESIGNAZIONI!P$8:P$2629,$D80))</f>
        <v/>
      </c>
      <c r="N80" s="64">
        <f>IF($D80="","",COUNTIF(DESIGNAZIONI!Q$8:Q$2629,$D80))</f>
        <v/>
      </c>
      <c r="O80" s="64">
        <f>IF($D80="","",COUNTIF(DESIGNAZIONI!R$8:R$2629,$D80))</f>
        <v/>
      </c>
    </row>
    <row r="81">
      <c r="C81" s="224" t="n"/>
      <c r="D81" s="13" t="inlineStr">
        <is>
          <t>BLANCHET Marta</t>
        </is>
      </c>
      <c r="E81" s="220" t="n"/>
      <c r="L81" s="64">
        <f>IF($D81="","",SUM(M81:O81))</f>
        <v/>
      </c>
      <c r="M81" s="64">
        <f>IF($D81="","",COUNTIF(DESIGNAZIONI!P$8:P$2629,$D81))</f>
        <v/>
      </c>
      <c r="N81" s="64">
        <f>IF($D81="","",COUNTIF(DESIGNAZIONI!Q$8:Q$2629,$D81))</f>
        <v/>
      </c>
      <c r="O81" s="64">
        <f>IF($D81="","",COUNTIF(DESIGNAZIONI!R$8:R$2629,$D81))</f>
        <v/>
      </c>
    </row>
    <row r="82">
      <c r="C82" s="224" t="n"/>
      <c r="D82" s="13" t="inlineStr">
        <is>
          <t>ROSSINI Mathilde</t>
        </is>
      </c>
      <c r="E82" s="220" t="n"/>
      <c r="L82" s="64">
        <f>IF($D82="","",SUM(M82:O82))</f>
        <v/>
      </c>
      <c r="M82" s="64">
        <f>IF($D82="","",COUNTIF(DESIGNAZIONI!P$8:P$2629,$D82))</f>
        <v/>
      </c>
      <c r="N82" s="64">
        <f>IF($D82="","",COUNTIF(DESIGNAZIONI!Q$8:Q$2629,$D82))</f>
        <v/>
      </c>
      <c r="O82" s="64">
        <f>IF($D82="","",COUNTIF(DESIGNAZIONI!R$8:R$2629,$D82))</f>
        <v/>
      </c>
    </row>
    <row r="83">
      <c r="C83" s="224" t="n"/>
      <c r="D83" s="13" t="inlineStr">
        <is>
          <t>ORTEGA Marta</t>
        </is>
      </c>
      <c r="E83" s="220" t="n"/>
      <c r="L83" s="64">
        <f>IF($D83="","",SUM(M83:O83))</f>
        <v/>
      </c>
      <c r="M83" s="64">
        <f>IF($D83="","",COUNTIF(DESIGNAZIONI!P$8:P$2629,$D83))</f>
        <v/>
      </c>
      <c r="N83" s="64">
        <f>IF($D83="","",COUNTIF(DESIGNAZIONI!Q$8:Q$2629,$D83))</f>
        <v/>
      </c>
      <c r="O83" s="64">
        <f>IF($D83="","",COUNTIF(DESIGNAZIONI!R$8:R$2629,$D83))</f>
        <v/>
      </c>
    </row>
    <row r="84">
      <c r="C84" s="224" t="n"/>
      <c r="D84" s="13" t="inlineStr">
        <is>
          <t>ROMERO Felix</t>
        </is>
      </c>
      <c r="E84" s="220" t="n"/>
      <c r="L84" s="64">
        <f>IF($D84="","",SUM(M84:O84))</f>
        <v/>
      </c>
      <c r="M84" s="64">
        <f>IF($D84="","",COUNTIF(DESIGNAZIONI!P$8:P$2629,$D84))</f>
        <v/>
      </c>
      <c r="N84" s="64">
        <f>IF($D84="","",COUNTIF(DESIGNAZIONI!Q$8:Q$2629,$D84))</f>
        <v/>
      </c>
      <c r="O84" s="64">
        <f>IF($D84="","",COUNTIF(DESIGNAZIONI!R$8:R$2629,$D84))</f>
        <v/>
      </c>
    </row>
    <row r="85">
      <c r="C85" s="224" t="n"/>
      <c r="D85" s="13" t="inlineStr">
        <is>
          <t>NADAUD Nicola</t>
        </is>
      </c>
      <c r="E85" s="220" t="n"/>
      <c r="L85" s="64">
        <f>IF($D85="","",SUM(M85:O85))</f>
        <v/>
      </c>
      <c r="M85" s="64">
        <f>IF($D85="","",COUNTIF(DESIGNAZIONI!P$8:P$2629,$D85))</f>
        <v/>
      </c>
      <c r="N85" s="64">
        <f>IF($D85="","",COUNTIF(DESIGNAZIONI!Q$8:Q$2629,$D85))</f>
        <v/>
      </c>
      <c r="O85" s="64">
        <f>IF($D85="","",COUNTIF(DESIGNAZIONI!R$8:R$2629,$D85))</f>
        <v/>
      </c>
    </row>
    <row r="86">
      <c r="C86" s="224" t="n"/>
      <c r="D86" s="13" t="inlineStr">
        <is>
          <t>VALLET Miha</t>
        </is>
      </c>
      <c r="E86" s="220" t="n"/>
      <c r="L86" s="64">
        <f>IF($D86="","",SUM(M86:O86))</f>
        <v/>
      </c>
      <c r="M86" s="64">
        <f>IF($D86="","",COUNTIF(DESIGNAZIONI!P$8:P$2629,$D86))</f>
        <v/>
      </c>
      <c r="N86" s="64">
        <f>IF($D86="","",COUNTIF(DESIGNAZIONI!Q$8:Q$2629,$D86))</f>
        <v/>
      </c>
      <c r="O86" s="64">
        <f>IF($D86="","",COUNTIF(DESIGNAZIONI!R$8:R$2629,$D86))</f>
        <v/>
      </c>
    </row>
    <row r="87">
      <c r="C87" s="224" t="n"/>
      <c r="D87" s="13" t="inlineStr">
        <is>
          <t>PRADO Stefano</t>
        </is>
      </c>
      <c r="E87" s="220" t="n"/>
      <c r="L87" s="64">
        <f>IF($D87="","",SUM(M87:O87))</f>
        <v/>
      </c>
      <c r="M87" s="64">
        <f>IF($D87="","",COUNTIF(DESIGNAZIONI!P$8:P$2629,$D87))</f>
        <v/>
      </c>
      <c r="N87" s="64">
        <f>IF($D87="","",COUNTIF(DESIGNAZIONI!Q$8:Q$2629,$D87))</f>
        <v/>
      </c>
      <c r="O87" s="64">
        <f>IF($D87="","",COUNTIF(DESIGNAZIONI!R$8:R$2629,$D87))</f>
        <v/>
      </c>
    </row>
    <row r="88">
      <c r="C88" s="224" t="n"/>
      <c r="D88" s="13" t="inlineStr">
        <is>
          <t>SANTORI Miha</t>
        </is>
      </c>
      <c r="E88" s="220" t="n"/>
      <c r="L88" s="64">
        <f>IF($D88="","",SUM(M88:O88))</f>
        <v/>
      </c>
      <c r="M88" s="64">
        <f>IF($D88="","",COUNTIF(DESIGNAZIONI!P$8:P$2629,$D88))</f>
        <v/>
      </c>
      <c r="N88" s="64">
        <f>IF($D88="","",COUNTIF(DESIGNAZIONI!Q$8:Q$2629,$D88))</f>
        <v/>
      </c>
      <c r="O88" s="64">
        <f>IF($D88="","",COUNTIF(DESIGNAZIONI!R$8:R$2629,$D88))</f>
        <v/>
      </c>
    </row>
    <row r="89">
      <c r="C89" s="224" t="n"/>
      <c r="D89" s="13" t="inlineStr">
        <is>
          <t>WEBER Andrea</t>
        </is>
      </c>
      <c r="E89" s="220" t="n"/>
      <c r="L89" s="64">
        <f>IF($D89="","",SUM(M89:O89))</f>
        <v/>
      </c>
      <c r="M89" s="64">
        <f>IF($D89="","",COUNTIF(DESIGNAZIONI!P$8:P$2629,$D89))</f>
        <v/>
      </c>
      <c r="N89" s="64">
        <f>IF($D89="","",COUNTIF(DESIGNAZIONI!Q$8:Q$2629,$D89))</f>
        <v/>
      </c>
      <c r="O89" s="64">
        <f>IF($D89="","",COUNTIF(DESIGNAZIONI!R$8:R$2629,$D89))</f>
        <v/>
      </c>
    </row>
    <row r="90">
      <c r="C90" s="224" t="n"/>
      <c r="D90" s="13" t="inlineStr">
        <is>
          <t>AUBERT Paolo</t>
        </is>
      </c>
      <c r="E90" s="220" t="n"/>
      <c r="L90" s="64">
        <f>IF($D90="","",SUM(M90:O90))</f>
        <v/>
      </c>
      <c r="M90" s="64">
        <f>IF($D90="","",COUNTIF(DESIGNAZIONI!P$8:P$2629,$D90))</f>
        <v/>
      </c>
      <c r="N90" s="64">
        <f>IF($D90="","",COUNTIF(DESIGNAZIONI!Q$8:Q$2629,$D90))</f>
        <v/>
      </c>
      <c r="O90" s="64">
        <f>IF($D90="","",COUNTIF(DESIGNAZIONI!R$8:R$2629,$D90))</f>
        <v/>
      </c>
    </row>
    <row r="91">
      <c r="C91" s="224" t="n"/>
      <c r="D91" s="13" t="inlineStr">
        <is>
          <t>FERRANTE Martina</t>
        </is>
      </c>
      <c r="E91" s="220" t="n"/>
      <c r="L91" s="64">
        <f>IF($D91="","",SUM(M91:O91))</f>
        <v/>
      </c>
      <c r="M91" s="64">
        <f>IF($D91="","",COUNTIF(DESIGNAZIONI!P$8:P$2629,$D91))</f>
        <v/>
      </c>
      <c r="N91" s="64">
        <f>IF($D91="","",COUNTIF(DESIGNAZIONI!Q$8:Q$2629,$D91))</f>
        <v/>
      </c>
      <c r="O91" s="64">
        <f>IF($D91="","",COUNTIF(DESIGNAZIONI!R$8:R$2629,$D91))</f>
        <v/>
      </c>
    </row>
    <row r="92">
      <c r="C92" s="224" t="n"/>
      <c r="D92" s="13" t="inlineStr">
        <is>
          <t>ROMERO Alenka</t>
        </is>
      </c>
      <c r="E92" s="220" t="n"/>
      <c r="L92" s="64">
        <f>IF($D92="","",SUM(M92:O92))</f>
        <v/>
      </c>
      <c r="M92" s="64">
        <f>IF($D92="","",COUNTIF(DESIGNAZIONI!P$8:P$2629,$D92))</f>
        <v/>
      </c>
      <c r="N92" s="64">
        <f>IF($D92="","",COUNTIF(DESIGNAZIONI!Q$8:Q$2629,$D92))</f>
        <v/>
      </c>
      <c r="O92" s="64">
        <f>IF($D92="","",COUNTIF(DESIGNAZIONI!R$8:R$2629,$D92))</f>
        <v/>
      </c>
    </row>
    <row r="93">
      <c r="C93" s="224" t="n"/>
      <c r="D93" s="13" t="inlineStr">
        <is>
          <t>SEVER Davide</t>
        </is>
      </c>
      <c r="E93" s="220" t="n"/>
      <c r="L93" s="64">
        <f>IF($D93="","",SUM(M93:O93))</f>
        <v/>
      </c>
      <c r="M93" s="64">
        <f>IF($D93="","",COUNTIF(DESIGNAZIONI!P$8:P$2629,$D93))</f>
        <v/>
      </c>
      <c r="N93" s="64">
        <f>IF($D93="","",COUNTIF(DESIGNAZIONI!Q$8:Q$2629,$D93))</f>
        <v/>
      </c>
      <c r="O93" s="64">
        <f>IF($D93="","",COUNTIF(DESIGNAZIONI!R$8:R$2629,$D93))</f>
        <v/>
      </c>
    </row>
    <row r="94">
      <c r="C94" s="224" t="n"/>
      <c r="D94" s="13" t="inlineStr">
        <is>
          <t>ROTH Lucia</t>
        </is>
      </c>
      <c r="E94" s="220" t="n"/>
      <c r="L94" s="64">
        <f>IF($D94="","",SUM(M94:O94))</f>
        <v/>
      </c>
      <c r="M94" s="64">
        <f>IF($D94="","",COUNTIF(DESIGNAZIONI!P$8:P$2629,$D94))</f>
        <v/>
      </c>
      <c r="N94" s="64">
        <f>IF($D94="","",COUNTIF(DESIGNAZIONI!Q$8:Q$2629,$D94))</f>
        <v/>
      </c>
      <c r="O94" s="64">
        <f>IF($D94="","",COUNTIF(DESIGNAZIONI!R$8:R$2629,$D94))</f>
        <v/>
      </c>
    </row>
    <row r="95">
      <c r="C95" s="224" t="n"/>
      <c r="D95" s="13" t="inlineStr">
        <is>
          <t>ROTH Hugo</t>
        </is>
      </c>
      <c r="E95" s="220" t="n"/>
      <c r="L95" s="64">
        <f>IF($D95="","",SUM(M95:O95))</f>
        <v/>
      </c>
      <c r="M95" s="64">
        <f>IF($D95="","",COUNTIF(DESIGNAZIONI!P$8:P$2629,$D95))</f>
        <v/>
      </c>
      <c r="N95" s="64">
        <f>IF($D95="","",COUNTIF(DESIGNAZIONI!Q$8:Q$2629,$D95))</f>
        <v/>
      </c>
      <c r="O95" s="64">
        <f>IF($D95="","",COUNTIF(DESIGNAZIONI!R$8:R$2629,$D95))</f>
        <v/>
      </c>
    </row>
    <row r="96">
      <c r="C96" s="224" t="n"/>
      <c r="D96" s="13" t="inlineStr">
        <is>
          <t>HORVAT Lukas</t>
        </is>
      </c>
      <c r="E96" s="220" t="n"/>
      <c r="L96" s="64">
        <f>IF($D96="","",SUM(M96:O96))</f>
        <v/>
      </c>
      <c r="M96" s="64">
        <f>IF($D96="","",COUNTIF(DESIGNAZIONI!P$8:P$2629,$D96))</f>
        <v/>
      </c>
      <c r="N96" s="64">
        <f>IF($D96="","",COUNTIF(DESIGNAZIONI!Q$8:Q$2629,$D96))</f>
        <v/>
      </c>
      <c r="O96" s="64">
        <f>IF($D96="","",COUNTIF(DESIGNAZIONI!R$8:R$2629,$D96))</f>
        <v/>
      </c>
    </row>
    <row r="97">
      <c r="C97" s="224" t="n"/>
      <c r="D97" s="13" t="inlineStr">
        <is>
          <t>NAVARRO Luca</t>
        </is>
      </c>
      <c r="E97" s="220" t="n"/>
      <c r="L97" s="64">
        <f>IF($D97="","",SUM(M97:O97))</f>
        <v/>
      </c>
      <c r="M97" s="64">
        <f>IF($D97="","",COUNTIF(DESIGNAZIONI!P$8:P$2629,$D97))</f>
        <v/>
      </c>
      <c r="N97" s="64">
        <f>IF($D97="","",COUNTIF(DESIGNAZIONI!Q$8:Q$2629,$D97))</f>
        <v/>
      </c>
      <c r="O97" s="64">
        <f>IF($D97="","",COUNTIF(DESIGNAZIONI!R$8:R$2629,$D97))</f>
        <v/>
      </c>
    </row>
    <row r="98">
      <c r="C98" s="224" t="n"/>
      <c r="D98" s="13" t="inlineStr">
        <is>
          <t>BELLANDI Lukas</t>
        </is>
      </c>
      <c r="E98" s="220" t="n"/>
      <c r="L98" s="64">
        <f>IF($D98="","",SUM(M98:O98))</f>
        <v/>
      </c>
      <c r="M98" s="64">
        <f>IF($D98="","",COUNTIF(DESIGNAZIONI!P$8:P$2629,$D98))</f>
        <v/>
      </c>
      <c r="N98" s="64">
        <f>IF($D98="","",COUNTIF(DESIGNAZIONI!Q$8:Q$2629,$D98))</f>
        <v/>
      </c>
      <c r="O98" s="64">
        <f>IF($D98="","",COUNTIF(DESIGNAZIONI!R$8:R$2629,$D98))</f>
        <v/>
      </c>
    </row>
    <row r="99">
      <c r="C99" s="224" t="n"/>
      <c r="D99" s="13" t="inlineStr">
        <is>
          <t>SANTORI Marco</t>
        </is>
      </c>
      <c r="E99" s="220" t="n"/>
      <c r="L99" s="64">
        <f>IF($D99="","",SUM(M99:O99))</f>
        <v/>
      </c>
      <c r="M99" s="64">
        <f>IF($D99="","",COUNTIF(DESIGNAZIONI!P$8:P$2629,$D99))</f>
        <v/>
      </c>
      <c r="N99" s="64">
        <f>IF($D99="","",COUNTIF(DESIGNAZIONI!Q$8:Q$2629,$D99))</f>
        <v/>
      </c>
      <c r="O99" s="64">
        <f>IF($D99="","",COUNTIF(DESIGNAZIONI!R$8:R$2629,$D99))</f>
        <v/>
      </c>
    </row>
    <row r="100">
      <c r="C100" s="224" t="n"/>
      <c r="D100" s="13" t="inlineStr">
        <is>
          <t>NADAUD Marco</t>
        </is>
      </c>
      <c r="E100" s="220" t="n"/>
      <c r="L100" s="64">
        <f>IF($D100="","",SUM(M100:O100))</f>
        <v/>
      </c>
      <c r="M100" s="64">
        <f>IF($D100="","",COUNTIF(DESIGNAZIONI!P$8:P$2629,$D100))</f>
        <v/>
      </c>
      <c r="N100" s="64">
        <f>IF($D100="","",COUNTIF(DESIGNAZIONI!Q$8:Q$2629,$D100))</f>
        <v/>
      </c>
      <c r="O100" s="64">
        <f>IF($D100="","",COUNTIF(DESIGNAZIONI!R$8:R$2629,$D100))</f>
        <v/>
      </c>
    </row>
    <row r="101">
      <c r="C101" s="224" t="n"/>
      <c r="D101" s="13" t="inlineStr">
        <is>
          <t>SEVER Ottavia</t>
        </is>
      </c>
      <c r="E101" s="220" t="n"/>
      <c r="L101" s="64">
        <f>IF($D101="","",SUM(M101:O101))</f>
        <v/>
      </c>
      <c r="M101" s="64">
        <f>IF($D101="","",COUNTIF(DESIGNAZIONI!P$8:P$2629,$D101))</f>
        <v/>
      </c>
      <c r="N101" s="64">
        <f>IF($D101="","",COUNTIF(DESIGNAZIONI!Q$8:Q$2629,$D101))</f>
        <v/>
      </c>
      <c r="O101" s="64">
        <f>IF($D101="","",COUNTIF(DESIGNAZIONI!R$8:R$2629,$D101))</f>
        <v/>
      </c>
    </row>
    <row r="102">
      <c r="C102" s="224" t="n"/>
      <c r="D102" s="13" t="inlineStr">
        <is>
          <t>BRANDT Beatrice</t>
        </is>
      </c>
      <c r="E102" s="220" t="n"/>
      <c r="L102" s="64">
        <f>IF($D102="","",SUM(M102:O102))</f>
        <v/>
      </c>
      <c r="M102" s="64">
        <f>IF($D102="","",COUNTIF(DESIGNAZIONI!P$8:P$2629,$D102))</f>
        <v/>
      </c>
      <c r="N102" s="64">
        <f>IF($D102="","",COUNTIF(DESIGNAZIONI!Q$8:Q$2629,$D102))</f>
        <v/>
      </c>
      <c r="O102" s="64">
        <f>IF($D102="","",COUNTIF(DESIGNAZIONI!R$8:R$2629,$D102))</f>
        <v/>
      </c>
    </row>
    <row r="103">
      <c r="C103" s="224" t="n"/>
      <c r="D103" s="13" t="inlineStr">
        <is>
          <t>KRUGER Giulia</t>
        </is>
      </c>
      <c r="E103" s="220" t="n"/>
      <c r="L103" s="64">
        <f>IF($D103="","",SUM(M103:O103))</f>
        <v/>
      </c>
      <c r="M103" s="64">
        <f>IF($D103="","",COUNTIF(DESIGNAZIONI!P$8:P$2629,$D103))</f>
        <v/>
      </c>
      <c r="N103" s="64">
        <f>IF($D103="","",COUNTIF(DESIGNAZIONI!Q$8:Q$2629,$D103))</f>
        <v/>
      </c>
      <c r="O103" s="64">
        <f>IF($D103="","",COUNTIF(DESIGNAZIONI!R$8:R$2629,$D103))</f>
        <v/>
      </c>
    </row>
    <row r="104">
      <c r="C104" s="224" t="n"/>
      <c r="D104" s="13" t="inlineStr">
        <is>
          <t>FUENTES Matteo</t>
        </is>
      </c>
      <c r="E104" s="220" t="n"/>
      <c r="L104" s="64">
        <f>IF($D104="","",SUM(M104:O104))</f>
        <v/>
      </c>
      <c r="M104" s="64">
        <f>IF($D104="","",COUNTIF(DESIGNAZIONI!P$8:P$2629,$D104))</f>
        <v/>
      </c>
      <c r="N104" s="64">
        <f>IF($D104="","",COUNTIF(DESIGNAZIONI!Q$8:Q$2629,$D104))</f>
        <v/>
      </c>
      <c r="O104" s="64">
        <f>IF($D104="","",COUNTIF(DESIGNAZIONI!R$8:R$2629,$D104))</f>
        <v/>
      </c>
    </row>
    <row r="105">
      <c r="C105" s="224" t="n"/>
      <c r="D105" s="13" t="inlineStr">
        <is>
          <t>ZUPAN Alenka</t>
        </is>
      </c>
      <c r="E105" s="220" t="n"/>
      <c r="L105" s="64">
        <f>IF($D105="","",SUM(M105:O105))</f>
        <v/>
      </c>
      <c r="M105" s="64">
        <f>IF($D105="","",COUNTIF(DESIGNAZIONI!P$8:P$2629,$D105))</f>
        <v/>
      </c>
      <c r="N105" s="64">
        <f>IF($D105="","",COUNTIF(DESIGNAZIONI!Q$8:Q$2629,$D105))</f>
        <v/>
      </c>
      <c r="O105" s="64">
        <f>IF($D105="","",COUNTIF(DESIGNAZIONI!R$8:R$2629,$D105))</f>
        <v/>
      </c>
    </row>
    <row r="106">
      <c r="C106" s="224" t="n"/>
      <c r="D106" s="13" t="inlineStr">
        <is>
          <t>NADAUD Alenka</t>
        </is>
      </c>
      <c r="E106" s="220" t="n"/>
      <c r="L106" s="64">
        <f>IF($D106="","",SUM(M106:O106))</f>
        <v/>
      </c>
      <c r="M106" s="64">
        <f>IF($D106="","",COUNTIF(DESIGNAZIONI!P$8:P$2629,$D106))</f>
        <v/>
      </c>
      <c r="N106" s="64">
        <f>IF($D106="","",COUNTIF(DESIGNAZIONI!Q$8:Q$2629,$D106))</f>
        <v/>
      </c>
      <c r="O106" s="64">
        <f>IF($D106="","",COUNTIF(DESIGNAZIONI!R$8:R$2629,$D106))</f>
        <v/>
      </c>
    </row>
    <row r="107">
      <c r="C107" s="224" t="n"/>
      <c r="D107" s="13" t="inlineStr">
        <is>
          <t>LEROUX Gaelle</t>
        </is>
      </c>
      <c r="E107" s="220" t="n"/>
      <c r="L107" s="64">
        <f>IF($D107="","",SUM(M107:O107))</f>
        <v/>
      </c>
      <c r="M107" s="64">
        <f>IF($D107="","",COUNTIF(DESIGNAZIONI!P$8:P$2629,$D107))</f>
        <v/>
      </c>
      <c r="N107" s="64">
        <f>IF($D107="","",COUNTIF(DESIGNAZIONI!Q$8:Q$2629,$D107))</f>
        <v/>
      </c>
      <c r="O107" s="64">
        <f>IF($D107="","",COUNTIF(DESIGNAZIONI!R$8:R$2629,$D107))</f>
        <v/>
      </c>
    </row>
    <row r="108">
      <c r="C108" s="224" t="n"/>
      <c r="D108" s="13" t="inlineStr">
        <is>
          <t>SCHAFER Katrin</t>
        </is>
      </c>
      <c r="E108" s="220" t="n"/>
      <c r="L108" s="64">
        <f>IF($D108="","",SUM(M108:O108))</f>
        <v/>
      </c>
      <c r="M108" s="64">
        <f>IF($D108="","",COUNTIF(DESIGNAZIONI!P$8:P$2629,$D108))</f>
        <v/>
      </c>
      <c r="N108" s="64">
        <f>IF($D108="","",COUNTIF(DESIGNAZIONI!Q$8:Q$2629,$D108))</f>
        <v/>
      </c>
      <c r="O108" s="64">
        <f>IF($D108="","",COUNTIF(DESIGNAZIONI!R$8:R$2629,$D108))</f>
        <v/>
      </c>
    </row>
    <row r="109">
      <c r="C109" s="224" t="n"/>
      <c r="D109" s="13" t="inlineStr">
        <is>
          <t>KOVAC Paolo</t>
        </is>
      </c>
      <c r="E109" s="220" t="n"/>
      <c r="L109" s="64">
        <f>IF($D109="","",SUM(M109:O109))</f>
        <v/>
      </c>
      <c r="M109" s="64">
        <f>IF($D109="","",COUNTIF(DESIGNAZIONI!P$8:P$2629,$D109))</f>
        <v/>
      </c>
      <c r="N109" s="64">
        <f>IF($D109="","",COUNTIF(DESIGNAZIONI!Q$8:Q$2629,$D109))</f>
        <v/>
      </c>
      <c r="O109" s="64">
        <f>IF($D109="","",COUNTIF(DESIGNAZIONI!R$8:R$2629,$D109))</f>
        <v/>
      </c>
    </row>
    <row r="110">
      <c r="C110" s="224" t="n"/>
      <c r="D110" s="13" t="inlineStr">
        <is>
          <t>LANGER Andrea</t>
        </is>
      </c>
      <c r="E110" s="220" t="n"/>
      <c r="L110" s="64">
        <f>IF($D110="","",SUM(M110:O110))</f>
        <v/>
      </c>
      <c r="M110" s="64">
        <f>IF($D110="","",COUNTIF(DESIGNAZIONI!P$8:P$2629,$D110))</f>
        <v/>
      </c>
      <c r="N110" s="64">
        <f>IF($D110="","",COUNTIF(DESIGNAZIONI!Q$8:Q$2629,$D110))</f>
        <v/>
      </c>
      <c r="O110" s="64">
        <f>IF($D110="","",COUNTIF(DESIGNAZIONI!R$8:R$2629,$D110))</f>
        <v/>
      </c>
    </row>
    <row r="111">
      <c r="C111" s="224" t="n"/>
      <c r="D111" s="13" t="inlineStr">
        <is>
          <t>NADAUD Andrea</t>
        </is>
      </c>
      <c r="E111" s="220" t="n"/>
      <c r="L111" s="64">
        <f>IF($D111="","",SUM(M111:O111))</f>
        <v/>
      </c>
      <c r="M111" s="64">
        <f>IF($D111="","",COUNTIF(DESIGNAZIONI!P$8:P$2629,$D111))</f>
        <v/>
      </c>
      <c r="N111" s="64">
        <f>IF($D111="","",COUNTIF(DESIGNAZIONI!Q$8:Q$2629,$D111))</f>
        <v/>
      </c>
      <c r="O111" s="64">
        <f>IF($D111="","",COUNTIF(DESIGNAZIONI!R$8:R$2629,$D111))</f>
        <v/>
      </c>
    </row>
    <row r="112">
      <c r="C112" s="224" t="n"/>
      <c r="D112" s="13" t="inlineStr">
        <is>
          <t>KELLER Pablo</t>
        </is>
      </c>
      <c r="E112" s="220" t="n"/>
      <c r="L112" s="64">
        <f>IF($D112="","",SUM(M112:O112))</f>
        <v/>
      </c>
      <c r="M112" s="64">
        <f>IF($D112="","",COUNTIF(DESIGNAZIONI!P$8:P$2629,$D112))</f>
        <v/>
      </c>
      <c r="N112" s="64">
        <f>IF($D112="","",COUNTIF(DESIGNAZIONI!Q$8:Q$2629,$D112))</f>
        <v/>
      </c>
      <c r="O112" s="64">
        <f>IF($D112="","",COUNTIF(DESIGNAZIONI!R$8:R$2629,$D112))</f>
        <v/>
      </c>
    </row>
    <row r="113">
      <c r="C113" s="224" t="n"/>
      <c r="D113" s="13" t="inlineStr">
        <is>
          <t>OBLAK Chiara</t>
        </is>
      </c>
      <c r="E113" s="220" t="n"/>
      <c r="L113" s="64">
        <f>IF($D113="","",SUM(M113:O113))</f>
        <v/>
      </c>
      <c r="M113" s="64">
        <f>IF($D113="","",COUNTIF(DESIGNAZIONI!P$8:P$2629,$D113))</f>
        <v/>
      </c>
      <c r="N113" s="64">
        <f>IF($D113="","",COUNTIF(DESIGNAZIONI!Q$8:Q$2629,$D113))</f>
        <v/>
      </c>
      <c r="O113" s="64">
        <f>IF($D113="","",COUNTIF(DESIGNAZIONI!R$8:R$2629,$D113))</f>
        <v/>
      </c>
    </row>
    <row r="114">
      <c r="C114" s="224" t="n"/>
      <c r="D114" s="13" t="inlineStr">
        <is>
          <t>FUENTES Greta</t>
        </is>
      </c>
      <c r="E114" s="220" t="n"/>
      <c r="L114" s="64">
        <f>IF($D114="","",SUM(M114:O114))</f>
        <v/>
      </c>
      <c r="M114" s="64">
        <f>IF($D114="","",COUNTIF(DESIGNAZIONI!P$8:P$2629,$D114))</f>
        <v/>
      </c>
      <c r="N114" s="64">
        <f>IF($D114="","",COUNTIF(DESIGNAZIONI!Q$8:Q$2629,$D114))</f>
        <v/>
      </c>
      <c r="O114" s="64">
        <f>IF($D114="","",COUNTIF(DESIGNAZIONI!R$8:R$2629,$D114))</f>
        <v/>
      </c>
    </row>
    <row r="115">
      <c r="C115" s="224" t="n"/>
      <c r="D115" s="13" t="inlineStr">
        <is>
          <t>CASTILLO Martina</t>
        </is>
      </c>
      <c r="E115" s="220" t="n"/>
      <c r="L115" s="64">
        <f>IF($D115="","",SUM(M115:O115))</f>
        <v/>
      </c>
      <c r="M115" s="64">
        <f>IF($D115="","",COUNTIF(DESIGNAZIONI!P$8:P$2629,$D115))</f>
        <v/>
      </c>
      <c r="N115" s="64">
        <f>IF($D115="","",COUNTIF(DESIGNAZIONI!Q$8:Q$2629,$D115))</f>
        <v/>
      </c>
      <c r="O115" s="64">
        <f>IF($D115="","",COUNTIF(DESIGNAZIONI!R$8:R$2629,$D115))</f>
        <v/>
      </c>
    </row>
    <row r="116">
      <c r="C116" s="224" t="n"/>
      <c r="D116" s="13" t="inlineStr">
        <is>
          <t>KOVAC Gaelle</t>
        </is>
      </c>
      <c r="E116" s="220" t="n"/>
      <c r="L116" s="64">
        <f>IF($D116="","",SUM(M116:O116))</f>
        <v/>
      </c>
      <c r="M116" s="64">
        <f>IF($D116="","",COUNTIF(DESIGNAZIONI!P$8:P$2629,$D116))</f>
        <v/>
      </c>
      <c r="N116" s="64">
        <f>IF($D116="","",COUNTIF(DESIGNAZIONI!Q$8:Q$2629,$D116))</f>
        <v/>
      </c>
      <c r="O116" s="64">
        <f>IF($D116="","",COUNTIF(DESIGNAZIONI!R$8:R$2629,$D116))</f>
        <v/>
      </c>
    </row>
    <row r="117">
      <c r="C117" s="224" t="n"/>
      <c r="D117" s="13" t="inlineStr">
        <is>
          <t>AUBERT Pablo</t>
        </is>
      </c>
      <c r="E117" s="220" t="n"/>
      <c r="L117" s="64">
        <f>IF($D117="","",SUM(M117:O117))</f>
        <v/>
      </c>
      <c r="M117" s="64">
        <f>IF($D117="","",COUNTIF(DESIGNAZIONI!P$8:P$2629,$D117))</f>
        <v/>
      </c>
      <c r="N117" s="64">
        <f>IF($D117="","",COUNTIF(DESIGNAZIONI!Q$8:Q$2629,$D117))</f>
        <v/>
      </c>
      <c r="O117" s="64">
        <f>IF($D117="","",COUNTIF(DESIGNAZIONI!R$8:R$2629,$D117))</f>
        <v/>
      </c>
    </row>
    <row r="118">
      <c r="C118" s="224" t="n"/>
      <c r="D118" s="13" t="inlineStr">
        <is>
          <t>CASTILLO Alenka</t>
        </is>
      </c>
      <c r="E118" s="220" t="n"/>
      <c r="L118" s="64">
        <f>IF($D118="","",SUM(M118:O118))</f>
        <v/>
      </c>
      <c r="M118" s="64">
        <f>IF($D118="","",COUNTIF(DESIGNAZIONI!P$8:P$2629,$D118))</f>
        <v/>
      </c>
      <c r="N118" s="64">
        <f>IF($D118="","",COUNTIF(DESIGNAZIONI!Q$8:Q$2629,$D118))</f>
        <v/>
      </c>
      <c r="O118" s="64">
        <f>IF($D118="","",COUNTIF(DESIGNAZIONI!R$8:R$2629,$D118))</f>
        <v/>
      </c>
    </row>
    <row r="119">
      <c r="C119" s="224" t="n"/>
      <c r="D119" s="13" t="inlineStr">
        <is>
          <t>VOGEL Pablo</t>
        </is>
      </c>
      <c r="E119" s="220" t="n"/>
      <c r="L119" s="64">
        <f>IF($D119="","",SUM(M119:O119))</f>
        <v/>
      </c>
      <c r="M119" s="64">
        <f>IF($D119="","",COUNTIF(DESIGNAZIONI!P$8:P$2629,$D119))</f>
        <v/>
      </c>
      <c r="N119" s="64">
        <f>IF($D119="","",COUNTIF(DESIGNAZIONI!Q$8:Q$2629,$D119))</f>
        <v/>
      </c>
      <c r="O119" s="64">
        <f>IF($D119="","",COUNTIF(DESIGNAZIONI!R$8:R$2629,$D119))</f>
        <v/>
      </c>
    </row>
    <row r="120">
      <c r="C120" s="224" t="n"/>
      <c r="D120" s="13" t="inlineStr">
        <is>
          <t>LEFEVRE Mathilde</t>
        </is>
      </c>
      <c r="E120" s="220" t="n"/>
      <c r="L120" s="64">
        <f>IF($D120="","",SUM(M120:O120))</f>
        <v/>
      </c>
      <c r="M120" s="64">
        <f>IF($D120="","",COUNTIF(DESIGNAZIONI!P$8:P$2629,$D120))</f>
        <v/>
      </c>
      <c r="N120" s="64">
        <f>IF($D120="","",COUNTIF(DESIGNAZIONI!Q$8:Q$2629,$D120))</f>
        <v/>
      </c>
      <c r="O120" s="64">
        <f>IF($D120="","",COUNTIF(DESIGNAZIONI!R$8:R$2629,$D120))</f>
        <v/>
      </c>
    </row>
    <row r="121">
      <c r="C121" s="224" t="n"/>
      <c r="D121" s="13" t="inlineStr">
        <is>
          <t>NADAUD Paula</t>
        </is>
      </c>
      <c r="E121" s="220" t="n"/>
      <c r="L121" s="64">
        <f>IF($D121="","",SUM(M121:O121))</f>
        <v/>
      </c>
      <c r="M121" s="64">
        <f>IF($D121="","",COUNTIF(DESIGNAZIONI!P$8:P$2629,$D121))</f>
        <v/>
      </c>
      <c r="N121" s="64">
        <f>IF($D121="","",COUNTIF(DESIGNAZIONI!Q$8:Q$2629,$D121))</f>
        <v/>
      </c>
      <c r="O121" s="64">
        <f>IF($D121="","",COUNTIF(DESIGNAZIONI!R$8:R$2629,$D121))</f>
        <v/>
      </c>
    </row>
    <row r="122">
      <c r="C122" s="224" t="n"/>
      <c r="D122" s="13" t="inlineStr">
        <is>
          <t>CASTILLO Davide</t>
        </is>
      </c>
      <c r="E122" s="220" t="n"/>
      <c r="L122" s="64">
        <f>IF($D122="","",SUM(M122:O122))</f>
        <v/>
      </c>
      <c r="M122" s="64">
        <f>IF($D122="","",COUNTIF(DESIGNAZIONI!P$8:P$2629,$D122))</f>
        <v/>
      </c>
      <c r="N122" s="64">
        <f>IF($D122="","",COUNTIF(DESIGNAZIONI!Q$8:Q$2629,$D122))</f>
        <v/>
      </c>
      <c r="O122" s="64">
        <f>IF($D122="","",COUNTIF(DESIGNAZIONI!R$8:R$2629,$D122))</f>
        <v/>
      </c>
    </row>
    <row r="123">
      <c r="C123" s="224" t="n"/>
      <c r="D123" s="13" t="inlineStr">
        <is>
          <t>SCHAFER Ottavia</t>
        </is>
      </c>
      <c r="E123" s="220" t="n"/>
      <c r="L123" s="64">
        <f>IF($D123="","",SUM(M123:O123))</f>
        <v/>
      </c>
      <c r="M123" s="64">
        <f>IF($D123="","",COUNTIF(DESIGNAZIONI!P$8:P$2629,$D123))</f>
        <v/>
      </c>
      <c r="N123" s="64">
        <f>IF($D123="","",COUNTIF(DESIGNAZIONI!Q$8:Q$2629,$D123))</f>
        <v/>
      </c>
      <c r="O123" s="64">
        <f>IF($D123="","",COUNTIF(DESIGNAZIONI!R$8:R$2629,$D123))</f>
        <v/>
      </c>
    </row>
    <row r="124">
      <c r="C124" s="224" t="n"/>
      <c r="D124" s="13" t="inlineStr">
        <is>
          <t>KRUGER Paolo</t>
        </is>
      </c>
      <c r="E124" s="220" t="n"/>
      <c r="L124" s="64">
        <f>IF($D124="","",SUM(M124:O124))</f>
        <v/>
      </c>
      <c r="M124" s="64">
        <f>IF($D124="","",COUNTIF(DESIGNAZIONI!P$8:P$2629,$D124))</f>
        <v/>
      </c>
      <c r="N124" s="64">
        <f>IF($D124="","",COUNTIF(DESIGNAZIONI!Q$8:Q$2629,$D124))</f>
        <v/>
      </c>
      <c r="O124" s="64">
        <f>IF($D124="","",COUNTIF(DESIGNAZIONI!R$8:R$2629,$D124))</f>
        <v/>
      </c>
    </row>
    <row r="125">
      <c r="C125" s="224" t="n"/>
      <c r="D125" s="13" t="inlineStr">
        <is>
          <t>NADAUD Ilaria</t>
        </is>
      </c>
      <c r="E125" s="220" t="n"/>
      <c r="L125" s="64">
        <f>IF($D125="","",SUM(M125:O125))</f>
        <v/>
      </c>
      <c r="M125" s="64">
        <f>IF($D125="","",COUNTIF(DESIGNAZIONI!P$8:P$2629,$D125))</f>
        <v/>
      </c>
      <c r="N125" s="64">
        <f>IF($D125="","",COUNTIF(DESIGNAZIONI!Q$8:Q$2629,$D125))</f>
        <v/>
      </c>
      <c r="O125" s="64">
        <f>IF($D125="","",COUNTIF(DESIGNAZIONI!R$8:R$2629,$D125))</f>
        <v/>
      </c>
    </row>
    <row r="126">
      <c r="C126" s="224" t="n"/>
      <c r="D126" s="13" t="inlineStr">
        <is>
          <t>WEBER Irene</t>
        </is>
      </c>
      <c r="E126" s="220" t="n"/>
      <c r="L126" s="64">
        <f>IF($D126="","",SUM(M126:O126))</f>
        <v/>
      </c>
      <c r="M126" s="64">
        <f>IF($D126="","",COUNTIF(DESIGNAZIONI!P$8:P$2629,$D126))</f>
        <v/>
      </c>
      <c r="N126" s="64">
        <f>IF($D126="","",COUNTIF(DESIGNAZIONI!Q$8:Q$2629,$D126))</f>
        <v/>
      </c>
      <c r="O126" s="64">
        <f>IF($D126="","",COUNTIF(DESIGNAZIONI!R$8:R$2629,$D126))</f>
        <v/>
      </c>
    </row>
    <row r="127">
      <c r="C127" s="224" t="n"/>
      <c r="D127" s="13" t="inlineStr">
        <is>
          <t>NAVARRO Giulia</t>
        </is>
      </c>
      <c r="E127" s="220" t="n"/>
      <c r="L127" s="64">
        <f>IF($D127="","",SUM(M127:O127))</f>
        <v/>
      </c>
      <c r="M127" s="64">
        <f>IF($D127="","",COUNTIF(DESIGNAZIONI!P$8:P$2629,$D127))</f>
        <v/>
      </c>
      <c r="N127" s="64">
        <f>IF($D127="","",COUNTIF(DESIGNAZIONI!Q$8:Q$2629,$D127))</f>
        <v/>
      </c>
      <c r="O127" s="64">
        <f>IF($D127="","",COUNTIF(DESIGNAZIONI!R$8:R$2629,$D127))</f>
        <v/>
      </c>
    </row>
    <row r="128">
      <c r="C128" s="224" t="n"/>
      <c r="D128" s="13" t="inlineStr">
        <is>
          <t>HOFFMANN Tommaso</t>
        </is>
      </c>
      <c r="E128" s="220" t="n"/>
      <c r="L128" s="64">
        <f>IF($D128="","",SUM(M128:O128))</f>
        <v/>
      </c>
      <c r="M128" s="64">
        <f>IF($D128="","",COUNTIF(DESIGNAZIONI!P$8:P$2629,$D128))</f>
        <v/>
      </c>
      <c r="N128" s="64">
        <f>IF($D128="","",COUNTIF(DESIGNAZIONI!Q$8:Q$2629,$D128))</f>
        <v/>
      </c>
      <c r="O128" s="64">
        <f>IF($D128="","",COUNTIF(DESIGNAZIONI!R$8:R$2629,$D128))</f>
        <v/>
      </c>
    </row>
    <row r="129">
      <c r="C129" s="224" t="n"/>
      <c r="D129" s="13" t="inlineStr">
        <is>
          <t>NADAUD Mathilde</t>
        </is>
      </c>
      <c r="E129" s="220" t="n"/>
      <c r="L129" s="64">
        <f>IF($D129="","",SUM(M129:O129))</f>
        <v/>
      </c>
      <c r="M129" s="64">
        <f>IF($D129="","",COUNTIF(DESIGNAZIONI!P$8:P$2629,$D129))</f>
        <v/>
      </c>
      <c r="N129" s="64">
        <f>IF($D129="","",COUNTIF(DESIGNAZIONI!Q$8:Q$2629,$D129))</f>
        <v/>
      </c>
      <c r="O129" s="64">
        <f>IF($D129="","",COUNTIF(DESIGNAZIONI!R$8:R$2629,$D129))</f>
        <v/>
      </c>
    </row>
    <row r="130">
      <c r="C130" s="224" t="n"/>
      <c r="D130" s="13" t="inlineStr">
        <is>
          <t>IGLESIAS Greta</t>
        </is>
      </c>
      <c r="E130" s="220" t="n"/>
      <c r="L130" s="64">
        <f>IF($D130="","",SUM(M130:O130))</f>
        <v/>
      </c>
      <c r="M130" s="64">
        <f>IF($D130="","",COUNTIF(DESIGNAZIONI!P$8:P$2629,$D130))</f>
        <v/>
      </c>
      <c r="N130" s="64">
        <f>IF($D130="","",COUNTIF(DESIGNAZIONI!Q$8:Q$2629,$D130))</f>
        <v/>
      </c>
      <c r="O130" s="64">
        <f>IF($D130="","",COUNTIF(DESIGNAZIONI!R$8:R$2629,$D130))</f>
        <v/>
      </c>
    </row>
    <row r="131">
      <c r="C131" s="224" t="n"/>
      <c r="D131" s="13" t="inlineStr">
        <is>
          <t>BLANCO Ottavia</t>
        </is>
      </c>
      <c r="E131" s="220" t="n"/>
      <c r="L131" s="64">
        <f>IF($D131="","",SUM(M131:O131))</f>
        <v/>
      </c>
      <c r="M131" s="64">
        <f>IF($D131="","",COUNTIF(DESIGNAZIONI!P$8:P$2629,$D131))</f>
        <v/>
      </c>
      <c r="N131" s="64">
        <f>IF($D131="","",COUNTIF(DESIGNAZIONI!Q$8:Q$2629,$D131))</f>
        <v/>
      </c>
      <c r="O131" s="64">
        <f>IF($D131="","",COUNTIF(DESIGNAZIONI!R$8:R$2629,$D131))</f>
        <v/>
      </c>
    </row>
    <row r="132">
      <c r="C132" s="224" t="n"/>
      <c r="D132" s="13" t="inlineStr">
        <is>
          <t>BLANCO Chiara</t>
        </is>
      </c>
      <c r="E132" s="220" t="n"/>
      <c r="L132" s="64">
        <f>IF($D132="","",SUM(M132:O132))</f>
        <v/>
      </c>
      <c r="M132" s="64">
        <f>IF($D132="","",COUNTIF(DESIGNAZIONI!P$8:P$2629,$D132))</f>
        <v/>
      </c>
      <c r="N132" s="64">
        <f>IF($D132="","",COUNTIF(DESIGNAZIONI!Q$8:Q$2629,$D132))</f>
        <v/>
      </c>
      <c r="O132" s="64">
        <f>IF($D132="","",COUNTIF(DESIGNAZIONI!R$8:R$2629,$D132))</f>
        <v/>
      </c>
    </row>
    <row r="133">
      <c r="C133" s="224" t="n"/>
      <c r="D133" s="13" t="inlineStr">
        <is>
          <t>PRADO Alenka</t>
        </is>
      </c>
      <c r="E133" s="220" t="n"/>
      <c r="L133" s="64">
        <f>IF($D133="","",SUM(M133:O133))</f>
        <v/>
      </c>
      <c r="M133" s="64">
        <f>IF($D133="","",COUNTIF(DESIGNAZIONI!P$8:P$2629,$D133))</f>
        <v/>
      </c>
      <c r="N133" s="64">
        <f>IF($D133="","",COUNTIF(DESIGNAZIONI!Q$8:Q$2629,$D133))</f>
        <v/>
      </c>
      <c r="O133" s="64">
        <f>IF($D133="","",COUNTIF(DESIGNAZIONI!R$8:R$2629,$D133))</f>
        <v/>
      </c>
    </row>
    <row r="134">
      <c r="C134" s="224" t="n"/>
      <c r="D134" s="13" t="inlineStr">
        <is>
          <t>ROSSINI Stefano</t>
        </is>
      </c>
      <c r="E134" s="220" t="n"/>
      <c r="L134" s="64">
        <f>IF($D134="","",SUM(M134:O134))</f>
        <v/>
      </c>
      <c r="M134" s="64">
        <f>IF($D134="","",COUNTIF(DESIGNAZIONI!P$8:P$2629,$D134))</f>
        <v/>
      </c>
      <c r="N134" s="64">
        <f>IF($D134="","",COUNTIF(DESIGNAZIONI!Q$8:Q$2629,$D134))</f>
        <v/>
      </c>
      <c r="O134" s="64">
        <f>IF($D134="","",COUNTIF(DESIGNAZIONI!R$8:R$2629,$D134))</f>
        <v/>
      </c>
    </row>
    <row r="135">
      <c r="C135" s="224" t="n"/>
      <c r="D135" s="13" t="inlineStr">
        <is>
          <t>SANTORI Jonas</t>
        </is>
      </c>
      <c r="E135" s="220" t="n"/>
      <c r="L135" s="64">
        <f>IF($D135="","",SUM(M135:O135))</f>
        <v/>
      </c>
      <c r="M135" s="64">
        <f>IF($D135="","",COUNTIF(DESIGNAZIONI!P$8:P$2629,$D135))</f>
        <v/>
      </c>
      <c r="N135" s="64">
        <f>IF($D135="","",COUNTIF(DESIGNAZIONI!Q$8:Q$2629,$D135))</f>
        <v/>
      </c>
      <c r="O135" s="64">
        <f>IF($D135="","",COUNTIF(DESIGNAZIONI!R$8:R$2629,$D135))</f>
        <v/>
      </c>
    </row>
    <row r="136">
      <c r="C136" s="224" t="n"/>
      <c r="D136" s="13" t="inlineStr">
        <is>
          <t>BLANCO Diego</t>
        </is>
      </c>
      <c r="E136" s="220" t="n"/>
      <c r="L136" s="64">
        <f>IF($D136="","",SUM(M136:O136))</f>
        <v/>
      </c>
      <c r="M136" s="64">
        <f>IF($D136="","",COUNTIF(DESIGNAZIONI!P$8:P$2629,$D136))</f>
        <v/>
      </c>
      <c r="N136" s="64">
        <f>IF($D136="","",COUNTIF(DESIGNAZIONI!Q$8:Q$2629,$D136))</f>
        <v/>
      </c>
      <c r="O136" s="64">
        <f>IF($D136="","",COUNTIF(DESIGNAZIONI!R$8:R$2629,$D136))</f>
        <v/>
      </c>
    </row>
    <row r="137">
      <c r="C137" s="224" t="n"/>
      <c r="D137" s="13" t="inlineStr">
        <is>
          <t>KELLER Matteo</t>
        </is>
      </c>
      <c r="E137" s="220" t="n"/>
      <c r="L137" s="64">
        <f>IF($D137="","",SUM(M137:O137))</f>
        <v/>
      </c>
      <c r="M137" s="64">
        <f>IF($D137="","",COUNTIF(DESIGNAZIONI!P$8:P$2629,$D137))</f>
        <v/>
      </c>
      <c r="N137" s="64">
        <f>IF($D137="","",COUNTIF(DESIGNAZIONI!Q$8:Q$2629,$D137))</f>
        <v/>
      </c>
      <c r="O137" s="64">
        <f>IF($D137="","",COUNTIF(DESIGNAZIONI!R$8:R$2629,$D137))</f>
        <v/>
      </c>
    </row>
    <row r="138">
      <c r="C138" s="224" t="n"/>
      <c r="D138" s="13" t="inlineStr">
        <is>
          <t>NADAUD Jonas</t>
        </is>
      </c>
      <c r="E138" s="220" t="n"/>
      <c r="L138" s="64">
        <f>IF($D138="","",SUM(M138:O138))</f>
        <v/>
      </c>
      <c r="M138" s="64">
        <f>IF($D138="","",COUNTIF(DESIGNAZIONI!P$8:P$2629,$D138))</f>
        <v/>
      </c>
      <c r="N138" s="64">
        <f>IF($D138="","",COUNTIF(DESIGNAZIONI!Q$8:Q$2629,$D138))</f>
        <v/>
      </c>
      <c r="O138" s="64">
        <f>IF($D138="","",COUNTIF(DESIGNAZIONI!R$8:R$2629,$D138))</f>
        <v/>
      </c>
    </row>
    <row r="139">
      <c r="C139" s="224" t="n"/>
      <c r="D139" s="13" t="inlineStr">
        <is>
          <t>MOREAU Felix</t>
        </is>
      </c>
      <c r="E139" s="220" t="n"/>
      <c r="L139" s="64">
        <f>IF($D139="","",SUM(M139:O139))</f>
        <v/>
      </c>
      <c r="M139" s="64">
        <f>IF($D139="","",COUNTIF(DESIGNAZIONI!P$8:P$2629,$D139))</f>
        <v/>
      </c>
      <c r="N139" s="64">
        <f>IF($D139="","",COUNTIF(DESIGNAZIONI!Q$8:Q$2629,$D139))</f>
        <v/>
      </c>
      <c r="O139" s="64">
        <f>IF($D139="","",COUNTIF(DESIGNAZIONI!R$8:R$2629,$D139))</f>
        <v/>
      </c>
    </row>
    <row r="140">
      <c r="C140" s="224" t="n"/>
      <c r="D140" s="13" t="inlineStr">
        <is>
          <t>NAVARRO Paula</t>
        </is>
      </c>
      <c r="E140" s="220" t="n"/>
      <c r="L140" s="64">
        <f>IF($D140="","",SUM(M140:O140))</f>
        <v/>
      </c>
      <c r="M140" s="64">
        <f>IF($D140="","",COUNTIF(DESIGNAZIONI!P$8:P$2629,$D140))</f>
        <v/>
      </c>
      <c r="N140" s="64">
        <f>IF($D140="","",COUNTIF(DESIGNAZIONI!Q$8:Q$2629,$D140))</f>
        <v/>
      </c>
      <c r="O140" s="64">
        <f>IF($D140="","",COUNTIF(DESIGNAZIONI!R$8:R$2629,$D140))</f>
        <v/>
      </c>
    </row>
    <row r="141">
      <c r="C141" s="224" t="n"/>
      <c r="D141" s="13" t="inlineStr">
        <is>
          <t>NOVAK Lukas</t>
        </is>
      </c>
      <c r="E141" s="220" t="n"/>
      <c r="L141" s="64">
        <f>IF($D141="","",SUM(M141:O141))</f>
        <v/>
      </c>
      <c r="M141" s="64">
        <f>IF($D141="","",COUNTIF(DESIGNAZIONI!P$8:P$2629,$D141))</f>
        <v/>
      </c>
      <c r="N141" s="64">
        <f>IF($D141="","",COUNTIF(DESIGNAZIONI!Q$8:Q$2629,$D141))</f>
        <v/>
      </c>
      <c r="O141" s="64">
        <f>IF($D141="","",COUNTIF(DESIGNAZIONI!R$8:R$2629,$D141))</f>
        <v/>
      </c>
    </row>
    <row r="142">
      <c r="C142" s="224" t="n"/>
      <c r="D142" s="13" t="inlineStr">
        <is>
          <t>ROTH Lukas</t>
        </is>
      </c>
      <c r="E142" s="220" t="n"/>
      <c r="L142" s="64">
        <f>IF($D142="","",SUM(M142:O142))</f>
        <v/>
      </c>
      <c r="M142" s="64">
        <f>IF($D142="","",COUNTIF(DESIGNAZIONI!P$8:P$2629,$D142))</f>
        <v/>
      </c>
      <c r="N142" s="64">
        <f>IF($D142="","",COUNTIF(DESIGNAZIONI!Q$8:Q$2629,$D142))</f>
        <v/>
      </c>
      <c r="O142" s="64">
        <f>IF($D142="","",COUNTIF(DESIGNAZIONI!R$8:R$2629,$D142))</f>
        <v/>
      </c>
    </row>
    <row r="143">
      <c r="C143" s="224" t="n"/>
      <c r="D143" s="13" t="inlineStr">
        <is>
          <t>LEFEVRE Noemi</t>
        </is>
      </c>
      <c r="E143" s="220" t="n"/>
      <c r="L143" s="64">
        <f>IF($D143="","",SUM(M143:O143))</f>
        <v/>
      </c>
      <c r="M143" s="64">
        <f>IF($D143="","",COUNTIF(DESIGNAZIONI!P$8:P$2629,$D143))</f>
        <v/>
      </c>
      <c r="N143" s="64">
        <f>IF($D143="","",COUNTIF(DESIGNAZIONI!Q$8:Q$2629,$D143))</f>
        <v/>
      </c>
      <c r="O143" s="64">
        <f>IF($D143="","",COUNTIF(DESIGNAZIONI!R$8:R$2629,$D143))</f>
        <v/>
      </c>
    </row>
    <row r="144">
      <c r="C144" s="224" t="n"/>
      <c r="D144" s="13" t="inlineStr">
        <is>
          <t>NOVAK Nicola</t>
        </is>
      </c>
      <c r="E144" s="220" t="n"/>
      <c r="L144" s="64">
        <f>IF($D144="","",SUM(M144:O144))</f>
        <v/>
      </c>
      <c r="M144" s="64">
        <f>IF($D144="","",COUNTIF(DESIGNAZIONI!P$8:P$2629,$D144))</f>
        <v/>
      </c>
      <c r="N144" s="64">
        <f>IF($D144="","",COUNTIF(DESIGNAZIONI!Q$8:Q$2629,$D144))</f>
        <v/>
      </c>
      <c r="O144" s="64">
        <f>IF($D144="","",COUNTIF(DESIGNAZIONI!R$8:R$2629,$D144))</f>
        <v/>
      </c>
    </row>
    <row r="145">
      <c r="C145" s="224" t="n"/>
      <c r="D145" s="13" t="inlineStr">
        <is>
          <t>FERRANTE Mathilde</t>
        </is>
      </c>
      <c r="E145" s="220" t="n"/>
      <c r="L145" s="64">
        <f>IF($D145="","",SUM(M145:O145))</f>
        <v/>
      </c>
      <c r="M145" s="64">
        <f>IF($D145="","",COUNTIF(DESIGNAZIONI!P$8:P$2629,$D145))</f>
        <v/>
      </c>
      <c r="N145" s="64">
        <f>IF($D145="","",COUNTIF(DESIGNAZIONI!Q$8:Q$2629,$D145))</f>
        <v/>
      </c>
      <c r="O145" s="64">
        <f>IF($D145="","",COUNTIF(DESIGNAZIONI!R$8:R$2629,$D145))</f>
        <v/>
      </c>
    </row>
    <row r="146">
      <c r="C146" s="224" t="n"/>
      <c r="D146" s="13" t="inlineStr">
        <is>
          <t>BLANCHET Jonas</t>
        </is>
      </c>
      <c r="E146" s="220" t="n"/>
      <c r="L146" s="64">
        <f>IF($D146="","",SUM(M146:O146))</f>
        <v/>
      </c>
      <c r="M146" s="64">
        <f>IF($D146="","",COUNTIF(DESIGNAZIONI!P$8:P$2629,$D146))</f>
        <v/>
      </c>
      <c r="N146" s="64">
        <f>IF($D146="","",COUNTIF(DESIGNAZIONI!Q$8:Q$2629,$D146))</f>
        <v/>
      </c>
      <c r="O146" s="64">
        <f>IF($D146="","",COUNTIF(DESIGNAZIONI!R$8:R$2629,$D146))</f>
        <v/>
      </c>
    </row>
    <row r="147">
      <c r="C147" s="224" t="n"/>
      <c r="D147" s="13" t="inlineStr">
        <is>
          <t>KRAJNC Davide</t>
        </is>
      </c>
      <c r="E147" s="220" t="n"/>
      <c r="L147" s="64">
        <f>IF($D147="","",SUM(M147:O147))</f>
        <v/>
      </c>
      <c r="M147" s="64">
        <f>IF($D147="","",COUNTIF(DESIGNAZIONI!P$8:P$2629,$D147))</f>
        <v/>
      </c>
      <c r="N147" s="64">
        <f>IF($D147="","",COUNTIF(DESIGNAZIONI!Q$8:Q$2629,$D147))</f>
        <v/>
      </c>
      <c r="O147" s="64">
        <f>IF($D147="","",COUNTIF(DESIGNAZIONI!R$8:R$2629,$D147))</f>
        <v/>
      </c>
    </row>
    <row r="148">
      <c r="C148" s="224" t="n"/>
      <c r="D148" s="13" t="inlineStr">
        <is>
          <t>SEVER Hugo</t>
        </is>
      </c>
      <c r="E148" s="220" t="n"/>
      <c r="L148" s="64">
        <f>IF($D148="","",SUM(M148:O148))</f>
        <v/>
      </c>
      <c r="M148" s="64">
        <f>IF($D148="","",COUNTIF(DESIGNAZIONI!P$8:P$2629,$D148))</f>
        <v/>
      </c>
      <c r="N148" s="64">
        <f>IF($D148="","",COUNTIF(DESIGNAZIONI!Q$8:Q$2629,$D148))</f>
        <v/>
      </c>
      <c r="O148" s="64">
        <f>IF($D148="","",COUNTIF(DESIGNAZIONI!R$8:R$2629,$D148))</f>
        <v/>
      </c>
    </row>
    <row r="149">
      <c r="C149" s="224" t="n"/>
      <c r="D149" s="13" t="inlineStr">
        <is>
          <t>CARON Diego</t>
        </is>
      </c>
      <c r="E149" s="220" t="n"/>
      <c r="L149" s="64">
        <f>IF($D149="","",SUM(M149:O149))</f>
        <v/>
      </c>
      <c r="M149" s="64">
        <f>IF($D149="","",COUNTIF(DESIGNAZIONI!P$8:P$2629,$D149))</f>
        <v/>
      </c>
      <c r="N149" s="64">
        <f>IF($D149="","",COUNTIF(DESIGNAZIONI!Q$8:Q$2629,$D149))</f>
        <v/>
      </c>
      <c r="O149" s="64">
        <f>IF($D149="","",COUNTIF(DESIGNAZIONI!R$8:R$2629,$D149))</f>
        <v/>
      </c>
    </row>
    <row r="150">
      <c r="C150" s="224" t="n"/>
      <c r="D150" s="13" t="inlineStr">
        <is>
          <t>MODIC Lea</t>
        </is>
      </c>
      <c r="E150" s="220" t="n"/>
      <c r="L150" s="64">
        <f>IF($D150="","",SUM(M150:O150))</f>
        <v/>
      </c>
      <c r="M150" s="64">
        <f>IF($D150="","",COUNTIF(DESIGNAZIONI!P$8:P$2629,$D150))</f>
        <v/>
      </c>
      <c r="N150" s="64">
        <f>IF($D150="","",COUNTIF(DESIGNAZIONI!Q$8:Q$2629,$D150))</f>
        <v/>
      </c>
      <c r="O150" s="64">
        <f>IF($D150="","",COUNTIF(DESIGNAZIONI!R$8:R$2629,$D150))</f>
        <v/>
      </c>
    </row>
    <row r="151">
      <c r="C151" s="224" t="n"/>
      <c r="D151" s="13" t="inlineStr">
        <is>
          <t>IGLESIAS Jonas</t>
        </is>
      </c>
      <c r="E151" s="220" t="n"/>
      <c r="L151" s="64">
        <f>IF($D151="","",SUM(M151:O151))</f>
        <v/>
      </c>
      <c r="M151" s="64">
        <f>IF($D151="","",COUNTIF(DESIGNAZIONI!P$8:P$2629,$D151))</f>
        <v/>
      </c>
      <c r="N151" s="64">
        <f>IF($D151="","",COUNTIF(DESIGNAZIONI!Q$8:Q$2629,$D151))</f>
        <v/>
      </c>
      <c r="O151" s="64">
        <f>IF($D151="","",COUNTIF(DESIGNAZIONI!R$8:R$2629,$D151))</f>
        <v/>
      </c>
    </row>
    <row r="152">
      <c r="C152" s="224" t="n"/>
      <c r="D152" s="13" t="inlineStr">
        <is>
          <t>VOGEL Lea</t>
        </is>
      </c>
      <c r="E152" s="220" t="n"/>
      <c r="L152" s="64">
        <f>IF($D152="","",SUM(M152:O152))</f>
        <v/>
      </c>
      <c r="M152" s="64">
        <f>IF($D152="","",COUNTIF(DESIGNAZIONI!P$8:P$2629,$D152))</f>
        <v/>
      </c>
      <c r="N152" s="64">
        <f>IF($D152="","",COUNTIF(DESIGNAZIONI!Q$8:Q$2629,$D152))</f>
        <v/>
      </c>
      <c r="O152" s="64">
        <f>IF($D152="","",COUNTIF(DESIGNAZIONI!R$8:R$2629,$D152))</f>
        <v/>
      </c>
    </row>
    <row r="153">
      <c r="C153" s="224" t="n"/>
      <c r="D153" s="13" t="inlineStr">
        <is>
          <t>FUENTES Anja</t>
        </is>
      </c>
      <c r="E153" s="220" t="n"/>
      <c r="L153" s="64">
        <f>IF($D153="","",SUM(M153:O153))</f>
        <v/>
      </c>
      <c r="M153" s="64">
        <f>IF($D153="","",COUNTIF(DESIGNAZIONI!P$8:P$2629,$D153))</f>
        <v/>
      </c>
      <c r="N153" s="64">
        <f>IF($D153="","",COUNTIF(DESIGNAZIONI!Q$8:Q$2629,$D153))</f>
        <v/>
      </c>
      <c r="O153" s="64">
        <f>IF($D153="","",COUNTIF(DESIGNAZIONI!R$8:R$2629,$D153))</f>
        <v/>
      </c>
    </row>
    <row r="154">
      <c r="C154" s="224" t="n"/>
      <c r="D154" s="13" t="inlineStr">
        <is>
          <t>MARCHIONI Greta</t>
        </is>
      </c>
      <c r="E154" s="220" t="n"/>
      <c r="L154" s="64">
        <f>IF($D154="","",SUM(M154:O154))</f>
        <v/>
      </c>
      <c r="M154" s="64">
        <f>IF($D154="","",COUNTIF(DESIGNAZIONI!P$8:P$2629,$D154))</f>
        <v/>
      </c>
      <c r="N154" s="64">
        <f>IF($D154="","",COUNTIF(DESIGNAZIONI!Q$8:Q$2629,$D154))</f>
        <v/>
      </c>
      <c r="O154" s="64">
        <f>IF($D154="","",COUNTIF(DESIGNAZIONI!R$8:R$2629,$D154))</f>
        <v/>
      </c>
    </row>
    <row r="155">
      <c r="C155" s="224" t="n"/>
      <c r="D155" s="13" t="inlineStr">
        <is>
          <t>ROTH Paolo</t>
        </is>
      </c>
      <c r="E155" s="220" t="n"/>
      <c r="L155" s="64">
        <f>IF($D155="","",SUM(M155:O155))</f>
        <v/>
      </c>
      <c r="M155" s="64">
        <f>IF($D155="","",COUNTIF(DESIGNAZIONI!P$8:P$2629,$D155))</f>
        <v/>
      </c>
      <c r="N155" s="64">
        <f>IF($D155="","",COUNTIF(DESIGNAZIONI!Q$8:Q$2629,$D155))</f>
        <v/>
      </c>
      <c r="O155" s="64">
        <f>IF($D155="","",COUNTIF(DESIGNAZIONI!R$8:R$2629,$D155))</f>
        <v/>
      </c>
    </row>
    <row r="156">
      <c r="C156" s="224" t="n"/>
      <c r="D156" s="13" t="inlineStr">
        <is>
          <t>BLANCHET Paula</t>
        </is>
      </c>
      <c r="E156" s="220" t="n"/>
      <c r="L156" s="64">
        <f>IF($D156="","",SUM(M156:O156))</f>
        <v/>
      </c>
      <c r="M156" s="64">
        <f>IF($D156="","",COUNTIF(DESIGNAZIONI!P$8:P$2629,$D156))</f>
        <v/>
      </c>
      <c r="N156" s="64">
        <f>IF($D156="","",COUNTIF(DESIGNAZIONI!Q$8:Q$2629,$D156))</f>
        <v/>
      </c>
      <c r="O156" s="64">
        <f>IF($D156="","",COUNTIF(DESIGNAZIONI!R$8:R$2629,$D156))</f>
        <v/>
      </c>
    </row>
    <row r="157">
      <c r="C157" s="224" t="n"/>
      <c r="D157" s="13" t="inlineStr">
        <is>
          <t>HOFFMANN Diego</t>
        </is>
      </c>
      <c r="E157" s="220" t="n"/>
      <c r="L157" s="64">
        <f>IF($D157="","",SUM(M157:O157))</f>
        <v/>
      </c>
      <c r="M157" s="64">
        <f>IF($D157="","",COUNTIF(DESIGNAZIONI!P$8:P$2629,$D157))</f>
        <v/>
      </c>
      <c r="N157" s="64">
        <f>IF($D157="","",COUNTIF(DESIGNAZIONI!Q$8:Q$2629,$D157))</f>
        <v/>
      </c>
      <c r="O157" s="64">
        <f>IF($D157="","",COUNTIF(DESIGNAZIONI!R$8:R$2629,$D157))</f>
        <v/>
      </c>
    </row>
    <row r="158">
      <c r="C158" s="224" t="n"/>
      <c r="D158" s="13" t="inlineStr">
        <is>
          <t>VIDMAR Paula</t>
        </is>
      </c>
      <c r="E158" s="220" t="n"/>
      <c r="L158" s="64">
        <f>IF($D158="","",SUM(M158:O158))</f>
        <v/>
      </c>
      <c r="M158" s="64">
        <f>IF($D158="","",COUNTIF(DESIGNAZIONI!P$8:P$2629,$D158))</f>
        <v/>
      </c>
      <c r="N158" s="64">
        <f>IF($D158="","",COUNTIF(DESIGNAZIONI!Q$8:Q$2629,$D158))</f>
        <v/>
      </c>
      <c r="O158" s="64">
        <f>IF($D158="","",COUNTIF(DESIGNAZIONI!R$8:R$2629,$D158))</f>
        <v/>
      </c>
    </row>
    <row r="159">
      <c r="C159" s="224" t="n"/>
      <c r="D159" s="13" t="inlineStr">
        <is>
          <t>LEROUX Lucia</t>
        </is>
      </c>
      <c r="E159" s="220" t="n"/>
      <c r="L159" s="64">
        <f>IF($D159="","",SUM(M159:O159))</f>
        <v/>
      </c>
      <c r="M159" s="64">
        <f>IF($D159="","",COUNTIF(DESIGNAZIONI!P$8:P$2629,$D159))</f>
        <v/>
      </c>
      <c r="N159" s="64">
        <f>IF($D159="","",COUNTIF(DESIGNAZIONI!Q$8:Q$2629,$D159))</f>
        <v/>
      </c>
      <c r="O159" s="64">
        <f>IF($D159="","",COUNTIF(DESIGNAZIONI!R$8:R$2629,$D159))</f>
        <v/>
      </c>
    </row>
    <row r="160">
      <c r="C160" s="224" t="n"/>
      <c r="D160" s="13" t="inlineStr">
        <is>
          <t>ORTEGA Luca</t>
        </is>
      </c>
      <c r="E160" s="220" t="n"/>
      <c r="L160" s="64">
        <f>IF($D160="","",SUM(M160:O160))</f>
        <v/>
      </c>
      <c r="M160" s="64">
        <f>IF($D160="","",COUNTIF(DESIGNAZIONI!P$8:P$2629,$D160))</f>
        <v/>
      </c>
      <c r="N160" s="64">
        <f>IF($D160="","",COUNTIF(DESIGNAZIONI!Q$8:Q$2629,$D160))</f>
        <v/>
      </c>
      <c r="O160" s="64">
        <f>IF($D160="","",COUNTIF(DESIGNAZIONI!R$8:R$2629,$D160))</f>
        <v/>
      </c>
    </row>
    <row r="161">
      <c r="C161" s="224" t="n"/>
      <c r="D161" s="13" t="inlineStr">
        <is>
          <t>BIANCHELLI Davide</t>
        </is>
      </c>
      <c r="E161" s="220" t="n"/>
      <c r="L161" s="64">
        <f>IF($D161="","",SUM(M161:O161))</f>
        <v/>
      </c>
      <c r="M161" s="64">
        <f>IF($D161="","",COUNTIF(DESIGNAZIONI!P$8:P$2629,$D161))</f>
        <v/>
      </c>
      <c r="N161" s="64">
        <f>IF($D161="","",COUNTIF(DESIGNAZIONI!Q$8:Q$2629,$D161))</f>
        <v/>
      </c>
      <c r="O161" s="64">
        <f>IF($D161="","",COUNTIF(DESIGNAZIONI!R$8:R$2629,$D161))</f>
        <v/>
      </c>
    </row>
    <row r="162">
      <c r="C162" s="224" t="n"/>
      <c r="D162" s="13" t="inlineStr">
        <is>
          <t>VIDMAR Diego</t>
        </is>
      </c>
      <c r="E162" s="220" t="n"/>
      <c r="L162" s="64">
        <f>IF($D162="","",SUM(M162:O162))</f>
        <v/>
      </c>
      <c r="M162" s="64">
        <f>IF($D162="","",COUNTIF(DESIGNAZIONI!P$8:P$2629,$D162))</f>
        <v/>
      </c>
      <c r="N162" s="64">
        <f>IF($D162="","",COUNTIF(DESIGNAZIONI!Q$8:Q$2629,$D162))</f>
        <v/>
      </c>
      <c r="O162" s="64">
        <f>IF($D162="","",COUNTIF(DESIGNAZIONI!R$8:R$2629,$D162))</f>
        <v/>
      </c>
    </row>
    <row r="163">
      <c r="C163" s="224" t="n"/>
      <c r="D163" s="13" t="inlineStr">
        <is>
          <t>GAUTHIER Luca</t>
        </is>
      </c>
      <c r="E163" s="220" t="n"/>
      <c r="L163" s="64">
        <f>IF($D163="","",SUM(M163:O163))</f>
        <v/>
      </c>
      <c r="M163" s="64">
        <f>IF($D163="","",COUNTIF(DESIGNAZIONI!P$8:P$2629,$D163))</f>
        <v/>
      </c>
      <c r="N163" s="64">
        <f>IF($D163="","",COUNTIF(DESIGNAZIONI!Q$8:Q$2629,$D163))</f>
        <v/>
      </c>
      <c r="O163" s="64">
        <f>IF($D163="","",COUNTIF(DESIGNAZIONI!R$8:R$2629,$D163))</f>
        <v/>
      </c>
    </row>
    <row r="164">
      <c r="C164" s="224" t="n"/>
      <c r="D164" s="13" t="inlineStr">
        <is>
          <t>OBLAK Anja</t>
        </is>
      </c>
      <c r="E164" s="220" t="n"/>
      <c r="L164" s="64">
        <f>IF($D164="","",SUM(M164:O164))</f>
        <v/>
      </c>
      <c r="M164" s="64">
        <f>IF($D164="","",COUNTIF(DESIGNAZIONI!P$8:P$2629,$D164))</f>
        <v/>
      </c>
      <c r="N164" s="64">
        <f>IF($D164="","",COUNTIF(DESIGNAZIONI!Q$8:Q$2629,$D164))</f>
        <v/>
      </c>
      <c r="O164" s="64">
        <f>IF($D164="","",COUNTIF(DESIGNAZIONI!R$8:R$2629,$D164))</f>
        <v/>
      </c>
    </row>
    <row r="165">
      <c r="C165" s="224" t="n"/>
      <c r="D165" s="13" t="inlineStr">
        <is>
          <t>CAMPOS Anja</t>
        </is>
      </c>
      <c r="E165" s="220" t="n"/>
      <c r="L165" s="64">
        <f>IF($D165="","",SUM(M165:O165))</f>
        <v/>
      </c>
      <c r="M165" s="64">
        <f>IF($D165="","",COUNTIF(DESIGNAZIONI!P$8:P$2629,$D165))</f>
        <v/>
      </c>
      <c r="N165" s="64">
        <f>IF($D165="","",COUNTIF(DESIGNAZIONI!Q$8:Q$2629,$D165))</f>
        <v/>
      </c>
      <c r="O165" s="64">
        <f>IF($D165="","",COUNTIF(DESIGNAZIONI!R$8:R$2629,$D165))</f>
        <v/>
      </c>
    </row>
    <row r="166">
      <c r="C166" s="224" t="n"/>
      <c r="D166" s="13" t="inlineStr">
        <is>
          <t>FUENTES Beatrice</t>
        </is>
      </c>
      <c r="E166" s="220" t="n"/>
      <c r="L166" s="64">
        <f>IF($D166="","",SUM(M166:O166))</f>
        <v/>
      </c>
      <c r="M166" s="64">
        <f>IF($D166="","",COUNTIF(DESIGNAZIONI!P$8:P$2629,$D166))</f>
        <v/>
      </c>
      <c r="N166" s="64">
        <f>IF($D166="","",COUNTIF(DESIGNAZIONI!Q$8:Q$2629,$D166))</f>
        <v/>
      </c>
      <c r="O166" s="64">
        <f>IF($D166="","",COUNTIF(DESIGNAZIONI!R$8:R$2629,$D166))</f>
        <v/>
      </c>
    </row>
    <row r="167">
      <c r="C167" s="224" t="n"/>
      <c r="D167" s="13" t="inlineStr">
        <is>
          <t>ENGEL Mathilde</t>
        </is>
      </c>
      <c r="E167" s="220" t="n"/>
      <c r="L167" s="64">
        <f>IF($D167="","",SUM(M167:O167))</f>
        <v/>
      </c>
      <c r="M167" s="64">
        <f>IF($D167="","",COUNTIF(DESIGNAZIONI!P$8:P$2629,$D167))</f>
        <v/>
      </c>
      <c r="N167" s="64">
        <f>IF($D167="","",COUNTIF(DESIGNAZIONI!Q$8:Q$2629,$D167))</f>
        <v/>
      </c>
      <c r="O167" s="64">
        <f>IF($D167="","",COUNTIF(DESIGNAZIONI!R$8:R$2629,$D167))</f>
        <v/>
      </c>
    </row>
    <row r="168">
      <c r="C168" s="224" t="n"/>
      <c r="D168" s="13" t="inlineStr">
        <is>
          <t>PRADO Lea</t>
        </is>
      </c>
      <c r="E168" s="220" t="n"/>
      <c r="L168" s="64">
        <f>IF($D168="","",SUM(M168:O168))</f>
        <v/>
      </c>
      <c r="M168" s="64">
        <f>IF($D168="","",COUNTIF(DESIGNAZIONI!P$8:P$2629,$D168))</f>
        <v/>
      </c>
      <c r="N168" s="64">
        <f>IF($D168="","",COUNTIF(DESIGNAZIONI!Q$8:Q$2629,$D168))</f>
        <v/>
      </c>
      <c r="O168" s="64">
        <f>IF($D168="","",COUNTIF(DESIGNAZIONI!R$8:R$2629,$D168))</f>
        <v/>
      </c>
    </row>
    <row r="169">
      <c r="C169" s="224" t="n"/>
      <c r="D169" s="13" t="inlineStr">
        <is>
          <t>ORTEGA Felix</t>
        </is>
      </c>
      <c r="E169" s="220" t="n"/>
      <c r="L169" s="64">
        <f>IF($D169="","",SUM(M169:O169))</f>
        <v/>
      </c>
      <c r="M169" s="64">
        <f>IF($D169="","",COUNTIF(DESIGNAZIONI!P$8:P$2629,$D169))</f>
        <v/>
      </c>
      <c r="N169" s="64">
        <f>IF($D169="","",COUNTIF(DESIGNAZIONI!Q$8:Q$2629,$D169))</f>
        <v/>
      </c>
      <c r="O169" s="64">
        <f>IF($D169="","",COUNTIF(DESIGNAZIONI!R$8:R$2629,$D169))</f>
        <v/>
      </c>
    </row>
    <row r="170">
      <c r="C170" s="224" t="n"/>
      <c r="D170" s="13" t="inlineStr">
        <is>
          <t>CONTARDI Miha</t>
        </is>
      </c>
      <c r="E170" s="220" t="n"/>
      <c r="L170" s="64">
        <f>IF($D170="","",SUM(M170:O170))</f>
        <v/>
      </c>
      <c r="M170" s="64">
        <f>IF($D170="","",COUNTIF(DESIGNAZIONI!P$8:P$2629,$D170))</f>
        <v/>
      </c>
      <c r="N170" s="64">
        <f>IF($D170="","",COUNTIF(DESIGNAZIONI!Q$8:Q$2629,$D170))</f>
        <v/>
      </c>
      <c r="O170" s="64">
        <f>IF($D170="","",COUNTIF(DESIGNAZIONI!R$8:R$2629,$D170))</f>
        <v/>
      </c>
    </row>
    <row r="171">
      <c r="C171" s="224" t="n"/>
      <c r="D171" s="13" t="inlineStr">
        <is>
          <t>PRADO Eva</t>
        </is>
      </c>
      <c r="E171" s="220" t="n"/>
      <c r="L171" s="64">
        <f>IF($D171="","",SUM(M171:O171))</f>
        <v/>
      </c>
      <c r="M171" s="64">
        <f>IF($D171="","",COUNTIF(DESIGNAZIONI!P$8:P$2629,$D171))</f>
        <v/>
      </c>
      <c r="N171" s="64">
        <f>IF($D171="","",COUNTIF(DESIGNAZIONI!Q$8:Q$2629,$D171))</f>
        <v/>
      </c>
      <c r="O171" s="64">
        <f>IF($D171="","",COUNTIF(DESIGNAZIONI!R$8:R$2629,$D171))</f>
        <v/>
      </c>
    </row>
    <row r="172">
      <c r="C172" s="224" t="n"/>
      <c r="D172" s="13" t="inlineStr">
        <is>
          <t>SCHAFER Lucia</t>
        </is>
      </c>
      <c r="E172" s="220" t="n"/>
      <c r="L172" s="64">
        <f>IF($D172="","",SUM(M172:O172))</f>
        <v/>
      </c>
      <c r="M172" s="64">
        <f>IF($D172="","",COUNTIF(DESIGNAZIONI!P$8:P$2629,$D172))</f>
        <v/>
      </c>
      <c r="N172" s="64">
        <f>IF($D172="","",COUNTIF(DESIGNAZIONI!Q$8:Q$2629,$D172))</f>
        <v/>
      </c>
      <c r="O172" s="64">
        <f>IF($D172="","",COUNTIF(DESIGNAZIONI!R$8:R$2629,$D172))</f>
        <v/>
      </c>
    </row>
    <row r="173">
      <c r="C173" s="224" t="n"/>
      <c r="D173" s="13" t="inlineStr">
        <is>
          <t>SCHAFER Gaelle</t>
        </is>
      </c>
      <c r="E173" s="220" t="n"/>
      <c r="L173" s="64">
        <f>IF($D173="","",SUM(M173:O173))</f>
        <v/>
      </c>
      <c r="M173" s="64">
        <f>IF($D173="","",COUNTIF(DESIGNAZIONI!P$8:P$2629,$D173))</f>
        <v/>
      </c>
      <c r="N173" s="64">
        <f>IF($D173="","",COUNTIF(DESIGNAZIONI!Q$8:Q$2629,$D173))</f>
        <v/>
      </c>
      <c r="O173" s="64">
        <f>IF($D173="","",COUNTIF(DESIGNAZIONI!R$8:R$2629,$D173))</f>
        <v/>
      </c>
    </row>
    <row r="174">
      <c r="C174" s="224" t="n"/>
      <c r="D174" s="13" t="inlineStr">
        <is>
          <t>CASTILLO Noemi</t>
        </is>
      </c>
      <c r="E174" s="220" t="n"/>
      <c r="L174" s="64">
        <f>IF($D174="","",SUM(M174:O174))</f>
        <v/>
      </c>
      <c r="M174" s="64">
        <f>IF($D174="","",COUNTIF(DESIGNAZIONI!P$8:P$2629,$D174))</f>
        <v/>
      </c>
      <c r="N174" s="64">
        <f>IF($D174="","",COUNTIF(DESIGNAZIONI!Q$8:Q$2629,$D174))</f>
        <v/>
      </c>
      <c r="O174" s="64">
        <f>IF($D174="","",COUNTIF(DESIGNAZIONI!R$8:R$2629,$D174))</f>
        <v/>
      </c>
    </row>
    <row r="175">
      <c r="C175" s="224" t="n"/>
      <c r="D175" s="13" t="inlineStr">
        <is>
          <t>LANGER Katrin</t>
        </is>
      </c>
      <c r="E175" s="220" t="n"/>
      <c r="L175" s="64">
        <f>IF($D175="","",SUM(M175:O175))</f>
        <v/>
      </c>
      <c r="M175" s="64">
        <f>IF($D175="","",COUNTIF(DESIGNAZIONI!P$8:P$2629,$D175))</f>
        <v/>
      </c>
      <c r="N175" s="64">
        <f>IF($D175="","",COUNTIF(DESIGNAZIONI!Q$8:Q$2629,$D175))</f>
        <v/>
      </c>
      <c r="O175" s="64">
        <f>IF($D175="","",COUNTIF(DESIGNAZIONI!R$8:R$2629,$D175))</f>
        <v/>
      </c>
    </row>
    <row r="176">
      <c r="C176" s="224" t="n"/>
      <c r="D176" s="13" t="inlineStr">
        <is>
          <t>KRAJNC Nicola</t>
        </is>
      </c>
      <c r="E176" s="220" t="n"/>
      <c r="L176" s="64">
        <f>IF($D176="","",SUM(M176:O176))</f>
        <v/>
      </c>
      <c r="M176" s="64">
        <f>IF($D176="","",COUNTIF(DESIGNAZIONI!P$8:P$2629,$D176))</f>
        <v/>
      </c>
      <c r="N176" s="64">
        <f>IF($D176="","",COUNTIF(DESIGNAZIONI!Q$8:Q$2629,$D176))</f>
        <v/>
      </c>
      <c r="O176" s="64">
        <f>IF($D176="","",COUNTIF(DESIGNAZIONI!R$8:R$2629,$D176))</f>
        <v/>
      </c>
    </row>
    <row r="177">
      <c r="C177" s="224" t="n"/>
      <c r="D177" s="13" t="inlineStr">
        <is>
          <t>BLANCO Lukas</t>
        </is>
      </c>
      <c r="E177" s="220" t="n"/>
      <c r="L177" s="64">
        <f>IF($D177="","",SUM(M177:O177))</f>
        <v/>
      </c>
      <c r="M177" s="64">
        <f>IF($D177="","",COUNTIF(DESIGNAZIONI!P$8:P$2629,$D177))</f>
        <v/>
      </c>
      <c r="N177" s="64">
        <f>IF($D177="","",COUNTIF(DESIGNAZIONI!Q$8:Q$2629,$D177))</f>
        <v/>
      </c>
      <c r="O177" s="64">
        <f>IF($D177="","",COUNTIF(DESIGNAZIONI!R$8:R$2629,$D177))</f>
        <v/>
      </c>
    </row>
    <row r="178">
      <c r="C178" s="224" t="n"/>
      <c r="D178" s="13" t="inlineStr">
        <is>
          <t>CARON Anja</t>
        </is>
      </c>
      <c r="E178" s="220" t="n"/>
      <c r="L178" s="64">
        <f>IF($D178="","",SUM(M178:O178))</f>
        <v/>
      </c>
      <c r="M178" s="64">
        <f>IF($D178="","",COUNTIF(DESIGNAZIONI!P$8:P$2629,$D178))</f>
        <v/>
      </c>
      <c r="N178" s="64">
        <f>IF($D178="","",COUNTIF(DESIGNAZIONI!Q$8:Q$2629,$D178))</f>
        <v/>
      </c>
      <c r="O178" s="64">
        <f>IF($D178="","",COUNTIF(DESIGNAZIONI!R$8:R$2629,$D178))</f>
        <v/>
      </c>
    </row>
    <row r="179">
      <c r="C179" s="224" t="n"/>
      <c r="D179" s="13" t="inlineStr">
        <is>
          <t>GALLINI Tommaso</t>
        </is>
      </c>
      <c r="E179" s="220" t="n"/>
      <c r="L179" s="64">
        <f>IF($D179="","",SUM(M179:O179))</f>
        <v/>
      </c>
      <c r="M179" s="64">
        <f>IF($D179="","",COUNTIF(DESIGNAZIONI!P$8:P$2629,$D179))</f>
        <v/>
      </c>
      <c r="N179" s="64">
        <f>IF($D179="","",COUNTIF(DESIGNAZIONI!Q$8:Q$2629,$D179))</f>
        <v/>
      </c>
      <c r="O179" s="64">
        <f>IF($D179="","",COUNTIF(DESIGNAZIONI!R$8:R$2629,$D179))</f>
        <v/>
      </c>
    </row>
    <row r="180">
      <c r="C180" s="224" t="n"/>
      <c r="D180" s="13" t="inlineStr">
        <is>
          <t>PELLEGRI Eva</t>
        </is>
      </c>
      <c r="E180" s="220" t="n"/>
      <c r="L180" s="64">
        <f>IF($D180="","",SUM(M180:O180))</f>
        <v/>
      </c>
      <c r="M180" s="64">
        <f>IF($D180="","",COUNTIF(DESIGNAZIONI!P$8:P$2629,$D180))</f>
        <v/>
      </c>
      <c r="N180" s="64">
        <f>IF($D180="","",COUNTIF(DESIGNAZIONI!Q$8:Q$2629,$D180))</f>
        <v/>
      </c>
      <c r="O180" s="64">
        <f>IF($D180="","",COUNTIF(DESIGNAZIONI!R$8:R$2629,$D180))</f>
        <v/>
      </c>
    </row>
    <row r="181">
      <c r="C181" s="224" t="n"/>
      <c r="D181" s="13" t="inlineStr">
        <is>
          <t>KRAJNC Marco</t>
        </is>
      </c>
      <c r="E181" s="220" t="n"/>
      <c r="L181" s="64">
        <f>IF($D181="","",SUM(M181:O181))</f>
        <v/>
      </c>
      <c r="M181" s="64">
        <f>IF($D181="","",COUNTIF(DESIGNAZIONI!P$8:P$2629,$D181))</f>
        <v/>
      </c>
      <c r="N181" s="64">
        <f>IF($D181="","",COUNTIF(DESIGNAZIONI!Q$8:Q$2629,$D181))</f>
        <v/>
      </c>
      <c r="O181" s="64">
        <f>IF($D181="","",COUNTIF(DESIGNAZIONI!R$8:R$2629,$D181))</f>
        <v/>
      </c>
    </row>
    <row r="182">
      <c r="C182" s="224" t="n"/>
      <c r="D182" s="13" t="inlineStr">
        <is>
          <t>FOURNIER Elena</t>
        </is>
      </c>
      <c r="E182" s="220" t="n"/>
      <c r="L182" s="64">
        <f>IF($D182="","",SUM(M182:O182))</f>
        <v/>
      </c>
      <c r="M182" s="64">
        <f>IF($D182="","",COUNTIF(DESIGNAZIONI!P$8:P$2629,$D182))</f>
        <v/>
      </c>
      <c r="N182" s="64">
        <f>IF($D182="","",COUNTIF(DESIGNAZIONI!Q$8:Q$2629,$D182))</f>
        <v/>
      </c>
      <c r="O182" s="64">
        <f>IF($D182="","",COUNTIF(DESIGNAZIONI!R$8:R$2629,$D182))</f>
        <v/>
      </c>
    </row>
    <row r="183">
      <c r="C183" s="224" t="n"/>
      <c r="D183" s="13" t="inlineStr">
        <is>
          <t>BIANCHELLI Katrin</t>
        </is>
      </c>
      <c r="E183" s="220" t="n"/>
      <c r="L183" s="64">
        <f>IF($D183="","",SUM(M183:O183))</f>
        <v/>
      </c>
      <c r="M183" s="64">
        <f>IF($D183="","",COUNTIF(DESIGNAZIONI!P$8:P$2629,$D183))</f>
        <v/>
      </c>
      <c r="N183" s="64">
        <f>IF($D183="","",COUNTIF(DESIGNAZIONI!Q$8:Q$2629,$D183))</f>
        <v/>
      </c>
      <c r="O183" s="64">
        <f>IF($D183="","",COUNTIF(DESIGNAZIONI!R$8:R$2629,$D183))</f>
        <v/>
      </c>
    </row>
    <row r="184">
      <c r="C184" s="224" t="n"/>
      <c r="D184" s="13" t="inlineStr">
        <is>
          <t>ENGEL Nicola</t>
        </is>
      </c>
      <c r="E184" s="220" t="n"/>
      <c r="L184" s="64">
        <f>IF($D184="","",SUM(M184:O184))</f>
        <v/>
      </c>
      <c r="M184" s="64">
        <f>IF($D184="","",COUNTIF(DESIGNAZIONI!P$8:P$2629,$D184))</f>
        <v/>
      </c>
      <c r="N184" s="64">
        <f>IF($D184="","",COUNTIF(DESIGNAZIONI!Q$8:Q$2629,$D184))</f>
        <v/>
      </c>
      <c r="O184" s="64">
        <f>IF($D184="","",COUNTIF(DESIGNAZIONI!R$8:R$2629,$D184))</f>
        <v/>
      </c>
    </row>
    <row r="185">
      <c r="C185" s="224" t="n"/>
      <c r="D185" s="13" t="inlineStr">
        <is>
          <t>WEBER Sofia</t>
        </is>
      </c>
      <c r="E185" s="220" t="n"/>
      <c r="L185" s="64">
        <f>IF($D185="","",SUM(M185:O185))</f>
        <v/>
      </c>
      <c r="M185" s="64">
        <f>IF($D185="","",COUNTIF(DESIGNAZIONI!P$8:P$2629,$D185))</f>
        <v/>
      </c>
      <c r="N185" s="64">
        <f>IF($D185="","",COUNTIF(DESIGNAZIONI!Q$8:Q$2629,$D185))</f>
        <v/>
      </c>
      <c r="O185" s="64">
        <f>IF($D185="","",COUNTIF(DESIGNAZIONI!R$8:R$2629,$D185))</f>
        <v/>
      </c>
    </row>
    <row r="186">
      <c r="C186" s="224" t="n"/>
      <c r="D186" s="13" t="inlineStr">
        <is>
          <t>SCHAFER Sofia</t>
        </is>
      </c>
      <c r="E186" s="220" t="n"/>
      <c r="L186" s="64">
        <f>IF($D186="","",SUM(M186:O186))</f>
        <v/>
      </c>
      <c r="M186" s="64">
        <f>IF($D186="","",COUNTIF(DESIGNAZIONI!P$8:P$2629,$D186))</f>
        <v/>
      </c>
      <c r="N186" s="64">
        <f>IF($D186="","",COUNTIF(DESIGNAZIONI!Q$8:Q$2629,$D186))</f>
        <v/>
      </c>
      <c r="O186" s="64">
        <f>IF($D186="","",COUNTIF(DESIGNAZIONI!R$8:R$2629,$D186))</f>
        <v/>
      </c>
    </row>
    <row r="187">
      <c r="C187" s="224" t="n"/>
      <c r="D187" s="13" t="inlineStr">
        <is>
          <t>ORTEGA Gaelle</t>
        </is>
      </c>
      <c r="E187" s="220" t="n"/>
      <c r="L187" s="64">
        <f>IF($D187="","",SUM(M187:O187))</f>
        <v/>
      </c>
      <c r="M187" s="64">
        <f>IF($D187="","",COUNTIF(DESIGNAZIONI!P$8:P$2629,$D187))</f>
        <v/>
      </c>
      <c r="N187" s="64">
        <f>IF($D187="","",COUNTIF(DESIGNAZIONI!Q$8:Q$2629,$D187))</f>
        <v/>
      </c>
      <c r="O187" s="64">
        <f>IF($D187="","",COUNTIF(DESIGNAZIONI!R$8:R$2629,$D187))</f>
        <v/>
      </c>
    </row>
    <row r="188">
      <c r="C188" s="224" t="n"/>
      <c r="D188" s="13" t="inlineStr">
        <is>
          <t>LEFEVRE Ilaria</t>
        </is>
      </c>
      <c r="E188" s="220" t="n"/>
      <c r="L188" s="64">
        <f>IF($D188="","",SUM(M188:O188))</f>
        <v/>
      </c>
      <c r="M188" s="64">
        <f>IF($D188="","",COUNTIF(DESIGNAZIONI!P$8:P$2629,$D188))</f>
        <v/>
      </c>
      <c r="N188" s="64">
        <f>IF($D188="","",COUNTIF(DESIGNAZIONI!Q$8:Q$2629,$D188))</f>
        <v/>
      </c>
      <c r="O188" s="64">
        <f>IF($D188="","",COUNTIF(DESIGNAZIONI!R$8:R$2629,$D188))</f>
        <v/>
      </c>
    </row>
    <row r="189">
      <c r="C189" s="224" t="n"/>
      <c r="D189" s="13" t="inlineStr">
        <is>
          <t>HOFFMANN Chiara</t>
        </is>
      </c>
      <c r="E189" s="220" t="n"/>
      <c r="L189" s="64">
        <f>IF($D189="","",SUM(M189:O189))</f>
        <v/>
      </c>
      <c r="M189" s="64">
        <f>IF($D189="","",COUNTIF(DESIGNAZIONI!P$8:P$2629,$D189))</f>
        <v/>
      </c>
      <c r="N189" s="64">
        <f>IF($D189="","",COUNTIF(DESIGNAZIONI!Q$8:Q$2629,$D189))</f>
        <v/>
      </c>
      <c r="O189" s="64">
        <f>IF($D189="","",COUNTIF(DESIGNAZIONI!R$8:R$2629,$D189))</f>
        <v/>
      </c>
    </row>
    <row r="190">
      <c r="C190" s="224" t="n"/>
      <c r="D190" s="13" t="inlineStr">
        <is>
          <t>BELLANDI Greta</t>
        </is>
      </c>
      <c r="E190" s="220" t="n"/>
      <c r="L190" s="64">
        <f>IF($D190="","",SUM(M190:O190))</f>
        <v/>
      </c>
      <c r="M190" s="64">
        <f>IF($D190="","",COUNTIF(DESIGNAZIONI!P$8:P$2629,$D190))</f>
        <v/>
      </c>
      <c r="N190" s="64">
        <f>IF($D190="","",COUNTIF(DESIGNAZIONI!Q$8:Q$2629,$D190))</f>
        <v/>
      </c>
      <c r="O190" s="64">
        <f>IF($D190="","",COUNTIF(DESIGNAZIONI!R$8:R$2629,$D190))</f>
        <v/>
      </c>
    </row>
    <row r="191">
      <c r="C191" s="224" t="n"/>
      <c r="D191" s="13" t="inlineStr">
        <is>
          <t>HORVAT Irene</t>
        </is>
      </c>
      <c r="E191" s="220" t="n"/>
      <c r="L191" s="64">
        <f>IF($D191="","",SUM(M191:O191))</f>
        <v/>
      </c>
      <c r="M191" s="64">
        <f>IF($D191="","",COUNTIF(DESIGNAZIONI!P$8:P$2629,$D191))</f>
        <v/>
      </c>
      <c r="N191" s="64">
        <f>IF($D191="","",COUNTIF(DESIGNAZIONI!Q$8:Q$2629,$D191))</f>
        <v/>
      </c>
      <c r="O191" s="64">
        <f>IF($D191="","",COUNTIF(DESIGNAZIONI!R$8:R$2629,$D191))</f>
        <v/>
      </c>
    </row>
    <row r="192">
      <c r="C192" s="224" t="n"/>
      <c r="D192" s="13" t="inlineStr">
        <is>
          <t>BLANCO Giulia</t>
        </is>
      </c>
      <c r="E192" s="220" t="n"/>
      <c r="L192" s="64">
        <f>IF($D192="","",SUM(M192:O192))</f>
        <v/>
      </c>
      <c r="M192" s="64">
        <f>IF($D192="","",COUNTIF(DESIGNAZIONI!P$8:P$2629,$D192))</f>
        <v/>
      </c>
      <c r="N192" s="64">
        <f>IF($D192="","",COUNTIF(DESIGNAZIONI!Q$8:Q$2629,$D192))</f>
        <v/>
      </c>
      <c r="O192" s="64">
        <f>IF($D192="","",COUNTIF(DESIGNAZIONI!R$8:R$2629,$D192))</f>
        <v/>
      </c>
    </row>
    <row r="193">
      <c r="C193" s="224" t="n"/>
      <c r="D193" s="13" t="inlineStr">
        <is>
          <t>OBLAK Hugo</t>
        </is>
      </c>
      <c r="E193" s="220" t="n"/>
      <c r="L193" s="64">
        <f>IF($D193="","",SUM(M193:O193))</f>
        <v/>
      </c>
      <c r="M193" s="64">
        <f>IF($D193="","",COUNTIF(DESIGNAZIONI!P$8:P$2629,$D193))</f>
        <v/>
      </c>
      <c r="N193" s="64">
        <f>IF($D193="","",COUNTIF(DESIGNAZIONI!Q$8:Q$2629,$D193))</f>
        <v/>
      </c>
      <c r="O193" s="64">
        <f>IF($D193="","",COUNTIF(DESIGNAZIONI!R$8:R$2629,$D193))</f>
        <v/>
      </c>
    </row>
    <row r="194">
      <c r="C194" s="224" t="n"/>
      <c r="D194" s="13" t="inlineStr">
        <is>
          <t>KOVAC Felix</t>
        </is>
      </c>
      <c r="E194" s="220" t="n"/>
      <c r="L194" s="64">
        <f>IF($D194="","",SUM(M194:O194))</f>
        <v/>
      </c>
      <c r="M194" s="64">
        <f>IF($D194="","",COUNTIF(DESIGNAZIONI!P$8:P$2629,$D194))</f>
        <v/>
      </c>
      <c r="N194" s="64">
        <f>IF($D194="","",COUNTIF(DESIGNAZIONI!Q$8:Q$2629,$D194))</f>
        <v/>
      </c>
      <c r="O194" s="64">
        <f>IF($D194="","",COUNTIF(DESIGNAZIONI!R$8:R$2629,$D194))</f>
        <v/>
      </c>
    </row>
    <row r="195">
      <c r="C195" s="224" t="n"/>
      <c r="D195" s="13" t="inlineStr">
        <is>
          <t>VOGEL Martina</t>
        </is>
      </c>
      <c r="E195" s="220" t="n"/>
      <c r="L195" s="64">
        <f>IF($D195="","",SUM(M195:O195))</f>
        <v/>
      </c>
      <c r="M195" s="64">
        <f>IF($D195="","",COUNTIF(DESIGNAZIONI!P$8:P$2629,$D195))</f>
        <v/>
      </c>
      <c r="N195" s="64">
        <f>IF($D195="","",COUNTIF(DESIGNAZIONI!Q$8:Q$2629,$D195))</f>
        <v/>
      </c>
      <c r="O195" s="64">
        <f>IF($D195="","",COUNTIF(DESIGNAZIONI!R$8:R$2629,$D195))</f>
        <v/>
      </c>
    </row>
    <row r="196">
      <c r="C196" s="224" t="n"/>
      <c r="D196" s="13" t="inlineStr">
        <is>
          <t>SOLER Irene</t>
        </is>
      </c>
      <c r="E196" s="220" t="n"/>
      <c r="L196" s="64">
        <f>IF($D196="","",SUM(M196:O196))</f>
        <v/>
      </c>
      <c r="M196" s="64">
        <f>IF($D196="","",COUNTIF(DESIGNAZIONI!P$8:P$2629,$D196))</f>
        <v/>
      </c>
      <c r="N196" s="64">
        <f>IF($D196="","",COUNTIF(DESIGNAZIONI!Q$8:Q$2629,$D196))</f>
        <v/>
      </c>
      <c r="O196" s="64">
        <f>IF($D196="","",COUNTIF(DESIGNAZIONI!R$8:R$2629,$D196))</f>
        <v/>
      </c>
    </row>
    <row r="197">
      <c r="C197" s="224" t="n"/>
      <c r="D197" s="13" t="inlineStr">
        <is>
          <t>KRAJNC Tommaso</t>
        </is>
      </c>
      <c r="E197" s="220" t="n"/>
      <c r="L197" s="64">
        <f>IF($D197="","",SUM(M197:O197))</f>
        <v/>
      </c>
      <c r="M197" s="64">
        <f>IF($D197="","",COUNTIF(DESIGNAZIONI!P$8:P$2629,$D197))</f>
        <v/>
      </c>
      <c r="N197" s="64">
        <f>IF($D197="","",COUNTIF(DESIGNAZIONI!Q$8:Q$2629,$D197))</f>
        <v/>
      </c>
      <c r="O197" s="64">
        <f>IF($D197="","",COUNTIF(DESIGNAZIONI!R$8:R$2629,$D197))</f>
        <v/>
      </c>
    </row>
    <row r="198">
      <c r="C198" s="224" t="n"/>
      <c r="D198" s="13" t="inlineStr">
        <is>
          <t>VOGEL Sofia</t>
        </is>
      </c>
      <c r="E198" s="220" t="n"/>
      <c r="L198" s="64">
        <f>IF($D198="","",SUM(M198:O198))</f>
        <v/>
      </c>
      <c r="M198" s="64">
        <f>IF($D198="","",COUNTIF(DESIGNAZIONI!P$8:P$2629,$D198))</f>
        <v/>
      </c>
      <c r="N198" s="64">
        <f>IF($D198="","",COUNTIF(DESIGNAZIONI!Q$8:Q$2629,$D198))</f>
        <v/>
      </c>
      <c r="O198" s="64">
        <f>IF($D198="","",COUNTIF(DESIGNAZIONI!R$8:R$2629,$D198))</f>
        <v/>
      </c>
    </row>
    <row r="199">
      <c r="C199" s="224" t="n"/>
      <c r="D199" s="13" t="inlineStr">
        <is>
          <t>VIDMAR Chiara</t>
        </is>
      </c>
      <c r="E199" s="220" t="n"/>
      <c r="L199" s="64">
        <f>IF($D199="","",SUM(M199:O199))</f>
        <v/>
      </c>
      <c r="M199" s="64">
        <f>IF($D199="","",COUNTIF(DESIGNAZIONI!P$8:P$2629,$D199))</f>
        <v/>
      </c>
      <c r="N199" s="64">
        <f>IF($D199="","",COUNTIF(DESIGNAZIONI!Q$8:Q$2629,$D199))</f>
        <v/>
      </c>
      <c r="O199" s="64">
        <f>IF($D199="","",COUNTIF(DESIGNAZIONI!R$8:R$2629,$D199))</f>
        <v/>
      </c>
    </row>
    <row r="200">
      <c r="C200" s="224" t="n"/>
      <c r="D200" s="13" t="inlineStr">
        <is>
          <t>CASTILLO Giulia</t>
        </is>
      </c>
      <c r="E200" s="220" t="n"/>
      <c r="L200" s="64">
        <f>IF($D200="","",SUM(M200:O200))</f>
        <v/>
      </c>
      <c r="M200" s="64">
        <f>IF($D200="","",COUNTIF(DESIGNAZIONI!P$8:P$2629,$D200))</f>
        <v/>
      </c>
      <c r="N200" s="64">
        <f>IF($D200="","",COUNTIF(DESIGNAZIONI!Q$8:Q$2629,$D200))</f>
        <v/>
      </c>
      <c r="O200" s="64">
        <f>IF($D200="","",COUNTIF(DESIGNAZIONI!R$8:R$2629,$D200))</f>
        <v/>
      </c>
    </row>
    <row r="201">
      <c r="C201" s="224" t="n"/>
      <c r="D201" s="13" t="inlineStr">
        <is>
          <t>IGLESIAS Alenka</t>
        </is>
      </c>
      <c r="E201" s="220" t="n"/>
      <c r="L201" s="64">
        <f>IF($D201="","",SUM(M201:O201))</f>
        <v/>
      </c>
      <c r="M201" s="64">
        <f>IF($D201="","",COUNTIF(DESIGNAZIONI!P$8:P$2629,$D201))</f>
        <v/>
      </c>
      <c r="N201" s="64">
        <f>IF($D201="","",COUNTIF(DESIGNAZIONI!Q$8:Q$2629,$D201))</f>
        <v/>
      </c>
      <c r="O201" s="64">
        <f>IF($D201="","",COUNTIF(DESIGNAZIONI!R$8:R$2629,$D201))</f>
        <v/>
      </c>
    </row>
    <row r="202">
      <c r="C202" s="224" t="n"/>
      <c r="D202" s="13" t="inlineStr">
        <is>
          <t>ORTEGA Stefano</t>
        </is>
      </c>
      <c r="E202" s="220" t="n"/>
      <c r="L202" s="64">
        <f>IF($D202="","",SUM(M202:O202))</f>
        <v/>
      </c>
      <c r="M202" s="64">
        <f>IF($D202="","",COUNTIF(DESIGNAZIONI!P$8:P$2629,$D202))</f>
        <v/>
      </c>
      <c r="N202" s="64">
        <f>IF($D202="","",COUNTIF(DESIGNAZIONI!Q$8:Q$2629,$D202))</f>
        <v/>
      </c>
      <c r="O202" s="64">
        <f>IF($D202="","",COUNTIF(DESIGNAZIONI!R$8:R$2629,$D202))</f>
        <v/>
      </c>
    </row>
    <row r="203">
      <c r="C203" s="224" t="n"/>
      <c r="D203" s="13" t="inlineStr">
        <is>
          <t>IGLESIAS Hugo</t>
        </is>
      </c>
      <c r="E203" s="220" t="n"/>
      <c r="L203" s="64">
        <f>IF($D203="","",SUM(M203:O203))</f>
        <v/>
      </c>
      <c r="M203" s="64">
        <f>IF($D203="","",COUNTIF(DESIGNAZIONI!P$8:P$2629,$D203))</f>
        <v/>
      </c>
      <c r="N203" s="64">
        <f>IF($D203="","",COUNTIF(DESIGNAZIONI!Q$8:Q$2629,$D203))</f>
        <v/>
      </c>
      <c r="O203" s="64">
        <f>IF($D203="","",COUNTIF(DESIGNAZIONI!R$8:R$2629,$D203))</f>
        <v/>
      </c>
    </row>
    <row r="204">
      <c r="C204" s="224" t="n"/>
      <c r="D204" s="13" t="inlineStr">
        <is>
          <t>NOVAK Tommaso</t>
        </is>
      </c>
      <c r="E204" s="220" t="n"/>
      <c r="L204" s="64">
        <f>IF($D204="","",SUM(M204:O204))</f>
        <v/>
      </c>
      <c r="M204" s="64">
        <f>IF($D204="","",COUNTIF(DESIGNAZIONI!P$8:P$2629,$D204))</f>
        <v/>
      </c>
      <c r="N204" s="64">
        <f>IF($D204="","",COUNTIF(DESIGNAZIONI!Q$8:Q$2629,$D204))</f>
        <v/>
      </c>
      <c r="O204" s="64">
        <f>IF($D204="","",COUNTIF(DESIGNAZIONI!R$8:R$2629,$D204))</f>
        <v/>
      </c>
    </row>
    <row r="205">
      <c r="C205" s="224" t="n"/>
      <c r="D205" s="13" t="inlineStr">
        <is>
          <t>CAMPOS Noemi</t>
        </is>
      </c>
      <c r="E205" s="220" t="n"/>
      <c r="L205" s="64">
        <f>IF($D205="","",SUM(M205:O205))</f>
        <v/>
      </c>
      <c r="M205" s="64">
        <f>IF($D205="","",COUNTIF(DESIGNAZIONI!P$8:P$2629,$D205))</f>
        <v/>
      </c>
      <c r="N205" s="64">
        <f>IF($D205="","",COUNTIF(DESIGNAZIONI!Q$8:Q$2629,$D205))</f>
        <v/>
      </c>
      <c r="O205" s="64">
        <f>IF($D205="","",COUNTIF(DESIGNAZIONI!R$8:R$2629,$D205))</f>
        <v/>
      </c>
    </row>
    <row r="206">
      <c r="C206" s="224" t="n"/>
      <c r="D206" s="13" t="inlineStr">
        <is>
          <t>FOURNIER Miha</t>
        </is>
      </c>
      <c r="E206" s="220" t="n"/>
      <c r="L206" s="64">
        <f>IF($D206="","",SUM(M206:O206))</f>
        <v/>
      </c>
      <c r="M206" s="64">
        <f>IF($D206="","",COUNTIF(DESIGNAZIONI!P$8:P$2629,$D206))</f>
        <v/>
      </c>
      <c r="N206" s="64">
        <f>IF($D206="","",COUNTIF(DESIGNAZIONI!Q$8:Q$2629,$D206))</f>
        <v/>
      </c>
      <c r="O206" s="64">
        <f>IF($D206="","",COUNTIF(DESIGNAZIONI!R$8:R$2629,$D206))</f>
        <v/>
      </c>
    </row>
    <row r="207">
      <c r="C207" s="224" t="n"/>
      <c r="D207" s="13" t="inlineStr">
        <is>
          <t>KRUGER Valerie</t>
        </is>
      </c>
      <c r="E207" s="220" t="n"/>
      <c r="L207" s="64">
        <f>IF($D207="","",SUM(M207:O207))</f>
        <v/>
      </c>
      <c r="M207" s="64">
        <f>IF($D207="","",COUNTIF(DESIGNAZIONI!P$8:P$2629,$D207))</f>
        <v/>
      </c>
      <c r="N207" s="64">
        <f>IF($D207="","",COUNTIF(DESIGNAZIONI!Q$8:Q$2629,$D207))</f>
        <v/>
      </c>
      <c r="O207" s="64">
        <f>IF($D207="","",COUNTIF(DESIGNAZIONI!R$8:R$2629,$D207))</f>
        <v/>
      </c>
    </row>
    <row r="208">
      <c r="C208" s="224" t="n"/>
      <c r="D208" s="13" t="inlineStr">
        <is>
          <t>ZUPAN Greta</t>
        </is>
      </c>
      <c r="E208" s="220" t="n"/>
      <c r="L208" s="64">
        <f>IF($D208="","",SUM(M208:O208))</f>
        <v/>
      </c>
      <c r="M208" s="64">
        <f>IF($D208="","",COUNTIF(DESIGNAZIONI!P$8:P$2629,$D208))</f>
        <v/>
      </c>
      <c r="N208" s="64">
        <f>IF($D208="","",COUNTIF(DESIGNAZIONI!Q$8:Q$2629,$D208))</f>
        <v/>
      </c>
      <c r="O208" s="64">
        <f>IF($D208="","",COUNTIF(DESIGNAZIONI!R$8:R$2629,$D208))</f>
        <v/>
      </c>
    </row>
    <row r="209">
      <c r="C209" s="224" t="n"/>
      <c r="D209" s="13" t="inlineStr">
        <is>
          <t>ENGEL Martina</t>
        </is>
      </c>
      <c r="E209" s="220" t="n"/>
      <c r="L209" s="64">
        <f>IF($D209="","",SUM(M209:O209))</f>
        <v/>
      </c>
      <c r="M209" s="64">
        <f>IF($D209="","",COUNTIF(DESIGNAZIONI!P$8:P$2629,$D209))</f>
        <v/>
      </c>
      <c r="N209" s="64">
        <f>IF($D209="","",COUNTIF(DESIGNAZIONI!Q$8:Q$2629,$D209))</f>
        <v/>
      </c>
      <c r="O209" s="64">
        <f>IF($D209="","",COUNTIF(DESIGNAZIONI!R$8:R$2629,$D209))</f>
        <v/>
      </c>
    </row>
    <row r="210">
      <c r="C210" s="224" t="n"/>
      <c r="D210" s="13" t="inlineStr">
        <is>
          <t>LEROUX Beatrice</t>
        </is>
      </c>
      <c r="E210" s="220" t="n"/>
      <c r="L210" s="64">
        <f>IF($D210="","",SUM(M210:O210))</f>
        <v/>
      </c>
      <c r="M210" s="64">
        <f>IF($D210="","",COUNTIF(DESIGNAZIONI!P$8:P$2629,$D210))</f>
        <v/>
      </c>
      <c r="N210" s="64">
        <f>IF($D210="","",COUNTIF(DESIGNAZIONI!Q$8:Q$2629,$D210))</f>
        <v/>
      </c>
      <c r="O210" s="64">
        <f>IF($D210="","",COUNTIF(DESIGNAZIONI!R$8:R$2629,$D210))</f>
        <v/>
      </c>
    </row>
    <row r="211">
      <c r="C211" s="224" t="n"/>
      <c r="D211" s="13" t="inlineStr">
        <is>
          <t>AUBERT Giulia</t>
        </is>
      </c>
      <c r="E211" s="220" t="n"/>
      <c r="L211" s="64">
        <f>IF($D211="","",SUM(M211:O211))</f>
        <v/>
      </c>
      <c r="M211" s="64">
        <f>IF($D211="","",COUNTIF(DESIGNAZIONI!P$8:P$2629,$D211))</f>
        <v/>
      </c>
      <c r="N211" s="64">
        <f>IF($D211="","",COUNTIF(DESIGNAZIONI!Q$8:Q$2629,$D211))</f>
        <v/>
      </c>
      <c r="O211" s="64">
        <f>IF($D211="","",COUNTIF(DESIGNAZIONI!R$8:R$2629,$D211))</f>
        <v/>
      </c>
    </row>
    <row r="212">
      <c r="C212" s="224" t="n"/>
      <c r="D212" s="13" t="inlineStr">
        <is>
          <t>MODIC Jonas</t>
        </is>
      </c>
      <c r="E212" s="220" t="n"/>
      <c r="L212" s="64">
        <f>IF($D212="","",SUM(M212:O212))</f>
        <v/>
      </c>
      <c r="M212" s="64">
        <f>IF($D212="","",COUNTIF(DESIGNAZIONI!P$8:P$2629,$D212))</f>
        <v/>
      </c>
      <c r="N212" s="64">
        <f>IF($D212="","",COUNTIF(DESIGNAZIONI!Q$8:Q$2629,$D212))</f>
        <v/>
      </c>
      <c r="O212" s="64">
        <f>IF($D212="","",COUNTIF(DESIGNAZIONI!R$8:R$2629,$D212))</f>
        <v/>
      </c>
    </row>
    <row r="213">
      <c r="C213" s="224" t="n"/>
      <c r="D213" s="13" t="inlineStr">
        <is>
          <t>SANTORI Eva</t>
        </is>
      </c>
      <c r="E213" s="220" t="n"/>
      <c r="L213" s="64">
        <f>IF($D213="","",SUM(M213:O213))</f>
        <v/>
      </c>
      <c r="M213" s="64">
        <f>IF($D213="","",COUNTIF(DESIGNAZIONI!P$8:P$2629,$D213))</f>
        <v/>
      </c>
      <c r="N213" s="64">
        <f>IF($D213="","",COUNTIF(DESIGNAZIONI!Q$8:Q$2629,$D213))</f>
        <v/>
      </c>
      <c r="O213" s="64">
        <f>IF($D213="","",COUNTIF(DESIGNAZIONI!R$8:R$2629,$D213))</f>
        <v/>
      </c>
    </row>
    <row r="214">
      <c r="C214" s="224" t="n"/>
      <c r="D214" s="13" t="inlineStr">
        <is>
          <t>PETERLIN Martina</t>
        </is>
      </c>
      <c r="E214" s="220" t="n"/>
      <c r="L214" s="64">
        <f>IF($D214="","",SUM(M214:O214))</f>
        <v/>
      </c>
      <c r="M214" s="64">
        <f>IF($D214="","",COUNTIF(DESIGNAZIONI!P$8:P$2629,$D214))</f>
        <v/>
      </c>
      <c r="N214" s="64">
        <f>IF($D214="","",COUNTIF(DESIGNAZIONI!Q$8:Q$2629,$D214))</f>
        <v/>
      </c>
      <c r="O214" s="64">
        <f>IF($D214="","",COUNTIF(DESIGNAZIONI!R$8:R$2629,$D214))</f>
        <v/>
      </c>
    </row>
    <row r="215">
      <c r="C215" s="224" t="n"/>
      <c r="D215" s="13" t="inlineStr">
        <is>
          <t>IGLESIAS Paula</t>
        </is>
      </c>
      <c r="E215" s="220" t="n"/>
      <c r="L215" s="64">
        <f>IF($D215="","",SUM(M215:O215))</f>
        <v/>
      </c>
      <c r="M215" s="64">
        <f>IF($D215="","",COUNTIF(DESIGNAZIONI!P$8:P$2629,$D215))</f>
        <v/>
      </c>
      <c r="N215" s="64">
        <f>IF($D215="","",COUNTIF(DESIGNAZIONI!Q$8:Q$2629,$D215))</f>
        <v/>
      </c>
      <c r="O215" s="64">
        <f>IF($D215="","",COUNTIF(DESIGNAZIONI!R$8:R$2629,$D215))</f>
        <v/>
      </c>
    </row>
    <row r="216">
      <c r="C216" s="224" t="n"/>
      <c r="D216" s="13" t="inlineStr">
        <is>
          <t>BIANCHELLI Ottavia</t>
        </is>
      </c>
      <c r="E216" s="220" t="n"/>
      <c r="L216" s="64">
        <f>IF($D216="","",SUM(M216:O216))</f>
        <v/>
      </c>
      <c r="M216" s="64">
        <f>IF($D216="","",COUNTIF(DESIGNAZIONI!P$8:P$2629,$D216))</f>
        <v/>
      </c>
      <c r="N216" s="64">
        <f>IF($D216="","",COUNTIF(DESIGNAZIONI!Q$8:Q$2629,$D216))</f>
        <v/>
      </c>
      <c r="O216" s="64">
        <f>IF($D216="","",COUNTIF(DESIGNAZIONI!R$8:R$2629,$D216))</f>
        <v/>
      </c>
    </row>
    <row r="217">
      <c r="C217" s="224" t="n"/>
      <c r="D217" s="13" t="inlineStr">
        <is>
          <t>SOLER Gaelle</t>
        </is>
      </c>
      <c r="E217" s="220" t="n"/>
      <c r="L217" s="64">
        <f>IF($D217="","",SUM(M217:O217))</f>
        <v/>
      </c>
      <c r="M217" s="64">
        <f>IF($D217="","",COUNTIF(DESIGNAZIONI!P$8:P$2629,$D217))</f>
        <v/>
      </c>
      <c r="N217" s="64">
        <f>IF($D217="","",COUNTIF(DESIGNAZIONI!Q$8:Q$2629,$D217))</f>
        <v/>
      </c>
      <c r="O217" s="64">
        <f>IF($D217="","",COUNTIF(DESIGNAZIONI!R$8:R$2629,$D217))</f>
        <v/>
      </c>
    </row>
    <row r="218">
      <c r="C218" s="224" t="n"/>
      <c r="D218" s="13" t="inlineStr">
        <is>
          <t>PRADO Elena</t>
        </is>
      </c>
      <c r="E218" s="220" t="n"/>
      <c r="L218" s="64">
        <f>IF($D218="","",SUM(M218:O218))</f>
        <v/>
      </c>
      <c r="M218" s="64">
        <f>IF($D218="","",COUNTIF(DESIGNAZIONI!P$8:P$2629,$D218))</f>
        <v/>
      </c>
      <c r="N218" s="64">
        <f>IF($D218="","",COUNTIF(DESIGNAZIONI!Q$8:Q$2629,$D218))</f>
        <v/>
      </c>
      <c r="O218" s="64">
        <f>IF($D218="","",COUNTIF(DESIGNAZIONI!R$8:R$2629,$D218))</f>
        <v/>
      </c>
    </row>
    <row r="219">
      <c r="C219" s="224" t="n"/>
      <c r="D219" s="13" t="inlineStr">
        <is>
          <t>NAVARRO Lea</t>
        </is>
      </c>
      <c r="E219" s="220" t="n"/>
      <c r="L219" s="64">
        <f>IF($D219="","",SUM(M219:O219))</f>
        <v/>
      </c>
      <c r="M219" s="64">
        <f>IF($D219="","",COUNTIF(DESIGNAZIONI!P$8:P$2629,$D219))</f>
        <v/>
      </c>
      <c r="N219" s="64">
        <f>IF($D219="","",COUNTIF(DESIGNAZIONI!Q$8:Q$2629,$D219))</f>
        <v/>
      </c>
      <c r="O219" s="64">
        <f>IF($D219="","",COUNTIF(DESIGNAZIONI!R$8:R$2629,$D219))</f>
        <v/>
      </c>
    </row>
    <row r="220">
      <c r="C220" s="224" t="n"/>
      <c r="D220" s="13" t="inlineStr">
        <is>
          <t>FOURNIER Stefano</t>
        </is>
      </c>
      <c r="E220" s="220" t="n"/>
      <c r="L220" s="64">
        <f>IF($D220="","",SUM(M220:O220))</f>
        <v/>
      </c>
      <c r="M220" s="64">
        <f>IF($D220="","",COUNTIF(DESIGNAZIONI!P$8:P$2629,$D220))</f>
        <v/>
      </c>
      <c r="N220" s="64">
        <f>IF($D220="","",COUNTIF(DESIGNAZIONI!Q$8:Q$2629,$D220))</f>
        <v/>
      </c>
      <c r="O220" s="64">
        <f>IF($D220="","",COUNTIF(DESIGNAZIONI!R$8:R$2629,$D220))</f>
        <v/>
      </c>
    </row>
    <row r="221">
      <c r="C221" s="224" t="n"/>
      <c r="D221" s="13" t="inlineStr">
        <is>
          <t>IGLESIAS Chiara</t>
        </is>
      </c>
      <c r="E221" s="220" t="n"/>
      <c r="L221" s="64">
        <f>IF($D221="","",SUM(M221:O221))</f>
        <v/>
      </c>
      <c r="M221" s="64">
        <f>IF($D221="","",COUNTIF(DESIGNAZIONI!P$8:P$2629,$D221))</f>
        <v/>
      </c>
      <c r="N221" s="64">
        <f>IF($D221="","",COUNTIF(DESIGNAZIONI!Q$8:Q$2629,$D221))</f>
        <v/>
      </c>
      <c r="O221" s="64">
        <f>IF($D221="","",COUNTIF(DESIGNAZIONI!R$8:R$2629,$D221))</f>
        <v/>
      </c>
    </row>
    <row r="222">
      <c r="C222" s="224" t="n"/>
      <c r="D222" s="13" t="inlineStr">
        <is>
          <t>KRUGER Vid</t>
        </is>
      </c>
      <c r="E222" s="220" t="n"/>
      <c r="L222" s="64">
        <f>IF($D222="","",SUM(M222:O222))</f>
        <v/>
      </c>
      <c r="M222" s="64">
        <f>IF($D222="","",COUNTIF(DESIGNAZIONI!P$8:P$2629,$D222))</f>
        <v/>
      </c>
      <c r="N222" s="64">
        <f>IF($D222="","",COUNTIF(DESIGNAZIONI!Q$8:Q$2629,$D222))</f>
        <v/>
      </c>
      <c r="O222" s="64">
        <f>IF($D222="","",COUNTIF(DESIGNAZIONI!R$8:R$2629,$D222))</f>
        <v/>
      </c>
    </row>
    <row r="223">
      <c r="C223" s="224" t="n"/>
      <c r="D223" s="13" t="inlineStr">
        <is>
          <t>BLANCHET Tommaso</t>
        </is>
      </c>
      <c r="E223" s="220" t="n"/>
      <c r="L223" s="64">
        <f>IF($D223="","",SUM(M223:O223))</f>
        <v/>
      </c>
      <c r="M223" s="64">
        <f>IF($D223="","",COUNTIF(DESIGNAZIONI!P$8:P$2629,$D223))</f>
        <v/>
      </c>
      <c r="N223" s="64">
        <f>IF($D223="","",COUNTIF(DESIGNAZIONI!Q$8:Q$2629,$D223))</f>
        <v/>
      </c>
      <c r="O223" s="64">
        <f>IF($D223="","",COUNTIF(DESIGNAZIONI!R$8:R$2629,$D223))</f>
        <v/>
      </c>
    </row>
    <row r="224">
      <c r="C224" s="224" t="n"/>
      <c r="D224" s="13" t="inlineStr">
        <is>
          <t>GAUTHIER Matteo</t>
        </is>
      </c>
      <c r="E224" s="220" t="n"/>
      <c r="L224" s="64">
        <f>IF($D224="","",SUM(M224:O224))</f>
        <v/>
      </c>
      <c r="M224" s="64">
        <f>IF($D224="","",COUNTIF(DESIGNAZIONI!P$8:P$2629,$D224))</f>
        <v/>
      </c>
      <c r="N224" s="64">
        <f>IF($D224="","",COUNTIF(DESIGNAZIONI!Q$8:Q$2629,$D224))</f>
        <v/>
      </c>
      <c r="O224" s="64">
        <f>IF($D224="","",COUNTIF(DESIGNAZIONI!R$8:R$2629,$D224))</f>
        <v/>
      </c>
    </row>
    <row r="225">
      <c r="C225" s="224" t="n"/>
      <c r="D225" s="13" t="inlineStr">
        <is>
          <t>LEFEVRE Tommaso</t>
        </is>
      </c>
      <c r="E225" s="220" t="n"/>
      <c r="L225" s="64">
        <f>IF($D225="","",SUM(M225:O225))</f>
        <v/>
      </c>
      <c r="M225" s="64">
        <f>IF($D225="","",COUNTIF(DESIGNAZIONI!P$8:P$2629,$D225))</f>
        <v/>
      </c>
      <c r="N225" s="64">
        <f>IF($D225="","",COUNTIF(DESIGNAZIONI!Q$8:Q$2629,$D225))</f>
        <v/>
      </c>
      <c r="O225" s="64">
        <f>IF($D225="","",COUNTIF(DESIGNAZIONI!R$8:R$2629,$D225))</f>
        <v/>
      </c>
    </row>
    <row r="226">
      <c r="C226" s="224" t="n"/>
      <c r="D226" s="13" t="inlineStr">
        <is>
          <t>CAMPOS Martina</t>
        </is>
      </c>
      <c r="E226" s="220" t="n"/>
      <c r="L226" s="64">
        <f>IF($D226="","",SUM(M226:O226))</f>
        <v/>
      </c>
      <c r="M226" s="64">
        <f>IF($D226="","",COUNTIF(DESIGNAZIONI!P$8:P$2629,$D226))</f>
        <v/>
      </c>
      <c r="N226" s="64">
        <f>IF($D226="","",COUNTIF(DESIGNAZIONI!Q$8:Q$2629,$D226))</f>
        <v/>
      </c>
      <c r="O226" s="64">
        <f>IF($D226="","",COUNTIF(DESIGNAZIONI!R$8:R$2629,$D226))</f>
        <v/>
      </c>
    </row>
    <row r="227">
      <c r="C227" s="224" t="n"/>
      <c r="D227" s="13" t="inlineStr">
        <is>
          <t>GAUTHIER Pablo</t>
        </is>
      </c>
      <c r="E227" s="220" t="n"/>
      <c r="L227" s="64">
        <f>IF($D227="","",SUM(M227:O227))</f>
        <v/>
      </c>
      <c r="M227" s="64">
        <f>IF($D227="","",COUNTIF(DESIGNAZIONI!P$8:P$2629,$D227))</f>
        <v/>
      </c>
      <c r="N227" s="64">
        <f>IF($D227="","",COUNTIF(DESIGNAZIONI!Q$8:Q$2629,$D227))</f>
        <v/>
      </c>
      <c r="O227" s="64">
        <f>IF($D227="","",COUNTIF(DESIGNAZIONI!R$8:R$2629,$D227))</f>
        <v/>
      </c>
    </row>
    <row r="228">
      <c r="C228" s="224" t="n"/>
      <c r="D228" s="13" t="inlineStr">
        <is>
          <t>BIANCHELLI Eva</t>
        </is>
      </c>
      <c r="E228" s="220" t="n"/>
      <c r="L228" s="64">
        <f>IF($D228="","",SUM(M228:O228))</f>
        <v/>
      </c>
      <c r="M228" s="64">
        <f>IF($D228="","",COUNTIF(DESIGNAZIONI!P$8:P$2629,$D228))</f>
        <v/>
      </c>
      <c r="N228" s="64">
        <f>IF($D228="","",COUNTIF(DESIGNAZIONI!Q$8:Q$2629,$D228))</f>
        <v/>
      </c>
      <c r="O228" s="64">
        <f>IF($D228="","",COUNTIF(DESIGNAZIONI!R$8:R$2629,$D228))</f>
        <v/>
      </c>
    </row>
    <row r="229">
      <c r="C229" s="224" t="n"/>
      <c r="D229" s="13" t="inlineStr">
        <is>
          <t>KRUGER Katrin</t>
        </is>
      </c>
      <c r="E229" s="220" t="n"/>
      <c r="L229" s="64">
        <f>IF($D229="","",SUM(M229:O229))</f>
        <v/>
      </c>
      <c r="M229" s="64">
        <f>IF($D229="","",COUNTIF(DESIGNAZIONI!P$8:P$2629,$D229))</f>
        <v/>
      </c>
      <c r="N229" s="64">
        <f>IF($D229="","",COUNTIF(DESIGNAZIONI!Q$8:Q$2629,$D229))</f>
        <v/>
      </c>
      <c r="O229" s="64">
        <f>IF($D229="","",COUNTIF(DESIGNAZIONI!R$8:R$2629,$D229))</f>
        <v/>
      </c>
    </row>
    <row r="230">
      <c r="C230" s="224" t="n"/>
      <c r="D230" s="13" t="inlineStr">
        <is>
          <t>MODIC Marco</t>
        </is>
      </c>
      <c r="E230" s="220" t="n"/>
      <c r="L230" s="64">
        <f>IF($D230="","",SUM(M230:O230))</f>
        <v/>
      </c>
      <c r="M230" s="64">
        <f>IF($D230="","",COUNTIF(DESIGNAZIONI!P$8:P$2629,$D230))</f>
        <v/>
      </c>
      <c r="N230" s="64">
        <f>IF($D230="","",COUNTIF(DESIGNAZIONI!Q$8:Q$2629,$D230))</f>
        <v/>
      </c>
      <c r="O230" s="64">
        <f>IF($D230="","",COUNTIF(DESIGNAZIONI!R$8:R$2629,$D230))</f>
        <v/>
      </c>
    </row>
    <row r="231">
      <c r="C231" s="224" t="n"/>
      <c r="D231" s="13" t="inlineStr">
        <is>
          <t>GALLINI Gaelle</t>
        </is>
      </c>
      <c r="E231" s="220" t="n"/>
      <c r="L231" s="64">
        <f>IF($D231="","",SUM(M231:O231))</f>
        <v/>
      </c>
      <c r="M231" s="64">
        <f>IF($D231="","",COUNTIF(DESIGNAZIONI!P$8:P$2629,$D231))</f>
        <v/>
      </c>
      <c r="N231" s="64">
        <f>IF($D231="","",COUNTIF(DESIGNAZIONI!Q$8:Q$2629,$D231))</f>
        <v/>
      </c>
      <c r="O231" s="64">
        <f>IF($D231="","",COUNTIF(DESIGNAZIONI!R$8:R$2629,$D231))</f>
        <v/>
      </c>
    </row>
    <row r="232">
      <c r="C232" s="224" t="n"/>
      <c r="D232" s="13" t="inlineStr">
        <is>
          <t>ZUPAN Elena</t>
        </is>
      </c>
      <c r="E232" s="220" t="n"/>
      <c r="L232" s="64">
        <f>IF($D232="","",SUM(M232:O232))</f>
        <v/>
      </c>
      <c r="M232" s="64">
        <f>IF($D232="","",COUNTIF(DESIGNAZIONI!P$8:P$2629,$D232))</f>
        <v/>
      </c>
      <c r="N232" s="64">
        <f>IF($D232="","",COUNTIF(DESIGNAZIONI!Q$8:Q$2629,$D232))</f>
        <v/>
      </c>
      <c r="O232" s="64">
        <f>IF($D232="","",COUNTIF(DESIGNAZIONI!R$8:R$2629,$D232))</f>
        <v/>
      </c>
    </row>
    <row r="233">
      <c r="C233" s="224" t="n"/>
      <c r="D233" s="13" t="inlineStr">
        <is>
          <t>FERRANTE Nicola</t>
        </is>
      </c>
      <c r="E233" s="220" t="n"/>
      <c r="L233" s="64">
        <f>IF($D233="","",SUM(M233:O233))</f>
        <v/>
      </c>
      <c r="M233" s="64">
        <f>IF($D233="","",COUNTIF(DESIGNAZIONI!P$8:P$2629,$D233))</f>
        <v/>
      </c>
      <c r="N233" s="64">
        <f>IF($D233="","",COUNTIF(DESIGNAZIONI!Q$8:Q$2629,$D233))</f>
        <v/>
      </c>
      <c r="O233" s="64">
        <f>IF($D233="","",COUNTIF(DESIGNAZIONI!R$8:R$2629,$D233))</f>
        <v/>
      </c>
    </row>
    <row r="234">
      <c r="C234" s="224" t="n"/>
      <c r="D234" s="13" t="inlineStr">
        <is>
          <t>GALLINI Irene</t>
        </is>
      </c>
      <c r="E234" s="220" t="n"/>
      <c r="L234" s="64">
        <f>IF($D234="","",SUM(M234:O234))</f>
        <v/>
      </c>
      <c r="M234" s="64">
        <f>IF($D234="","",COUNTIF(DESIGNAZIONI!P$8:P$2629,$D234))</f>
        <v/>
      </c>
      <c r="N234" s="64">
        <f>IF($D234="","",COUNTIF(DESIGNAZIONI!Q$8:Q$2629,$D234))</f>
        <v/>
      </c>
      <c r="O234" s="64">
        <f>IF($D234="","",COUNTIF(DESIGNAZIONI!R$8:R$2629,$D234))</f>
        <v/>
      </c>
    </row>
    <row r="235">
      <c r="C235" s="224" t="n"/>
      <c r="D235" s="13" t="inlineStr">
        <is>
          <t>ROMERO Elena</t>
        </is>
      </c>
      <c r="E235" s="220" t="n"/>
      <c r="L235" s="64">
        <f>IF($D235="","",SUM(M235:O235))</f>
        <v/>
      </c>
      <c r="M235" s="64">
        <f>IF($D235="","",COUNTIF(DESIGNAZIONI!P$8:P$2629,$D235))</f>
        <v/>
      </c>
      <c r="N235" s="64">
        <f>IF($D235="","",COUNTIF(DESIGNAZIONI!Q$8:Q$2629,$D235))</f>
        <v/>
      </c>
      <c r="O235" s="64">
        <f>IF($D235="","",COUNTIF(DESIGNAZIONI!R$8:R$2629,$D235))</f>
        <v/>
      </c>
    </row>
    <row r="236">
      <c r="C236" s="224" t="n"/>
      <c r="D236" s="13" t="inlineStr">
        <is>
          <t>BLANCO Irene</t>
        </is>
      </c>
      <c r="E236" s="220" t="n"/>
      <c r="L236" s="64">
        <f>IF($D236="","",SUM(M236:O236))</f>
        <v/>
      </c>
      <c r="M236" s="64">
        <f>IF($D236="","",COUNTIF(DESIGNAZIONI!P$8:P$2629,$D236))</f>
        <v/>
      </c>
      <c r="N236" s="64">
        <f>IF($D236="","",COUNTIF(DESIGNAZIONI!Q$8:Q$2629,$D236))</f>
        <v/>
      </c>
      <c r="O236" s="64">
        <f>IF($D236="","",COUNTIF(DESIGNAZIONI!R$8:R$2629,$D236))</f>
        <v/>
      </c>
    </row>
    <row r="237">
      <c r="C237" s="224" t="n"/>
      <c r="D237" s="13" t="inlineStr">
        <is>
          <t>MARCHIONI Nicola</t>
        </is>
      </c>
      <c r="E237" s="220" t="n"/>
      <c r="L237" s="64">
        <f>IF($D237="","",SUM(M237:O237))</f>
        <v/>
      </c>
      <c r="M237" s="64">
        <f>IF($D237="","",COUNTIF(DESIGNAZIONI!P$8:P$2629,$D237))</f>
        <v/>
      </c>
      <c r="N237" s="64">
        <f>IF($D237="","",COUNTIF(DESIGNAZIONI!Q$8:Q$2629,$D237))</f>
        <v/>
      </c>
      <c r="O237" s="64">
        <f>IF($D237="","",COUNTIF(DESIGNAZIONI!R$8:R$2629,$D237))</f>
        <v/>
      </c>
    </row>
    <row r="238">
      <c r="C238" s="224" t="n"/>
      <c r="D238" s="13" t="inlineStr">
        <is>
          <t>BELLANDI Hugo</t>
        </is>
      </c>
      <c r="E238" s="220" t="n"/>
      <c r="L238" s="64">
        <f>IF($D238="","",SUM(M238:O238))</f>
        <v/>
      </c>
      <c r="M238" s="64">
        <f>IF($D238="","",COUNTIF(DESIGNAZIONI!P$8:P$2629,$D238))</f>
        <v/>
      </c>
      <c r="N238" s="64">
        <f>IF($D238="","",COUNTIF(DESIGNAZIONI!Q$8:Q$2629,$D238))</f>
        <v/>
      </c>
      <c r="O238" s="64">
        <f>IF($D238="","",COUNTIF(DESIGNAZIONI!R$8:R$2629,$D238))</f>
        <v/>
      </c>
    </row>
    <row r="239">
      <c r="C239" s="224" t="n"/>
      <c r="D239" s="13" t="inlineStr">
        <is>
          <t>KOVAC Martina</t>
        </is>
      </c>
      <c r="E239" s="220" t="n"/>
      <c r="L239" s="64">
        <f>IF($D239="","",SUM(M239:O239))</f>
        <v/>
      </c>
      <c r="M239" s="64">
        <f>IF($D239="","",COUNTIF(DESIGNAZIONI!P$8:P$2629,$D239))</f>
        <v/>
      </c>
      <c r="N239" s="64">
        <f>IF($D239="","",COUNTIF(DESIGNAZIONI!Q$8:Q$2629,$D239))</f>
        <v/>
      </c>
      <c r="O239" s="64">
        <f>IF($D239="","",COUNTIF(DESIGNAZIONI!R$8:R$2629,$D239))</f>
        <v/>
      </c>
    </row>
    <row r="240">
      <c r="C240" s="224" t="n"/>
      <c r="D240" s="13" t="inlineStr">
        <is>
          <t>KELLER Ottavia</t>
        </is>
      </c>
      <c r="E240" s="220" t="n"/>
      <c r="L240" s="64">
        <f>IF($D240="","",SUM(M240:O240))</f>
        <v/>
      </c>
      <c r="M240" s="64">
        <f>IF($D240="","",COUNTIF(DESIGNAZIONI!P$8:P$2629,$D240))</f>
        <v/>
      </c>
      <c r="N240" s="64">
        <f>IF($D240="","",COUNTIF(DESIGNAZIONI!Q$8:Q$2629,$D240))</f>
        <v/>
      </c>
      <c r="O240" s="64">
        <f>IF($D240="","",COUNTIF(DESIGNAZIONI!R$8:R$2629,$D240))</f>
        <v/>
      </c>
    </row>
    <row r="241">
      <c r="C241" s="224" t="n"/>
      <c r="D241" s="13" t="inlineStr">
        <is>
          <t>KELLER Stefano</t>
        </is>
      </c>
      <c r="E241" s="220" t="n"/>
      <c r="L241" s="64">
        <f>IF($D241="","",SUM(M241:O241))</f>
        <v/>
      </c>
      <c r="M241" s="64">
        <f>IF($D241="","",COUNTIF(DESIGNAZIONI!P$8:P$2629,$D241))</f>
        <v/>
      </c>
      <c r="N241" s="64">
        <f>IF($D241="","",COUNTIF(DESIGNAZIONI!Q$8:Q$2629,$D241))</f>
        <v/>
      </c>
      <c r="O241" s="64">
        <f>IF($D241="","",COUNTIF(DESIGNAZIONI!R$8:R$2629,$D241))</f>
        <v/>
      </c>
    </row>
    <row r="242">
      <c r="C242" s="224" t="n"/>
      <c r="D242" s="13" t="inlineStr">
        <is>
          <t>ORTEGA Filippo</t>
        </is>
      </c>
      <c r="E242" s="220" t="n"/>
      <c r="L242" s="64">
        <f>IF($D242="","",SUM(M242:O242))</f>
        <v/>
      </c>
      <c r="M242" s="64">
        <f>IF($D242="","",COUNTIF(DESIGNAZIONI!P$8:P$2629,$D242))</f>
        <v/>
      </c>
      <c r="N242" s="64">
        <f>IF($D242="","",COUNTIF(DESIGNAZIONI!Q$8:Q$2629,$D242))</f>
        <v/>
      </c>
      <c r="O242" s="64">
        <f>IF($D242="","",COUNTIF(DESIGNAZIONI!R$8:R$2629,$D242))</f>
        <v/>
      </c>
    </row>
    <row r="243">
      <c r="C243" s="224" t="n"/>
      <c r="D243" s="13" t="inlineStr">
        <is>
          <t>FERRANTE Chiara</t>
        </is>
      </c>
      <c r="E243" s="220" t="n"/>
      <c r="L243" s="64">
        <f>IF($D243="","",SUM(M243:O243))</f>
        <v/>
      </c>
      <c r="M243" s="64">
        <f>IF($D243="","",COUNTIF(DESIGNAZIONI!P$8:P$2629,$D243))</f>
        <v/>
      </c>
      <c r="N243" s="64">
        <f>IF($D243="","",COUNTIF(DESIGNAZIONI!Q$8:Q$2629,$D243))</f>
        <v/>
      </c>
      <c r="O243" s="64">
        <f>IF($D243="","",COUNTIF(DESIGNAZIONI!R$8:R$2629,$D243))</f>
        <v/>
      </c>
    </row>
    <row r="244">
      <c r="C244" s="224" t="n"/>
      <c r="D244" s="13" t="inlineStr">
        <is>
          <t>GAUTHIER Davide</t>
        </is>
      </c>
      <c r="E244" s="220" t="n"/>
      <c r="L244" s="64">
        <f>IF($D244="","",SUM(M244:O244))</f>
        <v/>
      </c>
      <c r="M244" s="64">
        <f>IF($D244="","",COUNTIF(DESIGNAZIONI!P$8:P$2629,$D244))</f>
        <v/>
      </c>
      <c r="N244" s="64">
        <f>IF($D244="","",COUNTIF(DESIGNAZIONI!Q$8:Q$2629,$D244))</f>
        <v/>
      </c>
      <c r="O244" s="64">
        <f>IF($D244="","",COUNTIF(DESIGNAZIONI!R$8:R$2629,$D244))</f>
        <v/>
      </c>
    </row>
    <row r="245">
      <c r="C245" s="224" t="n"/>
      <c r="D245" s="13" t="inlineStr">
        <is>
          <t>PRADO Hugo</t>
        </is>
      </c>
      <c r="E245" s="220" t="n"/>
      <c r="L245" s="64">
        <f>IF($D245="","",SUM(M245:O245))</f>
        <v/>
      </c>
      <c r="M245" s="64">
        <f>IF($D245="","",COUNTIF(DESIGNAZIONI!P$8:P$2629,$D245))</f>
        <v/>
      </c>
      <c r="N245" s="64">
        <f>IF($D245="","",COUNTIF(DESIGNAZIONI!Q$8:Q$2629,$D245))</f>
        <v/>
      </c>
      <c r="O245" s="64">
        <f>IF($D245="","",COUNTIF(DESIGNAZIONI!R$8:R$2629,$D245))</f>
        <v/>
      </c>
    </row>
    <row r="246">
      <c r="C246" s="224" t="n"/>
      <c r="D246" s="13" t="inlineStr">
        <is>
          <t>VOGEL Davide</t>
        </is>
      </c>
      <c r="E246" s="220" t="n"/>
      <c r="L246" s="64">
        <f>IF($D246="","",SUM(M246:O246))</f>
        <v/>
      </c>
      <c r="M246" s="64">
        <f>IF($D246="","",COUNTIF(DESIGNAZIONI!P$8:P$2629,$D246))</f>
        <v/>
      </c>
      <c r="N246" s="64">
        <f>IF($D246="","",COUNTIF(DESIGNAZIONI!Q$8:Q$2629,$D246))</f>
        <v/>
      </c>
      <c r="O246" s="64">
        <f>IF($D246="","",COUNTIF(DESIGNAZIONI!R$8:R$2629,$D246))</f>
        <v/>
      </c>
    </row>
    <row r="247">
      <c r="C247" s="224" t="n"/>
      <c r="D247" s="13" t="inlineStr">
        <is>
          <t>MORETTO Anja</t>
        </is>
      </c>
      <c r="E247" s="220" t="n"/>
      <c r="L247" s="64">
        <f>IF($D247="","",SUM(M247:O247))</f>
        <v/>
      </c>
      <c r="M247" s="64">
        <f>IF($D247="","",COUNTIF(DESIGNAZIONI!P$8:P$2629,$D247))</f>
        <v/>
      </c>
      <c r="N247" s="64">
        <f>IF($D247="","",COUNTIF(DESIGNAZIONI!Q$8:Q$2629,$D247))</f>
        <v/>
      </c>
      <c r="O247" s="64">
        <f>IF($D247="","",COUNTIF(DESIGNAZIONI!R$8:R$2629,$D247))</f>
        <v/>
      </c>
    </row>
    <row r="248">
      <c r="C248" s="224" t="n"/>
      <c r="D248" s="13" t="inlineStr">
        <is>
          <t>BRANDT Paolo</t>
        </is>
      </c>
      <c r="E248" s="220" t="n"/>
      <c r="L248" s="64">
        <f>IF($D248="","",SUM(M248:O248))</f>
        <v/>
      </c>
      <c r="M248" s="64">
        <f>IF($D248="","",COUNTIF(DESIGNAZIONI!P$8:P$2629,$D248))</f>
        <v/>
      </c>
      <c r="N248" s="64">
        <f>IF($D248="","",COUNTIF(DESIGNAZIONI!Q$8:Q$2629,$D248))</f>
        <v/>
      </c>
      <c r="O248" s="64">
        <f>IF($D248="","",COUNTIF(DESIGNAZIONI!R$8:R$2629,$D248))</f>
        <v/>
      </c>
    </row>
    <row r="249">
      <c r="C249" s="224" t="n"/>
      <c r="D249" s="13" t="inlineStr">
        <is>
          <t>FERRANTE Hugo</t>
        </is>
      </c>
      <c r="E249" s="220" t="n"/>
      <c r="L249" s="64">
        <f>IF($D249="","",SUM(M249:O249))</f>
        <v/>
      </c>
      <c r="M249" s="64">
        <f>IF($D249="","",COUNTIF(DESIGNAZIONI!P$8:P$2629,$D249))</f>
        <v/>
      </c>
      <c r="N249" s="64">
        <f>IF($D249="","",COUNTIF(DESIGNAZIONI!Q$8:Q$2629,$D249))</f>
        <v/>
      </c>
      <c r="O249" s="64">
        <f>IF($D249="","",COUNTIF(DESIGNAZIONI!R$8:R$2629,$D249))</f>
        <v/>
      </c>
    </row>
    <row r="250">
      <c r="C250" s="224" t="n"/>
      <c r="D250" s="13" t="inlineStr">
        <is>
          <t>ZUPAN Luca</t>
        </is>
      </c>
      <c r="E250" s="220" t="n"/>
      <c r="L250" s="64">
        <f>IF($D250="","",SUM(M250:O250))</f>
        <v/>
      </c>
      <c r="M250" s="64">
        <f>IF($D250="","",COUNTIF(DESIGNAZIONI!P$8:P$2629,$D250))</f>
        <v/>
      </c>
      <c r="N250" s="64">
        <f>IF($D250="","",COUNTIF(DESIGNAZIONI!Q$8:Q$2629,$D250))</f>
        <v/>
      </c>
      <c r="O250" s="64">
        <f>IF($D250="","",COUNTIF(DESIGNAZIONI!R$8:R$2629,$D250))</f>
        <v/>
      </c>
    </row>
    <row r="251">
      <c r="C251" s="224" t="n"/>
      <c r="D251" s="13" t="inlineStr">
        <is>
          <t>KRUGER Marco</t>
        </is>
      </c>
      <c r="E251" s="220" t="n"/>
      <c r="L251" s="64">
        <f>IF($D251="","",SUM(M251:O251))</f>
        <v/>
      </c>
      <c r="M251" s="64">
        <f>IF($D251="","",COUNTIF(DESIGNAZIONI!P$8:P$2629,$D251))</f>
        <v/>
      </c>
      <c r="N251" s="64">
        <f>IF($D251="","",COUNTIF(DESIGNAZIONI!Q$8:Q$2629,$D251))</f>
        <v/>
      </c>
      <c r="O251" s="64">
        <f>IF($D251="","",COUNTIF(DESIGNAZIONI!R$8:R$2629,$D251))</f>
        <v/>
      </c>
    </row>
    <row r="252">
      <c r="C252" s="224" t="n"/>
      <c r="D252" s="13" t="inlineStr">
        <is>
          <t>NOVAK Ilaria</t>
        </is>
      </c>
      <c r="E252" s="220" t="n"/>
      <c r="L252" s="64">
        <f>IF($D252="","",SUM(M252:O252))</f>
        <v/>
      </c>
      <c r="M252" s="64">
        <f>IF($D252="","",COUNTIF(DESIGNAZIONI!P$8:P$2629,$D252))</f>
        <v/>
      </c>
      <c r="N252" s="64">
        <f>IF($D252="","",COUNTIF(DESIGNAZIONI!Q$8:Q$2629,$D252))</f>
        <v/>
      </c>
      <c r="O252" s="64">
        <f>IF($D252="","",COUNTIF(DESIGNAZIONI!R$8:R$2629,$D252))</f>
        <v/>
      </c>
    </row>
    <row r="253">
      <c r="C253" s="224" t="n"/>
      <c r="D253" s="13" t="inlineStr">
        <is>
          <t>MOREAU Vid</t>
        </is>
      </c>
      <c r="E253" s="220" t="n"/>
      <c r="L253" s="64">
        <f>IF($D253="","",SUM(M253:O253))</f>
        <v/>
      </c>
      <c r="M253" s="64">
        <f>IF($D253="","",COUNTIF(DESIGNAZIONI!P$8:P$2629,$D253))</f>
        <v/>
      </c>
      <c r="N253" s="64">
        <f>IF($D253="","",COUNTIF(DESIGNAZIONI!Q$8:Q$2629,$D253))</f>
        <v/>
      </c>
      <c r="O253" s="64">
        <f>IF($D253="","",COUNTIF(DESIGNAZIONI!R$8:R$2629,$D253))</f>
        <v/>
      </c>
    </row>
    <row r="254">
      <c r="C254" s="224" t="n"/>
      <c r="D254" s="13" t="inlineStr">
        <is>
          <t>SANTORI Filippo</t>
        </is>
      </c>
      <c r="E254" s="220" t="n"/>
      <c r="L254" s="64">
        <f>IF($D254="","",SUM(M254:O254))</f>
        <v/>
      </c>
      <c r="M254" s="64">
        <f>IF($D254="","",COUNTIF(DESIGNAZIONI!P$8:P$2629,$D254))</f>
        <v/>
      </c>
      <c r="N254" s="64">
        <f>IF($D254="","",COUNTIF(DESIGNAZIONI!Q$8:Q$2629,$D254))</f>
        <v/>
      </c>
      <c r="O254" s="64">
        <f>IF($D254="","",COUNTIF(DESIGNAZIONI!R$8:R$2629,$D254))</f>
        <v/>
      </c>
    </row>
    <row r="255">
      <c r="C255" s="224" t="n"/>
      <c r="D255" s="13" t="inlineStr">
        <is>
          <t>CONTARDI Felix</t>
        </is>
      </c>
      <c r="E255" s="220" t="n"/>
      <c r="L255" s="64">
        <f>IF($D255="","",SUM(M255:O255))</f>
        <v/>
      </c>
      <c r="M255" s="64">
        <f>IF($D255="","",COUNTIF(DESIGNAZIONI!P$8:P$2629,$D255))</f>
        <v/>
      </c>
      <c r="N255" s="64">
        <f>IF($D255="","",COUNTIF(DESIGNAZIONI!Q$8:Q$2629,$D255))</f>
        <v/>
      </c>
      <c r="O255" s="64">
        <f>IF($D255="","",COUNTIF(DESIGNAZIONI!R$8:R$2629,$D255))</f>
        <v/>
      </c>
    </row>
    <row r="256">
      <c r="C256" s="224" t="n"/>
      <c r="D256" s="13" t="inlineStr">
        <is>
          <t>KELLER Jonas</t>
        </is>
      </c>
      <c r="E256" s="220" t="n"/>
      <c r="L256" s="64">
        <f>IF($D256="","",SUM(M256:O256))</f>
        <v/>
      </c>
      <c r="M256" s="64">
        <f>IF($D256="","",COUNTIF(DESIGNAZIONI!P$8:P$2629,$D256))</f>
        <v/>
      </c>
      <c r="N256" s="64">
        <f>IF($D256="","",COUNTIF(DESIGNAZIONI!Q$8:Q$2629,$D256))</f>
        <v/>
      </c>
      <c r="O256" s="64">
        <f>IF($D256="","",COUNTIF(DESIGNAZIONI!R$8:R$2629,$D256))</f>
        <v/>
      </c>
    </row>
    <row r="257">
      <c r="C257" s="224" t="n"/>
      <c r="D257" s="13" t="inlineStr">
        <is>
          <t>ROTH Andrea</t>
        </is>
      </c>
      <c r="E257" s="220" t="n"/>
      <c r="L257" s="64">
        <f>IF($D257="","",SUM(M257:O257))</f>
        <v/>
      </c>
      <c r="M257" s="64">
        <f>IF($D257="","",COUNTIF(DESIGNAZIONI!P$8:P$2629,$D257))</f>
        <v/>
      </c>
      <c r="N257" s="64">
        <f>IF($D257="","",COUNTIF(DESIGNAZIONI!Q$8:Q$2629,$D257))</f>
        <v/>
      </c>
      <c r="O257" s="64">
        <f>IF($D257="","",COUNTIF(DESIGNAZIONI!R$8:R$2629,$D257))</f>
        <v/>
      </c>
    </row>
    <row r="258">
      <c r="C258" s="224" t="n"/>
      <c r="D258" s="13" t="inlineStr">
        <is>
          <t>CONTARDI Valerie</t>
        </is>
      </c>
      <c r="E258" s="220" t="n"/>
      <c r="L258" s="64">
        <f>IF($D258="","",SUM(M258:O258))</f>
        <v/>
      </c>
      <c r="M258" s="64">
        <f>IF($D258="","",COUNTIF(DESIGNAZIONI!P$8:P$2629,$D258))</f>
        <v/>
      </c>
      <c r="N258" s="64">
        <f>IF($D258="","",COUNTIF(DESIGNAZIONI!Q$8:Q$2629,$D258))</f>
        <v/>
      </c>
      <c r="O258" s="64">
        <f>IF($D258="","",COUNTIF(DESIGNAZIONI!R$8:R$2629,$D258))</f>
        <v/>
      </c>
    </row>
    <row r="259">
      <c r="C259" s="224" t="n"/>
      <c r="D259" s="13" t="inlineStr">
        <is>
          <t>SANTORI Pablo</t>
        </is>
      </c>
      <c r="E259" s="220" t="n"/>
      <c r="L259" s="64">
        <f>IF($D259="","",SUM(M259:O259))</f>
        <v/>
      </c>
      <c r="M259" s="64">
        <f>IF($D259="","",COUNTIF(DESIGNAZIONI!P$8:P$2629,$D259))</f>
        <v/>
      </c>
      <c r="N259" s="64">
        <f>IF($D259="","",COUNTIF(DESIGNAZIONI!Q$8:Q$2629,$D259))</f>
        <v/>
      </c>
      <c r="O259" s="64">
        <f>IF($D259="","",COUNTIF(DESIGNAZIONI!R$8:R$2629,$D259))</f>
        <v/>
      </c>
    </row>
    <row r="260">
      <c r="C260" s="224" t="n"/>
      <c r="D260" s="13" t="inlineStr">
        <is>
          <t>MARCHIONI Mathilde</t>
        </is>
      </c>
      <c r="E260" s="220" t="n"/>
      <c r="L260" s="64">
        <f>IF($D260="","",SUM(M260:O260))</f>
        <v/>
      </c>
      <c r="M260" s="64">
        <f>IF($D260="","",COUNTIF(DESIGNAZIONI!P$8:P$2629,$D260))</f>
        <v/>
      </c>
      <c r="N260" s="64">
        <f>IF($D260="","",COUNTIF(DESIGNAZIONI!Q$8:Q$2629,$D260))</f>
        <v/>
      </c>
      <c r="O260" s="64">
        <f>IF($D260="","",COUNTIF(DESIGNAZIONI!R$8:R$2629,$D260))</f>
        <v/>
      </c>
    </row>
    <row r="261">
      <c r="C261" s="224" t="n"/>
      <c r="D261" s="13" t="inlineStr">
        <is>
          <t>IGLESIAS Eva</t>
        </is>
      </c>
      <c r="E261" s="220" t="n"/>
      <c r="L261" s="64">
        <f>IF($D261="","",SUM(M261:O261))</f>
        <v/>
      </c>
      <c r="M261" s="64">
        <f>IF($D261="","",COUNTIF(DESIGNAZIONI!P$8:P$2629,$D261))</f>
        <v/>
      </c>
      <c r="N261" s="64">
        <f>IF($D261="","",COUNTIF(DESIGNAZIONI!Q$8:Q$2629,$D261))</f>
        <v/>
      </c>
      <c r="O261" s="64">
        <f>IF($D261="","",COUNTIF(DESIGNAZIONI!R$8:R$2629,$D261))</f>
        <v/>
      </c>
    </row>
    <row r="262">
      <c r="C262" s="224" t="n"/>
      <c r="D262" s="13" t="inlineStr">
        <is>
          <t>ENGEL Ottavia</t>
        </is>
      </c>
      <c r="E262" s="220" t="n"/>
      <c r="L262" s="64">
        <f>IF($D262="","",SUM(M262:O262))</f>
        <v/>
      </c>
      <c r="M262" s="64">
        <f>IF($D262="","",COUNTIF(DESIGNAZIONI!P$8:P$2629,$D262))</f>
        <v/>
      </c>
      <c r="N262" s="64">
        <f>IF($D262="","",COUNTIF(DESIGNAZIONI!Q$8:Q$2629,$D262))</f>
        <v/>
      </c>
      <c r="O262" s="64">
        <f>IF($D262="","",COUNTIF(DESIGNAZIONI!R$8:R$2629,$D262))</f>
        <v/>
      </c>
    </row>
    <row r="263">
      <c r="C263" s="224" t="n"/>
      <c r="D263" s="13" t="inlineStr">
        <is>
          <t>CAMPOS Jonas</t>
        </is>
      </c>
      <c r="E263" s="220" t="n"/>
      <c r="L263" s="64">
        <f>IF($D263="","",SUM(M263:O263))</f>
        <v/>
      </c>
      <c r="M263" s="64">
        <f>IF($D263="","",COUNTIF(DESIGNAZIONI!P$8:P$2629,$D263))</f>
        <v/>
      </c>
      <c r="N263" s="64">
        <f>IF($D263="","",COUNTIF(DESIGNAZIONI!Q$8:Q$2629,$D263))</f>
        <v/>
      </c>
      <c r="O263" s="64">
        <f>IF($D263="","",COUNTIF(DESIGNAZIONI!R$8:R$2629,$D263))</f>
        <v/>
      </c>
    </row>
    <row r="264">
      <c r="C264" s="224" t="n"/>
      <c r="D264" s="13" t="inlineStr">
        <is>
          <t>AUBERT Lea</t>
        </is>
      </c>
      <c r="E264" s="220" t="n"/>
      <c r="L264" s="64">
        <f>IF($D264="","",SUM(M264:O264))</f>
        <v/>
      </c>
      <c r="M264" s="64">
        <f>IF($D264="","",COUNTIF(DESIGNAZIONI!P$8:P$2629,$D264))</f>
        <v/>
      </c>
      <c r="N264" s="64">
        <f>IF($D264="","",COUNTIF(DESIGNAZIONI!Q$8:Q$2629,$D264))</f>
        <v/>
      </c>
      <c r="O264" s="64">
        <f>IF($D264="","",COUNTIF(DESIGNAZIONI!R$8:R$2629,$D264))</f>
        <v/>
      </c>
    </row>
    <row r="265">
      <c r="C265" s="224" t="n"/>
      <c r="D265" s="13" t="inlineStr">
        <is>
          <t>BELLANDI Lucia</t>
        </is>
      </c>
      <c r="E265" s="220" t="n"/>
      <c r="L265" s="64">
        <f>IF($D265="","",SUM(M265:O265))</f>
        <v/>
      </c>
      <c r="M265" s="64">
        <f>IF($D265="","",COUNTIF(DESIGNAZIONI!P$8:P$2629,$D265))</f>
        <v/>
      </c>
      <c r="N265" s="64">
        <f>IF($D265="","",COUNTIF(DESIGNAZIONI!Q$8:Q$2629,$D265))</f>
        <v/>
      </c>
      <c r="O265" s="64">
        <f>IF($D265="","",COUNTIF(DESIGNAZIONI!R$8:R$2629,$D265))</f>
        <v/>
      </c>
    </row>
    <row r="266">
      <c r="C266" s="224" t="n"/>
      <c r="D266" s="13" t="inlineStr">
        <is>
          <t>GAUTHIER Sofia</t>
        </is>
      </c>
      <c r="E266" s="220" t="n"/>
      <c r="L266" s="64">
        <f>IF($D266="","",SUM(M266:O266))</f>
        <v/>
      </c>
      <c r="M266" s="64">
        <f>IF($D266="","",COUNTIF(DESIGNAZIONI!P$8:P$2629,$D266))</f>
        <v/>
      </c>
      <c r="N266" s="64">
        <f>IF($D266="","",COUNTIF(DESIGNAZIONI!Q$8:Q$2629,$D266))</f>
        <v/>
      </c>
      <c r="O266" s="64">
        <f>IF($D266="","",COUNTIF(DESIGNAZIONI!R$8:R$2629,$D266))</f>
        <v/>
      </c>
    </row>
    <row r="267">
      <c r="C267" s="224" t="n"/>
      <c r="D267" s="13" t="inlineStr">
        <is>
          <t>BIANCHELLI Mathilde</t>
        </is>
      </c>
      <c r="E267" s="220" t="n"/>
      <c r="L267" s="64">
        <f>IF($D267="","",SUM(M267:O267))</f>
        <v/>
      </c>
      <c r="M267" s="64">
        <f>IF($D267="","",COUNTIF(DESIGNAZIONI!P$8:P$2629,$D267))</f>
        <v/>
      </c>
      <c r="N267" s="64">
        <f>IF($D267="","",COUNTIF(DESIGNAZIONI!Q$8:Q$2629,$D267))</f>
        <v/>
      </c>
      <c r="O267" s="64">
        <f>IF($D267="","",COUNTIF(DESIGNAZIONI!R$8:R$2629,$D267))</f>
        <v/>
      </c>
    </row>
    <row r="268">
      <c r="C268" s="224" t="n"/>
      <c r="D268" s="13" t="inlineStr">
        <is>
          <t>MORETTO Ilaria</t>
        </is>
      </c>
      <c r="E268" s="220" t="n"/>
      <c r="L268" s="64">
        <f>IF($D268="","",SUM(M268:O268))</f>
        <v/>
      </c>
      <c r="M268" s="64">
        <f>IF($D268="","",COUNTIF(DESIGNAZIONI!P$8:P$2629,$D268))</f>
        <v/>
      </c>
      <c r="N268" s="64">
        <f>IF($D268="","",COUNTIF(DESIGNAZIONI!Q$8:Q$2629,$D268))</f>
        <v/>
      </c>
      <c r="O268" s="64">
        <f>IF($D268="","",COUNTIF(DESIGNAZIONI!R$8:R$2629,$D268))</f>
        <v/>
      </c>
    </row>
    <row r="269">
      <c r="C269" s="224" t="n"/>
      <c r="D269" s="13" t="inlineStr">
        <is>
          <t>CASTILLO Elena</t>
        </is>
      </c>
      <c r="E269" s="220" t="n"/>
      <c r="L269" s="64">
        <f>IF($D269="","",SUM(M269:O269))</f>
        <v/>
      </c>
      <c r="M269" s="64">
        <f>IF($D269="","",COUNTIF(DESIGNAZIONI!P$8:P$2629,$D269))</f>
        <v/>
      </c>
      <c r="N269" s="64">
        <f>IF($D269="","",COUNTIF(DESIGNAZIONI!Q$8:Q$2629,$D269))</f>
        <v/>
      </c>
      <c r="O269" s="64">
        <f>IF($D269="","",COUNTIF(DESIGNAZIONI!R$8:R$2629,$D269))</f>
        <v/>
      </c>
    </row>
    <row r="270">
      <c r="C270" s="224" t="n"/>
      <c r="D270" s="13" t="inlineStr">
        <is>
          <t>KRAJNC Stefano</t>
        </is>
      </c>
      <c r="E270" s="220" t="n"/>
      <c r="L270" s="64">
        <f>IF($D270="","",SUM(M270:O270))</f>
        <v/>
      </c>
      <c r="M270" s="64">
        <f>IF($D270="","",COUNTIF(DESIGNAZIONI!P$8:P$2629,$D270))</f>
        <v/>
      </c>
      <c r="N270" s="64">
        <f>IF($D270="","",COUNTIF(DESIGNAZIONI!Q$8:Q$2629,$D270))</f>
        <v/>
      </c>
      <c r="O270" s="64">
        <f>IF($D270="","",COUNTIF(DESIGNAZIONI!R$8:R$2629,$D270))</f>
        <v/>
      </c>
    </row>
    <row r="271">
      <c r="C271" s="224" t="n"/>
      <c r="D271" s="13" t="inlineStr">
        <is>
          <t>CARON Pablo</t>
        </is>
      </c>
      <c r="E271" s="220" t="n"/>
      <c r="L271" s="64">
        <f>IF($D271="","",SUM(M271:O271))</f>
        <v/>
      </c>
      <c r="M271" s="64">
        <f>IF($D271="","",COUNTIF(DESIGNAZIONI!P$8:P$2629,$D271))</f>
        <v/>
      </c>
      <c r="N271" s="64">
        <f>IF($D271="","",COUNTIF(DESIGNAZIONI!Q$8:Q$2629,$D271))</f>
        <v/>
      </c>
      <c r="O271" s="64">
        <f>IF($D271="","",COUNTIF(DESIGNAZIONI!R$8:R$2629,$D271))</f>
        <v/>
      </c>
    </row>
    <row r="272">
      <c r="C272" s="224" t="n"/>
      <c r="D272" s="13" t="inlineStr">
        <is>
          <t>ROSSINI Pablo</t>
        </is>
      </c>
      <c r="E272" s="220" t="n"/>
      <c r="L272" s="64">
        <f>IF($D272="","",SUM(M272:O272))</f>
        <v/>
      </c>
      <c r="M272" s="64">
        <f>IF($D272="","",COUNTIF(DESIGNAZIONI!P$8:P$2629,$D272))</f>
        <v/>
      </c>
      <c r="N272" s="64">
        <f>IF($D272="","",COUNTIF(DESIGNAZIONI!Q$8:Q$2629,$D272))</f>
        <v/>
      </c>
      <c r="O272" s="64">
        <f>IF($D272="","",COUNTIF(DESIGNAZIONI!R$8:R$2629,$D272))</f>
        <v/>
      </c>
    </row>
    <row r="273">
      <c r="C273" s="224" t="n"/>
      <c r="D273" s="13" t="inlineStr">
        <is>
          <t>KOVAC Lea</t>
        </is>
      </c>
      <c r="E273" s="220" t="n"/>
      <c r="L273" s="64">
        <f>IF($D273="","",SUM(M273:O273))</f>
        <v/>
      </c>
      <c r="M273" s="64">
        <f>IF($D273="","",COUNTIF(DESIGNAZIONI!P$8:P$2629,$D273))</f>
        <v/>
      </c>
      <c r="N273" s="64">
        <f>IF($D273="","",COUNTIF(DESIGNAZIONI!Q$8:Q$2629,$D273))</f>
        <v/>
      </c>
      <c r="O273" s="64">
        <f>IF($D273="","",COUNTIF(DESIGNAZIONI!R$8:R$2629,$D273))</f>
        <v/>
      </c>
    </row>
    <row r="274">
      <c r="C274" s="224" t="n"/>
      <c r="D274" s="13" t="inlineStr">
        <is>
          <t>ZUPAN Lucia</t>
        </is>
      </c>
      <c r="E274" s="220" t="n"/>
      <c r="L274" s="64">
        <f>IF($D274="","",SUM(M274:O274))</f>
        <v/>
      </c>
      <c r="M274" s="64">
        <f>IF($D274="","",COUNTIF(DESIGNAZIONI!P$8:P$2629,$D274))</f>
        <v/>
      </c>
      <c r="N274" s="64">
        <f>IF($D274="","",COUNTIF(DESIGNAZIONI!Q$8:Q$2629,$D274))</f>
        <v/>
      </c>
      <c r="O274" s="64">
        <f>IF($D274="","",COUNTIF(DESIGNAZIONI!R$8:R$2629,$D274))</f>
        <v/>
      </c>
    </row>
    <row r="275">
      <c r="C275" s="224" t="n"/>
      <c r="D275" s="13" t="inlineStr">
        <is>
          <t>NOVAK Filippo</t>
        </is>
      </c>
      <c r="E275" s="220" t="n"/>
      <c r="L275" s="64">
        <f>IF($D275="","",SUM(M275:O275))</f>
        <v/>
      </c>
      <c r="M275" s="64">
        <f>IF($D275="","",COUNTIF(DESIGNAZIONI!P$8:P$2629,$D275))</f>
        <v/>
      </c>
      <c r="N275" s="64">
        <f>IF($D275="","",COUNTIF(DESIGNAZIONI!Q$8:Q$2629,$D275))</f>
        <v/>
      </c>
      <c r="O275" s="64">
        <f>IF($D275="","",COUNTIF(DESIGNAZIONI!R$8:R$2629,$D275))</f>
        <v/>
      </c>
    </row>
    <row r="276">
      <c r="C276" s="224" t="n"/>
      <c r="D276" s="13" t="inlineStr">
        <is>
          <t>ROMERO Stefano</t>
        </is>
      </c>
      <c r="E276" s="220" t="n"/>
      <c r="L276" s="64">
        <f>IF($D276="","",SUM(M276:O276))</f>
        <v/>
      </c>
      <c r="M276" s="64">
        <f>IF($D276="","",COUNTIF(DESIGNAZIONI!P$8:P$2629,$D276))</f>
        <v/>
      </c>
      <c r="N276" s="64">
        <f>IF($D276="","",COUNTIF(DESIGNAZIONI!Q$8:Q$2629,$D276))</f>
        <v/>
      </c>
      <c r="O276" s="64">
        <f>IF($D276="","",COUNTIF(DESIGNAZIONI!R$8:R$2629,$D276))</f>
        <v/>
      </c>
    </row>
    <row r="277">
      <c r="C277" s="224" t="n"/>
      <c r="D277" s="13" t="inlineStr">
        <is>
          <t>MORETTO Beatrice</t>
        </is>
      </c>
      <c r="E277" s="220" t="n"/>
      <c r="L277" s="64">
        <f>IF($D277="","",SUM(M277:O277))</f>
        <v/>
      </c>
      <c r="M277" s="64">
        <f>IF($D277="","",COUNTIF(DESIGNAZIONI!P$8:P$2629,$D277))</f>
        <v/>
      </c>
      <c r="N277" s="64">
        <f>IF($D277="","",COUNTIF(DESIGNAZIONI!Q$8:Q$2629,$D277))</f>
        <v/>
      </c>
      <c r="O277" s="64">
        <f>IF($D277="","",COUNTIF(DESIGNAZIONI!R$8:R$2629,$D277))</f>
        <v/>
      </c>
    </row>
    <row r="278">
      <c r="C278" s="224" t="n"/>
      <c r="D278" s="13" t="inlineStr">
        <is>
          <t>ROTH Paula</t>
        </is>
      </c>
      <c r="E278" s="220" t="n"/>
      <c r="L278" s="64">
        <f>IF($D278="","",SUM(M278:O278))</f>
        <v/>
      </c>
      <c r="M278" s="64">
        <f>IF($D278="","",COUNTIF(DESIGNAZIONI!P$8:P$2629,$D278))</f>
        <v/>
      </c>
      <c r="N278" s="64">
        <f>IF($D278="","",COUNTIF(DESIGNAZIONI!Q$8:Q$2629,$D278))</f>
        <v/>
      </c>
      <c r="O278" s="64">
        <f>IF($D278="","",COUNTIF(DESIGNAZIONI!R$8:R$2629,$D278))</f>
        <v/>
      </c>
    </row>
    <row r="279">
      <c r="C279" s="224" t="n"/>
      <c r="D279" s="13" t="inlineStr">
        <is>
          <t>BLANCO Stefano</t>
        </is>
      </c>
      <c r="E279" s="220" t="n"/>
      <c r="L279" s="64">
        <f>IF($D279="","",SUM(M279:O279))</f>
        <v/>
      </c>
      <c r="M279" s="64">
        <f>IF($D279="","",COUNTIF(DESIGNAZIONI!P$8:P$2629,$D279))</f>
        <v/>
      </c>
      <c r="N279" s="64">
        <f>IF($D279="","",COUNTIF(DESIGNAZIONI!Q$8:Q$2629,$D279))</f>
        <v/>
      </c>
      <c r="O279" s="64">
        <f>IF($D279="","",COUNTIF(DESIGNAZIONI!R$8:R$2629,$D279))</f>
        <v/>
      </c>
    </row>
    <row r="280">
      <c r="C280" s="224" t="n"/>
      <c r="D280" s="13" t="inlineStr">
        <is>
          <t>BRANDT Elena</t>
        </is>
      </c>
      <c r="E280" s="220" t="n"/>
      <c r="L280" s="64">
        <f>IF($D280="","",SUM(M280:O280))</f>
        <v/>
      </c>
      <c r="M280" s="64">
        <f>IF($D280="","",COUNTIF(DESIGNAZIONI!P$8:P$2629,$D280))</f>
        <v/>
      </c>
      <c r="N280" s="64">
        <f>IF($D280="","",COUNTIF(DESIGNAZIONI!Q$8:Q$2629,$D280))</f>
        <v/>
      </c>
      <c r="O280" s="64">
        <f>IF($D280="","",COUNTIF(DESIGNAZIONI!R$8:R$2629,$D280))</f>
        <v/>
      </c>
    </row>
    <row r="281">
      <c r="C281" s="224" t="n"/>
      <c r="D281" s="13" t="inlineStr">
        <is>
          <t>HOFFMANN Paolo</t>
        </is>
      </c>
      <c r="E281" s="220" t="n"/>
      <c r="L281" s="64">
        <f>IF($D281="","",SUM(M281:O281))</f>
        <v/>
      </c>
      <c r="M281" s="64">
        <f>IF($D281="","",COUNTIF(DESIGNAZIONI!P$8:P$2629,$D281))</f>
        <v/>
      </c>
      <c r="N281" s="64">
        <f>IF($D281="","",COUNTIF(DESIGNAZIONI!Q$8:Q$2629,$D281))</f>
        <v/>
      </c>
      <c r="O281" s="64">
        <f>IF($D281="","",COUNTIF(DESIGNAZIONI!R$8:R$2629,$D281))</f>
        <v/>
      </c>
    </row>
    <row r="282">
      <c r="C282" s="224" t="n"/>
      <c r="D282" s="13" t="inlineStr">
        <is>
          <t>SEVER Giulia</t>
        </is>
      </c>
      <c r="E282" s="220" t="n"/>
      <c r="L282" s="64">
        <f>IF($D282="","",SUM(M282:O282))</f>
        <v/>
      </c>
      <c r="M282" s="64">
        <f>IF($D282="","",COUNTIF(DESIGNAZIONI!P$8:P$2629,$D282))</f>
        <v/>
      </c>
      <c r="N282" s="64">
        <f>IF($D282="","",COUNTIF(DESIGNAZIONI!Q$8:Q$2629,$D282))</f>
        <v/>
      </c>
      <c r="O282" s="64">
        <f>IF($D282="","",COUNTIF(DESIGNAZIONI!R$8:R$2629,$D282))</f>
        <v/>
      </c>
    </row>
    <row r="283">
      <c r="C283" s="224" t="n"/>
      <c r="D283" s="13" t="inlineStr">
        <is>
          <t>ZUPAN Irene</t>
        </is>
      </c>
      <c r="E283" s="220" t="n"/>
      <c r="L283" s="64">
        <f>IF($D283="","",SUM(M283:O283))</f>
        <v/>
      </c>
      <c r="M283" s="64">
        <f>IF($D283="","",COUNTIF(DESIGNAZIONI!P$8:P$2629,$D283))</f>
        <v/>
      </c>
      <c r="N283" s="64">
        <f>IF($D283="","",COUNTIF(DESIGNAZIONI!Q$8:Q$2629,$D283))</f>
        <v/>
      </c>
      <c r="O283" s="64">
        <f>IF($D283="","",COUNTIF(DESIGNAZIONI!R$8:R$2629,$D283))</f>
        <v/>
      </c>
    </row>
    <row r="284">
      <c r="C284" s="224" t="n"/>
      <c r="D284" s="13" t="inlineStr">
        <is>
          <t>HOFFMANN Matteo</t>
        </is>
      </c>
      <c r="E284" s="220" t="n"/>
      <c r="L284" s="64">
        <f>IF($D284="","",SUM(M284:O284))</f>
        <v/>
      </c>
      <c r="M284" s="64">
        <f>IF($D284="","",COUNTIF(DESIGNAZIONI!P$8:P$2629,$D284))</f>
        <v/>
      </c>
      <c r="N284" s="64">
        <f>IF($D284="","",COUNTIF(DESIGNAZIONI!Q$8:Q$2629,$D284))</f>
        <v/>
      </c>
      <c r="O284" s="64">
        <f>IF($D284="","",COUNTIF(DESIGNAZIONI!R$8:R$2629,$D284))</f>
        <v/>
      </c>
    </row>
    <row r="285">
      <c r="C285" s="224" t="n"/>
      <c r="D285" s="13" t="inlineStr">
        <is>
          <t>SOLER Marta</t>
        </is>
      </c>
      <c r="E285" s="220" t="n"/>
      <c r="L285" s="64">
        <f>IF($D285="","",SUM(M285:O285))</f>
        <v/>
      </c>
      <c r="M285" s="64">
        <f>IF($D285="","",COUNTIF(DESIGNAZIONI!P$8:P$2629,$D285))</f>
        <v/>
      </c>
      <c r="N285" s="64">
        <f>IF($D285="","",COUNTIF(DESIGNAZIONI!Q$8:Q$2629,$D285))</f>
        <v/>
      </c>
      <c r="O285" s="64">
        <f>IF($D285="","",COUNTIF(DESIGNAZIONI!R$8:R$2629,$D285))</f>
        <v/>
      </c>
    </row>
    <row r="286">
      <c r="C286" s="224" t="n"/>
      <c r="D286" s="13" t="inlineStr">
        <is>
          <t>ROMERO Irene</t>
        </is>
      </c>
      <c r="E286" s="220" t="n"/>
      <c r="L286" s="64">
        <f>IF($D286="","",SUM(M286:O286))</f>
        <v/>
      </c>
      <c r="M286" s="64">
        <f>IF($D286="","",COUNTIF(DESIGNAZIONI!P$8:P$2629,$D286))</f>
        <v/>
      </c>
      <c r="N286" s="64">
        <f>IF($D286="","",COUNTIF(DESIGNAZIONI!Q$8:Q$2629,$D286))</f>
        <v/>
      </c>
      <c r="O286" s="64">
        <f>IF($D286="","",COUNTIF(DESIGNAZIONI!R$8:R$2629,$D286))</f>
        <v/>
      </c>
    </row>
    <row r="287">
      <c r="C287" s="224" t="n"/>
      <c r="D287" s="13" t="inlineStr">
        <is>
          <t>MODIC Lucia</t>
        </is>
      </c>
      <c r="E287" s="220" t="n"/>
      <c r="L287" s="64">
        <f>IF($D287="","",SUM(M287:O287))</f>
        <v/>
      </c>
      <c r="M287" s="64">
        <f>IF($D287="","",COUNTIF(DESIGNAZIONI!P$8:P$2629,$D287))</f>
        <v/>
      </c>
      <c r="N287" s="64">
        <f>IF($D287="","",COUNTIF(DESIGNAZIONI!Q$8:Q$2629,$D287))</f>
        <v/>
      </c>
      <c r="O287" s="64">
        <f>IF($D287="","",COUNTIF(DESIGNAZIONI!R$8:R$2629,$D287))</f>
        <v/>
      </c>
    </row>
    <row r="288">
      <c r="C288" s="224" t="n"/>
      <c r="D288" s="13" t="inlineStr">
        <is>
          <t>ROMERO Giulia</t>
        </is>
      </c>
      <c r="E288" s="220" t="n"/>
      <c r="L288" s="64">
        <f>IF($D288="","",SUM(M288:O288))</f>
        <v/>
      </c>
      <c r="M288" s="64">
        <f>IF($D288="","",COUNTIF(DESIGNAZIONI!P$8:P$2629,$D288))</f>
        <v/>
      </c>
      <c r="N288" s="64">
        <f>IF($D288="","",COUNTIF(DESIGNAZIONI!Q$8:Q$2629,$D288))</f>
        <v/>
      </c>
      <c r="O288" s="64">
        <f>IF($D288="","",COUNTIF(DESIGNAZIONI!R$8:R$2629,$D288))</f>
        <v/>
      </c>
    </row>
    <row r="289">
      <c r="C289" s="224" t="n"/>
      <c r="D289" s="13" t="inlineStr">
        <is>
          <t>ROMERO Greta</t>
        </is>
      </c>
      <c r="E289" s="220" t="n"/>
      <c r="L289" s="64">
        <f>IF($D289="","",SUM(M289:O289))</f>
        <v/>
      </c>
      <c r="M289" s="64">
        <f>IF($D289="","",COUNTIF(DESIGNAZIONI!P$8:P$2629,$D289))</f>
        <v/>
      </c>
      <c r="N289" s="64">
        <f>IF($D289="","",COUNTIF(DESIGNAZIONI!Q$8:Q$2629,$D289))</f>
        <v/>
      </c>
      <c r="O289" s="64">
        <f>IF($D289="","",COUNTIF(DESIGNAZIONI!R$8:R$2629,$D289))</f>
        <v/>
      </c>
    </row>
    <row r="290">
      <c r="C290" s="224" t="n"/>
      <c r="D290" s="13" t="inlineStr">
        <is>
          <t>LEFEVRE Alenka</t>
        </is>
      </c>
      <c r="E290" s="220" t="n"/>
      <c r="L290" s="64">
        <f>IF($D290="","",SUM(M290:O290))</f>
        <v/>
      </c>
      <c r="M290" s="64">
        <f>IF($D290="","",COUNTIF(DESIGNAZIONI!P$8:P$2629,$D290))</f>
        <v/>
      </c>
      <c r="N290" s="64">
        <f>IF($D290="","",COUNTIF(DESIGNAZIONI!Q$8:Q$2629,$D290))</f>
        <v/>
      </c>
      <c r="O290" s="64">
        <f>IF($D290="","",COUNTIF(DESIGNAZIONI!R$8:R$2629,$D290))</f>
        <v/>
      </c>
    </row>
    <row r="291">
      <c r="C291" s="224" t="n"/>
      <c r="D291" s="13" t="inlineStr">
        <is>
          <t>ORTEGA Andrea</t>
        </is>
      </c>
      <c r="E291" s="220" t="n"/>
      <c r="L291" s="64">
        <f>IF($D291="","",SUM(M291:O291))</f>
        <v/>
      </c>
      <c r="M291" s="64">
        <f>IF($D291="","",COUNTIF(DESIGNAZIONI!P$8:P$2629,$D291))</f>
        <v/>
      </c>
      <c r="N291" s="64">
        <f>IF($D291="","",COUNTIF(DESIGNAZIONI!Q$8:Q$2629,$D291))</f>
        <v/>
      </c>
      <c r="O291" s="64">
        <f>IF($D291="","",COUNTIF(DESIGNAZIONI!R$8:R$2629,$D291))</f>
        <v/>
      </c>
    </row>
    <row r="292">
      <c r="C292" s="224" t="n"/>
      <c r="D292" s="13" t="inlineStr">
        <is>
          <t>IGLESIAS Irene</t>
        </is>
      </c>
      <c r="E292" s="220" t="n"/>
      <c r="L292" s="64">
        <f>IF($D292="","",SUM(M292:O292))</f>
        <v/>
      </c>
      <c r="M292" s="64">
        <f>IF($D292="","",COUNTIF(DESIGNAZIONI!P$8:P$2629,$D292))</f>
        <v/>
      </c>
      <c r="N292" s="64">
        <f>IF($D292="","",COUNTIF(DESIGNAZIONI!Q$8:Q$2629,$D292))</f>
        <v/>
      </c>
      <c r="O292" s="64">
        <f>IF($D292="","",COUNTIF(DESIGNAZIONI!R$8:R$2629,$D292))</f>
        <v/>
      </c>
    </row>
    <row r="293">
      <c r="C293" s="224" t="n"/>
      <c r="D293" s="13" t="inlineStr">
        <is>
          <t>WEBER Filippo</t>
        </is>
      </c>
      <c r="E293" s="220" t="n"/>
      <c r="L293" s="64">
        <f>IF($D293="","",SUM(M293:O293))</f>
        <v/>
      </c>
      <c r="M293" s="64">
        <f>IF($D293="","",COUNTIF(DESIGNAZIONI!P$8:P$2629,$D293))</f>
        <v/>
      </c>
      <c r="N293" s="64">
        <f>IF($D293="","",COUNTIF(DESIGNAZIONI!Q$8:Q$2629,$D293))</f>
        <v/>
      </c>
      <c r="O293" s="64">
        <f>IF($D293="","",COUNTIF(DESIGNAZIONI!R$8:R$2629,$D293))</f>
        <v/>
      </c>
    </row>
    <row r="294">
      <c r="C294" s="224" t="n"/>
      <c r="D294" s="13" t="inlineStr">
        <is>
          <t>MORETTO Noemi</t>
        </is>
      </c>
      <c r="E294" s="220" t="n"/>
      <c r="L294" s="64">
        <f>IF($D294="","",SUM(M294:O294))</f>
        <v/>
      </c>
      <c r="M294" s="64">
        <f>IF($D294="","",COUNTIF(DESIGNAZIONI!P$8:P$2629,$D294))</f>
        <v/>
      </c>
      <c r="N294" s="64">
        <f>IF($D294="","",COUNTIF(DESIGNAZIONI!Q$8:Q$2629,$D294))</f>
        <v/>
      </c>
      <c r="O294" s="64">
        <f>IF($D294="","",COUNTIF(DESIGNAZIONI!R$8:R$2629,$D294))</f>
        <v/>
      </c>
    </row>
    <row r="295">
      <c r="C295" s="224" t="n"/>
      <c r="D295" s="13" t="inlineStr">
        <is>
          <t>KOVAC Chiara</t>
        </is>
      </c>
      <c r="E295" s="220" t="n"/>
      <c r="L295" s="64">
        <f>IF($D295="","",SUM(M295:O295))</f>
        <v/>
      </c>
      <c r="M295" s="64">
        <f>IF($D295="","",COUNTIF(DESIGNAZIONI!P$8:P$2629,$D295))</f>
        <v/>
      </c>
      <c r="N295" s="64">
        <f>IF($D295="","",COUNTIF(DESIGNAZIONI!Q$8:Q$2629,$D295))</f>
        <v/>
      </c>
      <c r="O295" s="64">
        <f>IF($D295="","",COUNTIF(DESIGNAZIONI!R$8:R$2629,$D295))</f>
        <v/>
      </c>
    </row>
    <row r="296">
      <c r="C296" s="224" t="n"/>
      <c r="D296" s="13" t="inlineStr">
        <is>
          <t>HORVAT Pablo</t>
        </is>
      </c>
      <c r="E296" s="220" t="n"/>
      <c r="L296" s="64">
        <f>IF($D296="","",SUM(M296:O296))</f>
        <v/>
      </c>
      <c r="M296" s="64">
        <f>IF($D296="","",COUNTIF(DESIGNAZIONI!P$8:P$2629,$D296))</f>
        <v/>
      </c>
      <c r="N296" s="64">
        <f>IF($D296="","",COUNTIF(DESIGNAZIONI!Q$8:Q$2629,$D296))</f>
        <v/>
      </c>
      <c r="O296" s="64">
        <f>IF($D296="","",COUNTIF(DESIGNAZIONI!R$8:R$2629,$D296))</f>
        <v/>
      </c>
    </row>
    <row r="297">
      <c r="C297" s="224" t="n"/>
      <c r="D297" s="13" t="inlineStr">
        <is>
          <t>PRADO Marco</t>
        </is>
      </c>
      <c r="E297" s="220" t="n"/>
      <c r="L297" s="64">
        <f>IF($D297="","",SUM(M297:O297))</f>
        <v/>
      </c>
      <c r="M297" s="64">
        <f>IF($D297="","",COUNTIF(DESIGNAZIONI!P$8:P$2629,$D297))</f>
        <v/>
      </c>
      <c r="N297" s="64">
        <f>IF($D297="","",COUNTIF(DESIGNAZIONI!Q$8:Q$2629,$D297))</f>
        <v/>
      </c>
      <c r="O297" s="64">
        <f>IF($D297="","",COUNTIF(DESIGNAZIONI!R$8:R$2629,$D297))</f>
        <v/>
      </c>
    </row>
    <row r="298">
      <c r="C298" s="224" t="n"/>
      <c r="D298" s="13" t="inlineStr">
        <is>
          <t>ROSSINI Sofia</t>
        </is>
      </c>
      <c r="E298" s="220" t="n"/>
      <c r="L298" s="64">
        <f>IF($D298="","",SUM(M298:O298))</f>
        <v/>
      </c>
      <c r="M298" s="64">
        <f>IF($D298="","",COUNTIF(DESIGNAZIONI!P$8:P$2629,$D298))</f>
        <v/>
      </c>
      <c r="N298" s="64">
        <f>IF($D298="","",COUNTIF(DESIGNAZIONI!Q$8:Q$2629,$D298))</f>
        <v/>
      </c>
      <c r="O298" s="64">
        <f>IF($D298="","",COUNTIF(DESIGNAZIONI!R$8:R$2629,$D298))</f>
        <v/>
      </c>
    </row>
    <row r="299">
      <c r="C299" s="224" t="n"/>
      <c r="D299" s="13" t="inlineStr">
        <is>
          <t>GAUTHIER Irene</t>
        </is>
      </c>
      <c r="E299" s="220" t="n"/>
      <c r="L299" s="64">
        <f>IF($D299="","",SUM(M299:O299))</f>
        <v/>
      </c>
      <c r="M299" s="64">
        <f>IF($D299="","",COUNTIF(DESIGNAZIONI!P$8:P$2629,$D299))</f>
        <v/>
      </c>
      <c r="N299" s="64">
        <f>IF($D299="","",COUNTIF(DESIGNAZIONI!Q$8:Q$2629,$D299))</f>
        <v/>
      </c>
      <c r="O299" s="64">
        <f>IF($D299="","",COUNTIF(DESIGNAZIONI!R$8:R$2629,$D299))</f>
        <v/>
      </c>
    </row>
    <row r="300">
      <c r="C300" s="224" t="n"/>
      <c r="D300" s="13" t="inlineStr">
        <is>
          <t>MORETTO Jonas</t>
        </is>
      </c>
      <c r="E300" s="220" t="n"/>
      <c r="L300" s="64">
        <f>IF($D300="","",SUM(M300:O300))</f>
        <v/>
      </c>
      <c r="M300" s="64">
        <f>IF($D300="","",COUNTIF(DESIGNAZIONI!P$8:P$2629,$D300))</f>
        <v/>
      </c>
      <c r="N300" s="64">
        <f>IF($D300="","",COUNTIF(DESIGNAZIONI!Q$8:Q$2629,$D300))</f>
        <v/>
      </c>
      <c r="O300" s="64">
        <f>IF($D300="","",COUNTIF(DESIGNAZIONI!R$8:R$2629,$D300))</f>
        <v/>
      </c>
    </row>
    <row r="301">
      <c r="C301" s="224" t="n"/>
      <c r="D301" s="13" t="inlineStr">
        <is>
          <t>KRUGER Mathilde</t>
        </is>
      </c>
      <c r="E301" s="220" t="n"/>
      <c r="L301" s="64">
        <f>IF($D301="","",SUM(M301:O301))</f>
        <v/>
      </c>
      <c r="M301" s="64">
        <f>IF($D301="","",COUNTIF(DESIGNAZIONI!P$8:P$2629,$D301))</f>
        <v/>
      </c>
      <c r="N301" s="64">
        <f>IF($D301="","",COUNTIF(DESIGNAZIONI!Q$8:Q$2629,$D301))</f>
        <v/>
      </c>
      <c r="O301" s="64">
        <f>IF($D301="","",COUNTIF(DESIGNAZIONI!R$8:R$2629,$D301))</f>
        <v/>
      </c>
    </row>
    <row r="302">
      <c r="C302" s="224" t="n"/>
      <c r="D302" s="13" t="inlineStr">
        <is>
          <t>MARCHIONI Gaelle</t>
        </is>
      </c>
      <c r="E302" s="220" t="n"/>
      <c r="L302" s="64">
        <f>IF($D302="","",SUM(M302:O302))</f>
        <v/>
      </c>
      <c r="M302" s="64">
        <f>IF($D302="","",COUNTIF(DESIGNAZIONI!P$8:P$2629,$D302))</f>
        <v/>
      </c>
      <c r="N302" s="64">
        <f>IF($D302="","",COUNTIF(DESIGNAZIONI!Q$8:Q$2629,$D302))</f>
        <v/>
      </c>
      <c r="O302" s="64">
        <f>IF($D302="","",COUNTIF(DESIGNAZIONI!R$8:R$2629,$D302))</f>
        <v/>
      </c>
    </row>
    <row r="303">
      <c r="C303" s="224" t="n"/>
      <c r="D303" s="13" t="inlineStr">
        <is>
          <t>ROTH Katrin</t>
        </is>
      </c>
      <c r="E303" s="220" t="n"/>
      <c r="L303" s="64">
        <f>IF($D303="","",SUM(M303:O303))</f>
        <v/>
      </c>
      <c r="M303" s="64">
        <f>IF($D303="","",COUNTIF(DESIGNAZIONI!P$8:P$2629,$D303))</f>
        <v/>
      </c>
      <c r="N303" s="64">
        <f>IF($D303="","",COUNTIF(DESIGNAZIONI!Q$8:Q$2629,$D303))</f>
        <v/>
      </c>
      <c r="O303" s="64">
        <f>IF($D303="","",COUNTIF(DESIGNAZIONI!R$8:R$2629,$D303))</f>
        <v/>
      </c>
    </row>
    <row r="304">
      <c r="C304" s="224" t="n"/>
      <c r="D304" s="13" t="inlineStr">
        <is>
          <t>FUENTES Chiara</t>
        </is>
      </c>
      <c r="E304" s="220" t="n"/>
      <c r="L304" s="64">
        <f>IF($D304="","",SUM(M304:O304))</f>
        <v/>
      </c>
      <c r="M304" s="64">
        <f>IF($D304="","",COUNTIF(DESIGNAZIONI!P$8:P$2629,$D304))</f>
        <v/>
      </c>
      <c r="N304" s="64">
        <f>IF($D304="","",COUNTIF(DESIGNAZIONI!Q$8:Q$2629,$D304))</f>
        <v/>
      </c>
      <c r="O304" s="64">
        <f>IF($D304="","",COUNTIF(DESIGNAZIONI!R$8:R$2629,$D304))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9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FILE DI ESEMPIO</t>
        </is>
      </c>
    </row>
    <row r="3">
      <c r="A3" s="225" t="inlineStr">
        <is>
          <t>* File di ESEMPIO: tutti i 776 risultati (760 di girone + 16 di playoff) sono compilati e simulati.</t>
        </is>
      </c>
    </row>
    <row r="4">
      <c r="A4" s="225" t="inlineStr">
        <is>
          <t>* Le classifiche, gli accoppiamenti playoff e la classifica finale derivano interamente da quei risultati.</t>
        </is>
      </c>
    </row>
    <row r="5">
      <c r="A5" s="225" t="inlineStr">
        <is>
          <t>* Anche il foglio DESIGNAZIONI e' compilato: 3 arbitri e 3 ufficiali di campo per ognuna delle 776 gare, 4656 designazioni.</t>
        </is>
      </c>
    </row>
    <row r="6">
      <c r="A6" s="225" t="inlineStr">
        <is>
          <t>* Tutti i nomi (squadre, campi, arbitri, ufficiali di campo) sono di fantasia.</t>
        </is>
      </c>
    </row>
    <row r="8">
      <c r="A8" s="226" t="inlineStr">
        <is>
          <t>COSA COMPILARE, nell'ordine:</t>
        </is>
      </c>
    </row>
    <row r="9">
      <c r="A9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10">
      <c r="A10" s="225" t="inlineStr">
        <is>
          <t>2) Foglio Campionato, colonna C righe 14-93 (blocco SQUADRE, 20 per girone): i nomi squadra nel formato 'Nome-Citta PR'. La lettera in colonna E decide il girone: cambiandola la squadra cambia girone, ma vanno poi sistemati a mano il calendario e i colori.</t>
        </is>
      </c>
    </row>
    <row r="11">
      <c r="A11" s="225" t="inlineStr">
        <is>
          <t>3) Foglio Campionato, blocco CAMPI: righe 97-176 nome e link mappa del campo di ogni squadra; righe 177-184 gli otto campi neutri PO1-PO8 per la fase a eliminazione diretta.</t>
        </is>
      </c>
    </row>
    <row r="12">
      <c r="A12" s="225" t="inlineStr">
        <is>
          <t>4) Fogli Calendario A-D: per ogni gara i codici squadra (colonne C ed E), la data con orario (colonna F) e il codice campo (colonna I della riga sottostante).</t>
        </is>
      </c>
    </row>
    <row r="13">
      <c r="A13" s="225" t="inlineStr">
        <is>
          <t>5) Fogli Arbitri e UdC, colonna D righe 5-304: i nominativi che alimentano gli elenchi a discesa delle designazioni.</t>
        </is>
      </c>
    </row>
    <row r="14">
      <c r="A14" s="225" t="inlineStr">
        <is>
          <t>6) Foglio DESIGNAZIONI: arbitri e ufficiali di campo, scelti dagli elenchi a discesa.</t>
        </is>
      </c>
    </row>
    <row r="15">
      <c r="A15" s="225" t="inlineStr">
        <is>
          <t>* Durante la stagione si inseriscono solo i punteggi nelle colonne Risultato dei fogli Calendario e Playoff: tutto il resto si aggiorna da solo.</t>
        </is>
      </c>
    </row>
    <row r="16">
      <c r="A16" s="225" t="inlineStr">
        <is>
          <t>* Capienza del modello: fino a 80 squadre distribuite su un massimo di 4 gironi (A-D) da 20 squadre ciascuno.</t>
        </is>
      </c>
    </row>
    <row r="17">
      <c r="A17" s="225" t="inlineStr">
        <is>
          <t>* Nome squadra: se contiene un trattino (es. Nome-Citta PR) nei calendari compare la parte prima del trattino, altrimenti il nome per intero.</t>
        </is>
      </c>
    </row>
    <row r="18">
      <c r="A18" s="225" t="inlineStr">
        <is>
          <t>* Il girone di una squadra dipende SOLO dalla lettera in colonna E del foglio Campionato, non dalla riga in cui si trova.</t>
        </is>
      </c>
    </row>
    <row r="19">
      <c r="A19" s="225" t="inlineStr">
        <is>
          <t>* I gironi si elencano separati da virgola nella cella dei parametri (es. A,B,C,D): cosi' si possono usare anche lettere non consecutive.</t>
        </is>
      </c>
    </row>
    <row r="20">
      <c r="A20" s="225" t="inlineStr">
        <is>
          <t>* La colonna E ha un elenco a discesa con le lettere di girone previste.</t>
        </is>
      </c>
    </row>
    <row r="21">
      <c r="A21" s="225" t="inlineStr">
        <is>
          <t>* Cambiando la lettera in colonna E la squadra passa di girone in classifica; calendario e colori vanno poi sistemati a mano.</t>
        </is>
      </c>
    </row>
    <row r="22">
      <c r="A22" s="225" t="inlineStr">
        <is>
          <t>* Playoff a 16 squadre: le prime quattro classificate dei gironi A, B, C e D, con la relativa classifica finale.</t>
        </is>
      </c>
    </row>
    <row r="23">
      <c r="A23" s="225" t="inlineStr">
        <is>
          <t>* Ogni girone ha il proprio foglio calendario ('Calendario A' ... 'Calendario D') e un colore identificativo.</t>
        </is>
      </c>
    </row>
    <row r="24">
      <c r="A24" s="225" t="inlineStr">
        <is>
          <t>* Calendario di sola andata generato con il metodo del girone all'italiana (Berger): 19 giornate da 10 gare, 190 gare per girone, 760 gare in totale.</t>
        </is>
      </c>
    </row>
    <row r="25">
      <c r="A25" s="225" t="inlineStr">
        <is>
          <t>* Ogni giornata e' un concentramento ospitato da due squadre del girone: 10 gare su due palazzetti (5 gare ciascuno: 09:30, 11:00, 14:30, 16:00, 17:30).</t>
        </is>
      </c>
    </row>
    <row r="26">
      <c r="A26" s="225" t="inlineStr">
        <is>
          <t>* L'ospitalita' ruota fra le squadre del girone: le squadre ospitanti della giornata determinano i due campi.</t>
        </is>
      </c>
    </row>
    <row r="27">
      <c r="A27" s="225" t="inlineStr">
        <is>
          <t>* Il foglio nascosto 'Dati' consolida le righe di servizio dei 4 calendari: le classifiche cercano li' per nome squadra.</t>
        </is>
      </c>
    </row>
    <row r="28">
      <c r="A28" s="225" t="inlineStr">
        <is>
          <t>* Playoff: ottavi 1A-4B, 2C-3D, 1C-4D, 2A-3B, 1B-4A, 2D-3C, 1D-4C, 2B-3A; poi quarti, semifinali e finali. Le squadre dello stesso girone possono incontrarsi al piu' presto in semifinale.</t>
        </is>
      </c>
    </row>
    <row r="29">
      <c r="A29" s="225" t="inlineStr">
        <is>
          <t>* Gli accoppiamenti dei turni successivi si aggiornano da soli inserendo i risultati del turno precedente. Le gare di playoff sono numerate di seguito a quelle di girone, dalla 761.</t>
        </is>
      </c>
    </row>
    <row r="30">
      <c r="A30" s="225" t="inlineStr">
        <is>
          <t>* Per usare meno squadre basta lasciare vuota la colonna C delle righe non utilizzate: classifiche e calendari si adeguano.</t>
        </is>
      </c>
    </row>
    <row r="31">
      <c r="A31" s="225" t="inlineStr">
        <is>
          <t>* Le classifiche si popolano automaticamente inserendo i punteggi nelle colonne Risultato dei fogli calendario.</t>
        </is>
      </c>
    </row>
    <row r="32">
      <c r="A32" s="225" t="inlineStr">
        <is>
          <t>* Il punteggio di forfait e' parametrico (foglio Campionato, cella D9): il valore predefinito e' 40-0.</t>
        </is>
      </c>
    </row>
    <row r="33">
      <c r="A33" s="225" t="inlineStr">
        <is>
          <t>* Foglio DESIGNAZIONI: convalida a elenco e formattazione condizionale anti-duplicato attive su TUTTE le righe predisposte.</t>
        </is>
      </c>
    </row>
    <row r="34">
      <c r="A34" s="225" t="inlineStr">
        <is>
          <t>* La formattazione condizionale evidenzia in rosa la stessa persona designata due volte nella stessa gara.</t>
        </is>
      </c>
    </row>
    <row r="35">
      <c r="A35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D'. Se la cella e' vuota, o manca un nome, si usa la lettera.</t>
        </is>
      </c>
    </row>
    <row r="36">
      <c r="A36" s="225" t="inlineStr">
        <is>
          <t>* Loghi: i link ai due loghi (URL pubblico di un'immagine) vanno nelle celle D3 e D4 del foglio Campionato. Compaiono, con la funzione IMAGE, nelle intestazioni di Calendario A-D, Playoff, Classifica, Classifica Finale e DESIGNAZIONI. Funziona in Google Sheets; in Excel serve la versione 365.</t>
        </is>
      </c>
    </row>
    <row r="37">
      <c r="A37" s="225" t="inlineStr">
        <is>
          <t>* Colori dei gironi: A oro (Gold), B argento (Silver), C bronzo (Bronze), D platino (Platinum).</t>
        </is>
      </c>
    </row>
    <row r="38">
      <c r="A38" s="225" t="inlineStr">
        <is>
          <t>* Foglio REGOLAMENTO (in fondo): pagine del regolamento, inserite solo per riferimento.</t>
        </is>
      </c>
    </row>
    <row r="39">
      <c r="A39" s="225" t="inlineStr">
        <is>
          <t>* Con 80 squadre e 760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757575"/>
    <outlinePr summaryBelow="1" summaryRight="1"/>
    <pageSetUpPr/>
  </sheetPr>
  <dimension ref="A1:I779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C'!$B10="","",'Calendario C'!$B10&amp;" vs "&amp;'Calendario C'!$D10&amp;" "&amp;'Calendario C'!$AC10)</f>
        <v/>
      </c>
      <c r="C382" s="222">
        <f>IF($B382="","",DATE(YEAR('Calendario C'!$F10),MONTH('Calendario C'!$F10),DAY('Calendario C'!$F10)))</f>
        <v/>
      </c>
      <c r="D382" s="223">
        <f>IF($B382="","",TIME(HOUR('Calendario C'!$F10),MINUTE('Calendario C'!$F10),0))</f>
        <v/>
      </c>
      <c r="E382" s="222">
        <f>IF($B382="","",DATE(YEAR('Calendario C'!$F10),MONTH('Calendario C'!$F10),DAY('Calendario C'!$F10)))</f>
        <v/>
      </c>
      <c r="F382" s="223">
        <f>IF($B382="","",TIME(HOUR('Calendario C'!$F10)+2,MINUTE('Calendario C'!$F10),0))</f>
        <v/>
      </c>
      <c r="G382" s="68">
        <f>IF($B382="","",'Calendario C'!$B11)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C'!$B13="","",'Calendario C'!$B13&amp;" vs "&amp;'Calendario C'!$D13&amp;" "&amp;'Calendario C'!$AC13)</f>
        <v/>
      </c>
      <c r="C383" s="222">
        <f>IF($B383="","",DATE(YEAR('Calendario C'!$F13),MONTH('Calendario C'!$F13),DAY('Calendario C'!$F13)))</f>
        <v/>
      </c>
      <c r="D383" s="223">
        <f>IF($B383="","",TIME(HOUR('Calendario C'!$F13),MINUTE('Calendario C'!$F13),0))</f>
        <v/>
      </c>
      <c r="E383" s="222">
        <f>IF($B383="","",DATE(YEAR('Calendario C'!$F13),MONTH('Calendario C'!$F13),DAY('Calendario C'!$F13)))</f>
        <v/>
      </c>
      <c r="F383" s="223">
        <f>IF($B383="","",TIME(HOUR('Calendario C'!$F13)+2,MINUTE('Calendario C'!$F13),0))</f>
        <v/>
      </c>
      <c r="G383" s="68">
        <f>IF($B383="","",'Calendario C'!$B14)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C'!$B16="","",'Calendario C'!$B16&amp;" vs "&amp;'Calendario C'!$D16&amp;" "&amp;'Calendario C'!$AC16)</f>
        <v/>
      </c>
      <c r="C384" s="222">
        <f>IF($B384="","",DATE(YEAR('Calendario C'!$F16),MONTH('Calendario C'!$F16),DAY('Calendario C'!$F16)))</f>
        <v/>
      </c>
      <c r="D384" s="223">
        <f>IF($B384="","",TIME(HOUR('Calendario C'!$F16),MINUTE('Calendario C'!$F16),0))</f>
        <v/>
      </c>
      <c r="E384" s="222">
        <f>IF($B384="","",DATE(YEAR('Calendario C'!$F16),MONTH('Calendario C'!$F16),DAY('Calendario C'!$F16)))</f>
        <v/>
      </c>
      <c r="F384" s="223">
        <f>IF($B384="","",TIME(HOUR('Calendario C'!$F16)+2,MINUTE('Calendario C'!$F16),0))</f>
        <v/>
      </c>
      <c r="G384" s="68">
        <f>IF($B384="","",'Calendario C'!$B17)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C'!$B19="","",'Calendario C'!$B19&amp;" vs "&amp;'Calendario C'!$D19&amp;" "&amp;'Calendario C'!$AC19)</f>
        <v/>
      </c>
      <c r="C385" s="222">
        <f>IF($B385="","",DATE(YEAR('Calendario C'!$F19),MONTH('Calendario C'!$F19),DAY('Calendario C'!$F19)))</f>
        <v/>
      </c>
      <c r="D385" s="223">
        <f>IF($B385="","",TIME(HOUR('Calendario C'!$F19),MINUTE('Calendario C'!$F19),0))</f>
        <v/>
      </c>
      <c r="E385" s="222">
        <f>IF($B385="","",DATE(YEAR('Calendario C'!$F19),MONTH('Calendario C'!$F19),DAY('Calendario C'!$F19)))</f>
        <v/>
      </c>
      <c r="F385" s="223">
        <f>IF($B385="","",TIME(HOUR('Calendario C'!$F19)+2,MINUTE('Calendario C'!$F19),0))</f>
        <v/>
      </c>
      <c r="G385" s="68">
        <f>IF($B385="","",'Calendario C'!$B20)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C'!$B22="","",'Calendario C'!$B22&amp;" vs "&amp;'Calendario C'!$D22&amp;" "&amp;'Calendario C'!$AC22)</f>
        <v/>
      </c>
      <c r="C386" s="222">
        <f>IF($B386="","",DATE(YEAR('Calendario C'!$F22),MONTH('Calendario C'!$F22),DAY('Calendario C'!$F22)))</f>
        <v/>
      </c>
      <c r="D386" s="223">
        <f>IF($B386="","",TIME(HOUR('Calendario C'!$F22),MINUTE('Calendario C'!$F22),0))</f>
        <v/>
      </c>
      <c r="E386" s="222">
        <f>IF($B386="","",DATE(YEAR('Calendario C'!$F22),MONTH('Calendario C'!$F22),DAY('Calendario C'!$F22)))</f>
        <v/>
      </c>
      <c r="F386" s="223">
        <f>IF($B386="","",TIME(HOUR('Calendario C'!$F22)+2,MINUTE('Calendario C'!$F22),0))</f>
        <v/>
      </c>
      <c r="G386" s="68">
        <f>IF($B386="","",'Calendario C'!$B23)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C'!$B25="","",'Calendario C'!$B25&amp;" vs "&amp;'Calendario C'!$D25&amp;" "&amp;'Calendario C'!$AC25)</f>
        <v/>
      </c>
      <c r="C387" s="222">
        <f>IF($B387="","",DATE(YEAR('Calendario C'!$F25),MONTH('Calendario C'!$F25),DAY('Calendario C'!$F25)))</f>
        <v/>
      </c>
      <c r="D387" s="223">
        <f>IF($B387="","",TIME(HOUR('Calendario C'!$F25),MINUTE('Calendario C'!$F25),0))</f>
        <v/>
      </c>
      <c r="E387" s="222">
        <f>IF($B387="","",DATE(YEAR('Calendario C'!$F25),MONTH('Calendario C'!$F25),DAY('Calendario C'!$F25)))</f>
        <v/>
      </c>
      <c r="F387" s="223">
        <f>IF($B387="","",TIME(HOUR('Calendario C'!$F25)+2,MINUTE('Calendario C'!$F25),0))</f>
        <v/>
      </c>
      <c r="G387" s="68">
        <f>IF($B387="","",'Calendario C'!$B26)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C'!$B28="","",'Calendario C'!$B28&amp;" vs "&amp;'Calendario C'!$D28&amp;" "&amp;'Calendario C'!$AC28)</f>
        <v/>
      </c>
      <c r="C388" s="222">
        <f>IF($B388="","",DATE(YEAR('Calendario C'!$F28),MONTH('Calendario C'!$F28),DAY('Calendario C'!$F28)))</f>
        <v/>
      </c>
      <c r="D388" s="223">
        <f>IF($B388="","",TIME(HOUR('Calendario C'!$F28),MINUTE('Calendario C'!$F28),0))</f>
        <v/>
      </c>
      <c r="E388" s="222">
        <f>IF($B388="","",DATE(YEAR('Calendario C'!$F28),MONTH('Calendario C'!$F28),DAY('Calendario C'!$F28)))</f>
        <v/>
      </c>
      <c r="F388" s="223">
        <f>IF($B388="","",TIME(HOUR('Calendario C'!$F28)+2,MINUTE('Calendario C'!$F28),0))</f>
        <v/>
      </c>
      <c r="G388" s="68">
        <f>IF($B388="","",'Calendario C'!$B29)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C'!$B31="","",'Calendario C'!$B31&amp;" vs "&amp;'Calendario C'!$D31&amp;" "&amp;'Calendario C'!$AC31)</f>
        <v/>
      </c>
      <c r="C389" s="222">
        <f>IF($B389="","",DATE(YEAR('Calendario C'!$F31),MONTH('Calendario C'!$F31),DAY('Calendario C'!$F31)))</f>
        <v/>
      </c>
      <c r="D389" s="223">
        <f>IF($B389="","",TIME(HOUR('Calendario C'!$F31),MINUTE('Calendario C'!$F31),0))</f>
        <v/>
      </c>
      <c r="E389" s="222">
        <f>IF($B389="","",DATE(YEAR('Calendario C'!$F31),MONTH('Calendario C'!$F31),DAY('Calendario C'!$F31)))</f>
        <v/>
      </c>
      <c r="F389" s="223">
        <f>IF($B389="","",TIME(HOUR('Calendario C'!$F31)+2,MINUTE('Calendario C'!$F31),0))</f>
        <v/>
      </c>
      <c r="G389" s="68">
        <f>IF($B389="","",'Calendario C'!$B32)</f>
        <v/>
      </c>
      <c r="H389" s="68">
        <f>IF($B389="","",Campionato!$D$2&amp;" "&amp;Campionato!$D$6)</f>
        <v/>
      </c>
      <c r="I389" s="68" t="n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C'!$B34="","",'Calendario C'!$B34&amp;" vs "&amp;'Calendario C'!$D34&amp;" "&amp;'Calendario C'!$AC34)</f>
        <v/>
      </c>
      <c r="C390" s="222">
        <f>IF($B390="","",DATE(YEAR('Calendario C'!$F34),MONTH('Calendario C'!$F34),DAY('Calendario C'!$F34)))</f>
        <v/>
      </c>
      <c r="D390" s="223">
        <f>IF($B390="","",TIME(HOUR('Calendario C'!$F34),MINUTE('Calendario C'!$F34),0))</f>
        <v/>
      </c>
      <c r="E390" s="222">
        <f>IF($B390="","",DATE(YEAR('Calendario C'!$F34),MONTH('Calendario C'!$F34),DAY('Calendario C'!$F34)))</f>
        <v/>
      </c>
      <c r="F390" s="223">
        <f>IF($B390="","",TIME(HOUR('Calendario C'!$F34)+2,MINUTE('Calendario C'!$F34),0))</f>
        <v/>
      </c>
      <c r="G390" s="68">
        <f>IF($B390="","",'Calendario C'!$B35)</f>
        <v/>
      </c>
      <c r="H390" s="68">
        <f>IF($B390="","",Campionato!$D$2&amp;" "&amp;Campionato!$D$6)</f>
        <v/>
      </c>
      <c r="I390" s="68" t="n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C'!$B37="","",'Calendario C'!$B37&amp;" vs "&amp;'Calendario C'!$D37&amp;" "&amp;'Calendario C'!$AC37)</f>
        <v/>
      </c>
      <c r="C391" s="222">
        <f>IF($B391="","",DATE(YEAR('Calendario C'!$F37),MONTH('Calendario C'!$F37),DAY('Calendario C'!$F37)))</f>
        <v/>
      </c>
      <c r="D391" s="223">
        <f>IF($B391="","",TIME(HOUR('Calendario C'!$F37),MINUTE('Calendario C'!$F37),0))</f>
        <v/>
      </c>
      <c r="E391" s="222">
        <f>IF($B391="","",DATE(YEAR('Calendario C'!$F37),MONTH('Calendario C'!$F37),DAY('Calendario C'!$F37)))</f>
        <v/>
      </c>
      <c r="F391" s="223">
        <f>IF($B391="","",TIME(HOUR('Calendario C'!$F37)+2,MINUTE('Calendario C'!$F37),0))</f>
        <v/>
      </c>
      <c r="G391" s="68">
        <f>IF($B391="","",'Calendario C'!$B38)</f>
        <v/>
      </c>
      <c r="H391" s="68">
        <f>IF($B391="","",Campionato!$D$2&amp;" "&amp;Campionato!$D$6)</f>
        <v/>
      </c>
      <c r="I391" s="68" t="n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C'!$B42="","",'Calendario C'!$B42&amp;" vs "&amp;'Calendario C'!$D42&amp;" "&amp;'Calendario C'!$AC42)</f>
        <v/>
      </c>
      <c r="C392" s="222">
        <f>IF($B392="","",DATE(YEAR('Calendario C'!$F42),MONTH('Calendario C'!$F42),DAY('Calendario C'!$F42)))</f>
        <v/>
      </c>
      <c r="D392" s="223">
        <f>IF($B392="","",TIME(HOUR('Calendario C'!$F42),MINUTE('Calendario C'!$F42),0))</f>
        <v/>
      </c>
      <c r="E392" s="222">
        <f>IF($B392="","",DATE(YEAR('Calendario C'!$F42),MONTH('Calendario C'!$F42),DAY('Calendario C'!$F42)))</f>
        <v/>
      </c>
      <c r="F392" s="223">
        <f>IF($B392="","",TIME(HOUR('Calendario C'!$F42)+2,MINUTE('Calendario C'!$F42),0))</f>
        <v/>
      </c>
      <c r="G392" s="68">
        <f>IF($B392="","",'Calendario C'!$B43)</f>
        <v/>
      </c>
      <c r="H392" s="68">
        <f>IF($B392="","",Campionato!$D$2&amp;" "&amp;Campionato!$D$6)</f>
        <v/>
      </c>
      <c r="I392" s="68" t="n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C'!$B45="","",'Calendario C'!$B45&amp;" vs "&amp;'Calendario C'!$D45&amp;" "&amp;'Calendario C'!$AC45)</f>
        <v/>
      </c>
      <c r="C393" s="222">
        <f>IF($B393="","",DATE(YEAR('Calendario C'!$F45),MONTH('Calendario C'!$F45),DAY('Calendario C'!$F45)))</f>
        <v/>
      </c>
      <c r="D393" s="223">
        <f>IF($B393="","",TIME(HOUR('Calendario C'!$F45),MINUTE('Calendario C'!$F45),0))</f>
        <v/>
      </c>
      <c r="E393" s="222">
        <f>IF($B393="","",DATE(YEAR('Calendario C'!$F45),MONTH('Calendario C'!$F45),DAY('Calendario C'!$F45)))</f>
        <v/>
      </c>
      <c r="F393" s="223">
        <f>IF($B393="","",TIME(HOUR('Calendario C'!$F45)+2,MINUTE('Calendario C'!$F45),0))</f>
        <v/>
      </c>
      <c r="G393" s="68">
        <f>IF($B393="","",'Calendario C'!$B46)</f>
        <v/>
      </c>
      <c r="H393" s="68">
        <f>IF($B393="","",Campionato!$D$2&amp;" "&amp;Campionato!$D$6)</f>
        <v/>
      </c>
      <c r="I393" s="68" t="n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C'!$B48="","",'Calendario C'!$B48&amp;" vs "&amp;'Calendario C'!$D48&amp;" "&amp;'Calendario C'!$AC48)</f>
        <v/>
      </c>
      <c r="C394" s="222">
        <f>IF($B394="","",DATE(YEAR('Calendario C'!$F48),MONTH('Calendario C'!$F48),DAY('Calendario C'!$F48)))</f>
        <v/>
      </c>
      <c r="D394" s="223">
        <f>IF($B394="","",TIME(HOUR('Calendario C'!$F48),MINUTE('Calendario C'!$F48),0))</f>
        <v/>
      </c>
      <c r="E394" s="222">
        <f>IF($B394="","",DATE(YEAR('Calendario C'!$F48),MONTH('Calendario C'!$F48),DAY('Calendario C'!$F48)))</f>
        <v/>
      </c>
      <c r="F394" s="223">
        <f>IF($B394="","",TIME(HOUR('Calendario C'!$F48)+2,MINUTE('Calendario C'!$F48),0))</f>
        <v/>
      </c>
      <c r="G394" s="68">
        <f>IF($B394="","",'Calendario C'!$B49)</f>
        <v/>
      </c>
      <c r="H394" s="68">
        <f>IF($B394="","",Campionato!$D$2&amp;" "&amp;Campionato!$D$6)</f>
        <v/>
      </c>
      <c r="I394" s="68" t="n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C'!$B51="","",'Calendario C'!$B51&amp;" vs "&amp;'Calendario C'!$D51&amp;" "&amp;'Calendario C'!$AC51)</f>
        <v/>
      </c>
      <c r="C395" s="222">
        <f>IF($B395="","",DATE(YEAR('Calendario C'!$F51),MONTH('Calendario C'!$F51),DAY('Calendario C'!$F51)))</f>
        <v/>
      </c>
      <c r="D395" s="223">
        <f>IF($B395="","",TIME(HOUR('Calendario C'!$F51),MINUTE('Calendario C'!$F51),0))</f>
        <v/>
      </c>
      <c r="E395" s="222">
        <f>IF($B395="","",DATE(YEAR('Calendario C'!$F51),MONTH('Calendario C'!$F51),DAY('Calendario C'!$F51)))</f>
        <v/>
      </c>
      <c r="F395" s="223">
        <f>IF($B395="","",TIME(HOUR('Calendario C'!$F51)+2,MINUTE('Calendario C'!$F51),0))</f>
        <v/>
      </c>
      <c r="G395" s="68">
        <f>IF($B395="","",'Calendario C'!$B52)</f>
        <v/>
      </c>
      <c r="H395" s="68">
        <f>IF($B395="","",Campionato!$D$2&amp;" "&amp;Campionato!$D$6)</f>
        <v/>
      </c>
      <c r="I395" s="68" t="n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C'!$B54="","",'Calendario C'!$B54&amp;" vs "&amp;'Calendario C'!$D54&amp;" "&amp;'Calendario C'!$AC54)</f>
        <v/>
      </c>
      <c r="C396" s="222">
        <f>IF($B396="","",DATE(YEAR('Calendario C'!$F54),MONTH('Calendario C'!$F54),DAY('Calendario C'!$F54)))</f>
        <v/>
      </c>
      <c r="D396" s="223">
        <f>IF($B396="","",TIME(HOUR('Calendario C'!$F54),MINUTE('Calendario C'!$F54),0))</f>
        <v/>
      </c>
      <c r="E396" s="222">
        <f>IF($B396="","",DATE(YEAR('Calendario C'!$F54),MONTH('Calendario C'!$F54),DAY('Calendario C'!$F54)))</f>
        <v/>
      </c>
      <c r="F396" s="223">
        <f>IF($B396="","",TIME(HOUR('Calendario C'!$F54)+2,MINUTE('Calendario C'!$F54),0))</f>
        <v/>
      </c>
      <c r="G396" s="68">
        <f>IF($B396="","",'Calendario C'!$B55)</f>
        <v/>
      </c>
      <c r="H396" s="68">
        <f>IF($B396="","",Campionato!$D$2&amp;" "&amp;Campionato!$D$6)</f>
        <v/>
      </c>
      <c r="I396" s="68" t="n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C'!$B57="","",'Calendario C'!$B57&amp;" vs "&amp;'Calendario C'!$D57&amp;" "&amp;'Calendario C'!$AC57)</f>
        <v/>
      </c>
      <c r="C397" s="222">
        <f>IF($B397="","",DATE(YEAR('Calendario C'!$F57),MONTH('Calendario C'!$F57),DAY('Calendario C'!$F57)))</f>
        <v/>
      </c>
      <c r="D397" s="223">
        <f>IF($B397="","",TIME(HOUR('Calendario C'!$F57),MINUTE('Calendario C'!$F57),0))</f>
        <v/>
      </c>
      <c r="E397" s="222">
        <f>IF($B397="","",DATE(YEAR('Calendario C'!$F57),MONTH('Calendario C'!$F57),DAY('Calendario C'!$F57)))</f>
        <v/>
      </c>
      <c r="F397" s="223">
        <f>IF($B397="","",TIME(HOUR('Calendario C'!$F57)+2,MINUTE('Calendario C'!$F57),0))</f>
        <v/>
      </c>
      <c r="G397" s="68">
        <f>IF($B397="","",'Calendario C'!$B58)</f>
        <v/>
      </c>
      <c r="H397" s="68">
        <f>IF($B397="","",Campionato!$D$2&amp;" "&amp;Campionato!$D$6)</f>
        <v/>
      </c>
      <c r="I397" s="68" t="n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C'!$B60="","",'Calendario C'!$B60&amp;" vs "&amp;'Calendario C'!$D60&amp;" "&amp;'Calendario C'!$AC60)</f>
        <v/>
      </c>
      <c r="C398" s="222">
        <f>IF($B398="","",DATE(YEAR('Calendario C'!$F60),MONTH('Calendario C'!$F60),DAY('Calendario C'!$F60)))</f>
        <v/>
      </c>
      <c r="D398" s="223">
        <f>IF($B398="","",TIME(HOUR('Calendario C'!$F60),MINUTE('Calendario C'!$F60),0))</f>
        <v/>
      </c>
      <c r="E398" s="222">
        <f>IF($B398="","",DATE(YEAR('Calendario C'!$F60),MONTH('Calendario C'!$F60),DAY('Calendario C'!$F60)))</f>
        <v/>
      </c>
      <c r="F398" s="223">
        <f>IF($B398="","",TIME(HOUR('Calendario C'!$F60)+2,MINUTE('Calendario C'!$F60),0))</f>
        <v/>
      </c>
      <c r="G398" s="68">
        <f>IF($B398="","",'Calendario C'!$B61)</f>
        <v/>
      </c>
      <c r="H398" s="68">
        <f>IF($B398="","",Campionato!$D$2&amp;" "&amp;Campionato!$D$6)</f>
        <v/>
      </c>
      <c r="I398" s="68" t="n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C'!$B63="","",'Calendario C'!$B63&amp;" vs "&amp;'Calendario C'!$D63&amp;" "&amp;'Calendario C'!$AC63)</f>
        <v/>
      </c>
      <c r="C399" s="222">
        <f>IF($B399="","",DATE(YEAR('Calendario C'!$F63),MONTH('Calendario C'!$F63),DAY('Calendario C'!$F63)))</f>
        <v/>
      </c>
      <c r="D399" s="223">
        <f>IF($B399="","",TIME(HOUR('Calendario C'!$F63),MINUTE('Calendario C'!$F63),0))</f>
        <v/>
      </c>
      <c r="E399" s="222">
        <f>IF($B399="","",DATE(YEAR('Calendario C'!$F63),MONTH('Calendario C'!$F63),DAY('Calendario C'!$F63)))</f>
        <v/>
      </c>
      <c r="F399" s="223">
        <f>IF($B399="","",TIME(HOUR('Calendario C'!$F63)+2,MINUTE('Calendario C'!$F63),0))</f>
        <v/>
      </c>
      <c r="G399" s="68">
        <f>IF($B399="","",'Calendario C'!$B64)</f>
        <v/>
      </c>
      <c r="H399" s="68">
        <f>IF($B399="","",Campionato!$D$2&amp;" "&amp;Campionato!$D$6)</f>
        <v/>
      </c>
      <c r="I399" s="68" t="n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C'!$B66="","",'Calendario C'!$B66&amp;" vs "&amp;'Calendario C'!$D66&amp;" "&amp;'Calendario C'!$AC66)</f>
        <v/>
      </c>
      <c r="C400" s="222">
        <f>IF($B400="","",DATE(YEAR('Calendario C'!$F66),MONTH('Calendario C'!$F66),DAY('Calendario C'!$F66)))</f>
        <v/>
      </c>
      <c r="D400" s="223">
        <f>IF($B400="","",TIME(HOUR('Calendario C'!$F66),MINUTE('Calendario C'!$F66),0))</f>
        <v/>
      </c>
      <c r="E400" s="222">
        <f>IF($B400="","",DATE(YEAR('Calendario C'!$F66),MONTH('Calendario C'!$F66),DAY('Calendario C'!$F66)))</f>
        <v/>
      </c>
      <c r="F400" s="223">
        <f>IF($B400="","",TIME(HOUR('Calendario C'!$F66)+2,MINUTE('Calendario C'!$F66),0))</f>
        <v/>
      </c>
      <c r="G400" s="68">
        <f>IF($B400="","",'Calendario C'!$B67)</f>
        <v/>
      </c>
      <c r="H400" s="68">
        <f>IF($B400="","",Campionato!$D$2&amp;" "&amp;Campionato!$D$6)</f>
        <v/>
      </c>
      <c r="I400" s="68" t="n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C'!$B69="","",'Calendario C'!$B69&amp;" vs "&amp;'Calendario C'!$D69&amp;" "&amp;'Calendario C'!$AC69)</f>
        <v/>
      </c>
      <c r="C401" s="222">
        <f>IF($B401="","",DATE(YEAR('Calendario C'!$F69),MONTH('Calendario C'!$F69),DAY('Calendario C'!$F69)))</f>
        <v/>
      </c>
      <c r="D401" s="223">
        <f>IF($B401="","",TIME(HOUR('Calendario C'!$F69),MINUTE('Calendario C'!$F69),0))</f>
        <v/>
      </c>
      <c r="E401" s="222">
        <f>IF($B401="","",DATE(YEAR('Calendario C'!$F69),MONTH('Calendario C'!$F69),DAY('Calendario C'!$F69)))</f>
        <v/>
      </c>
      <c r="F401" s="223">
        <f>IF($B401="","",TIME(HOUR('Calendario C'!$F69)+2,MINUTE('Calendario C'!$F69),0))</f>
        <v/>
      </c>
      <c r="G401" s="68">
        <f>IF($B401="","",'Calendario C'!$B70)</f>
        <v/>
      </c>
      <c r="H401" s="68">
        <f>IF($B401="","",Campionato!$D$2&amp;" "&amp;Campionato!$D$6)</f>
        <v/>
      </c>
      <c r="I401" s="68" t="n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C'!$B74="","",'Calendario C'!$B74&amp;" vs "&amp;'Calendario C'!$D74&amp;" "&amp;'Calendario C'!$AC74)</f>
        <v/>
      </c>
      <c r="C402" s="222">
        <f>IF($B402="","",DATE(YEAR('Calendario C'!$F74),MONTH('Calendario C'!$F74),DAY('Calendario C'!$F74)))</f>
        <v/>
      </c>
      <c r="D402" s="223">
        <f>IF($B402="","",TIME(HOUR('Calendario C'!$F74),MINUTE('Calendario C'!$F74),0))</f>
        <v/>
      </c>
      <c r="E402" s="222">
        <f>IF($B402="","",DATE(YEAR('Calendario C'!$F74),MONTH('Calendario C'!$F74),DAY('Calendario C'!$F74)))</f>
        <v/>
      </c>
      <c r="F402" s="223">
        <f>IF($B402="","",TIME(HOUR('Calendario C'!$F74)+2,MINUTE('Calendario C'!$F74),0))</f>
        <v/>
      </c>
      <c r="G402" s="68">
        <f>IF($B402="","",'Calendario C'!$B75)</f>
        <v/>
      </c>
      <c r="H402" s="68">
        <f>IF($B402="","",Campionato!$D$2&amp;" "&amp;Campionato!$D$6)</f>
        <v/>
      </c>
      <c r="I402" s="68" t="n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C'!$B77="","",'Calendario C'!$B77&amp;" vs "&amp;'Calendario C'!$D77&amp;" "&amp;'Calendario C'!$AC77)</f>
        <v/>
      </c>
      <c r="C403" s="222">
        <f>IF($B403="","",DATE(YEAR('Calendario C'!$F77),MONTH('Calendario C'!$F77),DAY('Calendario C'!$F77)))</f>
        <v/>
      </c>
      <c r="D403" s="223">
        <f>IF($B403="","",TIME(HOUR('Calendario C'!$F77),MINUTE('Calendario C'!$F77),0))</f>
        <v/>
      </c>
      <c r="E403" s="222">
        <f>IF($B403="","",DATE(YEAR('Calendario C'!$F77),MONTH('Calendario C'!$F77),DAY('Calendario C'!$F77)))</f>
        <v/>
      </c>
      <c r="F403" s="223">
        <f>IF($B403="","",TIME(HOUR('Calendario C'!$F77)+2,MINUTE('Calendario C'!$F77),0))</f>
        <v/>
      </c>
      <c r="G403" s="68">
        <f>IF($B403="","",'Calendario C'!$B78)</f>
        <v/>
      </c>
      <c r="H403" s="68">
        <f>IF($B403="","",Campionato!$D$2&amp;" "&amp;Campionato!$D$6)</f>
        <v/>
      </c>
      <c r="I403" s="68" t="n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C'!$B80="","",'Calendario C'!$B80&amp;" vs "&amp;'Calendario C'!$D80&amp;" "&amp;'Calendario C'!$AC80)</f>
        <v/>
      </c>
      <c r="C404" s="222">
        <f>IF($B404="","",DATE(YEAR('Calendario C'!$F80),MONTH('Calendario C'!$F80),DAY('Calendario C'!$F80)))</f>
        <v/>
      </c>
      <c r="D404" s="223">
        <f>IF($B404="","",TIME(HOUR('Calendario C'!$F80),MINUTE('Calendario C'!$F80),0))</f>
        <v/>
      </c>
      <c r="E404" s="222">
        <f>IF($B404="","",DATE(YEAR('Calendario C'!$F80),MONTH('Calendario C'!$F80),DAY('Calendario C'!$F80)))</f>
        <v/>
      </c>
      <c r="F404" s="223">
        <f>IF($B404="","",TIME(HOUR('Calendario C'!$F80)+2,MINUTE('Calendario C'!$F80),0))</f>
        <v/>
      </c>
      <c r="G404" s="68">
        <f>IF($B404="","",'Calendario C'!$B81)</f>
        <v/>
      </c>
      <c r="H404" s="68">
        <f>IF($B404="","",Campionato!$D$2&amp;" "&amp;Campionato!$D$6)</f>
        <v/>
      </c>
      <c r="I404" s="68" t="n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C'!$B83="","",'Calendario C'!$B83&amp;" vs "&amp;'Calendario C'!$D83&amp;" "&amp;'Calendario C'!$AC83)</f>
        <v/>
      </c>
      <c r="C405" s="222">
        <f>IF($B405="","",DATE(YEAR('Calendario C'!$F83),MONTH('Calendario C'!$F83),DAY('Calendario C'!$F83)))</f>
        <v/>
      </c>
      <c r="D405" s="223">
        <f>IF($B405="","",TIME(HOUR('Calendario C'!$F83),MINUTE('Calendario C'!$F83),0))</f>
        <v/>
      </c>
      <c r="E405" s="222">
        <f>IF($B405="","",DATE(YEAR('Calendario C'!$F83),MONTH('Calendario C'!$F83),DAY('Calendario C'!$F83)))</f>
        <v/>
      </c>
      <c r="F405" s="223">
        <f>IF($B405="","",TIME(HOUR('Calendario C'!$F83)+2,MINUTE('Calendario C'!$F83),0))</f>
        <v/>
      </c>
      <c r="G405" s="68">
        <f>IF($B405="","",'Calendario C'!$B84)</f>
        <v/>
      </c>
      <c r="H405" s="68">
        <f>IF($B405="","",Campionato!$D$2&amp;" "&amp;Campionato!$D$6)</f>
        <v/>
      </c>
      <c r="I405" s="68" t="n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C'!$B86="","",'Calendario C'!$B86&amp;" vs "&amp;'Calendario C'!$D86&amp;" "&amp;'Calendario C'!$AC86)</f>
        <v/>
      </c>
      <c r="C406" s="222">
        <f>IF($B406="","",DATE(YEAR('Calendario C'!$F86),MONTH('Calendario C'!$F86),DAY('Calendario C'!$F86)))</f>
        <v/>
      </c>
      <c r="D406" s="223">
        <f>IF($B406="","",TIME(HOUR('Calendario C'!$F86),MINUTE('Calendario C'!$F86),0))</f>
        <v/>
      </c>
      <c r="E406" s="222">
        <f>IF($B406="","",DATE(YEAR('Calendario C'!$F86),MONTH('Calendario C'!$F86),DAY('Calendario C'!$F86)))</f>
        <v/>
      </c>
      <c r="F406" s="223">
        <f>IF($B406="","",TIME(HOUR('Calendario C'!$F86)+2,MINUTE('Calendario C'!$F86),0))</f>
        <v/>
      </c>
      <c r="G406" s="68">
        <f>IF($B406="","",'Calendario C'!$B87)</f>
        <v/>
      </c>
      <c r="H406" s="68">
        <f>IF($B406="","",Campionato!$D$2&amp;" "&amp;Campionato!$D$6)</f>
        <v/>
      </c>
      <c r="I406" s="68" t="n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C'!$B89="","",'Calendario C'!$B89&amp;" vs "&amp;'Calendario C'!$D89&amp;" "&amp;'Calendario C'!$AC89)</f>
        <v/>
      </c>
      <c r="C407" s="222">
        <f>IF($B407="","",DATE(YEAR('Calendario C'!$F89),MONTH('Calendario C'!$F89),DAY('Calendario C'!$F89)))</f>
        <v/>
      </c>
      <c r="D407" s="223">
        <f>IF($B407="","",TIME(HOUR('Calendario C'!$F89),MINUTE('Calendario C'!$F89),0))</f>
        <v/>
      </c>
      <c r="E407" s="222">
        <f>IF($B407="","",DATE(YEAR('Calendario C'!$F89),MONTH('Calendario C'!$F89),DAY('Calendario C'!$F89)))</f>
        <v/>
      </c>
      <c r="F407" s="223">
        <f>IF($B407="","",TIME(HOUR('Calendario C'!$F89)+2,MINUTE('Calendario C'!$F89),0))</f>
        <v/>
      </c>
      <c r="G407" s="68">
        <f>IF($B407="","",'Calendario C'!$B90)</f>
        <v/>
      </c>
      <c r="H407" s="68">
        <f>IF($B407="","",Campionato!$D$2&amp;" "&amp;Campionato!$D$6)</f>
        <v/>
      </c>
      <c r="I407" s="68" t="n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C'!$B92="","",'Calendario C'!$B92&amp;" vs "&amp;'Calendario C'!$D92&amp;" "&amp;'Calendario C'!$AC92)</f>
        <v/>
      </c>
      <c r="C408" s="222">
        <f>IF($B408="","",DATE(YEAR('Calendario C'!$F92),MONTH('Calendario C'!$F92),DAY('Calendario C'!$F92)))</f>
        <v/>
      </c>
      <c r="D408" s="223">
        <f>IF($B408="","",TIME(HOUR('Calendario C'!$F92),MINUTE('Calendario C'!$F92),0))</f>
        <v/>
      </c>
      <c r="E408" s="222">
        <f>IF($B408="","",DATE(YEAR('Calendario C'!$F92),MONTH('Calendario C'!$F92),DAY('Calendario C'!$F92)))</f>
        <v/>
      </c>
      <c r="F408" s="223">
        <f>IF($B408="","",TIME(HOUR('Calendario C'!$F92)+2,MINUTE('Calendario C'!$F92),0))</f>
        <v/>
      </c>
      <c r="G408" s="68">
        <f>IF($B408="","",'Calendario C'!$B93)</f>
        <v/>
      </c>
      <c r="H408" s="68">
        <f>IF($B408="","",Campionato!$D$2&amp;" "&amp;Campionato!$D$6)</f>
        <v/>
      </c>
      <c r="I408" s="68" t="n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C'!$B95="","",'Calendario C'!$B95&amp;" vs "&amp;'Calendario C'!$D95&amp;" "&amp;'Calendario C'!$AC95)</f>
        <v/>
      </c>
      <c r="C409" s="222">
        <f>IF($B409="","",DATE(YEAR('Calendario C'!$F95),MONTH('Calendario C'!$F95),DAY('Calendario C'!$F95)))</f>
        <v/>
      </c>
      <c r="D409" s="223">
        <f>IF($B409="","",TIME(HOUR('Calendario C'!$F95),MINUTE('Calendario C'!$F95),0))</f>
        <v/>
      </c>
      <c r="E409" s="222">
        <f>IF($B409="","",DATE(YEAR('Calendario C'!$F95),MONTH('Calendario C'!$F95),DAY('Calendario C'!$F95)))</f>
        <v/>
      </c>
      <c r="F409" s="223">
        <f>IF($B409="","",TIME(HOUR('Calendario C'!$F95)+2,MINUTE('Calendario C'!$F95),0))</f>
        <v/>
      </c>
      <c r="G409" s="68">
        <f>IF($B409="","",'Calendario C'!$B96)</f>
        <v/>
      </c>
      <c r="H409" s="68">
        <f>IF($B409="","",Campionato!$D$2&amp;" "&amp;Campionato!$D$6)</f>
        <v/>
      </c>
      <c r="I409" s="68" t="n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C'!$B98="","",'Calendario C'!$B98&amp;" vs "&amp;'Calendario C'!$D98&amp;" "&amp;'Calendario C'!$AC98)</f>
        <v/>
      </c>
      <c r="C410" s="222">
        <f>IF($B410="","",DATE(YEAR('Calendario C'!$F98),MONTH('Calendario C'!$F98),DAY('Calendario C'!$F98)))</f>
        <v/>
      </c>
      <c r="D410" s="223">
        <f>IF($B410="","",TIME(HOUR('Calendario C'!$F98),MINUTE('Calendario C'!$F98),0))</f>
        <v/>
      </c>
      <c r="E410" s="222">
        <f>IF($B410="","",DATE(YEAR('Calendario C'!$F98),MONTH('Calendario C'!$F98),DAY('Calendario C'!$F98)))</f>
        <v/>
      </c>
      <c r="F410" s="223">
        <f>IF($B410="","",TIME(HOUR('Calendario C'!$F98)+2,MINUTE('Calendario C'!$F98),0))</f>
        <v/>
      </c>
      <c r="G410" s="68">
        <f>IF($B410="","",'Calendario C'!$B99)</f>
        <v/>
      </c>
      <c r="H410" s="68">
        <f>IF($B410="","",Campionato!$D$2&amp;" "&amp;Campionato!$D$6)</f>
        <v/>
      </c>
      <c r="I410" s="68" t="n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C'!$B101="","",'Calendario C'!$B101&amp;" vs "&amp;'Calendario C'!$D101&amp;" "&amp;'Calendario C'!$AC101)</f>
        <v/>
      </c>
      <c r="C411" s="222">
        <f>IF($B411="","",DATE(YEAR('Calendario C'!$F101),MONTH('Calendario C'!$F101),DAY('Calendario C'!$F101)))</f>
        <v/>
      </c>
      <c r="D411" s="223">
        <f>IF($B411="","",TIME(HOUR('Calendario C'!$F101),MINUTE('Calendario C'!$F101),0))</f>
        <v/>
      </c>
      <c r="E411" s="222">
        <f>IF($B411="","",DATE(YEAR('Calendario C'!$F101),MONTH('Calendario C'!$F101),DAY('Calendario C'!$F101)))</f>
        <v/>
      </c>
      <c r="F411" s="223">
        <f>IF($B411="","",TIME(HOUR('Calendario C'!$F101)+2,MINUTE('Calendario C'!$F101),0))</f>
        <v/>
      </c>
      <c r="G411" s="68">
        <f>IF($B411="","",'Calendario C'!$B102)</f>
        <v/>
      </c>
      <c r="H411" s="68">
        <f>IF($B411="","",Campionato!$D$2&amp;" "&amp;Campionato!$D$6)</f>
        <v/>
      </c>
      <c r="I411" s="68" t="n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C'!$B106="","",'Calendario C'!$B106&amp;" vs "&amp;'Calendario C'!$D106&amp;" "&amp;'Calendario C'!$AC106)</f>
        <v/>
      </c>
      <c r="C412" s="222">
        <f>IF($B412="","",DATE(YEAR('Calendario C'!$F106),MONTH('Calendario C'!$F106),DAY('Calendario C'!$F106)))</f>
        <v/>
      </c>
      <c r="D412" s="223">
        <f>IF($B412="","",TIME(HOUR('Calendario C'!$F106),MINUTE('Calendario C'!$F106),0))</f>
        <v/>
      </c>
      <c r="E412" s="222">
        <f>IF($B412="","",DATE(YEAR('Calendario C'!$F106),MONTH('Calendario C'!$F106),DAY('Calendario C'!$F106)))</f>
        <v/>
      </c>
      <c r="F412" s="223">
        <f>IF($B412="","",TIME(HOUR('Calendario C'!$F106)+2,MINUTE('Calendario C'!$F106),0))</f>
        <v/>
      </c>
      <c r="G412" s="68">
        <f>IF($B412="","",'Calendario C'!$B107)</f>
        <v/>
      </c>
      <c r="H412" s="68">
        <f>IF($B412="","",Campionato!$D$2&amp;" "&amp;Campionato!$D$6)</f>
        <v/>
      </c>
      <c r="I412" s="68" t="n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C'!$B109="","",'Calendario C'!$B109&amp;" vs "&amp;'Calendario C'!$D109&amp;" "&amp;'Calendario C'!$AC109)</f>
        <v/>
      </c>
      <c r="C413" s="222">
        <f>IF($B413="","",DATE(YEAR('Calendario C'!$F109),MONTH('Calendario C'!$F109),DAY('Calendario C'!$F109)))</f>
        <v/>
      </c>
      <c r="D413" s="223">
        <f>IF($B413="","",TIME(HOUR('Calendario C'!$F109),MINUTE('Calendario C'!$F109),0))</f>
        <v/>
      </c>
      <c r="E413" s="222">
        <f>IF($B413="","",DATE(YEAR('Calendario C'!$F109),MONTH('Calendario C'!$F109),DAY('Calendario C'!$F109)))</f>
        <v/>
      </c>
      <c r="F413" s="223">
        <f>IF($B413="","",TIME(HOUR('Calendario C'!$F109)+2,MINUTE('Calendario C'!$F109),0))</f>
        <v/>
      </c>
      <c r="G413" s="68">
        <f>IF($B413="","",'Calendario C'!$B110)</f>
        <v/>
      </c>
      <c r="H413" s="68">
        <f>IF($B413="","",Campionato!$D$2&amp;" "&amp;Campionato!$D$6)</f>
        <v/>
      </c>
      <c r="I413" s="68" t="n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C'!$B112="","",'Calendario C'!$B112&amp;" vs "&amp;'Calendario C'!$D112&amp;" "&amp;'Calendario C'!$AC112)</f>
        <v/>
      </c>
      <c r="C414" s="222">
        <f>IF($B414="","",DATE(YEAR('Calendario C'!$F112),MONTH('Calendario C'!$F112),DAY('Calendario C'!$F112)))</f>
        <v/>
      </c>
      <c r="D414" s="223">
        <f>IF($B414="","",TIME(HOUR('Calendario C'!$F112),MINUTE('Calendario C'!$F112),0))</f>
        <v/>
      </c>
      <c r="E414" s="222">
        <f>IF($B414="","",DATE(YEAR('Calendario C'!$F112),MONTH('Calendario C'!$F112),DAY('Calendario C'!$F112)))</f>
        <v/>
      </c>
      <c r="F414" s="223">
        <f>IF($B414="","",TIME(HOUR('Calendario C'!$F112)+2,MINUTE('Calendario C'!$F112),0))</f>
        <v/>
      </c>
      <c r="G414" s="68">
        <f>IF($B414="","",'Calendario C'!$B113)</f>
        <v/>
      </c>
      <c r="H414" s="68">
        <f>IF($B414="","",Campionato!$D$2&amp;" "&amp;Campionato!$D$6)</f>
        <v/>
      </c>
      <c r="I414" s="68" t="n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C'!$B115="","",'Calendario C'!$B115&amp;" vs "&amp;'Calendario C'!$D115&amp;" "&amp;'Calendario C'!$AC115)</f>
        <v/>
      </c>
      <c r="C415" s="222">
        <f>IF($B415="","",DATE(YEAR('Calendario C'!$F115),MONTH('Calendario C'!$F115),DAY('Calendario C'!$F115)))</f>
        <v/>
      </c>
      <c r="D415" s="223">
        <f>IF($B415="","",TIME(HOUR('Calendario C'!$F115),MINUTE('Calendario C'!$F115),0))</f>
        <v/>
      </c>
      <c r="E415" s="222">
        <f>IF($B415="","",DATE(YEAR('Calendario C'!$F115),MONTH('Calendario C'!$F115),DAY('Calendario C'!$F115)))</f>
        <v/>
      </c>
      <c r="F415" s="223">
        <f>IF($B415="","",TIME(HOUR('Calendario C'!$F115)+2,MINUTE('Calendario C'!$F115),0))</f>
        <v/>
      </c>
      <c r="G415" s="68">
        <f>IF($B415="","",'Calendario C'!$B116)</f>
        <v/>
      </c>
      <c r="H415" s="68">
        <f>IF($B415="","",Campionato!$D$2&amp;" "&amp;Campionato!$D$6)</f>
        <v/>
      </c>
      <c r="I415" s="68" t="n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C'!$B118="","",'Calendario C'!$B118&amp;" vs "&amp;'Calendario C'!$D118&amp;" "&amp;'Calendario C'!$AC118)</f>
        <v/>
      </c>
      <c r="C416" s="222">
        <f>IF($B416="","",DATE(YEAR('Calendario C'!$F118),MONTH('Calendario C'!$F118),DAY('Calendario C'!$F118)))</f>
        <v/>
      </c>
      <c r="D416" s="223">
        <f>IF($B416="","",TIME(HOUR('Calendario C'!$F118),MINUTE('Calendario C'!$F118),0))</f>
        <v/>
      </c>
      <c r="E416" s="222">
        <f>IF($B416="","",DATE(YEAR('Calendario C'!$F118),MONTH('Calendario C'!$F118),DAY('Calendario C'!$F118)))</f>
        <v/>
      </c>
      <c r="F416" s="223">
        <f>IF($B416="","",TIME(HOUR('Calendario C'!$F118)+2,MINUTE('Calendario C'!$F118),0))</f>
        <v/>
      </c>
      <c r="G416" s="68">
        <f>IF($B416="","",'Calendario C'!$B119)</f>
        <v/>
      </c>
      <c r="H416" s="68">
        <f>IF($B416="","",Campionato!$D$2&amp;" "&amp;Campionato!$D$6)</f>
        <v/>
      </c>
      <c r="I416" s="68" t="n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C'!$B121="","",'Calendario C'!$B121&amp;" vs "&amp;'Calendario C'!$D121&amp;" "&amp;'Calendario C'!$AC121)</f>
        <v/>
      </c>
      <c r="C417" s="222">
        <f>IF($B417="","",DATE(YEAR('Calendario C'!$F121),MONTH('Calendario C'!$F121),DAY('Calendario C'!$F121)))</f>
        <v/>
      </c>
      <c r="D417" s="223">
        <f>IF($B417="","",TIME(HOUR('Calendario C'!$F121),MINUTE('Calendario C'!$F121),0))</f>
        <v/>
      </c>
      <c r="E417" s="222">
        <f>IF($B417="","",DATE(YEAR('Calendario C'!$F121),MONTH('Calendario C'!$F121),DAY('Calendario C'!$F121)))</f>
        <v/>
      </c>
      <c r="F417" s="223">
        <f>IF($B417="","",TIME(HOUR('Calendario C'!$F121)+2,MINUTE('Calendario C'!$F121),0))</f>
        <v/>
      </c>
      <c r="G417" s="68">
        <f>IF($B417="","",'Calendario C'!$B122)</f>
        <v/>
      </c>
      <c r="H417" s="68">
        <f>IF($B417="","",Campionato!$D$2&amp;" "&amp;Campionato!$D$6)</f>
        <v/>
      </c>
      <c r="I417" s="68" t="n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C'!$B124="","",'Calendario C'!$B124&amp;" vs "&amp;'Calendario C'!$D124&amp;" "&amp;'Calendario C'!$AC124)</f>
        <v/>
      </c>
      <c r="C418" s="222">
        <f>IF($B418="","",DATE(YEAR('Calendario C'!$F124),MONTH('Calendario C'!$F124),DAY('Calendario C'!$F124)))</f>
        <v/>
      </c>
      <c r="D418" s="223">
        <f>IF($B418="","",TIME(HOUR('Calendario C'!$F124),MINUTE('Calendario C'!$F124),0))</f>
        <v/>
      </c>
      <c r="E418" s="222">
        <f>IF($B418="","",DATE(YEAR('Calendario C'!$F124),MONTH('Calendario C'!$F124),DAY('Calendario C'!$F124)))</f>
        <v/>
      </c>
      <c r="F418" s="223">
        <f>IF($B418="","",TIME(HOUR('Calendario C'!$F124)+2,MINUTE('Calendario C'!$F124),0))</f>
        <v/>
      </c>
      <c r="G418" s="68">
        <f>IF($B418="","",'Calendario C'!$B125)</f>
        <v/>
      </c>
      <c r="H418" s="68">
        <f>IF($B418="","",Campionato!$D$2&amp;" "&amp;Campionato!$D$6)</f>
        <v/>
      </c>
      <c r="I418" s="68" t="n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C'!$B127="","",'Calendario C'!$B127&amp;" vs "&amp;'Calendario C'!$D127&amp;" "&amp;'Calendario C'!$AC127)</f>
        <v/>
      </c>
      <c r="C419" s="222">
        <f>IF($B419="","",DATE(YEAR('Calendario C'!$F127),MONTH('Calendario C'!$F127),DAY('Calendario C'!$F127)))</f>
        <v/>
      </c>
      <c r="D419" s="223">
        <f>IF($B419="","",TIME(HOUR('Calendario C'!$F127),MINUTE('Calendario C'!$F127),0))</f>
        <v/>
      </c>
      <c r="E419" s="222">
        <f>IF($B419="","",DATE(YEAR('Calendario C'!$F127),MONTH('Calendario C'!$F127),DAY('Calendario C'!$F127)))</f>
        <v/>
      </c>
      <c r="F419" s="223">
        <f>IF($B419="","",TIME(HOUR('Calendario C'!$F127)+2,MINUTE('Calendario C'!$F127),0))</f>
        <v/>
      </c>
      <c r="G419" s="68">
        <f>IF($B419="","",'Calendario C'!$B128)</f>
        <v/>
      </c>
      <c r="H419" s="68">
        <f>IF($B419="","",Campionato!$D$2&amp;" "&amp;Campionato!$D$6)</f>
        <v/>
      </c>
      <c r="I419" s="68" t="n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C'!$B130="","",'Calendario C'!$B130&amp;" vs "&amp;'Calendario C'!$D130&amp;" "&amp;'Calendario C'!$AC130)</f>
        <v/>
      </c>
      <c r="C420" s="222">
        <f>IF($B420="","",DATE(YEAR('Calendario C'!$F130),MONTH('Calendario C'!$F130),DAY('Calendario C'!$F130)))</f>
        <v/>
      </c>
      <c r="D420" s="223">
        <f>IF($B420="","",TIME(HOUR('Calendario C'!$F130),MINUTE('Calendario C'!$F130),0))</f>
        <v/>
      </c>
      <c r="E420" s="222">
        <f>IF($B420="","",DATE(YEAR('Calendario C'!$F130),MONTH('Calendario C'!$F130),DAY('Calendario C'!$F130)))</f>
        <v/>
      </c>
      <c r="F420" s="223">
        <f>IF($B420="","",TIME(HOUR('Calendario C'!$F130)+2,MINUTE('Calendario C'!$F130),0))</f>
        <v/>
      </c>
      <c r="G420" s="68">
        <f>IF($B420="","",'Calendario C'!$B131)</f>
        <v/>
      </c>
      <c r="H420" s="68">
        <f>IF($B420="","",Campionato!$D$2&amp;" "&amp;Campionato!$D$6)</f>
        <v/>
      </c>
      <c r="I420" s="68" t="n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C'!$B133="","",'Calendario C'!$B133&amp;" vs "&amp;'Calendario C'!$D133&amp;" "&amp;'Calendario C'!$AC133)</f>
        <v/>
      </c>
      <c r="C421" s="222">
        <f>IF($B421="","",DATE(YEAR('Calendario C'!$F133),MONTH('Calendario C'!$F133),DAY('Calendario C'!$F133)))</f>
        <v/>
      </c>
      <c r="D421" s="223">
        <f>IF($B421="","",TIME(HOUR('Calendario C'!$F133),MINUTE('Calendario C'!$F133),0))</f>
        <v/>
      </c>
      <c r="E421" s="222">
        <f>IF($B421="","",DATE(YEAR('Calendario C'!$F133),MONTH('Calendario C'!$F133),DAY('Calendario C'!$F133)))</f>
        <v/>
      </c>
      <c r="F421" s="223">
        <f>IF($B421="","",TIME(HOUR('Calendario C'!$F133)+2,MINUTE('Calendario C'!$F133),0))</f>
        <v/>
      </c>
      <c r="G421" s="68">
        <f>IF($B421="","",'Calendario C'!$B134)</f>
        <v/>
      </c>
      <c r="H421" s="68">
        <f>IF($B421="","",Campionato!$D$2&amp;" "&amp;Campionato!$D$6)</f>
        <v/>
      </c>
      <c r="I421" s="68" t="n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C'!$B138="","",'Calendario C'!$B138&amp;" vs "&amp;'Calendario C'!$D138&amp;" "&amp;'Calendario C'!$AC138)</f>
        <v/>
      </c>
      <c r="C422" s="222">
        <f>IF($B422="","",DATE(YEAR('Calendario C'!$F138),MONTH('Calendario C'!$F138),DAY('Calendario C'!$F138)))</f>
        <v/>
      </c>
      <c r="D422" s="223">
        <f>IF($B422="","",TIME(HOUR('Calendario C'!$F138),MINUTE('Calendario C'!$F138),0))</f>
        <v/>
      </c>
      <c r="E422" s="222">
        <f>IF($B422="","",DATE(YEAR('Calendario C'!$F138),MONTH('Calendario C'!$F138),DAY('Calendario C'!$F138)))</f>
        <v/>
      </c>
      <c r="F422" s="223">
        <f>IF($B422="","",TIME(HOUR('Calendario C'!$F138)+2,MINUTE('Calendario C'!$F138),0))</f>
        <v/>
      </c>
      <c r="G422" s="68">
        <f>IF($B422="","",'Calendario C'!$B139)</f>
        <v/>
      </c>
      <c r="H422" s="68">
        <f>IF($B422="","",Campionato!$D$2&amp;" "&amp;Campionato!$D$6)</f>
        <v/>
      </c>
      <c r="I422" s="68" t="n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C'!$B141="","",'Calendario C'!$B141&amp;" vs "&amp;'Calendario C'!$D141&amp;" "&amp;'Calendario C'!$AC141)</f>
        <v/>
      </c>
      <c r="C423" s="222">
        <f>IF($B423="","",DATE(YEAR('Calendario C'!$F141),MONTH('Calendario C'!$F141),DAY('Calendario C'!$F141)))</f>
        <v/>
      </c>
      <c r="D423" s="223">
        <f>IF($B423="","",TIME(HOUR('Calendario C'!$F141),MINUTE('Calendario C'!$F141),0))</f>
        <v/>
      </c>
      <c r="E423" s="222">
        <f>IF($B423="","",DATE(YEAR('Calendario C'!$F141),MONTH('Calendario C'!$F141),DAY('Calendario C'!$F141)))</f>
        <v/>
      </c>
      <c r="F423" s="223">
        <f>IF($B423="","",TIME(HOUR('Calendario C'!$F141)+2,MINUTE('Calendario C'!$F141),0))</f>
        <v/>
      </c>
      <c r="G423" s="68">
        <f>IF($B423="","",'Calendario C'!$B142)</f>
        <v/>
      </c>
      <c r="H423" s="68">
        <f>IF($B423="","",Campionato!$D$2&amp;" "&amp;Campionato!$D$6)</f>
        <v/>
      </c>
      <c r="I423" s="68" t="n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C'!$B144="","",'Calendario C'!$B144&amp;" vs "&amp;'Calendario C'!$D144&amp;" "&amp;'Calendario C'!$AC144)</f>
        <v/>
      </c>
      <c r="C424" s="222">
        <f>IF($B424="","",DATE(YEAR('Calendario C'!$F144),MONTH('Calendario C'!$F144),DAY('Calendario C'!$F144)))</f>
        <v/>
      </c>
      <c r="D424" s="223">
        <f>IF($B424="","",TIME(HOUR('Calendario C'!$F144),MINUTE('Calendario C'!$F144),0))</f>
        <v/>
      </c>
      <c r="E424" s="222">
        <f>IF($B424="","",DATE(YEAR('Calendario C'!$F144),MONTH('Calendario C'!$F144),DAY('Calendario C'!$F144)))</f>
        <v/>
      </c>
      <c r="F424" s="223">
        <f>IF($B424="","",TIME(HOUR('Calendario C'!$F144)+2,MINUTE('Calendario C'!$F144),0))</f>
        <v/>
      </c>
      <c r="G424" s="68">
        <f>IF($B424="","",'Calendario C'!$B145)</f>
        <v/>
      </c>
      <c r="H424" s="68">
        <f>IF($B424="","",Campionato!$D$2&amp;" "&amp;Campionato!$D$6)</f>
        <v/>
      </c>
      <c r="I424" s="68" t="n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C'!$B147="","",'Calendario C'!$B147&amp;" vs "&amp;'Calendario C'!$D147&amp;" "&amp;'Calendario C'!$AC147)</f>
        <v/>
      </c>
      <c r="C425" s="222">
        <f>IF($B425="","",DATE(YEAR('Calendario C'!$F147),MONTH('Calendario C'!$F147),DAY('Calendario C'!$F147)))</f>
        <v/>
      </c>
      <c r="D425" s="223">
        <f>IF($B425="","",TIME(HOUR('Calendario C'!$F147),MINUTE('Calendario C'!$F147),0))</f>
        <v/>
      </c>
      <c r="E425" s="222">
        <f>IF($B425="","",DATE(YEAR('Calendario C'!$F147),MONTH('Calendario C'!$F147),DAY('Calendario C'!$F147)))</f>
        <v/>
      </c>
      <c r="F425" s="223">
        <f>IF($B425="","",TIME(HOUR('Calendario C'!$F147)+2,MINUTE('Calendario C'!$F147),0))</f>
        <v/>
      </c>
      <c r="G425" s="68">
        <f>IF($B425="","",'Calendario C'!$B148)</f>
        <v/>
      </c>
      <c r="H425" s="68">
        <f>IF($B425="","",Campionato!$D$2&amp;" "&amp;Campionato!$D$6)</f>
        <v/>
      </c>
      <c r="I425" s="68" t="n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C'!$B150="","",'Calendario C'!$B150&amp;" vs "&amp;'Calendario C'!$D150&amp;" "&amp;'Calendario C'!$AC150)</f>
        <v/>
      </c>
      <c r="C426" s="222">
        <f>IF($B426="","",DATE(YEAR('Calendario C'!$F150),MONTH('Calendario C'!$F150),DAY('Calendario C'!$F150)))</f>
        <v/>
      </c>
      <c r="D426" s="223">
        <f>IF($B426="","",TIME(HOUR('Calendario C'!$F150),MINUTE('Calendario C'!$F150),0))</f>
        <v/>
      </c>
      <c r="E426" s="222">
        <f>IF($B426="","",DATE(YEAR('Calendario C'!$F150),MONTH('Calendario C'!$F150),DAY('Calendario C'!$F150)))</f>
        <v/>
      </c>
      <c r="F426" s="223">
        <f>IF($B426="","",TIME(HOUR('Calendario C'!$F150)+2,MINUTE('Calendario C'!$F150),0))</f>
        <v/>
      </c>
      <c r="G426" s="68">
        <f>IF($B426="","",'Calendario C'!$B151)</f>
        <v/>
      </c>
      <c r="H426" s="68">
        <f>IF($B426="","",Campionato!$D$2&amp;" "&amp;Campionato!$D$6)</f>
        <v/>
      </c>
      <c r="I426" s="68" t="n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C'!$B153="","",'Calendario C'!$B153&amp;" vs "&amp;'Calendario C'!$D153&amp;" "&amp;'Calendario C'!$AC153)</f>
        <v/>
      </c>
      <c r="C427" s="222">
        <f>IF($B427="","",DATE(YEAR('Calendario C'!$F153),MONTH('Calendario C'!$F153),DAY('Calendario C'!$F153)))</f>
        <v/>
      </c>
      <c r="D427" s="223">
        <f>IF($B427="","",TIME(HOUR('Calendario C'!$F153),MINUTE('Calendario C'!$F153),0))</f>
        <v/>
      </c>
      <c r="E427" s="222">
        <f>IF($B427="","",DATE(YEAR('Calendario C'!$F153),MONTH('Calendario C'!$F153),DAY('Calendario C'!$F153)))</f>
        <v/>
      </c>
      <c r="F427" s="223">
        <f>IF($B427="","",TIME(HOUR('Calendario C'!$F153)+2,MINUTE('Calendario C'!$F153),0))</f>
        <v/>
      </c>
      <c r="G427" s="68">
        <f>IF($B427="","",'Calendario C'!$B154)</f>
        <v/>
      </c>
      <c r="H427" s="68">
        <f>IF($B427="","",Campionato!$D$2&amp;" "&amp;Campionato!$D$6)</f>
        <v/>
      </c>
      <c r="I427" s="68" t="n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C'!$B156="","",'Calendario C'!$B156&amp;" vs "&amp;'Calendario C'!$D156&amp;" "&amp;'Calendario C'!$AC156)</f>
        <v/>
      </c>
      <c r="C428" s="222">
        <f>IF($B428="","",DATE(YEAR('Calendario C'!$F156),MONTH('Calendario C'!$F156),DAY('Calendario C'!$F156)))</f>
        <v/>
      </c>
      <c r="D428" s="223">
        <f>IF($B428="","",TIME(HOUR('Calendario C'!$F156),MINUTE('Calendario C'!$F156),0))</f>
        <v/>
      </c>
      <c r="E428" s="222">
        <f>IF($B428="","",DATE(YEAR('Calendario C'!$F156),MONTH('Calendario C'!$F156),DAY('Calendario C'!$F156)))</f>
        <v/>
      </c>
      <c r="F428" s="223">
        <f>IF($B428="","",TIME(HOUR('Calendario C'!$F156)+2,MINUTE('Calendario C'!$F156),0))</f>
        <v/>
      </c>
      <c r="G428" s="68">
        <f>IF($B428="","",'Calendario C'!$B157)</f>
        <v/>
      </c>
      <c r="H428" s="68">
        <f>IF($B428="","",Campionato!$D$2&amp;" "&amp;Campionato!$D$6)</f>
        <v/>
      </c>
      <c r="I428" s="68" t="n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C'!$B159="","",'Calendario C'!$B159&amp;" vs "&amp;'Calendario C'!$D159&amp;" "&amp;'Calendario C'!$AC159)</f>
        <v/>
      </c>
      <c r="C429" s="222">
        <f>IF($B429="","",DATE(YEAR('Calendario C'!$F159),MONTH('Calendario C'!$F159),DAY('Calendario C'!$F159)))</f>
        <v/>
      </c>
      <c r="D429" s="223">
        <f>IF($B429="","",TIME(HOUR('Calendario C'!$F159),MINUTE('Calendario C'!$F159),0))</f>
        <v/>
      </c>
      <c r="E429" s="222">
        <f>IF($B429="","",DATE(YEAR('Calendario C'!$F159),MONTH('Calendario C'!$F159),DAY('Calendario C'!$F159)))</f>
        <v/>
      </c>
      <c r="F429" s="223">
        <f>IF($B429="","",TIME(HOUR('Calendario C'!$F159)+2,MINUTE('Calendario C'!$F159),0))</f>
        <v/>
      </c>
      <c r="G429" s="68">
        <f>IF($B429="","",'Calendario C'!$B160)</f>
        <v/>
      </c>
      <c r="H429" s="68">
        <f>IF($B429="","",Campionato!$D$2&amp;" "&amp;Campionato!$D$6)</f>
        <v/>
      </c>
      <c r="I429" s="68" t="n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C'!$B162="","",'Calendario C'!$B162&amp;" vs "&amp;'Calendario C'!$D162&amp;" "&amp;'Calendario C'!$AC162)</f>
        <v/>
      </c>
      <c r="C430" s="222">
        <f>IF($B430="","",DATE(YEAR('Calendario C'!$F162),MONTH('Calendario C'!$F162),DAY('Calendario C'!$F162)))</f>
        <v/>
      </c>
      <c r="D430" s="223">
        <f>IF($B430="","",TIME(HOUR('Calendario C'!$F162),MINUTE('Calendario C'!$F162),0))</f>
        <v/>
      </c>
      <c r="E430" s="222">
        <f>IF($B430="","",DATE(YEAR('Calendario C'!$F162),MONTH('Calendario C'!$F162),DAY('Calendario C'!$F162)))</f>
        <v/>
      </c>
      <c r="F430" s="223">
        <f>IF($B430="","",TIME(HOUR('Calendario C'!$F162)+2,MINUTE('Calendario C'!$F162),0))</f>
        <v/>
      </c>
      <c r="G430" s="68">
        <f>IF($B430="","",'Calendario C'!$B163)</f>
        <v/>
      </c>
      <c r="H430" s="68">
        <f>IF($B430="","",Campionato!$D$2&amp;" "&amp;Campionato!$D$6)</f>
        <v/>
      </c>
      <c r="I430" s="68" t="n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C'!$B165="","",'Calendario C'!$B165&amp;" vs "&amp;'Calendario C'!$D165&amp;" "&amp;'Calendario C'!$AC165)</f>
        <v/>
      </c>
      <c r="C431" s="222">
        <f>IF($B431="","",DATE(YEAR('Calendario C'!$F165),MONTH('Calendario C'!$F165),DAY('Calendario C'!$F165)))</f>
        <v/>
      </c>
      <c r="D431" s="223">
        <f>IF($B431="","",TIME(HOUR('Calendario C'!$F165),MINUTE('Calendario C'!$F165),0))</f>
        <v/>
      </c>
      <c r="E431" s="222">
        <f>IF($B431="","",DATE(YEAR('Calendario C'!$F165),MONTH('Calendario C'!$F165),DAY('Calendario C'!$F165)))</f>
        <v/>
      </c>
      <c r="F431" s="223">
        <f>IF($B431="","",TIME(HOUR('Calendario C'!$F165)+2,MINUTE('Calendario C'!$F165),0))</f>
        <v/>
      </c>
      <c r="G431" s="68">
        <f>IF($B431="","",'Calendario C'!$B166)</f>
        <v/>
      </c>
      <c r="H431" s="68">
        <f>IF($B431="","",Campionato!$D$2&amp;" "&amp;Campionato!$D$6)</f>
        <v/>
      </c>
      <c r="I431" s="68" t="n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C'!$B170="","",'Calendario C'!$B170&amp;" vs "&amp;'Calendario C'!$D170&amp;" "&amp;'Calendario C'!$AC170)</f>
        <v/>
      </c>
      <c r="C432" s="222">
        <f>IF($B432="","",DATE(YEAR('Calendario C'!$F170),MONTH('Calendario C'!$F170),DAY('Calendario C'!$F170)))</f>
        <v/>
      </c>
      <c r="D432" s="223">
        <f>IF($B432="","",TIME(HOUR('Calendario C'!$F170),MINUTE('Calendario C'!$F170),0))</f>
        <v/>
      </c>
      <c r="E432" s="222">
        <f>IF($B432="","",DATE(YEAR('Calendario C'!$F170),MONTH('Calendario C'!$F170),DAY('Calendario C'!$F170)))</f>
        <v/>
      </c>
      <c r="F432" s="223">
        <f>IF($B432="","",TIME(HOUR('Calendario C'!$F170)+2,MINUTE('Calendario C'!$F170),0))</f>
        <v/>
      </c>
      <c r="G432" s="68">
        <f>IF($B432="","",'Calendario C'!$B171)</f>
        <v/>
      </c>
      <c r="H432" s="68">
        <f>IF($B432="","",Campionato!$D$2&amp;" "&amp;Campionato!$D$6)</f>
        <v/>
      </c>
      <c r="I432" s="68" t="n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C'!$B173="","",'Calendario C'!$B173&amp;" vs "&amp;'Calendario C'!$D173&amp;" "&amp;'Calendario C'!$AC173)</f>
        <v/>
      </c>
      <c r="C433" s="222">
        <f>IF($B433="","",DATE(YEAR('Calendario C'!$F173),MONTH('Calendario C'!$F173),DAY('Calendario C'!$F173)))</f>
        <v/>
      </c>
      <c r="D433" s="223">
        <f>IF($B433="","",TIME(HOUR('Calendario C'!$F173),MINUTE('Calendario C'!$F173),0))</f>
        <v/>
      </c>
      <c r="E433" s="222">
        <f>IF($B433="","",DATE(YEAR('Calendario C'!$F173),MONTH('Calendario C'!$F173),DAY('Calendario C'!$F173)))</f>
        <v/>
      </c>
      <c r="F433" s="223">
        <f>IF($B433="","",TIME(HOUR('Calendario C'!$F173)+2,MINUTE('Calendario C'!$F173),0))</f>
        <v/>
      </c>
      <c r="G433" s="68">
        <f>IF($B433="","",'Calendario C'!$B174)</f>
        <v/>
      </c>
      <c r="H433" s="68">
        <f>IF($B433="","",Campionato!$D$2&amp;" "&amp;Campionato!$D$6)</f>
        <v/>
      </c>
      <c r="I433" s="68" t="n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C'!$B176="","",'Calendario C'!$B176&amp;" vs "&amp;'Calendario C'!$D176&amp;" "&amp;'Calendario C'!$AC176)</f>
        <v/>
      </c>
      <c r="C434" s="222">
        <f>IF($B434="","",DATE(YEAR('Calendario C'!$F176),MONTH('Calendario C'!$F176),DAY('Calendario C'!$F176)))</f>
        <v/>
      </c>
      <c r="D434" s="223">
        <f>IF($B434="","",TIME(HOUR('Calendario C'!$F176),MINUTE('Calendario C'!$F176),0))</f>
        <v/>
      </c>
      <c r="E434" s="222">
        <f>IF($B434="","",DATE(YEAR('Calendario C'!$F176),MONTH('Calendario C'!$F176),DAY('Calendario C'!$F176)))</f>
        <v/>
      </c>
      <c r="F434" s="223">
        <f>IF($B434="","",TIME(HOUR('Calendario C'!$F176)+2,MINUTE('Calendario C'!$F176),0))</f>
        <v/>
      </c>
      <c r="G434" s="68">
        <f>IF($B434="","",'Calendario C'!$B177)</f>
        <v/>
      </c>
      <c r="H434" s="68">
        <f>IF($B434="","",Campionato!$D$2&amp;" "&amp;Campionato!$D$6)</f>
        <v/>
      </c>
      <c r="I434" s="68" t="n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C'!$B179="","",'Calendario C'!$B179&amp;" vs "&amp;'Calendario C'!$D179&amp;" "&amp;'Calendario C'!$AC179)</f>
        <v/>
      </c>
      <c r="C435" s="222">
        <f>IF($B435="","",DATE(YEAR('Calendario C'!$F179),MONTH('Calendario C'!$F179),DAY('Calendario C'!$F179)))</f>
        <v/>
      </c>
      <c r="D435" s="223">
        <f>IF($B435="","",TIME(HOUR('Calendario C'!$F179),MINUTE('Calendario C'!$F179),0))</f>
        <v/>
      </c>
      <c r="E435" s="222">
        <f>IF($B435="","",DATE(YEAR('Calendario C'!$F179),MONTH('Calendario C'!$F179),DAY('Calendario C'!$F179)))</f>
        <v/>
      </c>
      <c r="F435" s="223">
        <f>IF($B435="","",TIME(HOUR('Calendario C'!$F179)+2,MINUTE('Calendario C'!$F179),0))</f>
        <v/>
      </c>
      <c r="G435" s="68">
        <f>IF($B435="","",'Calendario C'!$B180)</f>
        <v/>
      </c>
      <c r="H435" s="68">
        <f>IF($B435="","",Campionato!$D$2&amp;" "&amp;Campionato!$D$6)</f>
        <v/>
      </c>
      <c r="I435" s="68" t="n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C'!$B182="","",'Calendario C'!$B182&amp;" vs "&amp;'Calendario C'!$D182&amp;" "&amp;'Calendario C'!$AC182)</f>
        <v/>
      </c>
      <c r="C436" s="222">
        <f>IF($B436="","",DATE(YEAR('Calendario C'!$F182),MONTH('Calendario C'!$F182),DAY('Calendario C'!$F182)))</f>
        <v/>
      </c>
      <c r="D436" s="223">
        <f>IF($B436="","",TIME(HOUR('Calendario C'!$F182),MINUTE('Calendario C'!$F182),0))</f>
        <v/>
      </c>
      <c r="E436" s="222">
        <f>IF($B436="","",DATE(YEAR('Calendario C'!$F182),MONTH('Calendario C'!$F182),DAY('Calendario C'!$F182)))</f>
        <v/>
      </c>
      <c r="F436" s="223">
        <f>IF($B436="","",TIME(HOUR('Calendario C'!$F182)+2,MINUTE('Calendario C'!$F182),0))</f>
        <v/>
      </c>
      <c r="G436" s="68">
        <f>IF($B436="","",'Calendario C'!$B183)</f>
        <v/>
      </c>
      <c r="H436" s="68">
        <f>IF($B436="","",Campionato!$D$2&amp;" "&amp;Campionato!$D$6)</f>
        <v/>
      </c>
      <c r="I436" s="68" t="n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C'!$B185="","",'Calendario C'!$B185&amp;" vs "&amp;'Calendario C'!$D185&amp;" "&amp;'Calendario C'!$AC185)</f>
        <v/>
      </c>
      <c r="C437" s="222">
        <f>IF($B437="","",DATE(YEAR('Calendario C'!$F185),MONTH('Calendario C'!$F185),DAY('Calendario C'!$F185)))</f>
        <v/>
      </c>
      <c r="D437" s="223">
        <f>IF($B437="","",TIME(HOUR('Calendario C'!$F185),MINUTE('Calendario C'!$F185),0))</f>
        <v/>
      </c>
      <c r="E437" s="222">
        <f>IF($B437="","",DATE(YEAR('Calendario C'!$F185),MONTH('Calendario C'!$F185),DAY('Calendario C'!$F185)))</f>
        <v/>
      </c>
      <c r="F437" s="223">
        <f>IF($B437="","",TIME(HOUR('Calendario C'!$F185)+2,MINUTE('Calendario C'!$F185),0))</f>
        <v/>
      </c>
      <c r="G437" s="68">
        <f>IF($B437="","",'Calendario C'!$B186)</f>
        <v/>
      </c>
      <c r="H437" s="68">
        <f>IF($B437="","",Campionato!$D$2&amp;" "&amp;Campionato!$D$6)</f>
        <v/>
      </c>
      <c r="I437" s="68" t="n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C'!$B188="","",'Calendario C'!$B188&amp;" vs "&amp;'Calendario C'!$D188&amp;" "&amp;'Calendario C'!$AC188)</f>
        <v/>
      </c>
      <c r="C438" s="222">
        <f>IF($B438="","",DATE(YEAR('Calendario C'!$F188),MONTH('Calendario C'!$F188),DAY('Calendario C'!$F188)))</f>
        <v/>
      </c>
      <c r="D438" s="223">
        <f>IF($B438="","",TIME(HOUR('Calendario C'!$F188),MINUTE('Calendario C'!$F188),0))</f>
        <v/>
      </c>
      <c r="E438" s="222">
        <f>IF($B438="","",DATE(YEAR('Calendario C'!$F188),MONTH('Calendario C'!$F188),DAY('Calendario C'!$F188)))</f>
        <v/>
      </c>
      <c r="F438" s="223">
        <f>IF($B438="","",TIME(HOUR('Calendario C'!$F188)+2,MINUTE('Calendario C'!$F188),0))</f>
        <v/>
      </c>
      <c r="G438" s="68">
        <f>IF($B438="","",'Calendario C'!$B189)</f>
        <v/>
      </c>
      <c r="H438" s="68">
        <f>IF($B438="","",Campionato!$D$2&amp;" "&amp;Campionato!$D$6)</f>
        <v/>
      </c>
      <c r="I438" s="68" t="n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C'!$B191="","",'Calendario C'!$B191&amp;" vs "&amp;'Calendario C'!$D191&amp;" "&amp;'Calendario C'!$AC191)</f>
        <v/>
      </c>
      <c r="C439" s="222">
        <f>IF($B439="","",DATE(YEAR('Calendario C'!$F191),MONTH('Calendario C'!$F191),DAY('Calendario C'!$F191)))</f>
        <v/>
      </c>
      <c r="D439" s="223">
        <f>IF($B439="","",TIME(HOUR('Calendario C'!$F191),MINUTE('Calendario C'!$F191),0))</f>
        <v/>
      </c>
      <c r="E439" s="222">
        <f>IF($B439="","",DATE(YEAR('Calendario C'!$F191),MONTH('Calendario C'!$F191),DAY('Calendario C'!$F191)))</f>
        <v/>
      </c>
      <c r="F439" s="223">
        <f>IF($B439="","",TIME(HOUR('Calendario C'!$F191)+2,MINUTE('Calendario C'!$F191),0))</f>
        <v/>
      </c>
      <c r="G439" s="68">
        <f>IF($B439="","",'Calendario C'!$B192)</f>
        <v/>
      </c>
      <c r="H439" s="68">
        <f>IF($B439="","",Campionato!$D$2&amp;" "&amp;Campionato!$D$6)</f>
        <v/>
      </c>
      <c r="I439" s="68" t="n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C'!$B194="","",'Calendario C'!$B194&amp;" vs "&amp;'Calendario C'!$D194&amp;" "&amp;'Calendario C'!$AC194)</f>
        <v/>
      </c>
      <c r="C440" s="222">
        <f>IF($B440="","",DATE(YEAR('Calendario C'!$F194),MONTH('Calendario C'!$F194),DAY('Calendario C'!$F194)))</f>
        <v/>
      </c>
      <c r="D440" s="223">
        <f>IF($B440="","",TIME(HOUR('Calendario C'!$F194),MINUTE('Calendario C'!$F194),0))</f>
        <v/>
      </c>
      <c r="E440" s="222">
        <f>IF($B440="","",DATE(YEAR('Calendario C'!$F194),MONTH('Calendario C'!$F194),DAY('Calendario C'!$F194)))</f>
        <v/>
      </c>
      <c r="F440" s="223">
        <f>IF($B440="","",TIME(HOUR('Calendario C'!$F194)+2,MINUTE('Calendario C'!$F194),0))</f>
        <v/>
      </c>
      <c r="G440" s="68">
        <f>IF($B440="","",'Calendario C'!$B195)</f>
        <v/>
      </c>
      <c r="H440" s="68">
        <f>IF($B440="","",Campionato!$D$2&amp;" "&amp;Campionato!$D$6)</f>
        <v/>
      </c>
      <c r="I440" s="68" t="n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C'!$B197="","",'Calendario C'!$B197&amp;" vs "&amp;'Calendario C'!$D197&amp;" "&amp;'Calendario C'!$AC197)</f>
        <v/>
      </c>
      <c r="C441" s="222">
        <f>IF($B441="","",DATE(YEAR('Calendario C'!$F197),MONTH('Calendario C'!$F197),DAY('Calendario C'!$F197)))</f>
        <v/>
      </c>
      <c r="D441" s="223">
        <f>IF($B441="","",TIME(HOUR('Calendario C'!$F197),MINUTE('Calendario C'!$F197),0))</f>
        <v/>
      </c>
      <c r="E441" s="222">
        <f>IF($B441="","",DATE(YEAR('Calendario C'!$F197),MONTH('Calendario C'!$F197),DAY('Calendario C'!$F197)))</f>
        <v/>
      </c>
      <c r="F441" s="223">
        <f>IF($B441="","",TIME(HOUR('Calendario C'!$F197)+2,MINUTE('Calendario C'!$F197),0))</f>
        <v/>
      </c>
      <c r="G441" s="68">
        <f>IF($B441="","",'Calendario C'!$B198)</f>
        <v/>
      </c>
      <c r="H441" s="68">
        <f>IF($B441="","",Campionato!$D$2&amp;" "&amp;Campionato!$D$6)</f>
        <v/>
      </c>
      <c r="I441" s="68" t="n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C'!$B202="","",'Calendario C'!$B202&amp;" vs "&amp;'Calendario C'!$D202&amp;" "&amp;'Calendario C'!$AC202)</f>
        <v/>
      </c>
      <c r="C442" s="222">
        <f>IF($B442="","",DATE(YEAR('Calendario C'!$F202),MONTH('Calendario C'!$F202),DAY('Calendario C'!$F202)))</f>
        <v/>
      </c>
      <c r="D442" s="223">
        <f>IF($B442="","",TIME(HOUR('Calendario C'!$F202),MINUTE('Calendario C'!$F202),0))</f>
        <v/>
      </c>
      <c r="E442" s="222">
        <f>IF($B442="","",DATE(YEAR('Calendario C'!$F202),MONTH('Calendario C'!$F202),DAY('Calendario C'!$F202)))</f>
        <v/>
      </c>
      <c r="F442" s="223">
        <f>IF($B442="","",TIME(HOUR('Calendario C'!$F202)+2,MINUTE('Calendario C'!$F202),0))</f>
        <v/>
      </c>
      <c r="G442" s="68">
        <f>IF($B442="","",'Calendario C'!$B203)</f>
        <v/>
      </c>
      <c r="H442" s="68">
        <f>IF($B442="","",Campionato!$D$2&amp;" "&amp;Campionato!$D$6)</f>
        <v/>
      </c>
      <c r="I442" s="68" t="n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C'!$B205="","",'Calendario C'!$B205&amp;" vs "&amp;'Calendario C'!$D205&amp;" "&amp;'Calendario C'!$AC205)</f>
        <v/>
      </c>
      <c r="C443" s="222">
        <f>IF($B443="","",DATE(YEAR('Calendario C'!$F205),MONTH('Calendario C'!$F205),DAY('Calendario C'!$F205)))</f>
        <v/>
      </c>
      <c r="D443" s="223">
        <f>IF($B443="","",TIME(HOUR('Calendario C'!$F205),MINUTE('Calendario C'!$F205),0))</f>
        <v/>
      </c>
      <c r="E443" s="222">
        <f>IF($B443="","",DATE(YEAR('Calendario C'!$F205),MONTH('Calendario C'!$F205),DAY('Calendario C'!$F205)))</f>
        <v/>
      </c>
      <c r="F443" s="223">
        <f>IF($B443="","",TIME(HOUR('Calendario C'!$F205)+2,MINUTE('Calendario C'!$F205),0))</f>
        <v/>
      </c>
      <c r="G443" s="68">
        <f>IF($B443="","",'Calendario C'!$B206)</f>
        <v/>
      </c>
      <c r="H443" s="68">
        <f>IF($B443="","",Campionato!$D$2&amp;" "&amp;Campionato!$D$6)</f>
        <v/>
      </c>
      <c r="I443" s="68" t="n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C'!$B208="","",'Calendario C'!$B208&amp;" vs "&amp;'Calendario C'!$D208&amp;" "&amp;'Calendario C'!$AC208)</f>
        <v/>
      </c>
      <c r="C444" s="222">
        <f>IF($B444="","",DATE(YEAR('Calendario C'!$F208),MONTH('Calendario C'!$F208),DAY('Calendario C'!$F208)))</f>
        <v/>
      </c>
      <c r="D444" s="223">
        <f>IF($B444="","",TIME(HOUR('Calendario C'!$F208),MINUTE('Calendario C'!$F208),0))</f>
        <v/>
      </c>
      <c r="E444" s="222">
        <f>IF($B444="","",DATE(YEAR('Calendario C'!$F208),MONTH('Calendario C'!$F208),DAY('Calendario C'!$F208)))</f>
        <v/>
      </c>
      <c r="F444" s="223">
        <f>IF($B444="","",TIME(HOUR('Calendario C'!$F208)+2,MINUTE('Calendario C'!$F208),0))</f>
        <v/>
      </c>
      <c r="G444" s="68">
        <f>IF($B444="","",'Calendario C'!$B209)</f>
        <v/>
      </c>
      <c r="H444" s="68">
        <f>IF($B444="","",Campionato!$D$2&amp;" "&amp;Campionato!$D$6)</f>
        <v/>
      </c>
      <c r="I444" s="68" t="n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C'!$B211="","",'Calendario C'!$B211&amp;" vs "&amp;'Calendario C'!$D211&amp;" "&amp;'Calendario C'!$AC211)</f>
        <v/>
      </c>
      <c r="C445" s="222">
        <f>IF($B445="","",DATE(YEAR('Calendario C'!$F211),MONTH('Calendario C'!$F211),DAY('Calendario C'!$F211)))</f>
        <v/>
      </c>
      <c r="D445" s="223">
        <f>IF($B445="","",TIME(HOUR('Calendario C'!$F211),MINUTE('Calendario C'!$F211),0))</f>
        <v/>
      </c>
      <c r="E445" s="222">
        <f>IF($B445="","",DATE(YEAR('Calendario C'!$F211),MONTH('Calendario C'!$F211),DAY('Calendario C'!$F211)))</f>
        <v/>
      </c>
      <c r="F445" s="223">
        <f>IF($B445="","",TIME(HOUR('Calendario C'!$F211)+2,MINUTE('Calendario C'!$F211),0))</f>
        <v/>
      </c>
      <c r="G445" s="68">
        <f>IF($B445="","",'Calendario C'!$B212)</f>
        <v/>
      </c>
      <c r="H445" s="68">
        <f>IF($B445="","",Campionato!$D$2&amp;" "&amp;Campionato!$D$6)</f>
        <v/>
      </c>
      <c r="I445" s="68" t="n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C'!$B214="","",'Calendario C'!$B214&amp;" vs "&amp;'Calendario C'!$D214&amp;" "&amp;'Calendario C'!$AC214)</f>
        <v/>
      </c>
      <c r="C446" s="222">
        <f>IF($B446="","",DATE(YEAR('Calendario C'!$F214),MONTH('Calendario C'!$F214),DAY('Calendario C'!$F214)))</f>
        <v/>
      </c>
      <c r="D446" s="223">
        <f>IF($B446="","",TIME(HOUR('Calendario C'!$F214),MINUTE('Calendario C'!$F214),0))</f>
        <v/>
      </c>
      <c r="E446" s="222">
        <f>IF($B446="","",DATE(YEAR('Calendario C'!$F214),MONTH('Calendario C'!$F214),DAY('Calendario C'!$F214)))</f>
        <v/>
      </c>
      <c r="F446" s="223">
        <f>IF($B446="","",TIME(HOUR('Calendario C'!$F214)+2,MINUTE('Calendario C'!$F214),0))</f>
        <v/>
      </c>
      <c r="G446" s="68">
        <f>IF($B446="","",'Calendario C'!$B215)</f>
        <v/>
      </c>
      <c r="H446" s="68">
        <f>IF($B446="","",Campionato!$D$2&amp;" "&amp;Campionato!$D$6)</f>
        <v/>
      </c>
      <c r="I446" s="68" t="n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C'!$B217="","",'Calendario C'!$B217&amp;" vs "&amp;'Calendario C'!$D217&amp;" "&amp;'Calendario C'!$AC217)</f>
        <v/>
      </c>
      <c r="C447" s="222">
        <f>IF($B447="","",DATE(YEAR('Calendario C'!$F217),MONTH('Calendario C'!$F217),DAY('Calendario C'!$F217)))</f>
        <v/>
      </c>
      <c r="D447" s="223">
        <f>IF($B447="","",TIME(HOUR('Calendario C'!$F217),MINUTE('Calendario C'!$F217),0))</f>
        <v/>
      </c>
      <c r="E447" s="222">
        <f>IF($B447="","",DATE(YEAR('Calendario C'!$F217),MONTH('Calendario C'!$F217),DAY('Calendario C'!$F217)))</f>
        <v/>
      </c>
      <c r="F447" s="223">
        <f>IF($B447="","",TIME(HOUR('Calendario C'!$F217)+2,MINUTE('Calendario C'!$F217),0))</f>
        <v/>
      </c>
      <c r="G447" s="68">
        <f>IF($B447="","",'Calendario C'!$B218)</f>
        <v/>
      </c>
      <c r="H447" s="68">
        <f>IF($B447="","",Campionato!$D$2&amp;" "&amp;Campionato!$D$6)</f>
        <v/>
      </c>
      <c r="I447" s="68" t="n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C'!$B220="","",'Calendario C'!$B220&amp;" vs "&amp;'Calendario C'!$D220&amp;" "&amp;'Calendario C'!$AC220)</f>
        <v/>
      </c>
      <c r="C448" s="222">
        <f>IF($B448="","",DATE(YEAR('Calendario C'!$F220),MONTH('Calendario C'!$F220),DAY('Calendario C'!$F220)))</f>
        <v/>
      </c>
      <c r="D448" s="223">
        <f>IF($B448="","",TIME(HOUR('Calendario C'!$F220),MINUTE('Calendario C'!$F220),0))</f>
        <v/>
      </c>
      <c r="E448" s="222">
        <f>IF($B448="","",DATE(YEAR('Calendario C'!$F220),MONTH('Calendario C'!$F220),DAY('Calendario C'!$F220)))</f>
        <v/>
      </c>
      <c r="F448" s="223">
        <f>IF($B448="","",TIME(HOUR('Calendario C'!$F220)+2,MINUTE('Calendario C'!$F220),0))</f>
        <v/>
      </c>
      <c r="G448" s="68">
        <f>IF($B448="","",'Calendario C'!$B221)</f>
        <v/>
      </c>
      <c r="H448" s="68">
        <f>IF($B448="","",Campionato!$D$2&amp;" "&amp;Campionato!$D$6)</f>
        <v/>
      </c>
      <c r="I448" s="68" t="n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C'!$B223="","",'Calendario C'!$B223&amp;" vs "&amp;'Calendario C'!$D223&amp;" "&amp;'Calendario C'!$AC223)</f>
        <v/>
      </c>
      <c r="C449" s="222">
        <f>IF($B449="","",DATE(YEAR('Calendario C'!$F223),MONTH('Calendario C'!$F223),DAY('Calendario C'!$F223)))</f>
        <v/>
      </c>
      <c r="D449" s="223">
        <f>IF($B449="","",TIME(HOUR('Calendario C'!$F223),MINUTE('Calendario C'!$F223),0))</f>
        <v/>
      </c>
      <c r="E449" s="222">
        <f>IF($B449="","",DATE(YEAR('Calendario C'!$F223),MONTH('Calendario C'!$F223),DAY('Calendario C'!$F223)))</f>
        <v/>
      </c>
      <c r="F449" s="223">
        <f>IF($B449="","",TIME(HOUR('Calendario C'!$F223)+2,MINUTE('Calendario C'!$F223),0))</f>
        <v/>
      </c>
      <c r="G449" s="68">
        <f>IF($B449="","",'Calendario C'!$B224)</f>
        <v/>
      </c>
      <c r="H449" s="68">
        <f>IF($B449="","",Campionato!$D$2&amp;" "&amp;Campionato!$D$6)</f>
        <v/>
      </c>
      <c r="I449" s="68" t="n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C'!$B226="","",'Calendario C'!$B226&amp;" vs "&amp;'Calendario C'!$D226&amp;" "&amp;'Calendario C'!$AC226)</f>
        <v/>
      </c>
      <c r="C450" s="222">
        <f>IF($B450="","",DATE(YEAR('Calendario C'!$F226),MONTH('Calendario C'!$F226),DAY('Calendario C'!$F226)))</f>
        <v/>
      </c>
      <c r="D450" s="223">
        <f>IF($B450="","",TIME(HOUR('Calendario C'!$F226),MINUTE('Calendario C'!$F226),0))</f>
        <v/>
      </c>
      <c r="E450" s="222">
        <f>IF($B450="","",DATE(YEAR('Calendario C'!$F226),MONTH('Calendario C'!$F226),DAY('Calendario C'!$F226)))</f>
        <v/>
      </c>
      <c r="F450" s="223">
        <f>IF($B450="","",TIME(HOUR('Calendario C'!$F226)+2,MINUTE('Calendario C'!$F226),0))</f>
        <v/>
      </c>
      <c r="G450" s="68">
        <f>IF($B450="","",'Calendario C'!$B227)</f>
        <v/>
      </c>
      <c r="H450" s="68">
        <f>IF($B450="","",Campionato!$D$2&amp;" "&amp;Campionato!$D$6)</f>
        <v/>
      </c>
      <c r="I450" s="68" t="n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C'!$B229="","",'Calendario C'!$B229&amp;" vs "&amp;'Calendario C'!$D229&amp;" "&amp;'Calendario C'!$AC229)</f>
        <v/>
      </c>
      <c r="C451" s="222">
        <f>IF($B451="","",DATE(YEAR('Calendario C'!$F229),MONTH('Calendario C'!$F229),DAY('Calendario C'!$F229)))</f>
        <v/>
      </c>
      <c r="D451" s="223">
        <f>IF($B451="","",TIME(HOUR('Calendario C'!$F229),MINUTE('Calendario C'!$F229),0))</f>
        <v/>
      </c>
      <c r="E451" s="222">
        <f>IF($B451="","",DATE(YEAR('Calendario C'!$F229),MONTH('Calendario C'!$F229),DAY('Calendario C'!$F229)))</f>
        <v/>
      </c>
      <c r="F451" s="223">
        <f>IF($B451="","",TIME(HOUR('Calendario C'!$F229)+2,MINUTE('Calendario C'!$F229),0))</f>
        <v/>
      </c>
      <c r="G451" s="68">
        <f>IF($B451="","",'Calendario C'!$B230)</f>
        <v/>
      </c>
      <c r="H451" s="68">
        <f>IF($B451="","",Campionato!$D$2&amp;" "&amp;Campionato!$D$6)</f>
        <v/>
      </c>
      <c r="I451" s="68" t="n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IF('Calendario C'!$B234="","",'Calendario C'!$B234&amp;" vs "&amp;'Calendario C'!$D234&amp;" "&amp;'Calendario C'!$AC234)</f>
        <v/>
      </c>
      <c r="C452" s="222">
        <f>IF($B452="","",DATE(YEAR('Calendario C'!$F234),MONTH('Calendario C'!$F234),DAY('Calendario C'!$F234)))</f>
        <v/>
      </c>
      <c r="D452" s="223">
        <f>IF($B452="","",TIME(HOUR('Calendario C'!$F234),MINUTE('Calendario C'!$F234),0))</f>
        <v/>
      </c>
      <c r="E452" s="222">
        <f>IF($B452="","",DATE(YEAR('Calendario C'!$F234),MONTH('Calendario C'!$F234),DAY('Calendario C'!$F234)))</f>
        <v/>
      </c>
      <c r="F452" s="223">
        <f>IF($B452="","",TIME(HOUR('Calendario C'!$F234)+2,MINUTE('Calendario C'!$F234),0))</f>
        <v/>
      </c>
      <c r="G452" s="68">
        <f>IF($B452="","",'Calendario C'!$B235)</f>
        <v/>
      </c>
      <c r="H452" s="68">
        <f>IF($B452="","",Campionato!$D$2&amp;" "&amp;Campionato!$D$6)</f>
        <v/>
      </c>
      <c r="I452" s="68" t="n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IF('Calendario C'!$B237="","",'Calendario C'!$B237&amp;" vs "&amp;'Calendario C'!$D237&amp;" "&amp;'Calendario C'!$AC237)</f>
        <v/>
      </c>
      <c r="C453" s="222">
        <f>IF($B453="","",DATE(YEAR('Calendario C'!$F237),MONTH('Calendario C'!$F237),DAY('Calendario C'!$F237)))</f>
        <v/>
      </c>
      <c r="D453" s="223">
        <f>IF($B453="","",TIME(HOUR('Calendario C'!$F237),MINUTE('Calendario C'!$F237),0))</f>
        <v/>
      </c>
      <c r="E453" s="222">
        <f>IF($B453="","",DATE(YEAR('Calendario C'!$F237),MONTH('Calendario C'!$F237),DAY('Calendario C'!$F237)))</f>
        <v/>
      </c>
      <c r="F453" s="223">
        <f>IF($B453="","",TIME(HOUR('Calendario C'!$F237)+2,MINUTE('Calendario C'!$F237),0))</f>
        <v/>
      </c>
      <c r="G453" s="68">
        <f>IF($B453="","",'Calendario C'!$B238)</f>
        <v/>
      </c>
      <c r="H453" s="68">
        <f>IF($B453="","",Campionato!$D$2&amp;" "&amp;Campionato!$D$6)</f>
        <v/>
      </c>
      <c r="I453" s="68" t="n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IF('Calendario C'!$B240="","",'Calendario C'!$B240&amp;" vs "&amp;'Calendario C'!$D240&amp;" "&amp;'Calendario C'!$AC240)</f>
        <v/>
      </c>
      <c r="C454" s="222">
        <f>IF($B454="","",DATE(YEAR('Calendario C'!$F240),MONTH('Calendario C'!$F240),DAY('Calendario C'!$F240)))</f>
        <v/>
      </c>
      <c r="D454" s="223">
        <f>IF($B454="","",TIME(HOUR('Calendario C'!$F240),MINUTE('Calendario C'!$F240),0))</f>
        <v/>
      </c>
      <c r="E454" s="222">
        <f>IF($B454="","",DATE(YEAR('Calendario C'!$F240),MONTH('Calendario C'!$F240),DAY('Calendario C'!$F240)))</f>
        <v/>
      </c>
      <c r="F454" s="223">
        <f>IF($B454="","",TIME(HOUR('Calendario C'!$F240)+2,MINUTE('Calendario C'!$F240),0))</f>
        <v/>
      </c>
      <c r="G454" s="68">
        <f>IF($B454="","",'Calendario C'!$B241)</f>
        <v/>
      </c>
      <c r="H454" s="68">
        <f>IF($B454="","",Campionato!$D$2&amp;" "&amp;Campionato!$D$6)</f>
        <v/>
      </c>
      <c r="I454" s="68" t="n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IF('Calendario C'!$B243="","",'Calendario C'!$B243&amp;" vs "&amp;'Calendario C'!$D243&amp;" "&amp;'Calendario C'!$AC243)</f>
        <v/>
      </c>
      <c r="C455" s="222">
        <f>IF($B455="","",DATE(YEAR('Calendario C'!$F243),MONTH('Calendario C'!$F243),DAY('Calendario C'!$F243)))</f>
        <v/>
      </c>
      <c r="D455" s="223">
        <f>IF($B455="","",TIME(HOUR('Calendario C'!$F243),MINUTE('Calendario C'!$F243),0))</f>
        <v/>
      </c>
      <c r="E455" s="222">
        <f>IF($B455="","",DATE(YEAR('Calendario C'!$F243),MONTH('Calendario C'!$F243),DAY('Calendario C'!$F243)))</f>
        <v/>
      </c>
      <c r="F455" s="223">
        <f>IF($B455="","",TIME(HOUR('Calendario C'!$F243)+2,MINUTE('Calendario C'!$F243),0))</f>
        <v/>
      </c>
      <c r="G455" s="68">
        <f>IF($B455="","",'Calendario C'!$B244)</f>
        <v/>
      </c>
      <c r="H455" s="68">
        <f>IF($B455="","",Campionato!$D$2&amp;" "&amp;Campionato!$D$6)</f>
        <v/>
      </c>
      <c r="I455" s="68" t="n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IF('Calendario C'!$B246="","",'Calendario C'!$B246&amp;" vs "&amp;'Calendario C'!$D246&amp;" "&amp;'Calendario C'!$AC246)</f>
        <v/>
      </c>
      <c r="C456" s="222">
        <f>IF($B456="","",DATE(YEAR('Calendario C'!$F246),MONTH('Calendario C'!$F246),DAY('Calendario C'!$F246)))</f>
        <v/>
      </c>
      <c r="D456" s="223">
        <f>IF($B456="","",TIME(HOUR('Calendario C'!$F246),MINUTE('Calendario C'!$F246),0))</f>
        <v/>
      </c>
      <c r="E456" s="222">
        <f>IF($B456="","",DATE(YEAR('Calendario C'!$F246),MONTH('Calendario C'!$F246),DAY('Calendario C'!$F246)))</f>
        <v/>
      </c>
      <c r="F456" s="223">
        <f>IF($B456="","",TIME(HOUR('Calendario C'!$F246)+2,MINUTE('Calendario C'!$F246),0))</f>
        <v/>
      </c>
      <c r="G456" s="68">
        <f>IF($B456="","",'Calendario C'!$B247)</f>
        <v/>
      </c>
      <c r="H456" s="68">
        <f>IF($B456="","",Campionato!$D$2&amp;" "&amp;Campionato!$D$6)</f>
        <v/>
      </c>
      <c r="I456" s="68" t="n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IF('Calendario C'!$B249="","",'Calendario C'!$B249&amp;" vs "&amp;'Calendario C'!$D249&amp;" "&amp;'Calendario C'!$AC249)</f>
        <v/>
      </c>
      <c r="C457" s="222">
        <f>IF($B457="","",DATE(YEAR('Calendario C'!$F249),MONTH('Calendario C'!$F249),DAY('Calendario C'!$F249)))</f>
        <v/>
      </c>
      <c r="D457" s="223">
        <f>IF($B457="","",TIME(HOUR('Calendario C'!$F249),MINUTE('Calendario C'!$F249),0))</f>
        <v/>
      </c>
      <c r="E457" s="222">
        <f>IF($B457="","",DATE(YEAR('Calendario C'!$F249),MONTH('Calendario C'!$F249),DAY('Calendario C'!$F249)))</f>
        <v/>
      </c>
      <c r="F457" s="223">
        <f>IF($B457="","",TIME(HOUR('Calendario C'!$F249)+2,MINUTE('Calendario C'!$F249),0))</f>
        <v/>
      </c>
      <c r="G457" s="68">
        <f>IF($B457="","",'Calendario C'!$B250)</f>
        <v/>
      </c>
      <c r="H457" s="68">
        <f>IF($B457="","",Campionato!$D$2&amp;" "&amp;Campionato!$D$6)</f>
        <v/>
      </c>
      <c r="I457" s="68" t="n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IF('Calendario C'!$B252="","",'Calendario C'!$B252&amp;" vs "&amp;'Calendario C'!$D252&amp;" "&amp;'Calendario C'!$AC252)</f>
        <v/>
      </c>
      <c r="C458" s="222">
        <f>IF($B458="","",DATE(YEAR('Calendario C'!$F252),MONTH('Calendario C'!$F252),DAY('Calendario C'!$F252)))</f>
        <v/>
      </c>
      <c r="D458" s="223">
        <f>IF($B458="","",TIME(HOUR('Calendario C'!$F252),MINUTE('Calendario C'!$F252),0))</f>
        <v/>
      </c>
      <c r="E458" s="222">
        <f>IF($B458="","",DATE(YEAR('Calendario C'!$F252),MONTH('Calendario C'!$F252),DAY('Calendario C'!$F252)))</f>
        <v/>
      </c>
      <c r="F458" s="223">
        <f>IF($B458="","",TIME(HOUR('Calendario C'!$F252)+2,MINUTE('Calendario C'!$F252),0))</f>
        <v/>
      </c>
      <c r="G458" s="68">
        <f>IF($B458="","",'Calendario C'!$B253)</f>
        <v/>
      </c>
      <c r="H458" s="68">
        <f>IF($B458="","",Campionato!$D$2&amp;" "&amp;Campionato!$D$6)</f>
        <v/>
      </c>
      <c r="I458" s="68" t="n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IF('Calendario C'!$B255="","",'Calendario C'!$B255&amp;" vs "&amp;'Calendario C'!$D255&amp;" "&amp;'Calendario C'!$AC255)</f>
        <v/>
      </c>
      <c r="C459" s="222">
        <f>IF($B459="","",DATE(YEAR('Calendario C'!$F255),MONTH('Calendario C'!$F255),DAY('Calendario C'!$F255)))</f>
        <v/>
      </c>
      <c r="D459" s="223">
        <f>IF($B459="","",TIME(HOUR('Calendario C'!$F255),MINUTE('Calendario C'!$F255),0))</f>
        <v/>
      </c>
      <c r="E459" s="222">
        <f>IF($B459="","",DATE(YEAR('Calendario C'!$F255),MONTH('Calendario C'!$F255),DAY('Calendario C'!$F255)))</f>
        <v/>
      </c>
      <c r="F459" s="223">
        <f>IF($B459="","",TIME(HOUR('Calendario C'!$F255)+2,MINUTE('Calendario C'!$F255),0))</f>
        <v/>
      </c>
      <c r="G459" s="68">
        <f>IF($B459="","",'Calendario C'!$B256)</f>
        <v/>
      </c>
      <c r="H459" s="68">
        <f>IF($B459="","",Campionato!$D$2&amp;" "&amp;Campionato!$D$6)</f>
        <v/>
      </c>
      <c r="I459" s="68" t="n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IF('Calendario C'!$B258="","",'Calendario C'!$B258&amp;" vs "&amp;'Calendario C'!$D258&amp;" "&amp;'Calendario C'!$AC258)</f>
        <v/>
      </c>
      <c r="C460" s="222">
        <f>IF($B460="","",DATE(YEAR('Calendario C'!$F258),MONTH('Calendario C'!$F258),DAY('Calendario C'!$F258)))</f>
        <v/>
      </c>
      <c r="D460" s="223">
        <f>IF($B460="","",TIME(HOUR('Calendario C'!$F258),MINUTE('Calendario C'!$F258),0))</f>
        <v/>
      </c>
      <c r="E460" s="222">
        <f>IF($B460="","",DATE(YEAR('Calendario C'!$F258),MONTH('Calendario C'!$F258),DAY('Calendario C'!$F258)))</f>
        <v/>
      </c>
      <c r="F460" s="223">
        <f>IF($B460="","",TIME(HOUR('Calendario C'!$F258)+2,MINUTE('Calendario C'!$F258),0))</f>
        <v/>
      </c>
      <c r="G460" s="68">
        <f>IF($B460="","",'Calendario C'!$B259)</f>
        <v/>
      </c>
      <c r="H460" s="68">
        <f>IF($B460="","",Campionato!$D$2&amp;" "&amp;Campionato!$D$6)</f>
        <v/>
      </c>
      <c r="I460" s="68" t="n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IF('Calendario C'!$B261="","",'Calendario C'!$B261&amp;" vs "&amp;'Calendario C'!$D261&amp;" "&amp;'Calendario C'!$AC261)</f>
        <v/>
      </c>
      <c r="C461" s="222">
        <f>IF($B461="","",DATE(YEAR('Calendario C'!$F261),MONTH('Calendario C'!$F261),DAY('Calendario C'!$F261)))</f>
        <v/>
      </c>
      <c r="D461" s="223">
        <f>IF($B461="","",TIME(HOUR('Calendario C'!$F261),MINUTE('Calendario C'!$F261),0))</f>
        <v/>
      </c>
      <c r="E461" s="222">
        <f>IF($B461="","",DATE(YEAR('Calendario C'!$F261),MONTH('Calendario C'!$F261),DAY('Calendario C'!$F261)))</f>
        <v/>
      </c>
      <c r="F461" s="223">
        <f>IF($B461="","",TIME(HOUR('Calendario C'!$F261)+2,MINUTE('Calendario C'!$F261),0))</f>
        <v/>
      </c>
      <c r="G461" s="68">
        <f>IF($B461="","",'Calendario C'!$B262)</f>
        <v/>
      </c>
      <c r="H461" s="68">
        <f>IF($B461="","",Campionato!$D$2&amp;" "&amp;Campionato!$D$6)</f>
        <v/>
      </c>
      <c r="I461" s="68" t="n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IF('Calendario C'!$B266="","",'Calendario C'!$B266&amp;" vs "&amp;'Calendario C'!$D266&amp;" "&amp;'Calendario C'!$AC266)</f>
        <v/>
      </c>
      <c r="C462" s="222">
        <f>IF($B462="","",DATE(YEAR('Calendario C'!$F266),MONTH('Calendario C'!$F266),DAY('Calendario C'!$F266)))</f>
        <v/>
      </c>
      <c r="D462" s="223">
        <f>IF($B462="","",TIME(HOUR('Calendario C'!$F266),MINUTE('Calendario C'!$F266),0))</f>
        <v/>
      </c>
      <c r="E462" s="222">
        <f>IF($B462="","",DATE(YEAR('Calendario C'!$F266),MONTH('Calendario C'!$F266),DAY('Calendario C'!$F266)))</f>
        <v/>
      </c>
      <c r="F462" s="223">
        <f>IF($B462="","",TIME(HOUR('Calendario C'!$F266)+2,MINUTE('Calendario C'!$F266),0))</f>
        <v/>
      </c>
      <c r="G462" s="68">
        <f>IF($B462="","",'Calendario C'!$B267)</f>
        <v/>
      </c>
      <c r="H462" s="68">
        <f>IF($B462="","",Campionato!$D$2&amp;" "&amp;Campionato!$D$6)</f>
        <v/>
      </c>
      <c r="I462" s="68" t="n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IF('Calendario C'!$B269="","",'Calendario C'!$B269&amp;" vs "&amp;'Calendario C'!$D269&amp;" "&amp;'Calendario C'!$AC269)</f>
        <v/>
      </c>
      <c r="C463" s="222">
        <f>IF($B463="","",DATE(YEAR('Calendario C'!$F269),MONTH('Calendario C'!$F269),DAY('Calendario C'!$F269)))</f>
        <v/>
      </c>
      <c r="D463" s="223">
        <f>IF($B463="","",TIME(HOUR('Calendario C'!$F269),MINUTE('Calendario C'!$F269),0))</f>
        <v/>
      </c>
      <c r="E463" s="222">
        <f>IF($B463="","",DATE(YEAR('Calendario C'!$F269),MONTH('Calendario C'!$F269),DAY('Calendario C'!$F269)))</f>
        <v/>
      </c>
      <c r="F463" s="223">
        <f>IF($B463="","",TIME(HOUR('Calendario C'!$F269)+2,MINUTE('Calendario C'!$F269),0))</f>
        <v/>
      </c>
      <c r="G463" s="68">
        <f>IF($B463="","",'Calendario C'!$B270)</f>
        <v/>
      </c>
      <c r="H463" s="68">
        <f>IF($B463="","",Campionato!$D$2&amp;" "&amp;Campionato!$D$6)</f>
        <v/>
      </c>
      <c r="I463" s="68" t="n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IF('Calendario C'!$B272="","",'Calendario C'!$B272&amp;" vs "&amp;'Calendario C'!$D272&amp;" "&amp;'Calendario C'!$AC272)</f>
        <v/>
      </c>
      <c r="C464" s="222">
        <f>IF($B464="","",DATE(YEAR('Calendario C'!$F272),MONTH('Calendario C'!$F272),DAY('Calendario C'!$F272)))</f>
        <v/>
      </c>
      <c r="D464" s="223">
        <f>IF($B464="","",TIME(HOUR('Calendario C'!$F272),MINUTE('Calendario C'!$F272),0))</f>
        <v/>
      </c>
      <c r="E464" s="222">
        <f>IF($B464="","",DATE(YEAR('Calendario C'!$F272),MONTH('Calendario C'!$F272),DAY('Calendario C'!$F272)))</f>
        <v/>
      </c>
      <c r="F464" s="223">
        <f>IF($B464="","",TIME(HOUR('Calendario C'!$F272)+2,MINUTE('Calendario C'!$F272),0))</f>
        <v/>
      </c>
      <c r="G464" s="68">
        <f>IF($B464="","",'Calendario C'!$B273)</f>
        <v/>
      </c>
      <c r="H464" s="68">
        <f>IF($B464="","",Campionato!$D$2&amp;" "&amp;Campionato!$D$6)</f>
        <v/>
      </c>
      <c r="I464" s="68" t="n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IF('Calendario C'!$B275="","",'Calendario C'!$B275&amp;" vs "&amp;'Calendario C'!$D275&amp;" "&amp;'Calendario C'!$AC275)</f>
        <v/>
      </c>
      <c r="C465" s="222">
        <f>IF($B465="","",DATE(YEAR('Calendario C'!$F275),MONTH('Calendario C'!$F275),DAY('Calendario C'!$F275)))</f>
        <v/>
      </c>
      <c r="D465" s="223">
        <f>IF($B465="","",TIME(HOUR('Calendario C'!$F275),MINUTE('Calendario C'!$F275),0))</f>
        <v/>
      </c>
      <c r="E465" s="222">
        <f>IF($B465="","",DATE(YEAR('Calendario C'!$F275),MONTH('Calendario C'!$F275),DAY('Calendario C'!$F275)))</f>
        <v/>
      </c>
      <c r="F465" s="223">
        <f>IF($B465="","",TIME(HOUR('Calendario C'!$F275)+2,MINUTE('Calendario C'!$F275),0))</f>
        <v/>
      </c>
      <c r="G465" s="68">
        <f>IF($B465="","",'Calendario C'!$B276)</f>
        <v/>
      </c>
      <c r="H465" s="68">
        <f>IF($B465="","",Campionato!$D$2&amp;" "&amp;Campionato!$D$6)</f>
        <v/>
      </c>
      <c r="I465" s="68" t="n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IF('Calendario C'!$B278="","",'Calendario C'!$B278&amp;" vs "&amp;'Calendario C'!$D278&amp;" "&amp;'Calendario C'!$AC278)</f>
        <v/>
      </c>
      <c r="C466" s="222">
        <f>IF($B466="","",DATE(YEAR('Calendario C'!$F278),MONTH('Calendario C'!$F278),DAY('Calendario C'!$F278)))</f>
        <v/>
      </c>
      <c r="D466" s="223">
        <f>IF($B466="","",TIME(HOUR('Calendario C'!$F278),MINUTE('Calendario C'!$F278),0))</f>
        <v/>
      </c>
      <c r="E466" s="222">
        <f>IF($B466="","",DATE(YEAR('Calendario C'!$F278),MONTH('Calendario C'!$F278),DAY('Calendario C'!$F278)))</f>
        <v/>
      </c>
      <c r="F466" s="223">
        <f>IF($B466="","",TIME(HOUR('Calendario C'!$F278)+2,MINUTE('Calendario C'!$F278),0))</f>
        <v/>
      </c>
      <c r="G466" s="68">
        <f>IF($B466="","",'Calendario C'!$B279)</f>
        <v/>
      </c>
      <c r="H466" s="68">
        <f>IF($B466="","",Campionato!$D$2&amp;" "&amp;Campionato!$D$6)</f>
        <v/>
      </c>
      <c r="I466" s="68" t="n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IF('Calendario C'!$B281="","",'Calendario C'!$B281&amp;" vs "&amp;'Calendario C'!$D281&amp;" "&amp;'Calendario C'!$AC281)</f>
        <v/>
      </c>
      <c r="C467" s="222">
        <f>IF($B467="","",DATE(YEAR('Calendario C'!$F281),MONTH('Calendario C'!$F281),DAY('Calendario C'!$F281)))</f>
        <v/>
      </c>
      <c r="D467" s="223">
        <f>IF($B467="","",TIME(HOUR('Calendario C'!$F281),MINUTE('Calendario C'!$F281),0))</f>
        <v/>
      </c>
      <c r="E467" s="222">
        <f>IF($B467="","",DATE(YEAR('Calendario C'!$F281),MONTH('Calendario C'!$F281),DAY('Calendario C'!$F281)))</f>
        <v/>
      </c>
      <c r="F467" s="223">
        <f>IF($B467="","",TIME(HOUR('Calendario C'!$F281)+2,MINUTE('Calendario C'!$F281),0))</f>
        <v/>
      </c>
      <c r="G467" s="68">
        <f>IF($B467="","",'Calendario C'!$B282)</f>
        <v/>
      </c>
      <c r="H467" s="68">
        <f>IF($B467="","",Campionato!$D$2&amp;" "&amp;Campionato!$D$6)</f>
        <v/>
      </c>
      <c r="I467" s="68" t="n"/>
    </row>
    <row r="468">
      <c r="A468" s="68">
        <f>IF($B468="","","BEGIN:VEVENT
DTSTAMP:"&amp;TEXT(NOW(),"yyyymmdd")&amp;"T000001Z
UID:evt467@ClaudeCoworkBaskin
DTSTART;TZID=Europe/Rome:"&amp;TEXT($C468,"yyyymmdd")&amp;"T"&amp;TEXT($D468,"hhmmss")&amp;"
DTEND;TZID=Europe/Rome:"&amp;TEXT($E468,"yyyymmdd")&amp;"T"&amp;TEXT($F468,"hhmmss")&amp;"
SUMMARY:"&amp;$B468&amp;"
LOCATION:"&amp;$G468&amp;"
DESCRIPTION:"&amp;$H468&amp;"
END:VEVENT")</f>
        <v/>
      </c>
      <c r="B468" s="68">
        <f>IF('Calendario C'!$B284="","",'Calendario C'!$B284&amp;" vs "&amp;'Calendario C'!$D284&amp;" "&amp;'Calendario C'!$AC284)</f>
        <v/>
      </c>
      <c r="C468" s="222">
        <f>IF($B468="","",DATE(YEAR('Calendario C'!$F284),MONTH('Calendario C'!$F284),DAY('Calendario C'!$F284)))</f>
        <v/>
      </c>
      <c r="D468" s="223">
        <f>IF($B468="","",TIME(HOUR('Calendario C'!$F284),MINUTE('Calendario C'!$F284),0))</f>
        <v/>
      </c>
      <c r="E468" s="222">
        <f>IF($B468="","",DATE(YEAR('Calendario C'!$F284),MONTH('Calendario C'!$F284),DAY('Calendario C'!$F284)))</f>
        <v/>
      </c>
      <c r="F468" s="223">
        <f>IF($B468="","",TIME(HOUR('Calendario C'!$F284)+2,MINUTE('Calendario C'!$F284),0))</f>
        <v/>
      </c>
      <c r="G468" s="68">
        <f>IF($B468="","",'Calendario C'!$B285)</f>
        <v/>
      </c>
      <c r="H468" s="68">
        <f>IF($B468="","",Campionato!$D$2&amp;" "&amp;Campionato!$D$6)</f>
        <v/>
      </c>
      <c r="I468" s="68" t="n"/>
    </row>
    <row r="469">
      <c r="A469" s="68">
        <f>IF($B469="","","BEGIN:VEVENT
DTSTAMP:"&amp;TEXT(NOW(),"yyyymmdd")&amp;"T000001Z
UID:evt468@ClaudeCoworkBaskin
DTSTART;TZID=Europe/Rome:"&amp;TEXT($C469,"yyyymmdd")&amp;"T"&amp;TEXT($D469,"hhmmss")&amp;"
DTEND;TZID=Europe/Rome:"&amp;TEXT($E469,"yyyymmdd")&amp;"T"&amp;TEXT($F469,"hhmmss")&amp;"
SUMMARY:"&amp;$B469&amp;"
LOCATION:"&amp;$G469&amp;"
DESCRIPTION:"&amp;$H469&amp;"
END:VEVENT")</f>
        <v/>
      </c>
      <c r="B469" s="68">
        <f>IF('Calendario C'!$B287="","",'Calendario C'!$B287&amp;" vs "&amp;'Calendario C'!$D287&amp;" "&amp;'Calendario C'!$AC287)</f>
        <v/>
      </c>
      <c r="C469" s="222">
        <f>IF($B469="","",DATE(YEAR('Calendario C'!$F287),MONTH('Calendario C'!$F287),DAY('Calendario C'!$F287)))</f>
        <v/>
      </c>
      <c r="D469" s="223">
        <f>IF($B469="","",TIME(HOUR('Calendario C'!$F287),MINUTE('Calendario C'!$F287),0))</f>
        <v/>
      </c>
      <c r="E469" s="222">
        <f>IF($B469="","",DATE(YEAR('Calendario C'!$F287),MONTH('Calendario C'!$F287),DAY('Calendario C'!$F287)))</f>
        <v/>
      </c>
      <c r="F469" s="223">
        <f>IF($B469="","",TIME(HOUR('Calendario C'!$F287)+2,MINUTE('Calendario C'!$F287),0))</f>
        <v/>
      </c>
      <c r="G469" s="68">
        <f>IF($B469="","",'Calendario C'!$B288)</f>
        <v/>
      </c>
      <c r="H469" s="68">
        <f>IF($B469="","",Campionato!$D$2&amp;" "&amp;Campionato!$D$6)</f>
        <v/>
      </c>
      <c r="I469" s="68" t="n"/>
    </row>
    <row r="470">
      <c r="A470" s="68">
        <f>IF($B470="","","BEGIN:VEVENT
DTSTAMP:"&amp;TEXT(NOW(),"yyyymmdd")&amp;"T000001Z
UID:evt469@ClaudeCoworkBaskin
DTSTART;TZID=Europe/Rome:"&amp;TEXT($C470,"yyyymmdd")&amp;"T"&amp;TEXT($D470,"hhmmss")&amp;"
DTEND;TZID=Europe/Rome:"&amp;TEXT($E470,"yyyymmdd")&amp;"T"&amp;TEXT($F470,"hhmmss")&amp;"
SUMMARY:"&amp;$B470&amp;"
LOCATION:"&amp;$G470&amp;"
DESCRIPTION:"&amp;$H470&amp;"
END:VEVENT")</f>
        <v/>
      </c>
      <c r="B470" s="68">
        <f>IF('Calendario C'!$B290="","",'Calendario C'!$B290&amp;" vs "&amp;'Calendario C'!$D290&amp;" "&amp;'Calendario C'!$AC290)</f>
        <v/>
      </c>
      <c r="C470" s="222">
        <f>IF($B470="","",DATE(YEAR('Calendario C'!$F290),MONTH('Calendario C'!$F290),DAY('Calendario C'!$F290)))</f>
        <v/>
      </c>
      <c r="D470" s="223">
        <f>IF($B470="","",TIME(HOUR('Calendario C'!$F290),MINUTE('Calendario C'!$F290),0))</f>
        <v/>
      </c>
      <c r="E470" s="222">
        <f>IF($B470="","",DATE(YEAR('Calendario C'!$F290),MONTH('Calendario C'!$F290),DAY('Calendario C'!$F290)))</f>
        <v/>
      </c>
      <c r="F470" s="223">
        <f>IF($B470="","",TIME(HOUR('Calendario C'!$F290)+2,MINUTE('Calendario C'!$F290),0))</f>
        <v/>
      </c>
      <c r="G470" s="68">
        <f>IF($B470="","",'Calendario C'!$B291)</f>
        <v/>
      </c>
      <c r="H470" s="68">
        <f>IF($B470="","",Campionato!$D$2&amp;" "&amp;Campionato!$D$6)</f>
        <v/>
      </c>
      <c r="I470" s="68" t="n"/>
    </row>
    <row r="471">
      <c r="A471" s="68">
        <f>IF($B471="","","BEGIN:VEVENT
DTSTAMP:"&amp;TEXT(NOW(),"yyyymmdd")&amp;"T000001Z
UID:evt470@ClaudeCoworkBaskin
DTSTART;TZID=Europe/Rome:"&amp;TEXT($C471,"yyyymmdd")&amp;"T"&amp;TEXT($D471,"hhmmss")&amp;"
DTEND;TZID=Europe/Rome:"&amp;TEXT($E471,"yyyymmdd")&amp;"T"&amp;TEXT($F471,"hhmmss")&amp;"
SUMMARY:"&amp;$B471&amp;"
LOCATION:"&amp;$G471&amp;"
DESCRIPTION:"&amp;$H471&amp;"
END:VEVENT")</f>
        <v/>
      </c>
      <c r="B471" s="68">
        <f>IF('Calendario C'!$B293="","",'Calendario C'!$B293&amp;" vs "&amp;'Calendario C'!$D293&amp;" "&amp;'Calendario C'!$AC293)</f>
        <v/>
      </c>
      <c r="C471" s="222">
        <f>IF($B471="","",DATE(YEAR('Calendario C'!$F293),MONTH('Calendario C'!$F293),DAY('Calendario C'!$F293)))</f>
        <v/>
      </c>
      <c r="D471" s="223">
        <f>IF($B471="","",TIME(HOUR('Calendario C'!$F293),MINUTE('Calendario C'!$F293),0))</f>
        <v/>
      </c>
      <c r="E471" s="222">
        <f>IF($B471="","",DATE(YEAR('Calendario C'!$F293),MONTH('Calendario C'!$F293),DAY('Calendario C'!$F293)))</f>
        <v/>
      </c>
      <c r="F471" s="223">
        <f>IF($B471="","",TIME(HOUR('Calendario C'!$F293)+2,MINUTE('Calendario C'!$F293),0))</f>
        <v/>
      </c>
      <c r="G471" s="68">
        <f>IF($B471="","",'Calendario C'!$B294)</f>
        <v/>
      </c>
      <c r="H471" s="68">
        <f>IF($B471="","",Campionato!$D$2&amp;" "&amp;Campionato!$D$6)</f>
        <v/>
      </c>
      <c r="I471" s="68" t="n"/>
    </row>
    <row r="472">
      <c r="A472" s="68">
        <f>IF($B472="","","BEGIN:VEVENT
DTSTAMP:"&amp;TEXT(NOW(),"yyyymmdd")&amp;"T000001Z
UID:evt471@ClaudeCoworkBaskin
DTSTART;TZID=Europe/Rome:"&amp;TEXT($C472,"yyyymmdd")&amp;"T"&amp;TEXT($D472,"hhmmss")&amp;"
DTEND;TZID=Europe/Rome:"&amp;TEXT($E472,"yyyymmdd")&amp;"T"&amp;TEXT($F472,"hhmmss")&amp;"
SUMMARY:"&amp;$B472&amp;"
LOCATION:"&amp;$G472&amp;"
DESCRIPTION:"&amp;$H472&amp;"
END:VEVENT")</f>
        <v/>
      </c>
      <c r="B472" s="68">
        <f>IF('Calendario C'!$B298="","",'Calendario C'!$B298&amp;" vs "&amp;'Calendario C'!$D298&amp;" "&amp;'Calendario C'!$AC298)</f>
        <v/>
      </c>
      <c r="C472" s="222">
        <f>IF($B472="","",DATE(YEAR('Calendario C'!$F298),MONTH('Calendario C'!$F298),DAY('Calendario C'!$F298)))</f>
        <v/>
      </c>
      <c r="D472" s="223">
        <f>IF($B472="","",TIME(HOUR('Calendario C'!$F298),MINUTE('Calendario C'!$F298),0))</f>
        <v/>
      </c>
      <c r="E472" s="222">
        <f>IF($B472="","",DATE(YEAR('Calendario C'!$F298),MONTH('Calendario C'!$F298),DAY('Calendario C'!$F298)))</f>
        <v/>
      </c>
      <c r="F472" s="223">
        <f>IF($B472="","",TIME(HOUR('Calendario C'!$F298)+2,MINUTE('Calendario C'!$F298),0))</f>
        <v/>
      </c>
      <c r="G472" s="68">
        <f>IF($B472="","",'Calendario C'!$B299)</f>
        <v/>
      </c>
      <c r="H472" s="68">
        <f>IF($B472="","",Campionato!$D$2&amp;" "&amp;Campionato!$D$6)</f>
        <v/>
      </c>
      <c r="I472" s="68" t="n"/>
    </row>
    <row r="473">
      <c r="A473" s="68">
        <f>IF($B473="","","BEGIN:VEVENT
DTSTAMP:"&amp;TEXT(NOW(),"yyyymmdd")&amp;"T000001Z
UID:evt472@ClaudeCoworkBaskin
DTSTART;TZID=Europe/Rome:"&amp;TEXT($C473,"yyyymmdd")&amp;"T"&amp;TEXT($D473,"hhmmss")&amp;"
DTEND;TZID=Europe/Rome:"&amp;TEXT($E473,"yyyymmdd")&amp;"T"&amp;TEXT($F473,"hhmmss")&amp;"
SUMMARY:"&amp;$B473&amp;"
LOCATION:"&amp;$G473&amp;"
DESCRIPTION:"&amp;$H473&amp;"
END:VEVENT")</f>
        <v/>
      </c>
      <c r="B473" s="68">
        <f>IF('Calendario C'!$B301="","",'Calendario C'!$B301&amp;" vs "&amp;'Calendario C'!$D301&amp;" "&amp;'Calendario C'!$AC301)</f>
        <v/>
      </c>
      <c r="C473" s="222">
        <f>IF($B473="","",DATE(YEAR('Calendario C'!$F301),MONTH('Calendario C'!$F301),DAY('Calendario C'!$F301)))</f>
        <v/>
      </c>
      <c r="D473" s="223">
        <f>IF($B473="","",TIME(HOUR('Calendario C'!$F301),MINUTE('Calendario C'!$F301),0))</f>
        <v/>
      </c>
      <c r="E473" s="222">
        <f>IF($B473="","",DATE(YEAR('Calendario C'!$F301),MONTH('Calendario C'!$F301),DAY('Calendario C'!$F301)))</f>
        <v/>
      </c>
      <c r="F473" s="223">
        <f>IF($B473="","",TIME(HOUR('Calendario C'!$F301)+2,MINUTE('Calendario C'!$F301),0))</f>
        <v/>
      </c>
      <c r="G473" s="68">
        <f>IF($B473="","",'Calendario C'!$B302)</f>
        <v/>
      </c>
      <c r="H473" s="68">
        <f>IF($B473="","",Campionato!$D$2&amp;" "&amp;Campionato!$D$6)</f>
        <v/>
      </c>
      <c r="I473" s="68" t="n"/>
    </row>
    <row r="474">
      <c r="A474" s="68">
        <f>IF($B474="","","BEGIN:VEVENT
DTSTAMP:"&amp;TEXT(NOW(),"yyyymmdd")&amp;"T000001Z
UID:evt473@ClaudeCoworkBaskin
DTSTART;TZID=Europe/Rome:"&amp;TEXT($C474,"yyyymmdd")&amp;"T"&amp;TEXT($D474,"hhmmss")&amp;"
DTEND;TZID=Europe/Rome:"&amp;TEXT($E474,"yyyymmdd")&amp;"T"&amp;TEXT($F474,"hhmmss")&amp;"
SUMMARY:"&amp;$B474&amp;"
LOCATION:"&amp;$G474&amp;"
DESCRIPTION:"&amp;$H474&amp;"
END:VEVENT")</f>
        <v/>
      </c>
      <c r="B474" s="68">
        <f>IF('Calendario C'!$B304="","",'Calendario C'!$B304&amp;" vs "&amp;'Calendario C'!$D304&amp;" "&amp;'Calendario C'!$AC304)</f>
        <v/>
      </c>
      <c r="C474" s="222">
        <f>IF($B474="","",DATE(YEAR('Calendario C'!$F304),MONTH('Calendario C'!$F304),DAY('Calendario C'!$F304)))</f>
        <v/>
      </c>
      <c r="D474" s="223">
        <f>IF($B474="","",TIME(HOUR('Calendario C'!$F304),MINUTE('Calendario C'!$F304),0))</f>
        <v/>
      </c>
      <c r="E474" s="222">
        <f>IF($B474="","",DATE(YEAR('Calendario C'!$F304),MONTH('Calendario C'!$F304),DAY('Calendario C'!$F304)))</f>
        <v/>
      </c>
      <c r="F474" s="223">
        <f>IF($B474="","",TIME(HOUR('Calendario C'!$F304)+2,MINUTE('Calendario C'!$F304),0))</f>
        <v/>
      </c>
      <c r="G474" s="68">
        <f>IF($B474="","",'Calendario C'!$B305)</f>
        <v/>
      </c>
      <c r="H474" s="68">
        <f>IF($B474="","",Campionato!$D$2&amp;" "&amp;Campionato!$D$6)</f>
        <v/>
      </c>
      <c r="I474" s="68" t="n"/>
    </row>
    <row r="475">
      <c r="A475" s="68">
        <f>IF($B475="","","BEGIN:VEVENT
DTSTAMP:"&amp;TEXT(NOW(),"yyyymmdd")&amp;"T000001Z
UID:evt474@ClaudeCoworkBaskin
DTSTART;TZID=Europe/Rome:"&amp;TEXT($C475,"yyyymmdd")&amp;"T"&amp;TEXT($D475,"hhmmss")&amp;"
DTEND;TZID=Europe/Rome:"&amp;TEXT($E475,"yyyymmdd")&amp;"T"&amp;TEXT($F475,"hhmmss")&amp;"
SUMMARY:"&amp;$B475&amp;"
LOCATION:"&amp;$G475&amp;"
DESCRIPTION:"&amp;$H475&amp;"
END:VEVENT")</f>
        <v/>
      </c>
      <c r="B475" s="68">
        <f>IF('Calendario C'!$B307="","",'Calendario C'!$B307&amp;" vs "&amp;'Calendario C'!$D307&amp;" "&amp;'Calendario C'!$AC307)</f>
        <v/>
      </c>
      <c r="C475" s="222">
        <f>IF($B475="","",DATE(YEAR('Calendario C'!$F307),MONTH('Calendario C'!$F307),DAY('Calendario C'!$F307)))</f>
        <v/>
      </c>
      <c r="D475" s="223">
        <f>IF($B475="","",TIME(HOUR('Calendario C'!$F307),MINUTE('Calendario C'!$F307),0))</f>
        <v/>
      </c>
      <c r="E475" s="222">
        <f>IF($B475="","",DATE(YEAR('Calendario C'!$F307),MONTH('Calendario C'!$F307),DAY('Calendario C'!$F307)))</f>
        <v/>
      </c>
      <c r="F475" s="223">
        <f>IF($B475="","",TIME(HOUR('Calendario C'!$F307)+2,MINUTE('Calendario C'!$F307),0))</f>
        <v/>
      </c>
      <c r="G475" s="68">
        <f>IF($B475="","",'Calendario C'!$B308)</f>
        <v/>
      </c>
      <c r="H475" s="68">
        <f>IF($B475="","",Campionato!$D$2&amp;" "&amp;Campionato!$D$6)</f>
        <v/>
      </c>
      <c r="I475" s="68" t="n"/>
    </row>
    <row r="476">
      <c r="A476" s="68">
        <f>IF($B476="","","BEGIN:VEVENT
DTSTAMP:"&amp;TEXT(NOW(),"yyyymmdd")&amp;"T000001Z
UID:evt475@ClaudeCoworkBaskin
DTSTART;TZID=Europe/Rome:"&amp;TEXT($C476,"yyyymmdd")&amp;"T"&amp;TEXT($D476,"hhmmss")&amp;"
DTEND;TZID=Europe/Rome:"&amp;TEXT($E476,"yyyymmdd")&amp;"T"&amp;TEXT($F476,"hhmmss")&amp;"
SUMMARY:"&amp;$B476&amp;"
LOCATION:"&amp;$G476&amp;"
DESCRIPTION:"&amp;$H476&amp;"
END:VEVENT")</f>
        <v/>
      </c>
      <c r="B476" s="68">
        <f>IF('Calendario C'!$B310="","",'Calendario C'!$B310&amp;" vs "&amp;'Calendario C'!$D310&amp;" "&amp;'Calendario C'!$AC310)</f>
        <v/>
      </c>
      <c r="C476" s="222">
        <f>IF($B476="","",DATE(YEAR('Calendario C'!$F310),MONTH('Calendario C'!$F310),DAY('Calendario C'!$F310)))</f>
        <v/>
      </c>
      <c r="D476" s="223">
        <f>IF($B476="","",TIME(HOUR('Calendario C'!$F310),MINUTE('Calendario C'!$F310),0))</f>
        <v/>
      </c>
      <c r="E476" s="222">
        <f>IF($B476="","",DATE(YEAR('Calendario C'!$F310),MONTH('Calendario C'!$F310),DAY('Calendario C'!$F310)))</f>
        <v/>
      </c>
      <c r="F476" s="223">
        <f>IF($B476="","",TIME(HOUR('Calendario C'!$F310)+2,MINUTE('Calendario C'!$F310),0))</f>
        <v/>
      </c>
      <c r="G476" s="68">
        <f>IF($B476="","",'Calendario C'!$B311)</f>
        <v/>
      </c>
      <c r="H476" s="68">
        <f>IF($B476="","",Campionato!$D$2&amp;" "&amp;Campionato!$D$6)</f>
        <v/>
      </c>
      <c r="I476" s="68" t="n"/>
    </row>
    <row r="477">
      <c r="A477" s="68">
        <f>IF($B477="","","BEGIN:VEVENT
DTSTAMP:"&amp;TEXT(NOW(),"yyyymmdd")&amp;"T000001Z
UID:evt476@ClaudeCoworkBaskin
DTSTART;TZID=Europe/Rome:"&amp;TEXT($C477,"yyyymmdd")&amp;"T"&amp;TEXT($D477,"hhmmss")&amp;"
DTEND;TZID=Europe/Rome:"&amp;TEXT($E477,"yyyymmdd")&amp;"T"&amp;TEXT($F477,"hhmmss")&amp;"
SUMMARY:"&amp;$B477&amp;"
LOCATION:"&amp;$G477&amp;"
DESCRIPTION:"&amp;$H477&amp;"
END:VEVENT")</f>
        <v/>
      </c>
      <c r="B477" s="68">
        <f>IF('Calendario C'!$B313="","",'Calendario C'!$B313&amp;" vs "&amp;'Calendario C'!$D313&amp;" "&amp;'Calendario C'!$AC313)</f>
        <v/>
      </c>
      <c r="C477" s="222">
        <f>IF($B477="","",DATE(YEAR('Calendario C'!$F313),MONTH('Calendario C'!$F313),DAY('Calendario C'!$F313)))</f>
        <v/>
      </c>
      <c r="D477" s="223">
        <f>IF($B477="","",TIME(HOUR('Calendario C'!$F313),MINUTE('Calendario C'!$F313),0))</f>
        <v/>
      </c>
      <c r="E477" s="222">
        <f>IF($B477="","",DATE(YEAR('Calendario C'!$F313),MONTH('Calendario C'!$F313),DAY('Calendario C'!$F313)))</f>
        <v/>
      </c>
      <c r="F477" s="223">
        <f>IF($B477="","",TIME(HOUR('Calendario C'!$F313)+2,MINUTE('Calendario C'!$F313),0))</f>
        <v/>
      </c>
      <c r="G477" s="68">
        <f>IF($B477="","",'Calendario C'!$B314)</f>
        <v/>
      </c>
      <c r="H477" s="68">
        <f>IF($B477="","",Campionato!$D$2&amp;" "&amp;Campionato!$D$6)</f>
        <v/>
      </c>
      <c r="I477" s="68" t="n"/>
    </row>
    <row r="478">
      <c r="A478" s="68">
        <f>IF($B478="","","BEGIN:VEVENT
DTSTAMP:"&amp;TEXT(NOW(),"yyyymmdd")&amp;"T000001Z
UID:evt477@ClaudeCoworkBaskin
DTSTART;TZID=Europe/Rome:"&amp;TEXT($C478,"yyyymmdd")&amp;"T"&amp;TEXT($D478,"hhmmss")&amp;"
DTEND;TZID=Europe/Rome:"&amp;TEXT($E478,"yyyymmdd")&amp;"T"&amp;TEXT($F478,"hhmmss")&amp;"
SUMMARY:"&amp;$B478&amp;"
LOCATION:"&amp;$G478&amp;"
DESCRIPTION:"&amp;$H478&amp;"
END:VEVENT")</f>
        <v/>
      </c>
      <c r="B478" s="68">
        <f>IF('Calendario C'!$B316="","",'Calendario C'!$B316&amp;" vs "&amp;'Calendario C'!$D316&amp;" "&amp;'Calendario C'!$AC316)</f>
        <v/>
      </c>
      <c r="C478" s="222">
        <f>IF($B478="","",DATE(YEAR('Calendario C'!$F316),MONTH('Calendario C'!$F316),DAY('Calendario C'!$F316)))</f>
        <v/>
      </c>
      <c r="D478" s="223">
        <f>IF($B478="","",TIME(HOUR('Calendario C'!$F316),MINUTE('Calendario C'!$F316),0))</f>
        <v/>
      </c>
      <c r="E478" s="222">
        <f>IF($B478="","",DATE(YEAR('Calendario C'!$F316),MONTH('Calendario C'!$F316),DAY('Calendario C'!$F316)))</f>
        <v/>
      </c>
      <c r="F478" s="223">
        <f>IF($B478="","",TIME(HOUR('Calendario C'!$F316)+2,MINUTE('Calendario C'!$F316),0))</f>
        <v/>
      </c>
      <c r="G478" s="68">
        <f>IF($B478="","",'Calendario C'!$B317)</f>
        <v/>
      </c>
      <c r="H478" s="68">
        <f>IF($B478="","",Campionato!$D$2&amp;" "&amp;Campionato!$D$6)</f>
        <v/>
      </c>
      <c r="I478" s="68" t="n"/>
    </row>
    <row r="479">
      <c r="A479" s="68">
        <f>IF($B479="","","BEGIN:VEVENT
DTSTAMP:"&amp;TEXT(NOW(),"yyyymmdd")&amp;"T000001Z
UID:evt478@ClaudeCoworkBaskin
DTSTART;TZID=Europe/Rome:"&amp;TEXT($C479,"yyyymmdd")&amp;"T"&amp;TEXT($D479,"hhmmss")&amp;"
DTEND;TZID=Europe/Rome:"&amp;TEXT($E479,"yyyymmdd")&amp;"T"&amp;TEXT($F479,"hhmmss")&amp;"
SUMMARY:"&amp;$B479&amp;"
LOCATION:"&amp;$G479&amp;"
DESCRIPTION:"&amp;$H479&amp;"
END:VEVENT")</f>
        <v/>
      </c>
      <c r="B479" s="68">
        <f>IF('Calendario C'!$B319="","",'Calendario C'!$B319&amp;" vs "&amp;'Calendario C'!$D319&amp;" "&amp;'Calendario C'!$AC319)</f>
        <v/>
      </c>
      <c r="C479" s="222">
        <f>IF($B479="","",DATE(YEAR('Calendario C'!$F319),MONTH('Calendario C'!$F319),DAY('Calendario C'!$F319)))</f>
        <v/>
      </c>
      <c r="D479" s="223">
        <f>IF($B479="","",TIME(HOUR('Calendario C'!$F319),MINUTE('Calendario C'!$F319),0))</f>
        <v/>
      </c>
      <c r="E479" s="222">
        <f>IF($B479="","",DATE(YEAR('Calendario C'!$F319),MONTH('Calendario C'!$F319),DAY('Calendario C'!$F319)))</f>
        <v/>
      </c>
      <c r="F479" s="223">
        <f>IF($B479="","",TIME(HOUR('Calendario C'!$F319)+2,MINUTE('Calendario C'!$F319),0))</f>
        <v/>
      </c>
      <c r="G479" s="68">
        <f>IF($B479="","",'Calendario C'!$B320)</f>
        <v/>
      </c>
      <c r="H479" s="68">
        <f>IF($B479="","",Campionato!$D$2&amp;" "&amp;Campionato!$D$6)</f>
        <v/>
      </c>
      <c r="I479" s="68" t="n"/>
    </row>
    <row r="480">
      <c r="A480" s="68">
        <f>IF($B480="","","BEGIN:VEVENT
DTSTAMP:"&amp;TEXT(NOW(),"yyyymmdd")&amp;"T000001Z
UID:evt479@ClaudeCoworkBaskin
DTSTART;TZID=Europe/Rome:"&amp;TEXT($C480,"yyyymmdd")&amp;"T"&amp;TEXT($D480,"hhmmss")&amp;"
DTEND;TZID=Europe/Rome:"&amp;TEXT($E480,"yyyymmdd")&amp;"T"&amp;TEXT($F480,"hhmmss")&amp;"
SUMMARY:"&amp;$B480&amp;"
LOCATION:"&amp;$G480&amp;"
DESCRIPTION:"&amp;$H480&amp;"
END:VEVENT")</f>
        <v/>
      </c>
      <c r="B480" s="68">
        <f>IF('Calendario C'!$B322="","",'Calendario C'!$B322&amp;" vs "&amp;'Calendario C'!$D322&amp;" "&amp;'Calendario C'!$AC322)</f>
        <v/>
      </c>
      <c r="C480" s="222">
        <f>IF($B480="","",DATE(YEAR('Calendario C'!$F322),MONTH('Calendario C'!$F322),DAY('Calendario C'!$F322)))</f>
        <v/>
      </c>
      <c r="D480" s="223">
        <f>IF($B480="","",TIME(HOUR('Calendario C'!$F322),MINUTE('Calendario C'!$F322),0))</f>
        <v/>
      </c>
      <c r="E480" s="222">
        <f>IF($B480="","",DATE(YEAR('Calendario C'!$F322),MONTH('Calendario C'!$F322),DAY('Calendario C'!$F322)))</f>
        <v/>
      </c>
      <c r="F480" s="223">
        <f>IF($B480="","",TIME(HOUR('Calendario C'!$F322)+2,MINUTE('Calendario C'!$F322),0))</f>
        <v/>
      </c>
      <c r="G480" s="68">
        <f>IF($B480="","",'Calendario C'!$B323)</f>
        <v/>
      </c>
      <c r="H480" s="68">
        <f>IF($B480="","",Campionato!$D$2&amp;" "&amp;Campionato!$D$6)</f>
        <v/>
      </c>
      <c r="I480" s="68" t="n"/>
    </row>
    <row r="481">
      <c r="A481" s="68">
        <f>IF($B481="","","BEGIN:VEVENT
DTSTAMP:"&amp;TEXT(NOW(),"yyyymmdd")&amp;"T000001Z
UID:evt480@ClaudeCoworkBaskin
DTSTART;TZID=Europe/Rome:"&amp;TEXT($C481,"yyyymmdd")&amp;"T"&amp;TEXT($D481,"hhmmss")&amp;"
DTEND;TZID=Europe/Rome:"&amp;TEXT($E481,"yyyymmdd")&amp;"T"&amp;TEXT($F481,"hhmmss")&amp;"
SUMMARY:"&amp;$B481&amp;"
LOCATION:"&amp;$G481&amp;"
DESCRIPTION:"&amp;$H481&amp;"
END:VEVENT")</f>
        <v/>
      </c>
      <c r="B481" s="68">
        <f>IF('Calendario C'!$B325="","",'Calendario C'!$B325&amp;" vs "&amp;'Calendario C'!$D325&amp;" "&amp;'Calendario C'!$AC325)</f>
        <v/>
      </c>
      <c r="C481" s="222">
        <f>IF($B481="","",DATE(YEAR('Calendario C'!$F325),MONTH('Calendario C'!$F325),DAY('Calendario C'!$F325)))</f>
        <v/>
      </c>
      <c r="D481" s="223">
        <f>IF($B481="","",TIME(HOUR('Calendario C'!$F325),MINUTE('Calendario C'!$F325),0))</f>
        <v/>
      </c>
      <c r="E481" s="222">
        <f>IF($B481="","",DATE(YEAR('Calendario C'!$F325),MONTH('Calendario C'!$F325),DAY('Calendario C'!$F325)))</f>
        <v/>
      </c>
      <c r="F481" s="223">
        <f>IF($B481="","",TIME(HOUR('Calendario C'!$F325)+2,MINUTE('Calendario C'!$F325),0))</f>
        <v/>
      </c>
      <c r="G481" s="68">
        <f>IF($B481="","",'Calendario C'!$B326)</f>
        <v/>
      </c>
      <c r="H481" s="68">
        <f>IF($B481="","",Campionato!$D$2&amp;" "&amp;Campionato!$D$6)</f>
        <v/>
      </c>
      <c r="I481" s="68" t="n"/>
    </row>
    <row r="482">
      <c r="A482" s="68">
        <f>IF($B482="","","BEGIN:VEVENT
DTSTAMP:"&amp;TEXT(NOW(),"yyyymmdd")&amp;"T000001Z
UID:evt481@ClaudeCoworkBaskin
DTSTART;TZID=Europe/Rome:"&amp;TEXT($C482,"yyyymmdd")&amp;"T"&amp;TEXT($D482,"hhmmss")&amp;"
DTEND;TZID=Europe/Rome:"&amp;TEXT($E482,"yyyymmdd")&amp;"T"&amp;TEXT($F482,"hhmmss")&amp;"
SUMMARY:"&amp;$B482&amp;"
LOCATION:"&amp;$G482&amp;"
DESCRIPTION:"&amp;$H482&amp;"
END:VEVENT")</f>
        <v/>
      </c>
      <c r="B482" s="68">
        <f>IF('Calendario C'!$B330="","",'Calendario C'!$B330&amp;" vs "&amp;'Calendario C'!$D330&amp;" "&amp;'Calendario C'!$AC330)</f>
        <v/>
      </c>
      <c r="C482" s="222">
        <f>IF($B482="","",DATE(YEAR('Calendario C'!$F330),MONTH('Calendario C'!$F330),DAY('Calendario C'!$F330)))</f>
        <v/>
      </c>
      <c r="D482" s="223">
        <f>IF($B482="","",TIME(HOUR('Calendario C'!$F330),MINUTE('Calendario C'!$F330),0))</f>
        <v/>
      </c>
      <c r="E482" s="222">
        <f>IF($B482="","",DATE(YEAR('Calendario C'!$F330),MONTH('Calendario C'!$F330),DAY('Calendario C'!$F330)))</f>
        <v/>
      </c>
      <c r="F482" s="223">
        <f>IF($B482="","",TIME(HOUR('Calendario C'!$F330)+2,MINUTE('Calendario C'!$F330),0))</f>
        <v/>
      </c>
      <c r="G482" s="68">
        <f>IF($B482="","",'Calendario C'!$B331)</f>
        <v/>
      </c>
      <c r="H482" s="68">
        <f>IF($B482="","",Campionato!$D$2&amp;" "&amp;Campionato!$D$6)</f>
        <v/>
      </c>
      <c r="I482" s="68" t="n"/>
    </row>
    <row r="483">
      <c r="A483" s="68">
        <f>IF($B483="","","BEGIN:VEVENT
DTSTAMP:"&amp;TEXT(NOW(),"yyyymmdd")&amp;"T000001Z
UID:evt482@ClaudeCoworkBaskin
DTSTART;TZID=Europe/Rome:"&amp;TEXT($C483,"yyyymmdd")&amp;"T"&amp;TEXT($D483,"hhmmss")&amp;"
DTEND;TZID=Europe/Rome:"&amp;TEXT($E483,"yyyymmdd")&amp;"T"&amp;TEXT($F483,"hhmmss")&amp;"
SUMMARY:"&amp;$B483&amp;"
LOCATION:"&amp;$G483&amp;"
DESCRIPTION:"&amp;$H483&amp;"
END:VEVENT")</f>
        <v/>
      </c>
      <c r="B483" s="68">
        <f>IF('Calendario C'!$B333="","",'Calendario C'!$B333&amp;" vs "&amp;'Calendario C'!$D333&amp;" "&amp;'Calendario C'!$AC333)</f>
        <v/>
      </c>
      <c r="C483" s="222">
        <f>IF($B483="","",DATE(YEAR('Calendario C'!$F333),MONTH('Calendario C'!$F333),DAY('Calendario C'!$F333)))</f>
        <v/>
      </c>
      <c r="D483" s="223">
        <f>IF($B483="","",TIME(HOUR('Calendario C'!$F333),MINUTE('Calendario C'!$F333),0))</f>
        <v/>
      </c>
      <c r="E483" s="222">
        <f>IF($B483="","",DATE(YEAR('Calendario C'!$F333),MONTH('Calendario C'!$F333),DAY('Calendario C'!$F333)))</f>
        <v/>
      </c>
      <c r="F483" s="223">
        <f>IF($B483="","",TIME(HOUR('Calendario C'!$F333)+2,MINUTE('Calendario C'!$F333),0))</f>
        <v/>
      </c>
      <c r="G483" s="68">
        <f>IF($B483="","",'Calendario C'!$B334)</f>
        <v/>
      </c>
      <c r="H483" s="68">
        <f>IF($B483="","",Campionato!$D$2&amp;" "&amp;Campionato!$D$6)</f>
        <v/>
      </c>
      <c r="I483" s="68" t="n"/>
    </row>
    <row r="484">
      <c r="A484" s="68">
        <f>IF($B484="","","BEGIN:VEVENT
DTSTAMP:"&amp;TEXT(NOW(),"yyyymmdd")&amp;"T000001Z
UID:evt483@ClaudeCoworkBaskin
DTSTART;TZID=Europe/Rome:"&amp;TEXT($C484,"yyyymmdd")&amp;"T"&amp;TEXT($D484,"hhmmss")&amp;"
DTEND;TZID=Europe/Rome:"&amp;TEXT($E484,"yyyymmdd")&amp;"T"&amp;TEXT($F484,"hhmmss")&amp;"
SUMMARY:"&amp;$B484&amp;"
LOCATION:"&amp;$G484&amp;"
DESCRIPTION:"&amp;$H484&amp;"
END:VEVENT")</f>
        <v/>
      </c>
      <c r="B484" s="68">
        <f>IF('Calendario C'!$B336="","",'Calendario C'!$B336&amp;" vs "&amp;'Calendario C'!$D336&amp;" "&amp;'Calendario C'!$AC336)</f>
        <v/>
      </c>
      <c r="C484" s="222">
        <f>IF($B484="","",DATE(YEAR('Calendario C'!$F336),MONTH('Calendario C'!$F336),DAY('Calendario C'!$F336)))</f>
        <v/>
      </c>
      <c r="D484" s="223">
        <f>IF($B484="","",TIME(HOUR('Calendario C'!$F336),MINUTE('Calendario C'!$F336),0))</f>
        <v/>
      </c>
      <c r="E484" s="222">
        <f>IF($B484="","",DATE(YEAR('Calendario C'!$F336),MONTH('Calendario C'!$F336),DAY('Calendario C'!$F336)))</f>
        <v/>
      </c>
      <c r="F484" s="223">
        <f>IF($B484="","",TIME(HOUR('Calendario C'!$F336)+2,MINUTE('Calendario C'!$F336),0))</f>
        <v/>
      </c>
      <c r="G484" s="68">
        <f>IF($B484="","",'Calendario C'!$B337)</f>
        <v/>
      </c>
      <c r="H484" s="68">
        <f>IF($B484="","",Campionato!$D$2&amp;" "&amp;Campionato!$D$6)</f>
        <v/>
      </c>
      <c r="I484" s="68" t="n"/>
    </row>
    <row r="485">
      <c r="A485" s="68">
        <f>IF($B485="","","BEGIN:VEVENT
DTSTAMP:"&amp;TEXT(NOW(),"yyyymmdd")&amp;"T000001Z
UID:evt484@ClaudeCoworkBaskin
DTSTART;TZID=Europe/Rome:"&amp;TEXT($C485,"yyyymmdd")&amp;"T"&amp;TEXT($D485,"hhmmss")&amp;"
DTEND;TZID=Europe/Rome:"&amp;TEXT($E485,"yyyymmdd")&amp;"T"&amp;TEXT($F485,"hhmmss")&amp;"
SUMMARY:"&amp;$B485&amp;"
LOCATION:"&amp;$G485&amp;"
DESCRIPTION:"&amp;$H485&amp;"
END:VEVENT")</f>
        <v/>
      </c>
      <c r="B485" s="68">
        <f>IF('Calendario C'!$B339="","",'Calendario C'!$B339&amp;" vs "&amp;'Calendario C'!$D339&amp;" "&amp;'Calendario C'!$AC339)</f>
        <v/>
      </c>
      <c r="C485" s="222">
        <f>IF($B485="","",DATE(YEAR('Calendario C'!$F339),MONTH('Calendario C'!$F339),DAY('Calendario C'!$F339)))</f>
        <v/>
      </c>
      <c r="D485" s="223">
        <f>IF($B485="","",TIME(HOUR('Calendario C'!$F339),MINUTE('Calendario C'!$F339),0))</f>
        <v/>
      </c>
      <c r="E485" s="222">
        <f>IF($B485="","",DATE(YEAR('Calendario C'!$F339),MONTH('Calendario C'!$F339),DAY('Calendario C'!$F339)))</f>
        <v/>
      </c>
      <c r="F485" s="223">
        <f>IF($B485="","",TIME(HOUR('Calendario C'!$F339)+2,MINUTE('Calendario C'!$F339),0))</f>
        <v/>
      </c>
      <c r="G485" s="68">
        <f>IF($B485="","",'Calendario C'!$B340)</f>
        <v/>
      </c>
      <c r="H485" s="68">
        <f>IF($B485="","",Campionato!$D$2&amp;" "&amp;Campionato!$D$6)</f>
        <v/>
      </c>
      <c r="I485" s="68" t="n"/>
    </row>
    <row r="486">
      <c r="A486" s="68">
        <f>IF($B486="","","BEGIN:VEVENT
DTSTAMP:"&amp;TEXT(NOW(),"yyyymmdd")&amp;"T000001Z
UID:evt485@ClaudeCoworkBaskin
DTSTART;TZID=Europe/Rome:"&amp;TEXT($C486,"yyyymmdd")&amp;"T"&amp;TEXT($D486,"hhmmss")&amp;"
DTEND;TZID=Europe/Rome:"&amp;TEXT($E486,"yyyymmdd")&amp;"T"&amp;TEXT($F486,"hhmmss")&amp;"
SUMMARY:"&amp;$B486&amp;"
LOCATION:"&amp;$G486&amp;"
DESCRIPTION:"&amp;$H486&amp;"
END:VEVENT")</f>
        <v/>
      </c>
      <c r="B486" s="68">
        <f>IF('Calendario C'!$B342="","",'Calendario C'!$B342&amp;" vs "&amp;'Calendario C'!$D342&amp;" "&amp;'Calendario C'!$AC342)</f>
        <v/>
      </c>
      <c r="C486" s="222">
        <f>IF($B486="","",DATE(YEAR('Calendario C'!$F342),MONTH('Calendario C'!$F342),DAY('Calendario C'!$F342)))</f>
        <v/>
      </c>
      <c r="D486" s="223">
        <f>IF($B486="","",TIME(HOUR('Calendario C'!$F342),MINUTE('Calendario C'!$F342),0))</f>
        <v/>
      </c>
      <c r="E486" s="222">
        <f>IF($B486="","",DATE(YEAR('Calendario C'!$F342),MONTH('Calendario C'!$F342),DAY('Calendario C'!$F342)))</f>
        <v/>
      </c>
      <c r="F486" s="223">
        <f>IF($B486="","",TIME(HOUR('Calendario C'!$F342)+2,MINUTE('Calendario C'!$F342),0))</f>
        <v/>
      </c>
      <c r="G486" s="68">
        <f>IF($B486="","",'Calendario C'!$B343)</f>
        <v/>
      </c>
      <c r="H486" s="68">
        <f>IF($B486="","",Campionato!$D$2&amp;" "&amp;Campionato!$D$6)</f>
        <v/>
      </c>
      <c r="I486" s="68" t="n"/>
    </row>
    <row r="487">
      <c r="A487" s="68">
        <f>IF($B487="","","BEGIN:VEVENT
DTSTAMP:"&amp;TEXT(NOW(),"yyyymmdd")&amp;"T000001Z
UID:evt486@ClaudeCoworkBaskin
DTSTART;TZID=Europe/Rome:"&amp;TEXT($C487,"yyyymmdd")&amp;"T"&amp;TEXT($D487,"hhmmss")&amp;"
DTEND;TZID=Europe/Rome:"&amp;TEXT($E487,"yyyymmdd")&amp;"T"&amp;TEXT($F487,"hhmmss")&amp;"
SUMMARY:"&amp;$B487&amp;"
LOCATION:"&amp;$G487&amp;"
DESCRIPTION:"&amp;$H487&amp;"
END:VEVENT")</f>
        <v/>
      </c>
      <c r="B487" s="68">
        <f>IF('Calendario C'!$B345="","",'Calendario C'!$B345&amp;" vs "&amp;'Calendario C'!$D345&amp;" "&amp;'Calendario C'!$AC345)</f>
        <v/>
      </c>
      <c r="C487" s="222">
        <f>IF($B487="","",DATE(YEAR('Calendario C'!$F345),MONTH('Calendario C'!$F345),DAY('Calendario C'!$F345)))</f>
        <v/>
      </c>
      <c r="D487" s="223">
        <f>IF($B487="","",TIME(HOUR('Calendario C'!$F345),MINUTE('Calendario C'!$F345),0))</f>
        <v/>
      </c>
      <c r="E487" s="222">
        <f>IF($B487="","",DATE(YEAR('Calendario C'!$F345),MONTH('Calendario C'!$F345),DAY('Calendario C'!$F345)))</f>
        <v/>
      </c>
      <c r="F487" s="223">
        <f>IF($B487="","",TIME(HOUR('Calendario C'!$F345)+2,MINUTE('Calendario C'!$F345),0))</f>
        <v/>
      </c>
      <c r="G487" s="68">
        <f>IF($B487="","",'Calendario C'!$B346)</f>
        <v/>
      </c>
      <c r="H487" s="68">
        <f>IF($B487="","",Campionato!$D$2&amp;" "&amp;Campionato!$D$6)</f>
        <v/>
      </c>
      <c r="I487" s="68" t="n"/>
    </row>
    <row r="488">
      <c r="A488" s="68">
        <f>IF($B488="","","BEGIN:VEVENT
DTSTAMP:"&amp;TEXT(NOW(),"yyyymmdd")&amp;"T000001Z
UID:evt487@ClaudeCoworkBaskin
DTSTART;TZID=Europe/Rome:"&amp;TEXT($C488,"yyyymmdd")&amp;"T"&amp;TEXT($D488,"hhmmss")&amp;"
DTEND;TZID=Europe/Rome:"&amp;TEXT($E488,"yyyymmdd")&amp;"T"&amp;TEXT($F488,"hhmmss")&amp;"
SUMMARY:"&amp;$B488&amp;"
LOCATION:"&amp;$G488&amp;"
DESCRIPTION:"&amp;$H488&amp;"
END:VEVENT")</f>
        <v/>
      </c>
      <c r="B488" s="68">
        <f>IF('Calendario C'!$B348="","",'Calendario C'!$B348&amp;" vs "&amp;'Calendario C'!$D348&amp;" "&amp;'Calendario C'!$AC348)</f>
        <v/>
      </c>
      <c r="C488" s="222">
        <f>IF($B488="","",DATE(YEAR('Calendario C'!$F348),MONTH('Calendario C'!$F348),DAY('Calendario C'!$F348)))</f>
        <v/>
      </c>
      <c r="D488" s="223">
        <f>IF($B488="","",TIME(HOUR('Calendario C'!$F348),MINUTE('Calendario C'!$F348),0))</f>
        <v/>
      </c>
      <c r="E488" s="222">
        <f>IF($B488="","",DATE(YEAR('Calendario C'!$F348),MONTH('Calendario C'!$F348),DAY('Calendario C'!$F348)))</f>
        <v/>
      </c>
      <c r="F488" s="223">
        <f>IF($B488="","",TIME(HOUR('Calendario C'!$F348)+2,MINUTE('Calendario C'!$F348),0))</f>
        <v/>
      </c>
      <c r="G488" s="68">
        <f>IF($B488="","",'Calendario C'!$B349)</f>
        <v/>
      </c>
      <c r="H488" s="68">
        <f>IF($B488="","",Campionato!$D$2&amp;" "&amp;Campionato!$D$6)</f>
        <v/>
      </c>
      <c r="I488" s="68" t="n"/>
    </row>
    <row r="489">
      <c r="A489" s="68">
        <f>IF($B489="","","BEGIN:VEVENT
DTSTAMP:"&amp;TEXT(NOW(),"yyyymmdd")&amp;"T000001Z
UID:evt488@ClaudeCoworkBaskin
DTSTART;TZID=Europe/Rome:"&amp;TEXT($C489,"yyyymmdd")&amp;"T"&amp;TEXT($D489,"hhmmss")&amp;"
DTEND;TZID=Europe/Rome:"&amp;TEXT($E489,"yyyymmdd")&amp;"T"&amp;TEXT($F489,"hhmmss")&amp;"
SUMMARY:"&amp;$B489&amp;"
LOCATION:"&amp;$G489&amp;"
DESCRIPTION:"&amp;$H489&amp;"
END:VEVENT")</f>
        <v/>
      </c>
      <c r="B489" s="68">
        <f>IF('Calendario C'!$B351="","",'Calendario C'!$B351&amp;" vs "&amp;'Calendario C'!$D351&amp;" "&amp;'Calendario C'!$AC351)</f>
        <v/>
      </c>
      <c r="C489" s="222">
        <f>IF($B489="","",DATE(YEAR('Calendario C'!$F351),MONTH('Calendario C'!$F351),DAY('Calendario C'!$F351)))</f>
        <v/>
      </c>
      <c r="D489" s="223">
        <f>IF($B489="","",TIME(HOUR('Calendario C'!$F351),MINUTE('Calendario C'!$F351),0))</f>
        <v/>
      </c>
      <c r="E489" s="222">
        <f>IF($B489="","",DATE(YEAR('Calendario C'!$F351),MONTH('Calendario C'!$F351),DAY('Calendario C'!$F351)))</f>
        <v/>
      </c>
      <c r="F489" s="223">
        <f>IF($B489="","",TIME(HOUR('Calendario C'!$F351)+2,MINUTE('Calendario C'!$F351),0))</f>
        <v/>
      </c>
      <c r="G489" s="68">
        <f>IF($B489="","",'Calendario C'!$B352)</f>
        <v/>
      </c>
      <c r="H489" s="68">
        <f>IF($B489="","",Campionato!$D$2&amp;" "&amp;Campionato!$D$6)</f>
        <v/>
      </c>
      <c r="I489" s="68" t="n"/>
    </row>
    <row r="490">
      <c r="A490" s="68">
        <f>IF($B490="","","BEGIN:VEVENT
DTSTAMP:"&amp;TEXT(NOW(),"yyyymmdd")&amp;"T000001Z
UID:evt489@ClaudeCoworkBaskin
DTSTART;TZID=Europe/Rome:"&amp;TEXT($C490,"yyyymmdd")&amp;"T"&amp;TEXT($D490,"hhmmss")&amp;"
DTEND;TZID=Europe/Rome:"&amp;TEXT($E490,"yyyymmdd")&amp;"T"&amp;TEXT($F490,"hhmmss")&amp;"
SUMMARY:"&amp;$B490&amp;"
LOCATION:"&amp;$G490&amp;"
DESCRIPTION:"&amp;$H490&amp;"
END:VEVENT")</f>
        <v/>
      </c>
      <c r="B490" s="68">
        <f>IF('Calendario C'!$B354="","",'Calendario C'!$B354&amp;" vs "&amp;'Calendario C'!$D354&amp;" "&amp;'Calendario C'!$AC354)</f>
        <v/>
      </c>
      <c r="C490" s="222">
        <f>IF($B490="","",DATE(YEAR('Calendario C'!$F354),MONTH('Calendario C'!$F354),DAY('Calendario C'!$F354)))</f>
        <v/>
      </c>
      <c r="D490" s="223">
        <f>IF($B490="","",TIME(HOUR('Calendario C'!$F354),MINUTE('Calendario C'!$F354),0))</f>
        <v/>
      </c>
      <c r="E490" s="222">
        <f>IF($B490="","",DATE(YEAR('Calendario C'!$F354),MONTH('Calendario C'!$F354),DAY('Calendario C'!$F354)))</f>
        <v/>
      </c>
      <c r="F490" s="223">
        <f>IF($B490="","",TIME(HOUR('Calendario C'!$F354)+2,MINUTE('Calendario C'!$F354),0))</f>
        <v/>
      </c>
      <c r="G490" s="68">
        <f>IF($B490="","",'Calendario C'!$B355)</f>
        <v/>
      </c>
      <c r="H490" s="68">
        <f>IF($B490="","",Campionato!$D$2&amp;" "&amp;Campionato!$D$6)</f>
        <v/>
      </c>
      <c r="I490" s="68" t="n"/>
    </row>
    <row r="491">
      <c r="A491" s="68">
        <f>IF($B491="","","BEGIN:VEVENT
DTSTAMP:"&amp;TEXT(NOW(),"yyyymmdd")&amp;"T000001Z
UID:evt490@ClaudeCoworkBaskin
DTSTART;TZID=Europe/Rome:"&amp;TEXT($C491,"yyyymmdd")&amp;"T"&amp;TEXT($D491,"hhmmss")&amp;"
DTEND;TZID=Europe/Rome:"&amp;TEXT($E491,"yyyymmdd")&amp;"T"&amp;TEXT($F491,"hhmmss")&amp;"
SUMMARY:"&amp;$B491&amp;"
LOCATION:"&amp;$G491&amp;"
DESCRIPTION:"&amp;$H491&amp;"
END:VEVENT")</f>
        <v/>
      </c>
      <c r="B491" s="68">
        <f>IF('Calendario C'!$B357="","",'Calendario C'!$B357&amp;" vs "&amp;'Calendario C'!$D357&amp;" "&amp;'Calendario C'!$AC357)</f>
        <v/>
      </c>
      <c r="C491" s="222">
        <f>IF($B491="","",DATE(YEAR('Calendario C'!$F357),MONTH('Calendario C'!$F357),DAY('Calendario C'!$F357)))</f>
        <v/>
      </c>
      <c r="D491" s="223">
        <f>IF($B491="","",TIME(HOUR('Calendario C'!$F357),MINUTE('Calendario C'!$F357),0))</f>
        <v/>
      </c>
      <c r="E491" s="222">
        <f>IF($B491="","",DATE(YEAR('Calendario C'!$F357),MONTH('Calendario C'!$F357),DAY('Calendario C'!$F357)))</f>
        <v/>
      </c>
      <c r="F491" s="223">
        <f>IF($B491="","",TIME(HOUR('Calendario C'!$F357)+2,MINUTE('Calendario C'!$F357),0))</f>
        <v/>
      </c>
      <c r="G491" s="68">
        <f>IF($B491="","",'Calendario C'!$B358)</f>
        <v/>
      </c>
      <c r="H491" s="68">
        <f>IF($B491="","",Campionato!$D$2&amp;" "&amp;Campionato!$D$6)</f>
        <v/>
      </c>
      <c r="I491" s="68" t="n"/>
    </row>
    <row r="492">
      <c r="A492" s="68">
        <f>IF($B492="","","BEGIN:VEVENT
DTSTAMP:"&amp;TEXT(NOW(),"yyyymmdd")&amp;"T000001Z
UID:evt491@ClaudeCoworkBaskin
DTSTART;TZID=Europe/Rome:"&amp;TEXT($C492,"yyyymmdd")&amp;"T"&amp;TEXT($D492,"hhmmss")&amp;"
DTEND;TZID=Europe/Rome:"&amp;TEXT($E492,"yyyymmdd")&amp;"T"&amp;TEXT($F492,"hhmmss")&amp;"
SUMMARY:"&amp;$B492&amp;"
LOCATION:"&amp;$G492&amp;"
DESCRIPTION:"&amp;$H492&amp;"
END:VEVENT")</f>
        <v/>
      </c>
      <c r="B492" s="68">
        <f>IF('Calendario C'!$B362="","",'Calendario C'!$B362&amp;" vs "&amp;'Calendario C'!$D362&amp;" "&amp;'Calendario C'!$AC362)</f>
        <v/>
      </c>
      <c r="C492" s="222">
        <f>IF($B492="","",DATE(YEAR('Calendario C'!$F362),MONTH('Calendario C'!$F362),DAY('Calendario C'!$F362)))</f>
        <v/>
      </c>
      <c r="D492" s="223">
        <f>IF($B492="","",TIME(HOUR('Calendario C'!$F362),MINUTE('Calendario C'!$F362),0))</f>
        <v/>
      </c>
      <c r="E492" s="222">
        <f>IF($B492="","",DATE(YEAR('Calendario C'!$F362),MONTH('Calendario C'!$F362),DAY('Calendario C'!$F362)))</f>
        <v/>
      </c>
      <c r="F492" s="223">
        <f>IF($B492="","",TIME(HOUR('Calendario C'!$F362)+2,MINUTE('Calendario C'!$F362),0))</f>
        <v/>
      </c>
      <c r="G492" s="68">
        <f>IF($B492="","",'Calendario C'!$B363)</f>
        <v/>
      </c>
      <c r="H492" s="68">
        <f>IF($B492="","",Campionato!$D$2&amp;" "&amp;Campionato!$D$6)</f>
        <v/>
      </c>
      <c r="I492" s="68" t="n"/>
    </row>
    <row r="493">
      <c r="A493" s="68">
        <f>IF($B493="","","BEGIN:VEVENT
DTSTAMP:"&amp;TEXT(NOW(),"yyyymmdd")&amp;"T000001Z
UID:evt492@ClaudeCoworkBaskin
DTSTART;TZID=Europe/Rome:"&amp;TEXT($C493,"yyyymmdd")&amp;"T"&amp;TEXT($D493,"hhmmss")&amp;"
DTEND;TZID=Europe/Rome:"&amp;TEXT($E493,"yyyymmdd")&amp;"T"&amp;TEXT($F493,"hhmmss")&amp;"
SUMMARY:"&amp;$B493&amp;"
LOCATION:"&amp;$G493&amp;"
DESCRIPTION:"&amp;$H493&amp;"
END:VEVENT")</f>
        <v/>
      </c>
      <c r="B493" s="68">
        <f>IF('Calendario C'!$B365="","",'Calendario C'!$B365&amp;" vs "&amp;'Calendario C'!$D365&amp;" "&amp;'Calendario C'!$AC365)</f>
        <v/>
      </c>
      <c r="C493" s="222">
        <f>IF($B493="","",DATE(YEAR('Calendario C'!$F365),MONTH('Calendario C'!$F365),DAY('Calendario C'!$F365)))</f>
        <v/>
      </c>
      <c r="D493" s="223">
        <f>IF($B493="","",TIME(HOUR('Calendario C'!$F365),MINUTE('Calendario C'!$F365),0))</f>
        <v/>
      </c>
      <c r="E493" s="222">
        <f>IF($B493="","",DATE(YEAR('Calendario C'!$F365),MONTH('Calendario C'!$F365),DAY('Calendario C'!$F365)))</f>
        <v/>
      </c>
      <c r="F493" s="223">
        <f>IF($B493="","",TIME(HOUR('Calendario C'!$F365)+2,MINUTE('Calendario C'!$F365),0))</f>
        <v/>
      </c>
      <c r="G493" s="68">
        <f>IF($B493="","",'Calendario C'!$B366)</f>
        <v/>
      </c>
      <c r="H493" s="68">
        <f>IF($B493="","",Campionato!$D$2&amp;" "&amp;Campionato!$D$6)</f>
        <v/>
      </c>
      <c r="I493" s="68" t="n"/>
    </row>
    <row r="494">
      <c r="A494" s="68">
        <f>IF($B494="","","BEGIN:VEVENT
DTSTAMP:"&amp;TEXT(NOW(),"yyyymmdd")&amp;"T000001Z
UID:evt493@ClaudeCoworkBaskin
DTSTART;TZID=Europe/Rome:"&amp;TEXT($C494,"yyyymmdd")&amp;"T"&amp;TEXT($D494,"hhmmss")&amp;"
DTEND;TZID=Europe/Rome:"&amp;TEXT($E494,"yyyymmdd")&amp;"T"&amp;TEXT($F494,"hhmmss")&amp;"
SUMMARY:"&amp;$B494&amp;"
LOCATION:"&amp;$G494&amp;"
DESCRIPTION:"&amp;$H494&amp;"
END:VEVENT")</f>
        <v/>
      </c>
      <c r="B494" s="68">
        <f>IF('Calendario C'!$B368="","",'Calendario C'!$B368&amp;" vs "&amp;'Calendario C'!$D368&amp;" "&amp;'Calendario C'!$AC368)</f>
        <v/>
      </c>
      <c r="C494" s="222">
        <f>IF($B494="","",DATE(YEAR('Calendario C'!$F368),MONTH('Calendario C'!$F368),DAY('Calendario C'!$F368)))</f>
        <v/>
      </c>
      <c r="D494" s="223">
        <f>IF($B494="","",TIME(HOUR('Calendario C'!$F368),MINUTE('Calendario C'!$F368),0))</f>
        <v/>
      </c>
      <c r="E494" s="222">
        <f>IF($B494="","",DATE(YEAR('Calendario C'!$F368),MONTH('Calendario C'!$F368),DAY('Calendario C'!$F368)))</f>
        <v/>
      </c>
      <c r="F494" s="223">
        <f>IF($B494="","",TIME(HOUR('Calendario C'!$F368)+2,MINUTE('Calendario C'!$F368),0))</f>
        <v/>
      </c>
      <c r="G494" s="68">
        <f>IF($B494="","",'Calendario C'!$B369)</f>
        <v/>
      </c>
      <c r="H494" s="68">
        <f>IF($B494="","",Campionato!$D$2&amp;" "&amp;Campionato!$D$6)</f>
        <v/>
      </c>
      <c r="I494" s="68" t="n"/>
    </row>
    <row r="495">
      <c r="A495" s="68">
        <f>IF($B495="","","BEGIN:VEVENT
DTSTAMP:"&amp;TEXT(NOW(),"yyyymmdd")&amp;"T000001Z
UID:evt494@ClaudeCoworkBaskin
DTSTART;TZID=Europe/Rome:"&amp;TEXT($C495,"yyyymmdd")&amp;"T"&amp;TEXT($D495,"hhmmss")&amp;"
DTEND;TZID=Europe/Rome:"&amp;TEXT($E495,"yyyymmdd")&amp;"T"&amp;TEXT($F495,"hhmmss")&amp;"
SUMMARY:"&amp;$B495&amp;"
LOCATION:"&amp;$G495&amp;"
DESCRIPTION:"&amp;$H495&amp;"
END:VEVENT")</f>
        <v/>
      </c>
      <c r="B495" s="68">
        <f>IF('Calendario C'!$B371="","",'Calendario C'!$B371&amp;" vs "&amp;'Calendario C'!$D371&amp;" "&amp;'Calendario C'!$AC371)</f>
        <v/>
      </c>
      <c r="C495" s="222">
        <f>IF($B495="","",DATE(YEAR('Calendario C'!$F371),MONTH('Calendario C'!$F371),DAY('Calendario C'!$F371)))</f>
        <v/>
      </c>
      <c r="D495" s="223">
        <f>IF($B495="","",TIME(HOUR('Calendario C'!$F371),MINUTE('Calendario C'!$F371),0))</f>
        <v/>
      </c>
      <c r="E495" s="222">
        <f>IF($B495="","",DATE(YEAR('Calendario C'!$F371),MONTH('Calendario C'!$F371),DAY('Calendario C'!$F371)))</f>
        <v/>
      </c>
      <c r="F495" s="223">
        <f>IF($B495="","",TIME(HOUR('Calendario C'!$F371)+2,MINUTE('Calendario C'!$F371),0))</f>
        <v/>
      </c>
      <c r="G495" s="68">
        <f>IF($B495="","",'Calendario C'!$B372)</f>
        <v/>
      </c>
      <c r="H495" s="68">
        <f>IF($B495="","",Campionato!$D$2&amp;" "&amp;Campionato!$D$6)</f>
        <v/>
      </c>
      <c r="I495" s="68" t="n"/>
    </row>
    <row r="496">
      <c r="A496" s="68">
        <f>IF($B496="","","BEGIN:VEVENT
DTSTAMP:"&amp;TEXT(NOW(),"yyyymmdd")&amp;"T000001Z
UID:evt495@ClaudeCoworkBaskin
DTSTART;TZID=Europe/Rome:"&amp;TEXT($C496,"yyyymmdd")&amp;"T"&amp;TEXT($D496,"hhmmss")&amp;"
DTEND;TZID=Europe/Rome:"&amp;TEXT($E496,"yyyymmdd")&amp;"T"&amp;TEXT($F496,"hhmmss")&amp;"
SUMMARY:"&amp;$B496&amp;"
LOCATION:"&amp;$G496&amp;"
DESCRIPTION:"&amp;$H496&amp;"
END:VEVENT")</f>
        <v/>
      </c>
      <c r="B496" s="68">
        <f>IF('Calendario C'!$B374="","",'Calendario C'!$B374&amp;" vs "&amp;'Calendario C'!$D374&amp;" "&amp;'Calendario C'!$AC374)</f>
        <v/>
      </c>
      <c r="C496" s="222">
        <f>IF($B496="","",DATE(YEAR('Calendario C'!$F374),MONTH('Calendario C'!$F374),DAY('Calendario C'!$F374)))</f>
        <v/>
      </c>
      <c r="D496" s="223">
        <f>IF($B496="","",TIME(HOUR('Calendario C'!$F374),MINUTE('Calendario C'!$F374),0))</f>
        <v/>
      </c>
      <c r="E496" s="222">
        <f>IF($B496="","",DATE(YEAR('Calendario C'!$F374),MONTH('Calendario C'!$F374),DAY('Calendario C'!$F374)))</f>
        <v/>
      </c>
      <c r="F496" s="223">
        <f>IF($B496="","",TIME(HOUR('Calendario C'!$F374)+2,MINUTE('Calendario C'!$F374),0))</f>
        <v/>
      </c>
      <c r="G496" s="68">
        <f>IF($B496="","",'Calendario C'!$B375)</f>
        <v/>
      </c>
      <c r="H496" s="68">
        <f>IF($B496="","",Campionato!$D$2&amp;" "&amp;Campionato!$D$6)</f>
        <v/>
      </c>
      <c r="I496" s="68" t="n"/>
    </row>
    <row r="497">
      <c r="A497" s="68">
        <f>IF($B497="","","BEGIN:VEVENT
DTSTAMP:"&amp;TEXT(NOW(),"yyyymmdd")&amp;"T000001Z
UID:evt496@ClaudeCoworkBaskin
DTSTART;TZID=Europe/Rome:"&amp;TEXT($C497,"yyyymmdd")&amp;"T"&amp;TEXT($D497,"hhmmss")&amp;"
DTEND;TZID=Europe/Rome:"&amp;TEXT($E497,"yyyymmdd")&amp;"T"&amp;TEXT($F497,"hhmmss")&amp;"
SUMMARY:"&amp;$B497&amp;"
LOCATION:"&amp;$G497&amp;"
DESCRIPTION:"&amp;$H497&amp;"
END:VEVENT")</f>
        <v/>
      </c>
      <c r="B497" s="68">
        <f>IF('Calendario C'!$B377="","",'Calendario C'!$B377&amp;" vs "&amp;'Calendario C'!$D377&amp;" "&amp;'Calendario C'!$AC377)</f>
        <v/>
      </c>
      <c r="C497" s="222">
        <f>IF($B497="","",DATE(YEAR('Calendario C'!$F377),MONTH('Calendario C'!$F377),DAY('Calendario C'!$F377)))</f>
        <v/>
      </c>
      <c r="D497" s="223">
        <f>IF($B497="","",TIME(HOUR('Calendario C'!$F377),MINUTE('Calendario C'!$F377),0))</f>
        <v/>
      </c>
      <c r="E497" s="222">
        <f>IF($B497="","",DATE(YEAR('Calendario C'!$F377),MONTH('Calendario C'!$F377),DAY('Calendario C'!$F377)))</f>
        <v/>
      </c>
      <c r="F497" s="223">
        <f>IF($B497="","",TIME(HOUR('Calendario C'!$F377)+2,MINUTE('Calendario C'!$F377),0))</f>
        <v/>
      </c>
      <c r="G497" s="68">
        <f>IF($B497="","",'Calendario C'!$B378)</f>
        <v/>
      </c>
      <c r="H497" s="68">
        <f>IF($B497="","",Campionato!$D$2&amp;" "&amp;Campionato!$D$6)</f>
        <v/>
      </c>
      <c r="I497" s="68" t="n"/>
    </row>
    <row r="498">
      <c r="A498" s="68">
        <f>IF($B498="","","BEGIN:VEVENT
DTSTAMP:"&amp;TEXT(NOW(),"yyyymmdd")&amp;"T000001Z
UID:evt497@ClaudeCoworkBaskin
DTSTART;TZID=Europe/Rome:"&amp;TEXT($C498,"yyyymmdd")&amp;"T"&amp;TEXT($D498,"hhmmss")&amp;"
DTEND;TZID=Europe/Rome:"&amp;TEXT($E498,"yyyymmdd")&amp;"T"&amp;TEXT($F498,"hhmmss")&amp;"
SUMMARY:"&amp;$B498&amp;"
LOCATION:"&amp;$G498&amp;"
DESCRIPTION:"&amp;$H498&amp;"
END:VEVENT")</f>
        <v/>
      </c>
      <c r="B498" s="68">
        <f>IF('Calendario C'!$B380="","",'Calendario C'!$B380&amp;" vs "&amp;'Calendario C'!$D380&amp;" "&amp;'Calendario C'!$AC380)</f>
        <v/>
      </c>
      <c r="C498" s="222">
        <f>IF($B498="","",DATE(YEAR('Calendario C'!$F380),MONTH('Calendario C'!$F380),DAY('Calendario C'!$F380)))</f>
        <v/>
      </c>
      <c r="D498" s="223">
        <f>IF($B498="","",TIME(HOUR('Calendario C'!$F380),MINUTE('Calendario C'!$F380),0))</f>
        <v/>
      </c>
      <c r="E498" s="222">
        <f>IF($B498="","",DATE(YEAR('Calendario C'!$F380),MONTH('Calendario C'!$F380),DAY('Calendario C'!$F380)))</f>
        <v/>
      </c>
      <c r="F498" s="223">
        <f>IF($B498="","",TIME(HOUR('Calendario C'!$F380)+2,MINUTE('Calendario C'!$F380),0))</f>
        <v/>
      </c>
      <c r="G498" s="68">
        <f>IF($B498="","",'Calendario C'!$B381)</f>
        <v/>
      </c>
      <c r="H498" s="68">
        <f>IF($B498="","",Campionato!$D$2&amp;" "&amp;Campionato!$D$6)</f>
        <v/>
      </c>
      <c r="I498" s="68" t="n"/>
    </row>
    <row r="499">
      <c r="A499" s="68">
        <f>IF($B499="","","BEGIN:VEVENT
DTSTAMP:"&amp;TEXT(NOW(),"yyyymmdd")&amp;"T000001Z
UID:evt498@ClaudeCoworkBaskin
DTSTART;TZID=Europe/Rome:"&amp;TEXT($C499,"yyyymmdd")&amp;"T"&amp;TEXT($D499,"hhmmss")&amp;"
DTEND;TZID=Europe/Rome:"&amp;TEXT($E499,"yyyymmdd")&amp;"T"&amp;TEXT($F499,"hhmmss")&amp;"
SUMMARY:"&amp;$B499&amp;"
LOCATION:"&amp;$G499&amp;"
DESCRIPTION:"&amp;$H499&amp;"
END:VEVENT")</f>
        <v/>
      </c>
      <c r="B499" s="68">
        <f>IF('Calendario C'!$B383="","",'Calendario C'!$B383&amp;" vs "&amp;'Calendario C'!$D383&amp;" "&amp;'Calendario C'!$AC383)</f>
        <v/>
      </c>
      <c r="C499" s="222">
        <f>IF($B499="","",DATE(YEAR('Calendario C'!$F383),MONTH('Calendario C'!$F383),DAY('Calendario C'!$F383)))</f>
        <v/>
      </c>
      <c r="D499" s="223">
        <f>IF($B499="","",TIME(HOUR('Calendario C'!$F383),MINUTE('Calendario C'!$F383),0))</f>
        <v/>
      </c>
      <c r="E499" s="222">
        <f>IF($B499="","",DATE(YEAR('Calendario C'!$F383),MONTH('Calendario C'!$F383),DAY('Calendario C'!$F383)))</f>
        <v/>
      </c>
      <c r="F499" s="223">
        <f>IF($B499="","",TIME(HOUR('Calendario C'!$F383)+2,MINUTE('Calendario C'!$F383),0))</f>
        <v/>
      </c>
      <c r="G499" s="68">
        <f>IF($B499="","",'Calendario C'!$B384)</f>
        <v/>
      </c>
      <c r="H499" s="68">
        <f>IF($B499="","",Campionato!$D$2&amp;" "&amp;Campionato!$D$6)</f>
        <v/>
      </c>
      <c r="I499" s="68" t="n"/>
    </row>
    <row r="500">
      <c r="A500" s="68">
        <f>IF($B500="","","BEGIN:VEVENT
DTSTAMP:"&amp;TEXT(NOW(),"yyyymmdd")&amp;"T000001Z
UID:evt499@ClaudeCoworkBaskin
DTSTART;TZID=Europe/Rome:"&amp;TEXT($C500,"yyyymmdd")&amp;"T"&amp;TEXT($D500,"hhmmss")&amp;"
DTEND;TZID=Europe/Rome:"&amp;TEXT($E500,"yyyymmdd")&amp;"T"&amp;TEXT($F500,"hhmmss")&amp;"
SUMMARY:"&amp;$B500&amp;"
LOCATION:"&amp;$G500&amp;"
DESCRIPTION:"&amp;$H500&amp;"
END:VEVENT")</f>
        <v/>
      </c>
      <c r="B500" s="68">
        <f>IF('Calendario C'!$B386="","",'Calendario C'!$B386&amp;" vs "&amp;'Calendario C'!$D386&amp;" "&amp;'Calendario C'!$AC386)</f>
        <v/>
      </c>
      <c r="C500" s="222">
        <f>IF($B500="","",DATE(YEAR('Calendario C'!$F386),MONTH('Calendario C'!$F386),DAY('Calendario C'!$F386)))</f>
        <v/>
      </c>
      <c r="D500" s="223">
        <f>IF($B500="","",TIME(HOUR('Calendario C'!$F386),MINUTE('Calendario C'!$F386),0))</f>
        <v/>
      </c>
      <c r="E500" s="222">
        <f>IF($B500="","",DATE(YEAR('Calendario C'!$F386),MONTH('Calendario C'!$F386),DAY('Calendario C'!$F386)))</f>
        <v/>
      </c>
      <c r="F500" s="223">
        <f>IF($B500="","",TIME(HOUR('Calendario C'!$F386)+2,MINUTE('Calendario C'!$F386),0))</f>
        <v/>
      </c>
      <c r="G500" s="68">
        <f>IF($B500="","",'Calendario C'!$B387)</f>
        <v/>
      </c>
      <c r="H500" s="68">
        <f>IF($B500="","",Campionato!$D$2&amp;" "&amp;Campionato!$D$6)</f>
        <v/>
      </c>
      <c r="I500" s="68" t="n"/>
    </row>
    <row r="501">
      <c r="A501" s="68">
        <f>IF($B501="","","BEGIN:VEVENT
DTSTAMP:"&amp;TEXT(NOW(),"yyyymmdd")&amp;"T000001Z
UID:evt500@ClaudeCoworkBaskin
DTSTART;TZID=Europe/Rome:"&amp;TEXT($C501,"yyyymmdd")&amp;"T"&amp;TEXT($D501,"hhmmss")&amp;"
DTEND;TZID=Europe/Rome:"&amp;TEXT($E501,"yyyymmdd")&amp;"T"&amp;TEXT($F501,"hhmmss")&amp;"
SUMMARY:"&amp;$B501&amp;"
LOCATION:"&amp;$G501&amp;"
DESCRIPTION:"&amp;$H501&amp;"
END:VEVENT")</f>
        <v/>
      </c>
      <c r="B501" s="68">
        <f>IF('Calendario C'!$B389="","",'Calendario C'!$B389&amp;" vs "&amp;'Calendario C'!$D389&amp;" "&amp;'Calendario C'!$AC389)</f>
        <v/>
      </c>
      <c r="C501" s="222">
        <f>IF($B501="","",DATE(YEAR('Calendario C'!$F389),MONTH('Calendario C'!$F389),DAY('Calendario C'!$F389)))</f>
        <v/>
      </c>
      <c r="D501" s="223">
        <f>IF($B501="","",TIME(HOUR('Calendario C'!$F389),MINUTE('Calendario C'!$F389),0))</f>
        <v/>
      </c>
      <c r="E501" s="222">
        <f>IF($B501="","",DATE(YEAR('Calendario C'!$F389),MONTH('Calendario C'!$F389),DAY('Calendario C'!$F389)))</f>
        <v/>
      </c>
      <c r="F501" s="223">
        <f>IF($B501="","",TIME(HOUR('Calendario C'!$F389)+2,MINUTE('Calendario C'!$F389),0))</f>
        <v/>
      </c>
      <c r="G501" s="68">
        <f>IF($B501="","",'Calendario C'!$B390)</f>
        <v/>
      </c>
      <c r="H501" s="68">
        <f>IF($B501="","",Campionato!$D$2&amp;" "&amp;Campionato!$D$6)</f>
        <v/>
      </c>
      <c r="I501" s="68" t="n"/>
    </row>
    <row r="502">
      <c r="A502" s="68">
        <f>IF($B502="","","BEGIN:VEVENT
DTSTAMP:"&amp;TEXT(NOW(),"yyyymmdd")&amp;"T000001Z
UID:evt501@ClaudeCoworkBaskin
DTSTART;TZID=Europe/Rome:"&amp;TEXT($C502,"yyyymmdd")&amp;"T"&amp;TEXT($D502,"hhmmss")&amp;"
DTEND;TZID=Europe/Rome:"&amp;TEXT($E502,"yyyymmdd")&amp;"T"&amp;TEXT($F502,"hhmmss")&amp;"
SUMMARY:"&amp;$B502&amp;"
LOCATION:"&amp;$G502&amp;"
DESCRIPTION:"&amp;$H502&amp;"
END:VEVENT")</f>
        <v/>
      </c>
      <c r="B502" s="68">
        <f>IF('Calendario C'!$B394="","",'Calendario C'!$B394&amp;" vs "&amp;'Calendario C'!$D394&amp;" "&amp;'Calendario C'!$AC394)</f>
        <v/>
      </c>
      <c r="C502" s="222">
        <f>IF($B502="","",DATE(YEAR('Calendario C'!$F394),MONTH('Calendario C'!$F394),DAY('Calendario C'!$F394)))</f>
        <v/>
      </c>
      <c r="D502" s="223">
        <f>IF($B502="","",TIME(HOUR('Calendario C'!$F394),MINUTE('Calendario C'!$F394),0))</f>
        <v/>
      </c>
      <c r="E502" s="222">
        <f>IF($B502="","",DATE(YEAR('Calendario C'!$F394),MONTH('Calendario C'!$F394),DAY('Calendario C'!$F394)))</f>
        <v/>
      </c>
      <c r="F502" s="223">
        <f>IF($B502="","",TIME(HOUR('Calendario C'!$F394)+2,MINUTE('Calendario C'!$F394),0))</f>
        <v/>
      </c>
      <c r="G502" s="68">
        <f>IF($B502="","",'Calendario C'!$B395)</f>
        <v/>
      </c>
      <c r="H502" s="68">
        <f>IF($B502="","",Campionato!$D$2&amp;" "&amp;Campionato!$D$6)</f>
        <v/>
      </c>
      <c r="I502" s="68" t="n"/>
    </row>
    <row r="503">
      <c r="A503" s="68">
        <f>IF($B503="","","BEGIN:VEVENT
DTSTAMP:"&amp;TEXT(NOW(),"yyyymmdd")&amp;"T000001Z
UID:evt502@ClaudeCoworkBaskin
DTSTART;TZID=Europe/Rome:"&amp;TEXT($C503,"yyyymmdd")&amp;"T"&amp;TEXT($D503,"hhmmss")&amp;"
DTEND;TZID=Europe/Rome:"&amp;TEXT($E503,"yyyymmdd")&amp;"T"&amp;TEXT($F503,"hhmmss")&amp;"
SUMMARY:"&amp;$B503&amp;"
LOCATION:"&amp;$G503&amp;"
DESCRIPTION:"&amp;$H503&amp;"
END:VEVENT")</f>
        <v/>
      </c>
      <c r="B503" s="68">
        <f>IF('Calendario C'!$B397="","",'Calendario C'!$B397&amp;" vs "&amp;'Calendario C'!$D397&amp;" "&amp;'Calendario C'!$AC397)</f>
        <v/>
      </c>
      <c r="C503" s="222">
        <f>IF($B503="","",DATE(YEAR('Calendario C'!$F397),MONTH('Calendario C'!$F397),DAY('Calendario C'!$F397)))</f>
        <v/>
      </c>
      <c r="D503" s="223">
        <f>IF($B503="","",TIME(HOUR('Calendario C'!$F397),MINUTE('Calendario C'!$F397),0))</f>
        <v/>
      </c>
      <c r="E503" s="222">
        <f>IF($B503="","",DATE(YEAR('Calendario C'!$F397),MONTH('Calendario C'!$F397),DAY('Calendario C'!$F397)))</f>
        <v/>
      </c>
      <c r="F503" s="223">
        <f>IF($B503="","",TIME(HOUR('Calendario C'!$F397)+2,MINUTE('Calendario C'!$F397),0))</f>
        <v/>
      </c>
      <c r="G503" s="68">
        <f>IF($B503="","",'Calendario C'!$B398)</f>
        <v/>
      </c>
      <c r="H503" s="68">
        <f>IF($B503="","",Campionato!$D$2&amp;" "&amp;Campionato!$D$6)</f>
        <v/>
      </c>
      <c r="I503" s="68" t="n"/>
    </row>
    <row r="504">
      <c r="A504" s="68">
        <f>IF($B504="","","BEGIN:VEVENT
DTSTAMP:"&amp;TEXT(NOW(),"yyyymmdd")&amp;"T000001Z
UID:evt503@ClaudeCoworkBaskin
DTSTART;TZID=Europe/Rome:"&amp;TEXT($C504,"yyyymmdd")&amp;"T"&amp;TEXT($D504,"hhmmss")&amp;"
DTEND;TZID=Europe/Rome:"&amp;TEXT($E504,"yyyymmdd")&amp;"T"&amp;TEXT($F504,"hhmmss")&amp;"
SUMMARY:"&amp;$B504&amp;"
LOCATION:"&amp;$G504&amp;"
DESCRIPTION:"&amp;$H504&amp;"
END:VEVENT")</f>
        <v/>
      </c>
      <c r="B504" s="68">
        <f>IF('Calendario C'!$B400="","",'Calendario C'!$B400&amp;" vs "&amp;'Calendario C'!$D400&amp;" "&amp;'Calendario C'!$AC400)</f>
        <v/>
      </c>
      <c r="C504" s="222">
        <f>IF($B504="","",DATE(YEAR('Calendario C'!$F400),MONTH('Calendario C'!$F400),DAY('Calendario C'!$F400)))</f>
        <v/>
      </c>
      <c r="D504" s="223">
        <f>IF($B504="","",TIME(HOUR('Calendario C'!$F400),MINUTE('Calendario C'!$F400),0))</f>
        <v/>
      </c>
      <c r="E504" s="222">
        <f>IF($B504="","",DATE(YEAR('Calendario C'!$F400),MONTH('Calendario C'!$F400),DAY('Calendario C'!$F400)))</f>
        <v/>
      </c>
      <c r="F504" s="223">
        <f>IF($B504="","",TIME(HOUR('Calendario C'!$F400)+2,MINUTE('Calendario C'!$F400),0))</f>
        <v/>
      </c>
      <c r="G504" s="68">
        <f>IF($B504="","",'Calendario C'!$B401)</f>
        <v/>
      </c>
      <c r="H504" s="68">
        <f>IF($B504="","",Campionato!$D$2&amp;" "&amp;Campionato!$D$6)</f>
        <v/>
      </c>
      <c r="I504" s="68" t="n"/>
    </row>
    <row r="505">
      <c r="A505" s="68">
        <f>IF($B505="","","BEGIN:VEVENT
DTSTAMP:"&amp;TEXT(NOW(),"yyyymmdd")&amp;"T000001Z
UID:evt504@ClaudeCoworkBaskin
DTSTART;TZID=Europe/Rome:"&amp;TEXT($C505,"yyyymmdd")&amp;"T"&amp;TEXT($D505,"hhmmss")&amp;"
DTEND;TZID=Europe/Rome:"&amp;TEXT($E505,"yyyymmdd")&amp;"T"&amp;TEXT($F505,"hhmmss")&amp;"
SUMMARY:"&amp;$B505&amp;"
LOCATION:"&amp;$G505&amp;"
DESCRIPTION:"&amp;$H505&amp;"
END:VEVENT")</f>
        <v/>
      </c>
      <c r="B505" s="68">
        <f>IF('Calendario C'!$B403="","",'Calendario C'!$B403&amp;" vs "&amp;'Calendario C'!$D403&amp;" "&amp;'Calendario C'!$AC403)</f>
        <v/>
      </c>
      <c r="C505" s="222">
        <f>IF($B505="","",DATE(YEAR('Calendario C'!$F403),MONTH('Calendario C'!$F403),DAY('Calendario C'!$F403)))</f>
        <v/>
      </c>
      <c r="D505" s="223">
        <f>IF($B505="","",TIME(HOUR('Calendario C'!$F403),MINUTE('Calendario C'!$F403),0))</f>
        <v/>
      </c>
      <c r="E505" s="222">
        <f>IF($B505="","",DATE(YEAR('Calendario C'!$F403),MONTH('Calendario C'!$F403),DAY('Calendario C'!$F403)))</f>
        <v/>
      </c>
      <c r="F505" s="223">
        <f>IF($B505="","",TIME(HOUR('Calendario C'!$F403)+2,MINUTE('Calendario C'!$F403),0))</f>
        <v/>
      </c>
      <c r="G505" s="68">
        <f>IF($B505="","",'Calendario C'!$B404)</f>
        <v/>
      </c>
      <c r="H505" s="68">
        <f>IF($B505="","",Campionato!$D$2&amp;" "&amp;Campionato!$D$6)</f>
        <v/>
      </c>
      <c r="I505" s="68" t="n"/>
    </row>
    <row r="506">
      <c r="A506" s="68">
        <f>IF($B506="","","BEGIN:VEVENT
DTSTAMP:"&amp;TEXT(NOW(),"yyyymmdd")&amp;"T000001Z
UID:evt505@ClaudeCoworkBaskin
DTSTART;TZID=Europe/Rome:"&amp;TEXT($C506,"yyyymmdd")&amp;"T"&amp;TEXT($D506,"hhmmss")&amp;"
DTEND;TZID=Europe/Rome:"&amp;TEXT($E506,"yyyymmdd")&amp;"T"&amp;TEXT($F506,"hhmmss")&amp;"
SUMMARY:"&amp;$B506&amp;"
LOCATION:"&amp;$G506&amp;"
DESCRIPTION:"&amp;$H506&amp;"
END:VEVENT")</f>
        <v/>
      </c>
      <c r="B506" s="68">
        <f>IF('Calendario C'!$B406="","",'Calendario C'!$B406&amp;" vs "&amp;'Calendario C'!$D406&amp;" "&amp;'Calendario C'!$AC406)</f>
        <v/>
      </c>
      <c r="C506" s="222">
        <f>IF($B506="","",DATE(YEAR('Calendario C'!$F406),MONTH('Calendario C'!$F406),DAY('Calendario C'!$F406)))</f>
        <v/>
      </c>
      <c r="D506" s="223">
        <f>IF($B506="","",TIME(HOUR('Calendario C'!$F406),MINUTE('Calendario C'!$F406),0))</f>
        <v/>
      </c>
      <c r="E506" s="222">
        <f>IF($B506="","",DATE(YEAR('Calendario C'!$F406),MONTH('Calendario C'!$F406),DAY('Calendario C'!$F406)))</f>
        <v/>
      </c>
      <c r="F506" s="223">
        <f>IF($B506="","",TIME(HOUR('Calendario C'!$F406)+2,MINUTE('Calendario C'!$F406),0))</f>
        <v/>
      </c>
      <c r="G506" s="68">
        <f>IF($B506="","",'Calendario C'!$B407)</f>
        <v/>
      </c>
      <c r="H506" s="68">
        <f>IF($B506="","",Campionato!$D$2&amp;" "&amp;Campionato!$D$6)</f>
        <v/>
      </c>
      <c r="I506" s="68" t="n"/>
    </row>
    <row r="507">
      <c r="A507" s="68">
        <f>IF($B507="","","BEGIN:VEVENT
DTSTAMP:"&amp;TEXT(NOW(),"yyyymmdd")&amp;"T000001Z
UID:evt506@ClaudeCoworkBaskin
DTSTART;TZID=Europe/Rome:"&amp;TEXT($C507,"yyyymmdd")&amp;"T"&amp;TEXT($D507,"hhmmss")&amp;"
DTEND;TZID=Europe/Rome:"&amp;TEXT($E507,"yyyymmdd")&amp;"T"&amp;TEXT($F507,"hhmmss")&amp;"
SUMMARY:"&amp;$B507&amp;"
LOCATION:"&amp;$G507&amp;"
DESCRIPTION:"&amp;$H507&amp;"
END:VEVENT")</f>
        <v/>
      </c>
      <c r="B507" s="68">
        <f>IF('Calendario C'!$B409="","",'Calendario C'!$B409&amp;" vs "&amp;'Calendario C'!$D409&amp;" "&amp;'Calendario C'!$AC409)</f>
        <v/>
      </c>
      <c r="C507" s="222">
        <f>IF($B507="","",DATE(YEAR('Calendario C'!$F409),MONTH('Calendario C'!$F409),DAY('Calendario C'!$F409)))</f>
        <v/>
      </c>
      <c r="D507" s="223">
        <f>IF($B507="","",TIME(HOUR('Calendario C'!$F409),MINUTE('Calendario C'!$F409),0))</f>
        <v/>
      </c>
      <c r="E507" s="222">
        <f>IF($B507="","",DATE(YEAR('Calendario C'!$F409),MONTH('Calendario C'!$F409),DAY('Calendario C'!$F409)))</f>
        <v/>
      </c>
      <c r="F507" s="223">
        <f>IF($B507="","",TIME(HOUR('Calendario C'!$F409)+2,MINUTE('Calendario C'!$F409),0))</f>
        <v/>
      </c>
      <c r="G507" s="68">
        <f>IF($B507="","",'Calendario C'!$B410)</f>
        <v/>
      </c>
      <c r="H507" s="68">
        <f>IF($B507="","",Campionato!$D$2&amp;" "&amp;Campionato!$D$6)</f>
        <v/>
      </c>
      <c r="I507" s="68" t="n"/>
    </row>
    <row r="508">
      <c r="A508" s="68">
        <f>IF($B508="","","BEGIN:VEVENT
DTSTAMP:"&amp;TEXT(NOW(),"yyyymmdd")&amp;"T000001Z
UID:evt507@ClaudeCoworkBaskin
DTSTART;TZID=Europe/Rome:"&amp;TEXT($C508,"yyyymmdd")&amp;"T"&amp;TEXT($D508,"hhmmss")&amp;"
DTEND;TZID=Europe/Rome:"&amp;TEXT($E508,"yyyymmdd")&amp;"T"&amp;TEXT($F508,"hhmmss")&amp;"
SUMMARY:"&amp;$B508&amp;"
LOCATION:"&amp;$G508&amp;"
DESCRIPTION:"&amp;$H508&amp;"
END:VEVENT")</f>
        <v/>
      </c>
      <c r="B508" s="68">
        <f>IF('Calendario C'!$B412="","",'Calendario C'!$B412&amp;" vs "&amp;'Calendario C'!$D412&amp;" "&amp;'Calendario C'!$AC412)</f>
        <v/>
      </c>
      <c r="C508" s="222">
        <f>IF($B508="","",DATE(YEAR('Calendario C'!$F412),MONTH('Calendario C'!$F412),DAY('Calendario C'!$F412)))</f>
        <v/>
      </c>
      <c r="D508" s="223">
        <f>IF($B508="","",TIME(HOUR('Calendario C'!$F412),MINUTE('Calendario C'!$F412),0))</f>
        <v/>
      </c>
      <c r="E508" s="222">
        <f>IF($B508="","",DATE(YEAR('Calendario C'!$F412),MONTH('Calendario C'!$F412),DAY('Calendario C'!$F412)))</f>
        <v/>
      </c>
      <c r="F508" s="223">
        <f>IF($B508="","",TIME(HOUR('Calendario C'!$F412)+2,MINUTE('Calendario C'!$F412),0))</f>
        <v/>
      </c>
      <c r="G508" s="68">
        <f>IF($B508="","",'Calendario C'!$B413)</f>
        <v/>
      </c>
      <c r="H508" s="68">
        <f>IF($B508="","",Campionato!$D$2&amp;" "&amp;Campionato!$D$6)</f>
        <v/>
      </c>
      <c r="I508" s="68" t="n"/>
    </row>
    <row r="509">
      <c r="A509" s="68">
        <f>IF($B509="","","BEGIN:VEVENT
DTSTAMP:"&amp;TEXT(NOW(),"yyyymmdd")&amp;"T000001Z
UID:evt508@ClaudeCoworkBaskin
DTSTART;TZID=Europe/Rome:"&amp;TEXT($C509,"yyyymmdd")&amp;"T"&amp;TEXT($D509,"hhmmss")&amp;"
DTEND;TZID=Europe/Rome:"&amp;TEXT($E509,"yyyymmdd")&amp;"T"&amp;TEXT($F509,"hhmmss")&amp;"
SUMMARY:"&amp;$B509&amp;"
LOCATION:"&amp;$G509&amp;"
DESCRIPTION:"&amp;$H509&amp;"
END:VEVENT")</f>
        <v/>
      </c>
      <c r="B509" s="68">
        <f>IF('Calendario C'!$B415="","",'Calendario C'!$B415&amp;" vs "&amp;'Calendario C'!$D415&amp;" "&amp;'Calendario C'!$AC415)</f>
        <v/>
      </c>
      <c r="C509" s="222">
        <f>IF($B509="","",DATE(YEAR('Calendario C'!$F415),MONTH('Calendario C'!$F415),DAY('Calendario C'!$F415)))</f>
        <v/>
      </c>
      <c r="D509" s="223">
        <f>IF($B509="","",TIME(HOUR('Calendario C'!$F415),MINUTE('Calendario C'!$F415),0))</f>
        <v/>
      </c>
      <c r="E509" s="222">
        <f>IF($B509="","",DATE(YEAR('Calendario C'!$F415),MONTH('Calendario C'!$F415),DAY('Calendario C'!$F415)))</f>
        <v/>
      </c>
      <c r="F509" s="223">
        <f>IF($B509="","",TIME(HOUR('Calendario C'!$F415)+2,MINUTE('Calendario C'!$F415),0))</f>
        <v/>
      </c>
      <c r="G509" s="68">
        <f>IF($B509="","",'Calendario C'!$B416)</f>
        <v/>
      </c>
      <c r="H509" s="68">
        <f>IF($B509="","",Campionato!$D$2&amp;" "&amp;Campionato!$D$6)</f>
        <v/>
      </c>
      <c r="I509" s="68" t="n"/>
    </row>
    <row r="510">
      <c r="A510" s="68">
        <f>IF($B510="","","BEGIN:VEVENT
DTSTAMP:"&amp;TEXT(NOW(),"yyyymmdd")&amp;"T000001Z
UID:evt509@ClaudeCoworkBaskin
DTSTART;TZID=Europe/Rome:"&amp;TEXT($C510,"yyyymmdd")&amp;"T"&amp;TEXT($D510,"hhmmss")&amp;"
DTEND;TZID=Europe/Rome:"&amp;TEXT($E510,"yyyymmdd")&amp;"T"&amp;TEXT($F510,"hhmmss")&amp;"
SUMMARY:"&amp;$B510&amp;"
LOCATION:"&amp;$G510&amp;"
DESCRIPTION:"&amp;$H510&amp;"
END:VEVENT")</f>
        <v/>
      </c>
      <c r="B510" s="68">
        <f>IF('Calendario C'!$B418="","",'Calendario C'!$B418&amp;" vs "&amp;'Calendario C'!$D418&amp;" "&amp;'Calendario C'!$AC418)</f>
        <v/>
      </c>
      <c r="C510" s="222">
        <f>IF($B510="","",DATE(YEAR('Calendario C'!$F418),MONTH('Calendario C'!$F418),DAY('Calendario C'!$F418)))</f>
        <v/>
      </c>
      <c r="D510" s="223">
        <f>IF($B510="","",TIME(HOUR('Calendario C'!$F418),MINUTE('Calendario C'!$F418),0))</f>
        <v/>
      </c>
      <c r="E510" s="222">
        <f>IF($B510="","",DATE(YEAR('Calendario C'!$F418),MONTH('Calendario C'!$F418),DAY('Calendario C'!$F418)))</f>
        <v/>
      </c>
      <c r="F510" s="223">
        <f>IF($B510="","",TIME(HOUR('Calendario C'!$F418)+2,MINUTE('Calendario C'!$F418),0))</f>
        <v/>
      </c>
      <c r="G510" s="68">
        <f>IF($B510="","",'Calendario C'!$B419)</f>
        <v/>
      </c>
      <c r="H510" s="68">
        <f>IF($B510="","",Campionato!$D$2&amp;" "&amp;Campionato!$D$6)</f>
        <v/>
      </c>
      <c r="I510" s="68" t="n"/>
    </row>
    <row r="511">
      <c r="A511" s="68">
        <f>IF($B511="","","BEGIN:VEVENT
DTSTAMP:"&amp;TEXT(NOW(),"yyyymmdd")&amp;"T000001Z
UID:evt510@ClaudeCoworkBaskin
DTSTART;TZID=Europe/Rome:"&amp;TEXT($C511,"yyyymmdd")&amp;"T"&amp;TEXT($D511,"hhmmss")&amp;"
DTEND;TZID=Europe/Rome:"&amp;TEXT($E511,"yyyymmdd")&amp;"T"&amp;TEXT($F511,"hhmmss")&amp;"
SUMMARY:"&amp;$B511&amp;"
LOCATION:"&amp;$G511&amp;"
DESCRIPTION:"&amp;$H511&amp;"
END:VEVENT")</f>
        <v/>
      </c>
      <c r="B511" s="68">
        <f>IF('Calendario C'!$B421="","",'Calendario C'!$B421&amp;" vs "&amp;'Calendario C'!$D421&amp;" "&amp;'Calendario C'!$AC421)</f>
        <v/>
      </c>
      <c r="C511" s="222">
        <f>IF($B511="","",DATE(YEAR('Calendario C'!$F421),MONTH('Calendario C'!$F421),DAY('Calendario C'!$F421)))</f>
        <v/>
      </c>
      <c r="D511" s="223">
        <f>IF($B511="","",TIME(HOUR('Calendario C'!$F421),MINUTE('Calendario C'!$F421),0))</f>
        <v/>
      </c>
      <c r="E511" s="222">
        <f>IF($B511="","",DATE(YEAR('Calendario C'!$F421),MONTH('Calendario C'!$F421),DAY('Calendario C'!$F421)))</f>
        <v/>
      </c>
      <c r="F511" s="223">
        <f>IF($B511="","",TIME(HOUR('Calendario C'!$F421)+2,MINUTE('Calendario C'!$F421),0))</f>
        <v/>
      </c>
      <c r="G511" s="68">
        <f>IF($B511="","",'Calendario C'!$B422)</f>
        <v/>
      </c>
      <c r="H511" s="68">
        <f>IF($B511="","",Campionato!$D$2&amp;" "&amp;Campionato!$D$6)</f>
        <v/>
      </c>
      <c r="I511" s="68" t="n"/>
    </row>
    <row r="512">
      <c r="A512" s="68">
        <f>IF($B512="","","BEGIN:VEVENT
DTSTAMP:"&amp;TEXT(NOW(),"yyyymmdd")&amp;"T000001Z
UID:evt511@ClaudeCoworkBaskin
DTSTART;TZID=Europe/Rome:"&amp;TEXT($C512,"yyyymmdd")&amp;"T"&amp;TEXT($D512,"hhmmss")&amp;"
DTEND;TZID=Europe/Rome:"&amp;TEXT($E512,"yyyymmdd")&amp;"T"&amp;TEXT($F512,"hhmmss")&amp;"
SUMMARY:"&amp;$B512&amp;"
LOCATION:"&amp;$G512&amp;"
DESCRIPTION:"&amp;$H512&amp;"
END:VEVENT")</f>
        <v/>
      </c>
      <c r="B512" s="68">
        <f>IF('Calendario C'!$B426="","",'Calendario C'!$B426&amp;" vs "&amp;'Calendario C'!$D426&amp;" "&amp;'Calendario C'!$AC426)</f>
        <v/>
      </c>
      <c r="C512" s="222">
        <f>IF($B512="","",DATE(YEAR('Calendario C'!$F426),MONTH('Calendario C'!$F426),DAY('Calendario C'!$F426)))</f>
        <v/>
      </c>
      <c r="D512" s="223">
        <f>IF($B512="","",TIME(HOUR('Calendario C'!$F426),MINUTE('Calendario C'!$F426),0))</f>
        <v/>
      </c>
      <c r="E512" s="222">
        <f>IF($B512="","",DATE(YEAR('Calendario C'!$F426),MONTH('Calendario C'!$F426),DAY('Calendario C'!$F426)))</f>
        <v/>
      </c>
      <c r="F512" s="223">
        <f>IF($B512="","",TIME(HOUR('Calendario C'!$F426)+2,MINUTE('Calendario C'!$F426),0))</f>
        <v/>
      </c>
      <c r="G512" s="68">
        <f>IF($B512="","",'Calendario C'!$B427)</f>
        <v/>
      </c>
      <c r="H512" s="68">
        <f>IF($B512="","",Campionato!$D$2&amp;" "&amp;Campionato!$D$6)</f>
        <v/>
      </c>
      <c r="I512" s="68" t="n"/>
    </row>
    <row r="513">
      <c r="A513" s="68">
        <f>IF($B513="","","BEGIN:VEVENT
DTSTAMP:"&amp;TEXT(NOW(),"yyyymmdd")&amp;"T000001Z
UID:evt512@ClaudeCoworkBaskin
DTSTART;TZID=Europe/Rome:"&amp;TEXT($C513,"yyyymmdd")&amp;"T"&amp;TEXT($D513,"hhmmss")&amp;"
DTEND;TZID=Europe/Rome:"&amp;TEXT($E513,"yyyymmdd")&amp;"T"&amp;TEXT($F513,"hhmmss")&amp;"
SUMMARY:"&amp;$B513&amp;"
LOCATION:"&amp;$G513&amp;"
DESCRIPTION:"&amp;$H513&amp;"
END:VEVENT")</f>
        <v/>
      </c>
      <c r="B513" s="68">
        <f>IF('Calendario C'!$B429="","",'Calendario C'!$B429&amp;" vs "&amp;'Calendario C'!$D429&amp;" "&amp;'Calendario C'!$AC429)</f>
        <v/>
      </c>
      <c r="C513" s="222">
        <f>IF($B513="","",DATE(YEAR('Calendario C'!$F429),MONTH('Calendario C'!$F429),DAY('Calendario C'!$F429)))</f>
        <v/>
      </c>
      <c r="D513" s="223">
        <f>IF($B513="","",TIME(HOUR('Calendario C'!$F429),MINUTE('Calendario C'!$F429),0))</f>
        <v/>
      </c>
      <c r="E513" s="222">
        <f>IF($B513="","",DATE(YEAR('Calendario C'!$F429),MONTH('Calendario C'!$F429),DAY('Calendario C'!$F429)))</f>
        <v/>
      </c>
      <c r="F513" s="223">
        <f>IF($B513="","",TIME(HOUR('Calendario C'!$F429)+2,MINUTE('Calendario C'!$F429),0))</f>
        <v/>
      </c>
      <c r="G513" s="68">
        <f>IF($B513="","",'Calendario C'!$B430)</f>
        <v/>
      </c>
      <c r="H513" s="68">
        <f>IF($B513="","",Campionato!$D$2&amp;" "&amp;Campionato!$D$6)</f>
        <v/>
      </c>
      <c r="I513" s="68" t="n"/>
    </row>
    <row r="514">
      <c r="A514" s="68">
        <f>IF($B514="","","BEGIN:VEVENT
DTSTAMP:"&amp;TEXT(NOW(),"yyyymmdd")&amp;"T000001Z
UID:evt513@ClaudeCoworkBaskin
DTSTART;TZID=Europe/Rome:"&amp;TEXT($C514,"yyyymmdd")&amp;"T"&amp;TEXT($D514,"hhmmss")&amp;"
DTEND;TZID=Europe/Rome:"&amp;TEXT($E514,"yyyymmdd")&amp;"T"&amp;TEXT($F514,"hhmmss")&amp;"
SUMMARY:"&amp;$B514&amp;"
LOCATION:"&amp;$G514&amp;"
DESCRIPTION:"&amp;$H514&amp;"
END:VEVENT")</f>
        <v/>
      </c>
      <c r="B514" s="68">
        <f>IF('Calendario C'!$B432="","",'Calendario C'!$B432&amp;" vs "&amp;'Calendario C'!$D432&amp;" "&amp;'Calendario C'!$AC432)</f>
        <v/>
      </c>
      <c r="C514" s="222">
        <f>IF($B514="","",DATE(YEAR('Calendario C'!$F432),MONTH('Calendario C'!$F432),DAY('Calendario C'!$F432)))</f>
        <v/>
      </c>
      <c r="D514" s="223">
        <f>IF($B514="","",TIME(HOUR('Calendario C'!$F432),MINUTE('Calendario C'!$F432),0))</f>
        <v/>
      </c>
      <c r="E514" s="222">
        <f>IF($B514="","",DATE(YEAR('Calendario C'!$F432),MONTH('Calendario C'!$F432),DAY('Calendario C'!$F432)))</f>
        <v/>
      </c>
      <c r="F514" s="223">
        <f>IF($B514="","",TIME(HOUR('Calendario C'!$F432)+2,MINUTE('Calendario C'!$F432),0))</f>
        <v/>
      </c>
      <c r="G514" s="68">
        <f>IF($B514="","",'Calendario C'!$B433)</f>
        <v/>
      </c>
      <c r="H514" s="68">
        <f>IF($B514="","",Campionato!$D$2&amp;" "&amp;Campionato!$D$6)</f>
        <v/>
      </c>
      <c r="I514" s="68" t="n"/>
    </row>
    <row r="515">
      <c r="A515" s="68">
        <f>IF($B515="","","BEGIN:VEVENT
DTSTAMP:"&amp;TEXT(NOW(),"yyyymmdd")&amp;"T000001Z
UID:evt514@ClaudeCoworkBaskin
DTSTART;TZID=Europe/Rome:"&amp;TEXT($C515,"yyyymmdd")&amp;"T"&amp;TEXT($D515,"hhmmss")&amp;"
DTEND;TZID=Europe/Rome:"&amp;TEXT($E515,"yyyymmdd")&amp;"T"&amp;TEXT($F515,"hhmmss")&amp;"
SUMMARY:"&amp;$B515&amp;"
LOCATION:"&amp;$G515&amp;"
DESCRIPTION:"&amp;$H515&amp;"
END:VEVENT")</f>
        <v/>
      </c>
      <c r="B515" s="68">
        <f>IF('Calendario C'!$B435="","",'Calendario C'!$B435&amp;" vs "&amp;'Calendario C'!$D435&amp;" "&amp;'Calendario C'!$AC435)</f>
        <v/>
      </c>
      <c r="C515" s="222">
        <f>IF($B515="","",DATE(YEAR('Calendario C'!$F435),MONTH('Calendario C'!$F435),DAY('Calendario C'!$F435)))</f>
        <v/>
      </c>
      <c r="D515" s="223">
        <f>IF($B515="","",TIME(HOUR('Calendario C'!$F435),MINUTE('Calendario C'!$F435),0))</f>
        <v/>
      </c>
      <c r="E515" s="222">
        <f>IF($B515="","",DATE(YEAR('Calendario C'!$F435),MONTH('Calendario C'!$F435),DAY('Calendario C'!$F435)))</f>
        <v/>
      </c>
      <c r="F515" s="223">
        <f>IF($B515="","",TIME(HOUR('Calendario C'!$F435)+2,MINUTE('Calendario C'!$F435),0))</f>
        <v/>
      </c>
      <c r="G515" s="68">
        <f>IF($B515="","",'Calendario C'!$B436)</f>
        <v/>
      </c>
      <c r="H515" s="68">
        <f>IF($B515="","",Campionato!$D$2&amp;" "&amp;Campionato!$D$6)</f>
        <v/>
      </c>
      <c r="I515" s="68" t="n"/>
    </row>
    <row r="516">
      <c r="A516" s="68">
        <f>IF($B516="","","BEGIN:VEVENT
DTSTAMP:"&amp;TEXT(NOW(),"yyyymmdd")&amp;"T000001Z
UID:evt515@ClaudeCoworkBaskin
DTSTART;TZID=Europe/Rome:"&amp;TEXT($C516,"yyyymmdd")&amp;"T"&amp;TEXT($D516,"hhmmss")&amp;"
DTEND;TZID=Europe/Rome:"&amp;TEXT($E516,"yyyymmdd")&amp;"T"&amp;TEXT($F516,"hhmmss")&amp;"
SUMMARY:"&amp;$B516&amp;"
LOCATION:"&amp;$G516&amp;"
DESCRIPTION:"&amp;$H516&amp;"
END:VEVENT")</f>
        <v/>
      </c>
      <c r="B516" s="68">
        <f>IF('Calendario C'!$B438="","",'Calendario C'!$B438&amp;" vs "&amp;'Calendario C'!$D438&amp;" "&amp;'Calendario C'!$AC438)</f>
        <v/>
      </c>
      <c r="C516" s="222">
        <f>IF($B516="","",DATE(YEAR('Calendario C'!$F438),MONTH('Calendario C'!$F438),DAY('Calendario C'!$F438)))</f>
        <v/>
      </c>
      <c r="D516" s="223">
        <f>IF($B516="","",TIME(HOUR('Calendario C'!$F438),MINUTE('Calendario C'!$F438),0))</f>
        <v/>
      </c>
      <c r="E516" s="222">
        <f>IF($B516="","",DATE(YEAR('Calendario C'!$F438),MONTH('Calendario C'!$F438),DAY('Calendario C'!$F438)))</f>
        <v/>
      </c>
      <c r="F516" s="223">
        <f>IF($B516="","",TIME(HOUR('Calendario C'!$F438)+2,MINUTE('Calendario C'!$F438),0))</f>
        <v/>
      </c>
      <c r="G516" s="68">
        <f>IF($B516="","",'Calendario C'!$B439)</f>
        <v/>
      </c>
      <c r="H516" s="68">
        <f>IF($B516="","",Campionato!$D$2&amp;" "&amp;Campionato!$D$6)</f>
        <v/>
      </c>
      <c r="I516" s="68" t="n"/>
    </row>
    <row r="517">
      <c r="A517" s="68">
        <f>IF($B517="","","BEGIN:VEVENT
DTSTAMP:"&amp;TEXT(NOW(),"yyyymmdd")&amp;"T000001Z
UID:evt516@ClaudeCoworkBaskin
DTSTART;TZID=Europe/Rome:"&amp;TEXT($C517,"yyyymmdd")&amp;"T"&amp;TEXT($D517,"hhmmss")&amp;"
DTEND;TZID=Europe/Rome:"&amp;TEXT($E517,"yyyymmdd")&amp;"T"&amp;TEXT($F517,"hhmmss")&amp;"
SUMMARY:"&amp;$B517&amp;"
LOCATION:"&amp;$G517&amp;"
DESCRIPTION:"&amp;$H517&amp;"
END:VEVENT")</f>
        <v/>
      </c>
      <c r="B517" s="68">
        <f>IF('Calendario C'!$B441="","",'Calendario C'!$B441&amp;" vs "&amp;'Calendario C'!$D441&amp;" "&amp;'Calendario C'!$AC441)</f>
        <v/>
      </c>
      <c r="C517" s="222">
        <f>IF($B517="","",DATE(YEAR('Calendario C'!$F441),MONTH('Calendario C'!$F441),DAY('Calendario C'!$F441)))</f>
        <v/>
      </c>
      <c r="D517" s="223">
        <f>IF($B517="","",TIME(HOUR('Calendario C'!$F441),MINUTE('Calendario C'!$F441),0))</f>
        <v/>
      </c>
      <c r="E517" s="222">
        <f>IF($B517="","",DATE(YEAR('Calendario C'!$F441),MONTH('Calendario C'!$F441),DAY('Calendario C'!$F441)))</f>
        <v/>
      </c>
      <c r="F517" s="223">
        <f>IF($B517="","",TIME(HOUR('Calendario C'!$F441)+2,MINUTE('Calendario C'!$F441),0))</f>
        <v/>
      </c>
      <c r="G517" s="68">
        <f>IF($B517="","",'Calendario C'!$B442)</f>
        <v/>
      </c>
      <c r="H517" s="68">
        <f>IF($B517="","",Campionato!$D$2&amp;" "&amp;Campionato!$D$6)</f>
        <v/>
      </c>
      <c r="I517" s="68" t="n"/>
    </row>
    <row r="518">
      <c r="A518" s="68">
        <f>IF($B518="","","BEGIN:VEVENT
DTSTAMP:"&amp;TEXT(NOW(),"yyyymmdd")&amp;"T000001Z
UID:evt517@ClaudeCoworkBaskin
DTSTART;TZID=Europe/Rome:"&amp;TEXT($C518,"yyyymmdd")&amp;"T"&amp;TEXT($D518,"hhmmss")&amp;"
DTEND;TZID=Europe/Rome:"&amp;TEXT($E518,"yyyymmdd")&amp;"T"&amp;TEXT($F518,"hhmmss")&amp;"
SUMMARY:"&amp;$B518&amp;"
LOCATION:"&amp;$G518&amp;"
DESCRIPTION:"&amp;$H518&amp;"
END:VEVENT")</f>
        <v/>
      </c>
      <c r="B518" s="68">
        <f>IF('Calendario C'!$B444="","",'Calendario C'!$B444&amp;" vs "&amp;'Calendario C'!$D444&amp;" "&amp;'Calendario C'!$AC444)</f>
        <v/>
      </c>
      <c r="C518" s="222">
        <f>IF($B518="","",DATE(YEAR('Calendario C'!$F444),MONTH('Calendario C'!$F444),DAY('Calendario C'!$F444)))</f>
        <v/>
      </c>
      <c r="D518" s="223">
        <f>IF($B518="","",TIME(HOUR('Calendario C'!$F444),MINUTE('Calendario C'!$F444),0))</f>
        <v/>
      </c>
      <c r="E518" s="222">
        <f>IF($B518="","",DATE(YEAR('Calendario C'!$F444),MONTH('Calendario C'!$F444),DAY('Calendario C'!$F444)))</f>
        <v/>
      </c>
      <c r="F518" s="223">
        <f>IF($B518="","",TIME(HOUR('Calendario C'!$F444)+2,MINUTE('Calendario C'!$F444),0))</f>
        <v/>
      </c>
      <c r="G518" s="68">
        <f>IF($B518="","",'Calendario C'!$B445)</f>
        <v/>
      </c>
      <c r="H518" s="68">
        <f>IF($B518="","",Campionato!$D$2&amp;" "&amp;Campionato!$D$6)</f>
        <v/>
      </c>
      <c r="I518" s="68" t="n"/>
    </row>
    <row r="519">
      <c r="A519" s="68">
        <f>IF($B519="","","BEGIN:VEVENT
DTSTAMP:"&amp;TEXT(NOW(),"yyyymmdd")&amp;"T000001Z
UID:evt518@ClaudeCoworkBaskin
DTSTART;TZID=Europe/Rome:"&amp;TEXT($C519,"yyyymmdd")&amp;"T"&amp;TEXT($D519,"hhmmss")&amp;"
DTEND;TZID=Europe/Rome:"&amp;TEXT($E519,"yyyymmdd")&amp;"T"&amp;TEXT($F519,"hhmmss")&amp;"
SUMMARY:"&amp;$B519&amp;"
LOCATION:"&amp;$G519&amp;"
DESCRIPTION:"&amp;$H519&amp;"
END:VEVENT")</f>
        <v/>
      </c>
      <c r="B519" s="68">
        <f>IF('Calendario C'!$B447="","",'Calendario C'!$B447&amp;" vs "&amp;'Calendario C'!$D447&amp;" "&amp;'Calendario C'!$AC447)</f>
        <v/>
      </c>
      <c r="C519" s="222">
        <f>IF($B519="","",DATE(YEAR('Calendario C'!$F447),MONTH('Calendario C'!$F447),DAY('Calendario C'!$F447)))</f>
        <v/>
      </c>
      <c r="D519" s="223">
        <f>IF($B519="","",TIME(HOUR('Calendario C'!$F447),MINUTE('Calendario C'!$F447),0))</f>
        <v/>
      </c>
      <c r="E519" s="222">
        <f>IF($B519="","",DATE(YEAR('Calendario C'!$F447),MONTH('Calendario C'!$F447),DAY('Calendario C'!$F447)))</f>
        <v/>
      </c>
      <c r="F519" s="223">
        <f>IF($B519="","",TIME(HOUR('Calendario C'!$F447)+2,MINUTE('Calendario C'!$F447),0))</f>
        <v/>
      </c>
      <c r="G519" s="68">
        <f>IF($B519="","",'Calendario C'!$B448)</f>
        <v/>
      </c>
      <c r="H519" s="68">
        <f>IF($B519="","",Campionato!$D$2&amp;" "&amp;Campionato!$D$6)</f>
        <v/>
      </c>
      <c r="I519" s="68" t="n"/>
    </row>
    <row r="520">
      <c r="A520" s="68">
        <f>IF($B520="","","BEGIN:VEVENT
DTSTAMP:"&amp;TEXT(NOW(),"yyyymmdd")&amp;"T000001Z
UID:evt519@ClaudeCoworkBaskin
DTSTART;TZID=Europe/Rome:"&amp;TEXT($C520,"yyyymmdd")&amp;"T"&amp;TEXT($D520,"hhmmss")&amp;"
DTEND;TZID=Europe/Rome:"&amp;TEXT($E520,"yyyymmdd")&amp;"T"&amp;TEXT($F520,"hhmmss")&amp;"
SUMMARY:"&amp;$B520&amp;"
LOCATION:"&amp;$G520&amp;"
DESCRIPTION:"&amp;$H520&amp;"
END:VEVENT")</f>
        <v/>
      </c>
      <c r="B520" s="68">
        <f>IF('Calendario C'!$B450="","",'Calendario C'!$B450&amp;" vs "&amp;'Calendario C'!$D450&amp;" "&amp;'Calendario C'!$AC450)</f>
        <v/>
      </c>
      <c r="C520" s="222">
        <f>IF($B520="","",DATE(YEAR('Calendario C'!$F450),MONTH('Calendario C'!$F450),DAY('Calendario C'!$F450)))</f>
        <v/>
      </c>
      <c r="D520" s="223">
        <f>IF($B520="","",TIME(HOUR('Calendario C'!$F450),MINUTE('Calendario C'!$F450),0))</f>
        <v/>
      </c>
      <c r="E520" s="222">
        <f>IF($B520="","",DATE(YEAR('Calendario C'!$F450),MONTH('Calendario C'!$F450),DAY('Calendario C'!$F450)))</f>
        <v/>
      </c>
      <c r="F520" s="223">
        <f>IF($B520="","",TIME(HOUR('Calendario C'!$F450)+2,MINUTE('Calendario C'!$F450),0))</f>
        <v/>
      </c>
      <c r="G520" s="68">
        <f>IF($B520="","",'Calendario C'!$B451)</f>
        <v/>
      </c>
      <c r="H520" s="68">
        <f>IF($B520="","",Campionato!$D$2&amp;" "&amp;Campionato!$D$6)</f>
        <v/>
      </c>
      <c r="I520" s="68" t="n"/>
    </row>
    <row r="521">
      <c r="A521" s="68">
        <f>IF($B521="","","BEGIN:VEVENT
DTSTAMP:"&amp;TEXT(NOW(),"yyyymmdd")&amp;"T000001Z
UID:evt520@ClaudeCoworkBaskin
DTSTART;TZID=Europe/Rome:"&amp;TEXT($C521,"yyyymmdd")&amp;"T"&amp;TEXT($D521,"hhmmss")&amp;"
DTEND;TZID=Europe/Rome:"&amp;TEXT($E521,"yyyymmdd")&amp;"T"&amp;TEXT($F521,"hhmmss")&amp;"
SUMMARY:"&amp;$B521&amp;"
LOCATION:"&amp;$G521&amp;"
DESCRIPTION:"&amp;$H521&amp;"
END:VEVENT")</f>
        <v/>
      </c>
      <c r="B521" s="68">
        <f>IF('Calendario C'!$B453="","",'Calendario C'!$B453&amp;" vs "&amp;'Calendario C'!$D453&amp;" "&amp;'Calendario C'!$AC453)</f>
        <v/>
      </c>
      <c r="C521" s="222">
        <f>IF($B521="","",DATE(YEAR('Calendario C'!$F453),MONTH('Calendario C'!$F453),DAY('Calendario C'!$F453)))</f>
        <v/>
      </c>
      <c r="D521" s="223">
        <f>IF($B521="","",TIME(HOUR('Calendario C'!$F453),MINUTE('Calendario C'!$F453),0))</f>
        <v/>
      </c>
      <c r="E521" s="222">
        <f>IF($B521="","",DATE(YEAR('Calendario C'!$F453),MONTH('Calendario C'!$F453),DAY('Calendario C'!$F453)))</f>
        <v/>
      </c>
      <c r="F521" s="223">
        <f>IF($B521="","",TIME(HOUR('Calendario C'!$F453)+2,MINUTE('Calendario C'!$F453),0))</f>
        <v/>
      </c>
      <c r="G521" s="68">
        <f>IF($B521="","",'Calendario C'!$B454)</f>
        <v/>
      </c>
      <c r="H521" s="68">
        <f>IF($B521="","",Campionato!$D$2&amp;" "&amp;Campionato!$D$6)</f>
        <v/>
      </c>
      <c r="I521" s="68" t="n"/>
    </row>
    <row r="522">
      <c r="A522" s="68">
        <f>IF($B522="","","BEGIN:VEVENT
DTSTAMP:"&amp;TEXT(NOW(),"yyyymmdd")&amp;"T000001Z
UID:evt521@ClaudeCoworkBaskin
DTSTART;TZID=Europe/Rome:"&amp;TEXT($C522,"yyyymmdd")&amp;"T"&amp;TEXT($D522,"hhmmss")&amp;"
DTEND;TZID=Europe/Rome:"&amp;TEXT($E522,"yyyymmdd")&amp;"T"&amp;TEXT($F522,"hhmmss")&amp;"
SUMMARY:"&amp;$B522&amp;"
LOCATION:"&amp;$G522&amp;"
DESCRIPTION:"&amp;$H522&amp;"
END:VEVENT")</f>
        <v/>
      </c>
      <c r="B522" s="68">
        <f>IF('Calendario C'!$B458="","",'Calendario C'!$B458&amp;" vs "&amp;'Calendario C'!$D458&amp;" "&amp;'Calendario C'!$AC458)</f>
        <v/>
      </c>
      <c r="C522" s="222">
        <f>IF($B522="","",DATE(YEAR('Calendario C'!$F458),MONTH('Calendario C'!$F458),DAY('Calendario C'!$F458)))</f>
        <v/>
      </c>
      <c r="D522" s="223">
        <f>IF($B522="","",TIME(HOUR('Calendario C'!$F458),MINUTE('Calendario C'!$F458),0))</f>
        <v/>
      </c>
      <c r="E522" s="222">
        <f>IF($B522="","",DATE(YEAR('Calendario C'!$F458),MONTH('Calendario C'!$F458),DAY('Calendario C'!$F458)))</f>
        <v/>
      </c>
      <c r="F522" s="223">
        <f>IF($B522="","",TIME(HOUR('Calendario C'!$F458)+2,MINUTE('Calendario C'!$F458),0))</f>
        <v/>
      </c>
      <c r="G522" s="68">
        <f>IF($B522="","",'Calendario C'!$B459)</f>
        <v/>
      </c>
      <c r="H522" s="68">
        <f>IF($B522="","",Campionato!$D$2&amp;" "&amp;Campionato!$D$6)</f>
        <v/>
      </c>
      <c r="I522" s="68" t="n"/>
    </row>
    <row r="523">
      <c r="A523" s="68">
        <f>IF($B523="","","BEGIN:VEVENT
DTSTAMP:"&amp;TEXT(NOW(),"yyyymmdd")&amp;"T000001Z
UID:evt522@ClaudeCoworkBaskin
DTSTART;TZID=Europe/Rome:"&amp;TEXT($C523,"yyyymmdd")&amp;"T"&amp;TEXT($D523,"hhmmss")&amp;"
DTEND;TZID=Europe/Rome:"&amp;TEXT($E523,"yyyymmdd")&amp;"T"&amp;TEXT($F523,"hhmmss")&amp;"
SUMMARY:"&amp;$B523&amp;"
LOCATION:"&amp;$G523&amp;"
DESCRIPTION:"&amp;$H523&amp;"
END:VEVENT")</f>
        <v/>
      </c>
      <c r="B523" s="68">
        <f>IF('Calendario C'!$B461="","",'Calendario C'!$B461&amp;" vs "&amp;'Calendario C'!$D461&amp;" "&amp;'Calendario C'!$AC461)</f>
        <v/>
      </c>
      <c r="C523" s="222">
        <f>IF($B523="","",DATE(YEAR('Calendario C'!$F461),MONTH('Calendario C'!$F461),DAY('Calendario C'!$F461)))</f>
        <v/>
      </c>
      <c r="D523" s="223">
        <f>IF($B523="","",TIME(HOUR('Calendario C'!$F461),MINUTE('Calendario C'!$F461),0))</f>
        <v/>
      </c>
      <c r="E523" s="222">
        <f>IF($B523="","",DATE(YEAR('Calendario C'!$F461),MONTH('Calendario C'!$F461),DAY('Calendario C'!$F461)))</f>
        <v/>
      </c>
      <c r="F523" s="223">
        <f>IF($B523="","",TIME(HOUR('Calendario C'!$F461)+2,MINUTE('Calendario C'!$F461),0))</f>
        <v/>
      </c>
      <c r="G523" s="68">
        <f>IF($B523="","",'Calendario C'!$B462)</f>
        <v/>
      </c>
      <c r="H523" s="68">
        <f>IF($B523="","",Campionato!$D$2&amp;" "&amp;Campionato!$D$6)</f>
        <v/>
      </c>
      <c r="I523" s="68" t="n"/>
    </row>
    <row r="524">
      <c r="A524" s="68">
        <f>IF($B524="","","BEGIN:VEVENT
DTSTAMP:"&amp;TEXT(NOW(),"yyyymmdd")&amp;"T000001Z
UID:evt523@ClaudeCoworkBaskin
DTSTART;TZID=Europe/Rome:"&amp;TEXT($C524,"yyyymmdd")&amp;"T"&amp;TEXT($D524,"hhmmss")&amp;"
DTEND;TZID=Europe/Rome:"&amp;TEXT($E524,"yyyymmdd")&amp;"T"&amp;TEXT($F524,"hhmmss")&amp;"
SUMMARY:"&amp;$B524&amp;"
LOCATION:"&amp;$G524&amp;"
DESCRIPTION:"&amp;$H524&amp;"
END:VEVENT")</f>
        <v/>
      </c>
      <c r="B524" s="68">
        <f>IF('Calendario C'!$B464="","",'Calendario C'!$B464&amp;" vs "&amp;'Calendario C'!$D464&amp;" "&amp;'Calendario C'!$AC464)</f>
        <v/>
      </c>
      <c r="C524" s="222">
        <f>IF($B524="","",DATE(YEAR('Calendario C'!$F464),MONTH('Calendario C'!$F464),DAY('Calendario C'!$F464)))</f>
        <v/>
      </c>
      <c r="D524" s="223">
        <f>IF($B524="","",TIME(HOUR('Calendario C'!$F464),MINUTE('Calendario C'!$F464),0))</f>
        <v/>
      </c>
      <c r="E524" s="222">
        <f>IF($B524="","",DATE(YEAR('Calendario C'!$F464),MONTH('Calendario C'!$F464),DAY('Calendario C'!$F464)))</f>
        <v/>
      </c>
      <c r="F524" s="223">
        <f>IF($B524="","",TIME(HOUR('Calendario C'!$F464)+2,MINUTE('Calendario C'!$F464),0))</f>
        <v/>
      </c>
      <c r="G524" s="68">
        <f>IF($B524="","",'Calendario C'!$B465)</f>
        <v/>
      </c>
      <c r="H524" s="68">
        <f>IF($B524="","",Campionato!$D$2&amp;" "&amp;Campionato!$D$6)</f>
        <v/>
      </c>
      <c r="I524" s="68" t="n"/>
    </row>
    <row r="525">
      <c r="A525" s="68">
        <f>IF($B525="","","BEGIN:VEVENT
DTSTAMP:"&amp;TEXT(NOW(),"yyyymmdd")&amp;"T000001Z
UID:evt524@ClaudeCoworkBaskin
DTSTART;TZID=Europe/Rome:"&amp;TEXT($C525,"yyyymmdd")&amp;"T"&amp;TEXT($D525,"hhmmss")&amp;"
DTEND;TZID=Europe/Rome:"&amp;TEXT($E525,"yyyymmdd")&amp;"T"&amp;TEXT($F525,"hhmmss")&amp;"
SUMMARY:"&amp;$B525&amp;"
LOCATION:"&amp;$G525&amp;"
DESCRIPTION:"&amp;$H525&amp;"
END:VEVENT")</f>
        <v/>
      </c>
      <c r="B525" s="68">
        <f>IF('Calendario C'!$B467="","",'Calendario C'!$B467&amp;" vs "&amp;'Calendario C'!$D467&amp;" "&amp;'Calendario C'!$AC467)</f>
        <v/>
      </c>
      <c r="C525" s="222">
        <f>IF($B525="","",DATE(YEAR('Calendario C'!$F467),MONTH('Calendario C'!$F467),DAY('Calendario C'!$F467)))</f>
        <v/>
      </c>
      <c r="D525" s="223">
        <f>IF($B525="","",TIME(HOUR('Calendario C'!$F467),MINUTE('Calendario C'!$F467),0))</f>
        <v/>
      </c>
      <c r="E525" s="222">
        <f>IF($B525="","",DATE(YEAR('Calendario C'!$F467),MONTH('Calendario C'!$F467),DAY('Calendario C'!$F467)))</f>
        <v/>
      </c>
      <c r="F525" s="223">
        <f>IF($B525="","",TIME(HOUR('Calendario C'!$F467)+2,MINUTE('Calendario C'!$F467),0))</f>
        <v/>
      </c>
      <c r="G525" s="68">
        <f>IF($B525="","",'Calendario C'!$B468)</f>
        <v/>
      </c>
      <c r="H525" s="68">
        <f>IF($B525="","",Campionato!$D$2&amp;" "&amp;Campionato!$D$6)</f>
        <v/>
      </c>
      <c r="I525" s="68" t="n"/>
    </row>
    <row r="526">
      <c r="A526" s="68">
        <f>IF($B526="","","BEGIN:VEVENT
DTSTAMP:"&amp;TEXT(NOW(),"yyyymmdd")&amp;"T000001Z
UID:evt525@ClaudeCoworkBaskin
DTSTART;TZID=Europe/Rome:"&amp;TEXT($C526,"yyyymmdd")&amp;"T"&amp;TEXT($D526,"hhmmss")&amp;"
DTEND;TZID=Europe/Rome:"&amp;TEXT($E526,"yyyymmdd")&amp;"T"&amp;TEXT($F526,"hhmmss")&amp;"
SUMMARY:"&amp;$B526&amp;"
LOCATION:"&amp;$G526&amp;"
DESCRIPTION:"&amp;$H526&amp;"
END:VEVENT")</f>
        <v/>
      </c>
      <c r="B526" s="68">
        <f>IF('Calendario C'!$B470="","",'Calendario C'!$B470&amp;" vs "&amp;'Calendario C'!$D470&amp;" "&amp;'Calendario C'!$AC470)</f>
        <v/>
      </c>
      <c r="C526" s="222">
        <f>IF($B526="","",DATE(YEAR('Calendario C'!$F470),MONTH('Calendario C'!$F470),DAY('Calendario C'!$F470)))</f>
        <v/>
      </c>
      <c r="D526" s="223">
        <f>IF($B526="","",TIME(HOUR('Calendario C'!$F470),MINUTE('Calendario C'!$F470),0))</f>
        <v/>
      </c>
      <c r="E526" s="222">
        <f>IF($B526="","",DATE(YEAR('Calendario C'!$F470),MONTH('Calendario C'!$F470),DAY('Calendario C'!$F470)))</f>
        <v/>
      </c>
      <c r="F526" s="223">
        <f>IF($B526="","",TIME(HOUR('Calendario C'!$F470)+2,MINUTE('Calendario C'!$F470),0))</f>
        <v/>
      </c>
      <c r="G526" s="68">
        <f>IF($B526="","",'Calendario C'!$B471)</f>
        <v/>
      </c>
      <c r="H526" s="68">
        <f>IF($B526="","",Campionato!$D$2&amp;" "&amp;Campionato!$D$6)</f>
        <v/>
      </c>
      <c r="I526" s="68" t="n"/>
    </row>
    <row r="527">
      <c r="A527" s="68">
        <f>IF($B527="","","BEGIN:VEVENT
DTSTAMP:"&amp;TEXT(NOW(),"yyyymmdd")&amp;"T000001Z
UID:evt526@ClaudeCoworkBaskin
DTSTART;TZID=Europe/Rome:"&amp;TEXT($C527,"yyyymmdd")&amp;"T"&amp;TEXT($D527,"hhmmss")&amp;"
DTEND;TZID=Europe/Rome:"&amp;TEXT($E527,"yyyymmdd")&amp;"T"&amp;TEXT($F527,"hhmmss")&amp;"
SUMMARY:"&amp;$B527&amp;"
LOCATION:"&amp;$G527&amp;"
DESCRIPTION:"&amp;$H527&amp;"
END:VEVENT")</f>
        <v/>
      </c>
      <c r="B527" s="68">
        <f>IF('Calendario C'!$B473="","",'Calendario C'!$B473&amp;" vs "&amp;'Calendario C'!$D473&amp;" "&amp;'Calendario C'!$AC473)</f>
        <v/>
      </c>
      <c r="C527" s="222">
        <f>IF($B527="","",DATE(YEAR('Calendario C'!$F473),MONTH('Calendario C'!$F473),DAY('Calendario C'!$F473)))</f>
        <v/>
      </c>
      <c r="D527" s="223">
        <f>IF($B527="","",TIME(HOUR('Calendario C'!$F473),MINUTE('Calendario C'!$F473),0))</f>
        <v/>
      </c>
      <c r="E527" s="222">
        <f>IF($B527="","",DATE(YEAR('Calendario C'!$F473),MONTH('Calendario C'!$F473),DAY('Calendario C'!$F473)))</f>
        <v/>
      </c>
      <c r="F527" s="223">
        <f>IF($B527="","",TIME(HOUR('Calendario C'!$F473)+2,MINUTE('Calendario C'!$F473),0))</f>
        <v/>
      </c>
      <c r="G527" s="68">
        <f>IF($B527="","",'Calendario C'!$B474)</f>
        <v/>
      </c>
      <c r="H527" s="68">
        <f>IF($B527="","",Campionato!$D$2&amp;" "&amp;Campionato!$D$6)</f>
        <v/>
      </c>
      <c r="I527" s="68" t="n"/>
    </row>
    <row r="528">
      <c r="A528" s="68">
        <f>IF($B528="","","BEGIN:VEVENT
DTSTAMP:"&amp;TEXT(NOW(),"yyyymmdd")&amp;"T000001Z
UID:evt527@ClaudeCoworkBaskin
DTSTART;TZID=Europe/Rome:"&amp;TEXT($C528,"yyyymmdd")&amp;"T"&amp;TEXT($D528,"hhmmss")&amp;"
DTEND;TZID=Europe/Rome:"&amp;TEXT($E528,"yyyymmdd")&amp;"T"&amp;TEXT($F528,"hhmmss")&amp;"
SUMMARY:"&amp;$B528&amp;"
LOCATION:"&amp;$G528&amp;"
DESCRIPTION:"&amp;$H528&amp;"
END:VEVENT")</f>
        <v/>
      </c>
      <c r="B528" s="68">
        <f>IF('Calendario C'!$B476="","",'Calendario C'!$B476&amp;" vs "&amp;'Calendario C'!$D476&amp;" "&amp;'Calendario C'!$AC476)</f>
        <v/>
      </c>
      <c r="C528" s="222">
        <f>IF($B528="","",DATE(YEAR('Calendario C'!$F476),MONTH('Calendario C'!$F476),DAY('Calendario C'!$F476)))</f>
        <v/>
      </c>
      <c r="D528" s="223">
        <f>IF($B528="","",TIME(HOUR('Calendario C'!$F476),MINUTE('Calendario C'!$F476),0))</f>
        <v/>
      </c>
      <c r="E528" s="222">
        <f>IF($B528="","",DATE(YEAR('Calendario C'!$F476),MONTH('Calendario C'!$F476),DAY('Calendario C'!$F476)))</f>
        <v/>
      </c>
      <c r="F528" s="223">
        <f>IF($B528="","",TIME(HOUR('Calendario C'!$F476)+2,MINUTE('Calendario C'!$F476),0))</f>
        <v/>
      </c>
      <c r="G528" s="68">
        <f>IF($B528="","",'Calendario C'!$B477)</f>
        <v/>
      </c>
      <c r="H528" s="68">
        <f>IF($B528="","",Campionato!$D$2&amp;" "&amp;Campionato!$D$6)</f>
        <v/>
      </c>
      <c r="I528" s="68" t="n"/>
    </row>
    <row r="529">
      <c r="A529" s="68">
        <f>IF($B529="","","BEGIN:VEVENT
DTSTAMP:"&amp;TEXT(NOW(),"yyyymmdd")&amp;"T000001Z
UID:evt528@ClaudeCoworkBaskin
DTSTART;TZID=Europe/Rome:"&amp;TEXT($C529,"yyyymmdd")&amp;"T"&amp;TEXT($D529,"hhmmss")&amp;"
DTEND;TZID=Europe/Rome:"&amp;TEXT($E529,"yyyymmdd")&amp;"T"&amp;TEXT($F529,"hhmmss")&amp;"
SUMMARY:"&amp;$B529&amp;"
LOCATION:"&amp;$G529&amp;"
DESCRIPTION:"&amp;$H529&amp;"
END:VEVENT")</f>
        <v/>
      </c>
      <c r="B529" s="68">
        <f>IF('Calendario C'!$B479="","",'Calendario C'!$B479&amp;" vs "&amp;'Calendario C'!$D479&amp;" "&amp;'Calendario C'!$AC479)</f>
        <v/>
      </c>
      <c r="C529" s="222">
        <f>IF($B529="","",DATE(YEAR('Calendario C'!$F479),MONTH('Calendario C'!$F479),DAY('Calendario C'!$F479)))</f>
        <v/>
      </c>
      <c r="D529" s="223">
        <f>IF($B529="","",TIME(HOUR('Calendario C'!$F479),MINUTE('Calendario C'!$F479),0))</f>
        <v/>
      </c>
      <c r="E529" s="222">
        <f>IF($B529="","",DATE(YEAR('Calendario C'!$F479),MONTH('Calendario C'!$F479),DAY('Calendario C'!$F479)))</f>
        <v/>
      </c>
      <c r="F529" s="223">
        <f>IF($B529="","",TIME(HOUR('Calendario C'!$F479)+2,MINUTE('Calendario C'!$F479),0))</f>
        <v/>
      </c>
      <c r="G529" s="68">
        <f>IF($B529="","",'Calendario C'!$B480)</f>
        <v/>
      </c>
      <c r="H529" s="68">
        <f>IF($B529="","",Campionato!$D$2&amp;" "&amp;Campionato!$D$6)</f>
        <v/>
      </c>
      <c r="I529" s="68" t="n"/>
    </row>
    <row r="530">
      <c r="A530" s="68">
        <f>IF($B530="","","BEGIN:VEVENT
DTSTAMP:"&amp;TEXT(NOW(),"yyyymmdd")&amp;"T000001Z
UID:evt529@ClaudeCoworkBaskin
DTSTART;TZID=Europe/Rome:"&amp;TEXT($C530,"yyyymmdd")&amp;"T"&amp;TEXT($D530,"hhmmss")&amp;"
DTEND;TZID=Europe/Rome:"&amp;TEXT($E530,"yyyymmdd")&amp;"T"&amp;TEXT($F530,"hhmmss")&amp;"
SUMMARY:"&amp;$B530&amp;"
LOCATION:"&amp;$G530&amp;"
DESCRIPTION:"&amp;$H530&amp;"
END:VEVENT")</f>
        <v/>
      </c>
      <c r="B530" s="68">
        <f>IF('Calendario C'!$B482="","",'Calendario C'!$B482&amp;" vs "&amp;'Calendario C'!$D482&amp;" "&amp;'Calendario C'!$AC482)</f>
        <v/>
      </c>
      <c r="C530" s="222">
        <f>IF($B530="","",DATE(YEAR('Calendario C'!$F482),MONTH('Calendario C'!$F482),DAY('Calendario C'!$F482)))</f>
        <v/>
      </c>
      <c r="D530" s="223">
        <f>IF($B530="","",TIME(HOUR('Calendario C'!$F482),MINUTE('Calendario C'!$F482),0))</f>
        <v/>
      </c>
      <c r="E530" s="222">
        <f>IF($B530="","",DATE(YEAR('Calendario C'!$F482),MONTH('Calendario C'!$F482),DAY('Calendario C'!$F482)))</f>
        <v/>
      </c>
      <c r="F530" s="223">
        <f>IF($B530="","",TIME(HOUR('Calendario C'!$F482)+2,MINUTE('Calendario C'!$F482),0))</f>
        <v/>
      </c>
      <c r="G530" s="68">
        <f>IF($B530="","",'Calendario C'!$B483)</f>
        <v/>
      </c>
      <c r="H530" s="68">
        <f>IF($B530="","",Campionato!$D$2&amp;" "&amp;Campionato!$D$6)</f>
        <v/>
      </c>
      <c r="I530" s="68" t="n"/>
    </row>
    <row r="531">
      <c r="A531" s="68">
        <f>IF($B531="","","BEGIN:VEVENT
DTSTAMP:"&amp;TEXT(NOW(),"yyyymmdd")&amp;"T000001Z
UID:evt530@ClaudeCoworkBaskin
DTSTART;TZID=Europe/Rome:"&amp;TEXT($C531,"yyyymmdd")&amp;"T"&amp;TEXT($D531,"hhmmss")&amp;"
DTEND;TZID=Europe/Rome:"&amp;TEXT($E531,"yyyymmdd")&amp;"T"&amp;TEXT($F531,"hhmmss")&amp;"
SUMMARY:"&amp;$B531&amp;"
LOCATION:"&amp;$G531&amp;"
DESCRIPTION:"&amp;$H531&amp;"
END:VEVENT")</f>
        <v/>
      </c>
      <c r="B531" s="68">
        <f>IF('Calendario C'!$B485="","",'Calendario C'!$B485&amp;" vs "&amp;'Calendario C'!$D485&amp;" "&amp;'Calendario C'!$AC485)</f>
        <v/>
      </c>
      <c r="C531" s="222">
        <f>IF($B531="","",DATE(YEAR('Calendario C'!$F485),MONTH('Calendario C'!$F485),DAY('Calendario C'!$F485)))</f>
        <v/>
      </c>
      <c r="D531" s="223">
        <f>IF($B531="","",TIME(HOUR('Calendario C'!$F485),MINUTE('Calendario C'!$F485),0))</f>
        <v/>
      </c>
      <c r="E531" s="222">
        <f>IF($B531="","",DATE(YEAR('Calendario C'!$F485),MONTH('Calendario C'!$F485),DAY('Calendario C'!$F485)))</f>
        <v/>
      </c>
      <c r="F531" s="223">
        <f>IF($B531="","",TIME(HOUR('Calendario C'!$F485)+2,MINUTE('Calendario C'!$F485),0))</f>
        <v/>
      </c>
      <c r="G531" s="68">
        <f>IF($B531="","",'Calendario C'!$B486)</f>
        <v/>
      </c>
      <c r="H531" s="68">
        <f>IF($B531="","",Campionato!$D$2&amp;" "&amp;Campionato!$D$6)</f>
        <v/>
      </c>
      <c r="I531" s="68" t="n"/>
    </row>
    <row r="532">
      <c r="A532" s="68">
        <f>IF($B532="","","BEGIN:VEVENT
DTSTAMP:"&amp;TEXT(NOW(),"yyyymmdd")&amp;"T000001Z
UID:evt531@ClaudeCoworkBaskin
DTSTART;TZID=Europe/Rome:"&amp;TEXT($C532,"yyyymmdd")&amp;"T"&amp;TEXT($D532,"hhmmss")&amp;"
DTEND;TZID=Europe/Rome:"&amp;TEXT($E532,"yyyymmdd")&amp;"T"&amp;TEXT($F532,"hhmmss")&amp;"
SUMMARY:"&amp;$B532&amp;"
LOCATION:"&amp;$G532&amp;"
DESCRIPTION:"&amp;$H532&amp;"
END:VEVENT")</f>
        <v/>
      </c>
      <c r="B532" s="68">
        <f>IF('Calendario C'!$B490="","",'Calendario C'!$B490&amp;" vs "&amp;'Calendario C'!$D490&amp;" "&amp;'Calendario C'!$AC490)</f>
        <v/>
      </c>
      <c r="C532" s="222">
        <f>IF($B532="","",DATE(YEAR('Calendario C'!$F490),MONTH('Calendario C'!$F490),DAY('Calendario C'!$F490)))</f>
        <v/>
      </c>
      <c r="D532" s="223">
        <f>IF($B532="","",TIME(HOUR('Calendario C'!$F490),MINUTE('Calendario C'!$F490),0))</f>
        <v/>
      </c>
      <c r="E532" s="222">
        <f>IF($B532="","",DATE(YEAR('Calendario C'!$F490),MONTH('Calendario C'!$F490),DAY('Calendario C'!$F490)))</f>
        <v/>
      </c>
      <c r="F532" s="223">
        <f>IF($B532="","",TIME(HOUR('Calendario C'!$F490)+2,MINUTE('Calendario C'!$F490),0))</f>
        <v/>
      </c>
      <c r="G532" s="68">
        <f>IF($B532="","",'Calendario C'!$B491)</f>
        <v/>
      </c>
      <c r="H532" s="68">
        <f>IF($B532="","",Campionato!$D$2&amp;" "&amp;Campionato!$D$6)</f>
        <v/>
      </c>
      <c r="I532" s="68" t="n"/>
    </row>
    <row r="533">
      <c r="A533" s="68">
        <f>IF($B533="","","BEGIN:VEVENT
DTSTAMP:"&amp;TEXT(NOW(),"yyyymmdd")&amp;"T000001Z
UID:evt532@ClaudeCoworkBaskin
DTSTART;TZID=Europe/Rome:"&amp;TEXT($C533,"yyyymmdd")&amp;"T"&amp;TEXT($D533,"hhmmss")&amp;"
DTEND;TZID=Europe/Rome:"&amp;TEXT($E533,"yyyymmdd")&amp;"T"&amp;TEXT($F533,"hhmmss")&amp;"
SUMMARY:"&amp;$B533&amp;"
LOCATION:"&amp;$G533&amp;"
DESCRIPTION:"&amp;$H533&amp;"
END:VEVENT")</f>
        <v/>
      </c>
      <c r="B533" s="68">
        <f>IF('Calendario C'!$B493="","",'Calendario C'!$B493&amp;" vs "&amp;'Calendario C'!$D493&amp;" "&amp;'Calendario C'!$AC493)</f>
        <v/>
      </c>
      <c r="C533" s="222">
        <f>IF($B533="","",DATE(YEAR('Calendario C'!$F493),MONTH('Calendario C'!$F493),DAY('Calendario C'!$F493)))</f>
        <v/>
      </c>
      <c r="D533" s="223">
        <f>IF($B533="","",TIME(HOUR('Calendario C'!$F493),MINUTE('Calendario C'!$F493),0))</f>
        <v/>
      </c>
      <c r="E533" s="222">
        <f>IF($B533="","",DATE(YEAR('Calendario C'!$F493),MONTH('Calendario C'!$F493),DAY('Calendario C'!$F493)))</f>
        <v/>
      </c>
      <c r="F533" s="223">
        <f>IF($B533="","",TIME(HOUR('Calendario C'!$F493)+2,MINUTE('Calendario C'!$F493),0))</f>
        <v/>
      </c>
      <c r="G533" s="68">
        <f>IF($B533="","",'Calendario C'!$B494)</f>
        <v/>
      </c>
      <c r="H533" s="68">
        <f>IF($B533="","",Campionato!$D$2&amp;" "&amp;Campionato!$D$6)</f>
        <v/>
      </c>
      <c r="I533" s="68" t="n"/>
    </row>
    <row r="534">
      <c r="A534" s="68">
        <f>IF($B534="","","BEGIN:VEVENT
DTSTAMP:"&amp;TEXT(NOW(),"yyyymmdd")&amp;"T000001Z
UID:evt533@ClaudeCoworkBaskin
DTSTART;TZID=Europe/Rome:"&amp;TEXT($C534,"yyyymmdd")&amp;"T"&amp;TEXT($D534,"hhmmss")&amp;"
DTEND;TZID=Europe/Rome:"&amp;TEXT($E534,"yyyymmdd")&amp;"T"&amp;TEXT($F534,"hhmmss")&amp;"
SUMMARY:"&amp;$B534&amp;"
LOCATION:"&amp;$G534&amp;"
DESCRIPTION:"&amp;$H534&amp;"
END:VEVENT")</f>
        <v/>
      </c>
      <c r="B534" s="68">
        <f>IF('Calendario C'!$B496="","",'Calendario C'!$B496&amp;" vs "&amp;'Calendario C'!$D496&amp;" "&amp;'Calendario C'!$AC496)</f>
        <v/>
      </c>
      <c r="C534" s="222">
        <f>IF($B534="","",DATE(YEAR('Calendario C'!$F496),MONTH('Calendario C'!$F496),DAY('Calendario C'!$F496)))</f>
        <v/>
      </c>
      <c r="D534" s="223">
        <f>IF($B534="","",TIME(HOUR('Calendario C'!$F496),MINUTE('Calendario C'!$F496),0))</f>
        <v/>
      </c>
      <c r="E534" s="222">
        <f>IF($B534="","",DATE(YEAR('Calendario C'!$F496),MONTH('Calendario C'!$F496),DAY('Calendario C'!$F496)))</f>
        <v/>
      </c>
      <c r="F534" s="223">
        <f>IF($B534="","",TIME(HOUR('Calendario C'!$F496)+2,MINUTE('Calendario C'!$F496),0))</f>
        <v/>
      </c>
      <c r="G534" s="68">
        <f>IF($B534="","",'Calendario C'!$B497)</f>
        <v/>
      </c>
      <c r="H534" s="68">
        <f>IF($B534="","",Campionato!$D$2&amp;" "&amp;Campionato!$D$6)</f>
        <v/>
      </c>
      <c r="I534" s="68" t="n"/>
    </row>
    <row r="535">
      <c r="A535" s="68">
        <f>IF($B535="","","BEGIN:VEVENT
DTSTAMP:"&amp;TEXT(NOW(),"yyyymmdd")&amp;"T000001Z
UID:evt534@ClaudeCoworkBaskin
DTSTART;TZID=Europe/Rome:"&amp;TEXT($C535,"yyyymmdd")&amp;"T"&amp;TEXT($D535,"hhmmss")&amp;"
DTEND;TZID=Europe/Rome:"&amp;TEXT($E535,"yyyymmdd")&amp;"T"&amp;TEXT($F535,"hhmmss")&amp;"
SUMMARY:"&amp;$B535&amp;"
LOCATION:"&amp;$G535&amp;"
DESCRIPTION:"&amp;$H535&amp;"
END:VEVENT")</f>
        <v/>
      </c>
      <c r="B535" s="68">
        <f>IF('Calendario C'!$B499="","",'Calendario C'!$B499&amp;" vs "&amp;'Calendario C'!$D499&amp;" "&amp;'Calendario C'!$AC499)</f>
        <v/>
      </c>
      <c r="C535" s="222">
        <f>IF($B535="","",DATE(YEAR('Calendario C'!$F499),MONTH('Calendario C'!$F499),DAY('Calendario C'!$F499)))</f>
        <v/>
      </c>
      <c r="D535" s="223">
        <f>IF($B535="","",TIME(HOUR('Calendario C'!$F499),MINUTE('Calendario C'!$F499),0))</f>
        <v/>
      </c>
      <c r="E535" s="222">
        <f>IF($B535="","",DATE(YEAR('Calendario C'!$F499),MONTH('Calendario C'!$F499),DAY('Calendario C'!$F499)))</f>
        <v/>
      </c>
      <c r="F535" s="223">
        <f>IF($B535="","",TIME(HOUR('Calendario C'!$F499)+2,MINUTE('Calendario C'!$F499),0))</f>
        <v/>
      </c>
      <c r="G535" s="68">
        <f>IF($B535="","",'Calendario C'!$B500)</f>
        <v/>
      </c>
      <c r="H535" s="68">
        <f>IF($B535="","",Campionato!$D$2&amp;" "&amp;Campionato!$D$6)</f>
        <v/>
      </c>
      <c r="I535" s="68" t="n"/>
    </row>
    <row r="536">
      <c r="A536" s="68">
        <f>IF($B536="","","BEGIN:VEVENT
DTSTAMP:"&amp;TEXT(NOW(),"yyyymmdd")&amp;"T000001Z
UID:evt535@ClaudeCoworkBaskin
DTSTART;TZID=Europe/Rome:"&amp;TEXT($C536,"yyyymmdd")&amp;"T"&amp;TEXT($D536,"hhmmss")&amp;"
DTEND;TZID=Europe/Rome:"&amp;TEXT($E536,"yyyymmdd")&amp;"T"&amp;TEXT($F536,"hhmmss")&amp;"
SUMMARY:"&amp;$B536&amp;"
LOCATION:"&amp;$G536&amp;"
DESCRIPTION:"&amp;$H536&amp;"
END:VEVENT")</f>
        <v/>
      </c>
      <c r="B536" s="68">
        <f>IF('Calendario C'!$B502="","",'Calendario C'!$B502&amp;" vs "&amp;'Calendario C'!$D502&amp;" "&amp;'Calendario C'!$AC502)</f>
        <v/>
      </c>
      <c r="C536" s="222">
        <f>IF($B536="","",DATE(YEAR('Calendario C'!$F502),MONTH('Calendario C'!$F502),DAY('Calendario C'!$F502)))</f>
        <v/>
      </c>
      <c r="D536" s="223">
        <f>IF($B536="","",TIME(HOUR('Calendario C'!$F502),MINUTE('Calendario C'!$F502),0))</f>
        <v/>
      </c>
      <c r="E536" s="222">
        <f>IF($B536="","",DATE(YEAR('Calendario C'!$F502),MONTH('Calendario C'!$F502),DAY('Calendario C'!$F502)))</f>
        <v/>
      </c>
      <c r="F536" s="223">
        <f>IF($B536="","",TIME(HOUR('Calendario C'!$F502)+2,MINUTE('Calendario C'!$F502),0))</f>
        <v/>
      </c>
      <c r="G536" s="68">
        <f>IF($B536="","",'Calendario C'!$B503)</f>
        <v/>
      </c>
      <c r="H536" s="68">
        <f>IF($B536="","",Campionato!$D$2&amp;" "&amp;Campionato!$D$6)</f>
        <v/>
      </c>
      <c r="I536" s="68" t="n"/>
    </row>
    <row r="537">
      <c r="A537" s="68">
        <f>IF($B537="","","BEGIN:VEVENT
DTSTAMP:"&amp;TEXT(NOW(),"yyyymmdd")&amp;"T000001Z
UID:evt536@ClaudeCoworkBaskin
DTSTART;TZID=Europe/Rome:"&amp;TEXT($C537,"yyyymmdd")&amp;"T"&amp;TEXT($D537,"hhmmss")&amp;"
DTEND;TZID=Europe/Rome:"&amp;TEXT($E537,"yyyymmdd")&amp;"T"&amp;TEXT($F537,"hhmmss")&amp;"
SUMMARY:"&amp;$B537&amp;"
LOCATION:"&amp;$G537&amp;"
DESCRIPTION:"&amp;$H537&amp;"
END:VEVENT")</f>
        <v/>
      </c>
      <c r="B537" s="68">
        <f>IF('Calendario C'!$B505="","",'Calendario C'!$B505&amp;" vs "&amp;'Calendario C'!$D505&amp;" "&amp;'Calendario C'!$AC505)</f>
        <v/>
      </c>
      <c r="C537" s="222">
        <f>IF($B537="","",DATE(YEAR('Calendario C'!$F505),MONTH('Calendario C'!$F505),DAY('Calendario C'!$F505)))</f>
        <v/>
      </c>
      <c r="D537" s="223">
        <f>IF($B537="","",TIME(HOUR('Calendario C'!$F505),MINUTE('Calendario C'!$F505),0))</f>
        <v/>
      </c>
      <c r="E537" s="222">
        <f>IF($B537="","",DATE(YEAR('Calendario C'!$F505),MONTH('Calendario C'!$F505),DAY('Calendario C'!$F505)))</f>
        <v/>
      </c>
      <c r="F537" s="223">
        <f>IF($B537="","",TIME(HOUR('Calendario C'!$F505)+2,MINUTE('Calendario C'!$F505),0))</f>
        <v/>
      </c>
      <c r="G537" s="68">
        <f>IF($B537="","",'Calendario C'!$B506)</f>
        <v/>
      </c>
      <c r="H537" s="68">
        <f>IF($B537="","",Campionato!$D$2&amp;" "&amp;Campionato!$D$6)</f>
        <v/>
      </c>
      <c r="I537" s="68" t="n"/>
    </row>
    <row r="538">
      <c r="A538" s="68">
        <f>IF($B538="","","BEGIN:VEVENT
DTSTAMP:"&amp;TEXT(NOW(),"yyyymmdd")&amp;"T000001Z
UID:evt537@ClaudeCoworkBaskin
DTSTART;TZID=Europe/Rome:"&amp;TEXT($C538,"yyyymmdd")&amp;"T"&amp;TEXT($D538,"hhmmss")&amp;"
DTEND;TZID=Europe/Rome:"&amp;TEXT($E538,"yyyymmdd")&amp;"T"&amp;TEXT($F538,"hhmmss")&amp;"
SUMMARY:"&amp;$B538&amp;"
LOCATION:"&amp;$G538&amp;"
DESCRIPTION:"&amp;$H538&amp;"
END:VEVENT")</f>
        <v/>
      </c>
      <c r="B538" s="68">
        <f>IF('Calendario C'!$B508="","",'Calendario C'!$B508&amp;" vs "&amp;'Calendario C'!$D508&amp;" "&amp;'Calendario C'!$AC508)</f>
        <v/>
      </c>
      <c r="C538" s="222">
        <f>IF($B538="","",DATE(YEAR('Calendario C'!$F508),MONTH('Calendario C'!$F508),DAY('Calendario C'!$F508)))</f>
        <v/>
      </c>
      <c r="D538" s="223">
        <f>IF($B538="","",TIME(HOUR('Calendario C'!$F508),MINUTE('Calendario C'!$F508),0))</f>
        <v/>
      </c>
      <c r="E538" s="222">
        <f>IF($B538="","",DATE(YEAR('Calendario C'!$F508),MONTH('Calendario C'!$F508),DAY('Calendario C'!$F508)))</f>
        <v/>
      </c>
      <c r="F538" s="223">
        <f>IF($B538="","",TIME(HOUR('Calendario C'!$F508)+2,MINUTE('Calendario C'!$F508),0))</f>
        <v/>
      </c>
      <c r="G538" s="68">
        <f>IF($B538="","",'Calendario C'!$B509)</f>
        <v/>
      </c>
      <c r="H538" s="68">
        <f>IF($B538="","",Campionato!$D$2&amp;" "&amp;Campionato!$D$6)</f>
        <v/>
      </c>
      <c r="I538" s="68" t="n"/>
    </row>
    <row r="539">
      <c r="A539" s="68">
        <f>IF($B539="","","BEGIN:VEVENT
DTSTAMP:"&amp;TEXT(NOW(),"yyyymmdd")&amp;"T000001Z
UID:evt538@ClaudeCoworkBaskin
DTSTART;TZID=Europe/Rome:"&amp;TEXT($C539,"yyyymmdd")&amp;"T"&amp;TEXT($D539,"hhmmss")&amp;"
DTEND;TZID=Europe/Rome:"&amp;TEXT($E539,"yyyymmdd")&amp;"T"&amp;TEXT($F539,"hhmmss")&amp;"
SUMMARY:"&amp;$B539&amp;"
LOCATION:"&amp;$G539&amp;"
DESCRIPTION:"&amp;$H539&amp;"
END:VEVENT")</f>
        <v/>
      </c>
      <c r="B539" s="68">
        <f>IF('Calendario C'!$B511="","",'Calendario C'!$B511&amp;" vs "&amp;'Calendario C'!$D511&amp;" "&amp;'Calendario C'!$AC511)</f>
        <v/>
      </c>
      <c r="C539" s="222">
        <f>IF($B539="","",DATE(YEAR('Calendario C'!$F511),MONTH('Calendario C'!$F511),DAY('Calendario C'!$F511)))</f>
        <v/>
      </c>
      <c r="D539" s="223">
        <f>IF($B539="","",TIME(HOUR('Calendario C'!$F511),MINUTE('Calendario C'!$F511),0))</f>
        <v/>
      </c>
      <c r="E539" s="222">
        <f>IF($B539="","",DATE(YEAR('Calendario C'!$F511),MONTH('Calendario C'!$F511),DAY('Calendario C'!$F511)))</f>
        <v/>
      </c>
      <c r="F539" s="223">
        <f>IF($B539="","",TIME(HOUR('Calendario C'!$F511)+2,MINUTE('Calendario C'!$F511),0))</f>
        <v/>
      </c>
      <c r="G539" s="68">
        <f>IF($B539="","",'Calendario C'!$B512)</f>
        <v/>
      </c>
      <c r="H539" s="68">
        <f>IF($B539="","",Campionato!$D$2&amp;" "&amp;Campionato!$D$6)</f>
        <v/>
      </c>
      <c r="I539" s="68" t="n"/>
    </row>
    <row r="540">
      <c r="A540" s="68">
        <f>IF($B540="","","BEGIN:VEVENT
DTSTAMP:"&amp;TEXT(NOW(),"yyyymmdd")&amp;"T000001Z
UID:evt539@ClaudeCoworkBaskin
DTSTART;TZID=Europe/Rome:"&amp;TEXT($C540,"yyyymmdd")&amp;"T"&amp;TEXT($D540,"hhmmss")&amp;"
DTEND;TZID=Europe/Rome:"&amp;TEXT($E540,"yyyymmdd")&amp;"T"&amp;TEXT($F540,"hhmmss")&amp;"
SUMMARY:"&amp;$B540&amp;"
LOCATION:"&amp;$G540&amp;"
DESCRIPTION:"&amp;$H540&amp;"
END:VEVENT")</f>
        <v/>
      </c>
      <c r="B540" s="68">
        <f>IF('Calendario C'!$B514="","",'Calendario C'!$B514&amp;" vs "&amp;'Calendario C'!$D514&amp;" "&amp;'Calendario C'!$AC514)</f>
        <v/>
      </c>
      <c r="C540" s="222">
        <f>IF($B540="","",DATE(YEAR('Calendario C'!$F514),MONTH('Calendario C'!$F514),DAY('Calendario C'!$F514)))</f>
        <v/>
      </c>
      <c r="D540" s="223">
        <f>IF($B540="","",TIME(HOUR('Calendario C'!$F514),MINUTE('Calendario C'!$F514),0))</f>
        <v/>
      </c>
      <c r="E540" s="222">
        <f>IF($B540="","",DATE(YEAR('Calendario C'!$F514),MONTH('Calendario C'!$F514),DAY('Calendario C'!$F514)))</f>
        <v/>
      </c>
      <c r="F540" s="223">
        <f>IF($B540="","",TIME(HOUR('Calendario C'!$F514)+2,MINUTE('Calendario C'!$F514),0))</f>
        <v/>
      </c>
      <c r="G540" s="68">
        <f>IF($B540="","",'Calendario C'!$B515)</f>
        <v/>
      </c>
      <c r="H540" s="68">
        <f>IF($B540="","",Campionato!$D$2&amp;" "&amp;Campionato!$D$6)</f>
        <v/>
      </c>
      <c r="I540" s="68" t="n"/>
    </row>
    <row r="541">
      <c r="A541" s="68">
        <f>IF($B541="","","BEGIN:VEVENT
DTSTAMP:"&amp;TEXT(NOW(),"yyyymmdd")&amp;"T000001Z
UID:evt540@ClaudeCoworkBaskin
DTSTART;TZID=Europe/Rome:"&amp;TEXT($C541,"yyyymmdd")&amp;"T"&amp;TEXT($D541,"hhmmss")&amp;"
DTEND;TZID=Europe/Rome:"&amp;TEXT($E541,"yyyymmdd")&amp;"T"&amp;TEXT($F541,"hhmmss")&amp;"
SUMMARY:"&amp;$B541&amp;"
LOCATION:"&amp;$G541&amp;"
DESCRIPTION:"&amp;$H541&amp;"
END:VEVENT")</f>
        <v/>
      </c>
      <c r="B541" s="68">
        <f>IF('Calendario C'!$B517="","",'Calendario C'!$B517&amp;" vs "&amp;'Calendario C'!$D517&amp;" "&amp;'Calendario C'!$AC517)</f>
        <v/>
      </c>
      <c r="C541" s="222">
        <f>IF($B541="","",DATE(YEAR('Calendario C'!$F517),MONTH('Calendario C'!$F517),DAY('Calendario C'!$F517)))</f>
        <v/>
      </c>
      <c r="D541" s="223">
        <f>IF($B541="","",TIME(HOUR('Calendario C'!$F517),MINUTE('Calendario C'!$F517),0))</f>
        <v/>
      </c>
      <c r="E541" s="222">
        <f>IF($B541="","",DATE(YEAR('Calendario C'!$F517),MONTH('Calendario C'!$F517),DAY('Calendario C'!$F517)))</f>
        <v/>
      </c>
      <c r="F541" s="223">
        <f>IF($B541="","",TIME(HOUR('Calendario C'!$F517)+2,MINUTE('Calendario C'!$F517),0))</f>
        <v/>
      </c>
      <c r="G541" s="68">
        <f>IF($B541="","",'Calendario C'!$B518)</f>
        <v/>
      </c>
      <c r="H541" s="68">
        <f>IF($B541="","",Campionato!$D$2&amp;" "&amp;Campionato!$D$6)</f>
        <v/>
      </c>
      <c r="I541" s="68" t="n"/>
    </row>
    <row r="542">
      <c r="A542" s="68">
        <f>IF($B542="","","BEGIN:VEVENT
DTSTAMP:"&amp;TEXT(NOW(),"yyyymmdd")&amp;"T000001Z
UID:evt541@ClaudeCoworkBaskin
DTSTART;TZID=Europe/Rome:"&amp;TEXT($C542,"yyyymmdd")&amp;"T"&amp;TEXT($D542,"hhmmss")&amp;"
DTEND;TZID=Europe/Rome:"&amp;TEXT($E542,"yyyymmdd")&amp;"T"&amp;TEXT($F542,"hhmmss")&amp;"
SUMMARY:"&amp;$B542&amp;"
LOCATION:"&amp;$G542&amp;"
DESCRIPTION:"&amp;$H542&amp;"
END:VEVENT")</f>
        <v/>
      </c>
      <c r="B542" s="68">
        <f>IF('Calendario C'!$B522="","",'Calendario C'!$B522&amp;" vs "&amp;'Calendario C'!$D522&amp;" "&amp;'Calendario C'!$AC522)</f>
        <v/>
      </c>
      <c r="C542" s="222">
        <f>IF($B542="","",DATE(YEAR('Calendario C'!$F522),MONTH('Calendario C'!$F522),DAY('Calendario C'!$F522)))</f>
        <v/>
      </c>
      <c r="D542" s="223">
        <f>IF($B542="","",TIME(HOUR('Calendario C'!$F522),MINUTE('Calendario C'!$F522),0))</f>
        <v/>
      </c>
      <c r="E542" s="222">
        <f>IF($B542="","",DATE(YEAR('Calendario C'!$F522),MONTH('Calendario C'!$F522),DAY('Calendario C'!$F522)))</f>
        <v/>
      </c>
      <c r="F542" s="223">
        <f>IF($B542="","",TIME(HOUR('Calendario C'!$F522)+2,MINUTE('Calendario C'!$F522),0))</f>
        <v/>
      </c>
      <c r="G542" s="68">
        <f>IF($B542="","",'Calendario C'!$B523)</f>
        <v/>
      </c>
      <c r="H542" s="68">
        <f>IF($B542="","",Campionato!$D$2&amp;" "&amp;Campionato!$D$6)</f>
        <v/>
      </c>
      <c r="I542" s="68" t="n"/>
    </row>
    <row r="543">
      <c r="A543" s="68">
        <f>IF($B543="","","BEGIN:VEVENT
DTSTAMP:"&amp;TEXT(NOW(),"yyyymmdd")&amp;"T000001Z
UID:evt542@ClaudeCoworkBaskin
DTSTART;TZID=Europe/Rome:"&amp;TEXT($C543,"yyyymmdd")&amp;"T"&amp;TEXT($D543,"hhmmss")&amp;"
DTEND;TZID=Europe/Rome:"&amp;TEXT($E543,"yyyymmdd")&amp;"T"&amp;TEXT($F543,"hhmmss")&amp;"
SUMMARY:"&amp;$B543&amp;"
LOCATION:"&amp;$G543&amp;"
DESCRIPTION:"&amp;$H543&amp;"
END:VEVENT")</f>
        <v/>
      </c>
      <c r="B543" s="68">
        <f>IF('Calendario C'!$B525="","",'Calendario C'!$B525&amp;" vs "&amp;'Calendario C'!$D525&amp;" "&amp;'Calendario C'!$AC525)</f>
        <v/>
      </c>
      <c r="C543" s="222">
        <f>IF($B543="","",DATE(YEAR('Calendario C'!$F525),MONTH('Calendario C'!$F525),DAY('Calendario C'!$F525)))</f>
        <v/>
      </c>
      <c r="D543" s="223">
        <f>IF($B543="","",TIME(HOUR('Calendario C'!$F525),MINUTE('Calendario C'!$F525),0))</f>
        <v/>
      </c>
      <c r="E543" s="222">
        <f>IF($B543="","",DATE(YEAR('Calendario C'!$F525),MONTH('Calendario C'!$F525),DAY('Calendario C'!$F525)))</f>
        <v/>
      </c>
      <c r="F543" s="223">
        <f>IF($B543="","",TIME(HOUR('Calendario C'!$F525)+2,MINUTE('Calendario C'!$F525),0))</f>
        <v/>
      </c>
      <c r="G543" s="68">
        <f>IF($B543="","",'Calendario C'!$B526)</f>
        <v/>
      </c>
      <c r="H543" s="68">
        <f>IF($B543="","",Campionato!$D$2&amp;" "&amp;Campionato!$D$6)</f>
        <v/>
      </c>
      <c r="I543" s="68" t="n"/>
    </row>
    <row r="544">
      <c r="A544" s="68">
        <f>IF($B544="","","BEGIN:VEVENT
DTSTAMP:"&amp;TEXT(NOW(),"yyyymmdd")&amp;"T000001Z
UID:evt543@ClaudeCoworkBaskin
DTSTART;TZID=Europe/Rome:"&amp;TEXT($C544,"yyyymmdd")&amp;"T"&amp;TEXT($D544,"hhmmss")&amp;"
DTEND;TZID=Europe/Rome:"&amp;TEXT($E544,"yyyymmdd")&amp;"T"&amp;TEXT($F544,"hhmmss")&amp;"
SUMMARY:"&amp;$B544&amp;"
LOCATION:"&amp;$G544&amp;"
DESCRIPTION:"&amp;$H544&amp;"
END:VEVENT")</f>
        <v/>
      </c>
      <c r="B544" s="68">
        <f>IF('Calendario C'!$B528="","",'Calendario C'!$B528&amp;" vs "&amp;'Calendario C'!$D528&amp;" "&amp;'Calendario C'!$AC528)</f>
        <v/>
      </c>
      <c r="C544" s="222">
        <f>IF($B544="","",DATE(YEAR('Calendario C'!$F528),MONTH('Calendario C'!$F528),DAY('Calendario C'!$F528)))</f>
        <v/>
      </c>
      <c r="D544" s="223">
        <f>IF($B544="","",TIME(HOUR('Calendario C'!$F528),MINUTE('Calendario C'!$F528),0))</f>
        <v/>
      </c>
      <c r="E544" s="222">
        <f>IF($B544="","",DATE(YEAR('Calendario C'!$F528),MONTH('Calendario C'!$F528),DAY('Calendario C'!$F528)))</f>
        <v/>
      </c>
      <c r="F544" s="223">
        <f>IF($B544="","",TIME(HOUR('Calendario C'!$F528)+2,MINUTE('Calendario C'!$F528),0))</f>
        <v/>
      </c>
      <c r="G544" s="68">
        <f>IF($B544="","",'Calendario C'!$B529)</f>
        <v/>
      </c>
      <c r="H544" s="68">
        <f>IF($B544="","",Campionato!$D$2&amp;" "&amp;Campionato!$D$6)</f>
        <v/>
      </c>
      <c r="I544" s="68" t="n"/>
    </row>
    <row r="545">
      <c r="A545" s="68">
        <f>IF($B545="","","BEGIN:VEVENT
DTSTAMP:"&amp;TEXT(NOW(),"yyyymmdd")&amp;"T000001Z
UID:evt544@ClaudeCoworkBaskin
DTSTART;TZID=Europe/Rome:"&amp;TEXT($C545,"yyyymmdd")&amp;"T"&amp;TEXT($D545,"hhmmss")&amp;"
DTEND;TZID=Europe/Rome:"&amp;TEXT($E545,"yyyymmdd")&amp;"T"&amp;TEXT($F545,"hhmmss")&amp;"
SUMMARY:"&amp;$B545&amp;"
LOCATION:"&amp;$G545&amp;"
DESCRIPTION:"&amp;$H545&amp;"
END:VEVENT")</f>
        <v/>
      </c>
      <c r="B545" s="68">
        <f>IF('Calendario C'!$B531="","",'Calendario C'!$B531&amp;" vs "&amp;'Calendario C'!$D531&amp;" "&amp;'Calendario C'!$AC531)</f>
        <v/>
      </c>
      <c r="C545" s="222">
        <f>IF($B545="","",DATE(YEAR('Calendario C'!$F531),MONTH('Calendario C'!$F531),DAY('Calendario C'!$F531)))</f>
        <v/>
      </c>
      <c r="D545" s="223">
        <f>IF($B545="","",TIME(HOUR('Calendario C'!$F531),MINUTE('Calendario C'!$F531),0))</f>
        <v/>
      </c>
      <c r="E545" s="222">
        <f>IF($B545="","",DATE(YEAR('Calendario C'!$F531),MONTH('Calendario C'!$F531),DAY('Calendario C'!$F531)))</f>
        <v/>
      </c>
      <c r="F545" s="223">
        <f>IF($B545="","",TIME(HOUR('Calendario C'!$F531)+2,MINUTE('Calendario C'!$F531),0))</f>
        <v/>
      </c>
      <c r="G545" s="68">
        <f>IF($B545="","",'Calendario C'!$B532)</f>
        <v/>
      </c>
      <c r="H545" s="68">
        <f>IF($B545="","",Campionato!$D$2&amp;" "&amp;Campionato!$D$6)</f>
        <v/>
      </c>
      <c r="I545" s="68" t="n"/>
    </row>
    <row r="546">
      <c r="A546" s="68">
        <f>IF($B546="","","BEGIN:VEVENT
DTSTAMP:"&amp;TEXT(NOW(),"yyyymmdd")&amp;"T000001Z
UID:evt545@ClaudeCoworkBaskin
DTSTART;TZID=Europe/Rome:"&amp;TEXT($C546,"yyyymmdd")&amp;"T"&amp;TEXT($D546,"hhmmss")&amp;"
DTEND;TZID=Europe/Rome:"&amp;TEXT($E546,"yyyymmdd")&amp;"T"&amp;TEXT($F546,"hhmmss")&amp;"
SUMMARY:"&amp;$B546&amp;"
LOCATION:"&amp;$G546&amp;"
DESCRIPTION:"&amp;$H546&amp;"
END:VEVENT")</f>
        <v/>
      </c>
      <c r="B546" s="68">
        <f>IF('Calendario C'!$B534="","",'Calendario C'!$B534&amp;" vs "&amp;'Calendario C'!$D534&amp;" "&amp;'Calendario C'!$AC534)</f>
        <v/>
      </c>
      <c r="C546" s="222">
        <f>IF($B546="","",DATE(YEAR('Calendario C'!$F534),MONTH('Calendario C'!$F534),DAY('Calendario C'!$F534)))</f>
        <v/>
      </c>
      <c r="D546" s="223">
        <f>IF($B546="","",TIME(HOUR('Calendario C'!$F534),MINUTE('Calendario C'!$F534),0))</f>
        <v/>
      </c>
      <c r="E546" s="222">
        <f>IF($B546="","",DATE(YEAR('Calendario C'!$F534),MONTH('Calendario C'!$F534),DAY('Calendario C'!$F534)))</f>
        <v/>
      </c>
      <c r="F546" s="223">
        <f>IF($B546="","",TIME(HOUR('Calendario C'!$F534)+2,MINUTE('Calendario C'!$F534),0))</f>
        <v/>
      </c>
      <c r="G546" s="68">
        <f>IF($B546="","",'Calendario C'!$B535)</f>
        <v/>
      </c>
      <c r="H546" s="68">
        <f>IF($B546="","",Campionato!$D$2&amp;" "&amp;Campionato!$D$6)</f>
        <v/>
      </c>
      <c r="I546" s="68" t="n"/>
    </row>
    <row r="547">
      <c r="A547" s="68">
        <f>IF($B547="","","BEGIN:VEVENT
DTSTAMP:"&amp;TEXT(NOW(),"yyyymmdd")&amp;"T000001Z
UID:evt546@ClaudeCoworkBaskin
DTSTART;TZID=Europe/Rome:"&amp;TEXT($C547,"yyyymmdd")&amp;"T"&amp;TEXT($D547,"hhmmss")&amp;"
DTEND;TZID=Europe/Rome:"&amp;TEXT($E547,"yyyymmdd")&amp;"T"&amp;TEXT($F547,"hhmmss")&amp;"
SUMMARY:"&amp;$B547&amp;"
LOCATION:"&amp;$G547&amp;"
DESCRIPTION:"&amp;$H547&amp;"
END:VEVENT")</f>
        <v/>
      </c>
      <c r="B547" s="68">
        <f>IF('Calendario C'!$B537="","",'Calendario C'!$B537&amp;" vs "&amp;'Calendario C'!$D537&amp;" "&amp;'Calendario C'!$AC537)</f>
        <v/>
      </c>
      <c r="C547" s="222">
        <f>IF($B547="","",DATE(YEAR('Calendario C'!$F537),MONTH('Calendario C'!$F537),DAY('Calendario C'!$F537)))</f>
        <v/>
      </c>
      <c r="D547" s="223">
        <f>IF($B547="","",TIME(HOUR('Calendario C'!$F537),MINUTE('Calendario C'!$F537),0))</f>
        <v/>
      </c>
      <c r="E547" s="222">
        <f>IF($B547="","",DATE(YEAR('Calendario C'!$F537),MONTH('Calendario C'!$F537),DAY('Calendario C'!$F537)))</f>
        <v/>
      </c>
      <c r="F547" s="223">
        <f>IF($B547="","",TIME(HOUR('Calendario C'!$F537)+2,MINUTE('Calendario C'!$F537),0))</f>
        <v/>
      </c>
      <c r="G547" s="68">
        <f>IF($B547="","",'Calendario C'!$B538)</f>
        <v/>
      </c>
      <c r="H547" s="68">
        <f>IF($B547="","",Campionato!$D$2&amp;" "&amp;Campionato!$D$6)</f>
        <v/>
      </c>
      <c r="I547" s="68" t="n"/>
    </row>
    <row r="548">
      <c r="A548" s="68">
        <f>IF($B548="","","BEGIN:VEVENT
DTSTAMP:"&amp;TEXT(NOW(),"yyyymmdd")&amp;"T000001Z
UID:evt547@ClaudeCoworkBaskin
DTSTART;TZID=Europe/Rome:"&amp;TEXT($C548,"yyyymmdd")&amp;"T"&amp;TEXT($D548,"hhmmss")&amp;"
DTEND;TZID=Europe/Rome:"&amp;TEXT($E548,"yyyymmdd")&amp;"T"&amp;TEXT($F548,"hhmmss")&amp;"
SUMMARY:"&amp;$B548&amp;"
LOCATION:"&amp;$G548&amp;"
DESCRIPTION:"&amp;$H548&amp;"
END:VEVENT")</f>
        <v/>
      </c>
      <c r="B548" s="68">
        <f>IF('Calendario C'!$B540="","",'Calendario C'!$B540&amp;" vs "&amp;'Calendario C'!$D540&amp;" "&amp;'Calendario C'!$AC540)</f>
        <v/>
      </c>
      <c r="C548" s="222">
        <f>IF($B548="","",DATE(YEAR('Calendario C'!$F540),MONTH('Calendario C'!$F540),DAY('Calendario C'!$F540)))</f>
        <v/>
      </c>
      <c r="D548" s="223">
        <f>IF($B548="","",TIME(HOUR('Calendario C'!$F540),MINUTE('Calendario C'!$F540),0))</f>
        <v/>
      </c>
      <c r="E548" s="222">
        <f>IF($B548="","",DATE(YEAR('Calendario C'!$F540),MONTH('Calendario C'!$F540),DAY('Calendario C'!$F540)))</f>
        <v/>
      </c>
      <c r="F548" s="223">
        <f>IF($B548="","",TIME(HOUR('Calendario C'!$F540)+2,MINUTE('Calendario C'!$F540),0))</f>
        <v/>
      </c>
      <c r="G548" s="68">
        <f>IF($B548="","",'Calendario C'!$B541)</f>
        <v/>
      </c>
      <c r="H548" s="68">
        <f>IF($B548="","",Campionato!$D$2&amp;" "&amp;Campionato!$D$6)</f>
        <v/>
      </c>
      <c r="I548" s="68" t="n"/>
    </row>
    <row r="549">
      <c r="A549" s="68">
        <f>IF($B549="","","BEGIN:VEVENT
DTSTAMP:"&amp;TEXT(NOW(),"yyyymmdd")&amp;"T000001Z
UID:evt548@ClaudeCoworkBaskin
DTSTART;TZID=Europe/Rome:"&amp;TEXT($C549,"yyyymmdd")&amp;"T"&amp;TEXT($D549,"hhmmss")&amp;"
DTEND;TZID=Europe/Rome:"&amp;TEXT($E549,"yyyymmdd")&amp;"T"&amp;TEXT($F549,"hhmmss")&amp;"
SUMMARY:"&amp;$B549&amp;"
LOCATION:"&amp;$G549&amp;"
DESCRIPTION:"&amp;$H549&amp;"
END:VEVENT")</f>
        <v/>
      </c>
      <c r="B549" s="68">
        <f>IF('Calendario C'!$B543="","",'Calendario C'!$B543&amp;" vs "&amp;'Calendario C'!$D543&amp;" "&amp;'Calendario C'!$AC543)</f>
        <v/>
      </c>
      <c r="C549" s="222">
        <f>IF($B549="","",DATE(YEAR('Calendario C'!$F543),MONTH('Calendario C'!$F543),DAY('Calendario C'!$F543)))</f>
        <v/>
      </c>
      <c r="D549" s="223">
        <f>IF($B549="","",TIME(HOUR('Calendario C'!$F543),MINUTE('Calendario C'!$F543),0))</f>
        <v/>
      </c>
      <c r="E549" s="222">
        <f>IF($B549="","",DATE(YEAR('Calendario C'!$F543),MONTH('Calendario C'!$F543),DAY('Calendario C'!$F543)))</f>
        <v/>
      </c>
      <c r="F549" s="223">
        <f>IF($B549="","",TIME(HOUR('Calendario C'!$F543)+2,MINUTE('Calendario C'!$F543),0))</f>
        <v/>
      </c>
      <c r="G549" s="68">
        <f>IF($B549="","",'Calendario C'!$B544)</f>
        <v/>
      </c>
      <c r="H549" s="68">
        <f>IF($B549="","",Campionato!$D$2&amp;" "&amp;Campionato!$D$6)</f>
        <v/>
      </c>
      <c r="I549" s="68" t="n"/>
    </row>
    <row r="550">
      <c r="A550" s="68">
        <f>IF($B550="","","BEGIN:VEVENT
DTSTAMP:"&amp;TEXT(NOW(),"yyyymmdd")&amp;"T000001Z
UID:evt549@ClaudeCoworkBaskin
DTSTART;TZID=Europe/Rome:"&amp;TEXT($C550,"yyyymmdd")&amp;"T"&amp;TEXT($D550,"hhmmss")&amp;"
DTEND;TZID=Europe/Rome:"&amp;TEXT($E550,"yyyymmdd")&amp;"T"&amp;TEXT($F550,"hhmmss")&amp;"
SUMMARY:"&amp;$B550&amp;"
LOCATION:"&amp;$G550&amp;"
DESCRIPTION:"&amp;$H550&amp;"
END:VEVENT")</f>
        <v/>
      </c>
      <c r="B550" s="68">
        <f>IF('Calendario C'!$B546="","",'Calendario C'!$B546&amp;" vs "&amp;'Calendario C'!$D546&amp;" "&amp;'Calendario C'!$AC546)</f>
        <v/>
      </c>
      <c r="C550" s="222">
        <f>IF($B550="","",DATE(YEAR('Calendario C'!$F546),MONTH('Calendario C'!$F546),DAY('Calendario C'!$F546)))</f>
        <v/>
      </c>
      <c r="D550" s="223">
        <f>IF($B550="","",TIME(HOUR('Calendario C'!$F546),MINUTE('Calendario C'!$F546),0))</f>
        <v/>
      </c>
      <c r="E550" s="222">
        <f>IF($B550="","",DATE(YEAR('Calendario C'!$F546),MONTH('Calendario C'!$F546),DAY('Calendario C'!$F546)))</f>
        <v/>
      </c>
      <c r="F550" s="223">
        <f>IF($B550="","",TIME(HOUR('Calendario C'!$F546)+2,MINUTE('Calendario C'!$F546),0))</f>
        <v/>
      </c>
      <c r="G550" s="68">
        <f>IF($B550="","",'Calendario C'!$B547)</f>
        <v/>
      </c>
      <c r="H550" s="68">
        <f>IF($B550="","",Campionato!$D$2&amp;" "&amp;Campionato!$D$6)</f>
        <v/>
      </c>
      <c r="I550" s="68" t="n"/>
    </row>
    <row r="551">
      <c r="A551" s="68">
        <f>IF($B551="","","BEGIN:VEVENT
DTSTAMP:"&amp;TEXT(NOW(),"yyyymmdd")&amp;"T000001Z
UID:evt550@ClaudeCoworkBaskin
DTSTART;TZID=Europe/Rome:"&amp;TEXT($C551,"yyyymmdd")&amp;"T"&amp;TEXT($D551,"hhmmss")&amp;"
DTEND;TZID=Europe/Rome:"&amp;TEXT($E551,"yyyymmdd")&amp;"T"&amp;TEXT($F551,"hhmmss")&amp;"
SUMMARY:"&amp;$B551&amp;"
LOCATION:"&amp;$G551&amp;"
DESCRIPTION:"&amp;$H551&amp;"
END:VEVENT")</f>
        <v/>
      </c>
      <c r="B551" s="68">
        <f>IF('Calendario C'!$B549="","",'Calendario C'!$B549&amp;" vs "&amp;'Calendario C'!$D549&amp;" "&amp;'Calendario C'!$AC549)</f>
        <v/>
      </c>
      <c r="C551" s="222">
        <f>IF($B551="","",DATE(YEAR('Calendario C'!$F549),MONTH('Calendario C'!$F549),DAY('Calendario C'!$F549)))</f>
        <v/>
      </c>
      <c r="D551" s="223">
        <f>IF($B551="","",TIME(HOUR('Calendario C'!$F549),MINUTE('Calendario C'!$F549),0))</f>
        <v/>
      </c>
      <c r="E551" s="222">
        <f>IF($B551="","",DATE(YEAR('Calendario C'!$F549),MONTH('Calendario C'!$F549),DAY('Calendario C'!$F549)))</f>
        <v/>
      </c>
      <c r="F551" s="223">
        <f>IF($B551="","",TIME(HOUR('Calendario C'!$F549)+2,MINUTE('Calendario C'!$F549),0))</f>
        <v/>
      </c>
      <c r="G551" s="68">
        <f>IF($B551="","",'Calendario C'!$B550)</f>
        <v/>
      </c>
      <c r="H551" s="68">
        <f>IF($B551="","",Campionato!$D$2&amp;" "&amp;Campionato!$D$6)</f>
        <v/>
      </c>
      <c r="I551" s="68" t="n"/>
    </row>
    <row r="552">
      <c r="A552" s="68">
        <f>IF($B552="","","BEGIN:VEVENT
DTSTAMP:"&amp;TEXT(NOW(),"yyyymmdd")&amp;"T000001Z
UID:evt551@ClaudeCoworkBaskin
DTSTART;TZID=Europe/Rome:"&amp;TEXT($C552,"yyyymmdd")&amp;"T"&amp;TEXT($D552,"hhmmss")&amp;"
DTEND;TZID=Europe/Rome:"&amp;TEXT($E552,"yyyymmdd")&amp;"T"&amp;TEXT($F552,"hhmmss")&amp;"
SUMMARY:"&amp;$B552&amp;"
LOCATION:"&amp;$G552&amp;"
DESCRIPTION:"&amp;$H552&amp;"
END:VEVENT")</f>
        <v/>
      </c>
      <c r="B552" s="68">
        <f>IF('Calendario C'!$B554="","",'Calendario C'!$B554&amp;" vs "&amp;'Calendario C'!$D554&amp;" "&amp;'Calendario C'!$AC554)</f>
        <v/>
      </c>
      <c r="C552" s="222">
        <f>IF($B552="","",DATE(YEAR('Calendario C'!$F554),MONTH('Calendario C'!$F554),DAY('Calendario C'!$F554)))</f>
        <v/>
      </c>
      <c r="D552" s="223">
        <f>IF($B552="","",TIME(HOUR('Calendario C'!$F554),MINUTE('Calendario C'!$F554),0))</f>
        <v/>
      </c>
      <c r="E552" s="222">
        <f>IF($B552="","",DATE(YEAR('Calendario C'!$F554),MONTH('Calendario C'!$F554),DAY('Calendario C'!$F554)))</f>
        <v/>
      </c>
      <c r="F552" s="223">
        <f>IF($B552="","",TIME(HOUR('Calendario C'!$F554)+2,MINUTE('Calendario C'!$F554),0))</f>
        <v/>
      </c>
      <c r="G552" s="68">
        <f>IF($B552="","",'Calendario C'!$B555)</f>
        <v/>
      </c>
      <c r="H552" s="68">
        <f>IF($B552="","",Campionato!$D$2&amp;" "&amp;Campionato!$D$6)</f>
        <v/>
      </c>
      <c r="I552" s="68" t="n"/>
    </row>
    <row r="553">
      <c r="A553" s="68">
        <f>IF($B553="","","BEGIN:VEVENT
DTSTAMP:"&amp;TEXT(NOW(),"yyyymmdd")&amp;"T000001Z
UID:evt552@ClaudeCoworkBaskin
DTSTART;TZID=Europe/Rome:"&amp;TEXT($C553,"yyyymmdd")&amp;"T"&amp;TEXT($D553,"hhmmss")&amp;"
DTEND;TZID=Europe/Rome:"&amp;TEXT($E553,"yyyymmdd")&amp;"T"&amp;TEXT($F553,"hhmmss")&amp;"
SUMMARY:"&amp;$B553&amp;"
LOCATION:"&amp;$G553&amp;"
DESCRIPTION:"&amp;$H553&amp;"
END:VEVENT")</f>
        <v/>
      </c>
      <c r="B553" s="68">
        <f>IF('Calendario C'!$B557="","",'Calendario C'!$B557&amp;" vs "&amp;'Calendario C'!$D557&amp;" "&amp;'Calendario C'!$AC557)</f>
        <v/>
      </c>
      <c r="C553" s="222">
        <f>IF($B553="","",DATE(YEAR('Calendario C'!$F557),MONTH('Calendario C'!$F557),DAY('Calendario C'!$F557)))</f>
        <v/>
      </c>
      <c r="D553" s="223">
        <f>IF($B553="","",TIME(HOUR('Calendario C'!$F557),MINUTE('Calendario C'!$F557),0))</f>
        <v/>
      </c>
      <c r="E553" s="222">
        <f>IF($B553="","",DATE(YEAR('Calendario C'!$F557),MONTH('Calendario C'!$F557),DAY('Calendario C'!$F557)))</f>
        <v/>
      </c>
      <c r="F553" s="223">
        <f>IF($B553="","",TIME(HOUR('Calendario C'!$F557)+2,MINUTE('Calendario C'!$F557),0))</f>
        <v/>
      </c>
      <c r="G553" s="68">
        <f>IF($B553="","",'Calendario C'!$B558)</f>
        <v/>
      </c>
      <c r="H553" s="68">
        <f>IF($B553="","",Campionato!$D$2&amp;" "&amp;Campionato!$D$6)</f>
        <v/>
      </c>
      <c r="I553" s="68" t="n"/>
    </row>
    <row r="554">
      <c r="A554" s="68">
        <f>IF($B554="","","BEGIN:VEVENT
DTSTAMP:"&amp;TEXT(NOW(),"yyyymmdd")&amp;"T000001Z
UID:evt553@ClaudeCoworkBaskin
DTSTART;TZID=Europe/Rome:"&amp;TEXT($C554,"yyyymmdd")&amp;"T"&amp;TEXT($D554,"hhmmss")&amp;"
DTEND;TZID=Europe/Rome:"&amp;TEXT($E554,"yyyymmdd")&amp;"T"&amp;TEXT($F554,"hhmmss")&amp;"
SUMMARY:"&amp;$B554&amp;"
LOCATION:"&amp;$G554&amp;"
DESCRIPTION:"&amp;$H554&amp;"
END:VEVENT")</f>
        <v/>
      </c>
      <c r="B554" s="68">
        <f>IF('Calendario C'!$B560="","",'Calendario C'!$B560&amp;" vs "&amp;'Calendario C'!$D560&amp;" "&amp;'Calendario C'!$AC560)</f>
        <v/>
      </c>
      <c r="C554" s="222">
        <f>IF($B554="","",DATE(YEAR('Calendario C'!$F560),MONTH('Calendario C'!$F560),DAY('Calendario C'!$F560)))</f>
        <v/>
      </c>
      <c r="D554" s="223">
        <f>IF($B554="","",TIME(HOUR('Calendario C'!$F560),MINUTE('Calendario C'!$F560),0))</f>
        <v/>
      </c>
      <c r="E554" s="222">
        <f>IF($B554="","",DATE(YEAR('Calendario C'!$F560),MONTH('Calendario C'!$F560),DAY('Calendario C'!$F560)))</f>
        <v/>
      </c>
      <c r="F554" s="223">
        <f>IF($B554="","",TIME(HOUR('Calendario C'!$F560)+2,MINUTE('Calendario C'!$F560),0))</f>
        <v/>
      </c>
      <c r="G554" s="68">
        <f>IF($B554="","",'Calendario C'!$B561)</f>
        <v/>
      </c>
      <c r="H554" s="68">
        <f>IF($B554="","",Campionato!$D$2&amp;" "&amp;Campionato!$D$6)</f>
        <v/>
      </c>
      <c r="I554" s="68" t="n"/>
    </row>
    <row r="555">
      <c r="A555" s="68">
        <f>IF($B555="","","BEGIN:VEVENT
DTSTAMP:"&amp;TEXT(NOW(),"yyyymmdd")&amp;"T000001Z
UID:evt554@ClaudeCoworkBaskin
DTSTART;TZID=Europe/Rome:"&amp;TEXT($C555,"yyyymmdd")&amp;"T"&amp;TEXT($D555,"hhmmss")&amp;"
DTEND;TZID=Europe/Rome:"&amp;TEXT($E555,"yyyymmdd")&amp;"T"&amp;TEXT($F555,"hhmmss")&amp;"
SUMMARY:"&amp;$B555&amp;"
LOCATION:"&amp;$G555&amp;"
DESCRIPTION:"&amp;$H555&amp;"
END:VEVENT")</f>
        <v/>
      </c>
      <c r="B555" s="68">
        <f>IF('Calendario C'!$B563="","",'Calendario C'!$B563&amp;" vs "&amp;'Calendario C'!$D563&amp;" "&amp;'Calendario C'!$AC563)</f>
        <v/>
      </c>
      <c r="C555" s="222">
        <f>IF($B555="","",DATE(YEAR('Calendario C'!$F563),MONTH('Calendario C'!$F563),DAY('Calendario C'!$F563)))</f>
        <v/>
      </c>
      <c r="D555" s="223">
        <f>IF($B555="","",TIME(HOUR('Calendario C'!$F563),MINUTE('Calendario C'!$F563),0))</f>
        <v/>
      </c>
      <c r="E555" s="222">
        <f>IF($B555="","",DATE(YEAR('Calendario C'!$F563),MONTH('Calendario C'!$F563),DAY('Calendario C'!$F563)))</f>
        <v/>
      </c>
      <c r="F555" s="223">
        <f>IF($B555="","",TIME(HOUR('Calendario C'!$F563)+2,MINUTE('Calendario C'!$F563),0))</f>
        <v/>
      </c>
      <c r="G555" s="68">
        <f>IF($B555="","",'Calendario C'!$B564)</f>
        <v/>
      </c>
      <c r="H555" s="68">
        <f>IF($B555="","",Campionato!$D$2&amp;" "&amp;Campionato!$D$6)</f>
        <v/>
      </c>
      <c r="I555" s="68" t="n"/>
    </row>
    <row r="556">
      <c r="A556" s="68">
        <f>IF($B556="","","BEGIN:VEVENT
DTSTAMP:"&amp;TEXT(NOW(),"yyyymmdd")&amp;"T000001Z
UID:evt555@ClaudeCoworkBaskin
DTSTART;TZID=Europe/Rome:"&amp;TEXT($C556,"yyyymmdd")&amp;"T"&amp;TEXT($D556,"hhmmss")&amp;"
DTEND;TZID=Europe/Rome:"&amp;TEXT($E556,"yyyymmdd")&amp;"T"&amp;TEXT($F556,"hhmmss")&amp;"
SUMMARY:"&amp;$B556&amp;"
LOCATION:"&amp;$G556&amp;"
DESCRIPTION:"&amp;$H556&amp;"
END:VEVENT")</f>
        <v/>
      </c>
      <c r="B556" s="68">
        <f>IF('Calendario C'!$B566="","",'Calendario C'!$B566&amp;" vs "&amp;'Calendario C'!$D566&amp;" "&amp;'Calendario C'!$AC566)</f>
        <v/>
      </c>
      <c r="C556" s="222">
        <f>IF($B556="","",DATE(YEAR('Calendario C'!$F566),MONTH('Calendario C'!$F566),DAY('Calendario C'!$F566)))</f>
        <v/>
      </c>
      <c r="D556" s="223">
        <f>IF($B556="","",TIME(HOUR('Calendario C'!$F566),MINUTE('Calendario C'!$F566),0))</f>
        <v/>
      </c>
      <c r="E556" s="222">
        <f>IF($B556="","",DATE(YEAR('Calendario C'!$F566),MONTH('Calendario C'!$F566),DAY('Calendario C'!$F566)))</f>
        <v/>
      </c>
      <c r="F556" s="223">
        <f>IF($B556="","",TIME(HOUR('Calendario C'!$F566)+2,MINUTE('Calendario C'!$F566),0))</f>
        <v/>
      </c>
      <c r="G556" s="68">
        <f>IF($B556="","",'Calendario C'!$B567)</f>
        <v/>
      </c>
      <c r="H556" s="68">
        <f>IF($B556="","",Campionato!$D$2&amp;" "&amp;Campionato!$D$6)</f>
        <v/>
      </c>
      <c r="I556" s="68" t="n"/>
    </row>
    <row r="557">
      <c r="A557" s="68">
        <f>IF($B557="","","BEGIN:VEVENT
DTSTAMP:"&amp;TEXT(NOW(),"yyyymmdd")&amp;"T000001Z
UID:evt556@ClaudeCoworkBaskin
DTSTART;TZID=Europe/Rome:"&amp;TEXT($C557,"yyyymmdd")&amp;"T"&amp;TEXT($D557,"hhmmss")&amp;"
DTEND;TZID=Europe/Rome:"&amp;TEXT($E557,"yyyymmdd")&amp;"T"&amp;TEXT($F557,"hhmmss")&amp;"
SUMMARY:"&amp;$B557&amp;"
LOCATION:"&amp;$G557&amp;"
DESCRIPTION:"&amp;$H557&amp;"
END:VEVENT")</f>
        <v/>
      </c>
      <c r="B557" s="68">
        <f>IF('Calendario C'!$B569="","",'Calendario C'!$B569&amp;" vs "&amp;'Calendario C'!$D569&amp;" "&amp;'Calendario C'!$AC569)</f>
        <v/>
      </c>
      <c r="C557" s="222">
        <f>IF($B557="","",DATE(YEAR('Calendario C'!$F569),MONTH('Calendario C'!$F569),DAY('Calendario C'!$F569)))</f>
        <v/>
      </c>
      <c r="D557" s="223">
        <f>IF($B557="","",TIME(HOUR('Calendario C'!$F569),MINUTE('Calendario C'!$F569),0))</f>
        <v/>
      </c>
      <c r="E557" s="222">
        <f>IF($B557="","",DATE(YEAR('Calendario C'!$F569),MONTH('Calendario C'!$F569),DAY('Calendario C'!$F569)))</f>
        <v/>
      </c>
      <c r="F557" s="223">
        <f>IF($B557="","",TIME(HOUR('Calendario C'!$F569)+2,MINUTE('Calendario C'!$F569),0))</f>
        <v/>
      </c>
      <c r="G557" s="68">
        <f>IF($B557="","",'Calendario C'!$B570)</f>
        <v/>
      </c>
      <c r="H557" s="68">
        <f>IF($B557="","",Campionato!$D$2&amp;" "&amp;Campionato!$D$6)</f>
        <v/>
      </c>
      <c r="I557" s="68" t="n"/>
    </row>
    <row r="558">
      <c r="A558" s="68">
        <f>IF($B558="","","BEGIN:VEVENT
DTSTAMP:"&amp;TEXT(NOW(),"yyyymmdd")&amp;"T000001Z
UID:evt557@ClaudeCoworkBaskin
DTSTART;TZID=Europe/Rome:"&amp;TEXT($C558,"yyyymmdd")&amp;"T"&amp;TEXT($D558,"hhmmss")&amp;"
DTEND;TZID=Europe/Rome:"&amp;TEXT($E558,"yyyymmdd")&amp;"T"&amp;TEXT($F558,"hhmmss")&amp;"
SUMMARY:"&amp;$B558&amp;"
LOCATION:"&amp;$G558&amp;"
DESCRIPTION:"&amp;$H558&amp;"
END:VEVENT")</f>
        <v/>
      </c>
      <c r="B558" s="68">
        <f>IF('Calendario C'!$B572="","",'Calendario C'!$B572&amp;" vs "&amp;'Calendario C'!$D572&amp;" "&amp;'Calendario C'!$AC572)</f>
        <v/>
      </c>
      <c r="C558" s="222">
        <f>IF($B558="","",DATE(YEAR('Calendario C'!$F572),MONTH('Calendario C'!$F572),DAY('Calendario C'!$F572)))</f>
        <v/>
      </c>
      <c r="D558" s="223">
        <f>IF($B558="","",TIME(HOUR('Calendario C'!$F572),MINUTE('Calendario C'!$F572),0))</f>
        <v/>
      </c>
      <c r="E558" s="222">
        <f>IF($B558="","",DATE(YEAR('Calendario C'!$F572),MONTH('Calendario C'!$F572),DAY('Calendario C'!$F572)))</f>
        <v/>
      </c>
      <c r="F558" s="223">
        <f>IF($B558="","",TIME(HOUR('Calendario C'!$F572)+2,MINUTE('Calendario C'!$F572),0))</f>
        <v/>
      </c>
      <c r="G558" s="68">
        <f>IF($B558="","",'Calendario C'!$B573)</f>
        <v/>
      </c>
      <c r="H558" s="68">
        <f>IF($B558="","",Campionato!$D$2&amp;" "&amp;Campionato!$D$6)</f>
        <v/>
      </c>
      <c r="I558" s="68" t="n"/>
    </row>
    <row r="559">
      <c r="A559" s="68">
        <f>IF($B559="","","BEGIN:VEVENT
DTSTAMP:"&amp;TEXT(NOW(),"yyyymmdd")&amp;"T000001Z
UID:evt558@ClaudeCoworkBaskin
DTSTART;TZID=Europe/Rome:"&amp;TEXT($C559,"yyyymmdd")&amp;"T"&amp;TEXT($D559,"hhmmss")&amp;"
DTEND;TZID=Europe/Rome:"&amp;TEXT($E559,"yyyymmdd")&amp;"T"&amp;TEXT($F559,"hhmmss")&amp;"
SUMMARY:"&amp;$B559&amp;"
LOCATION:"&amp;$G559&amp;"
DESCRIPTION:"&amp;$H559&amp;"
END:VEVENT")</f>
        <v/>
      </c>
      <c r="B559" s="68">
        <f>IF('Calendario C'!$B575="","",'Calendario C'!$B575&amp;" vs "&amp;'Calendario C'!$D575&amp;" "&amp;'Calendario C'!$AC575)</f>
        <v/>
      </c>
      <c r="C559" s="222">
        <f>IF($B559="","",DATE(YEAR('Calendario C'!$F575),MONTH('Calendario C'!$F575),DAY('Calendario C'!$F575)))</f>
        <v/>
      </c>
      <c r="D559" s="223">
        <f>IF($B559="","",TIME(HOUR('Calendario C'!$F575),MINUTE('Calendario C'!$F575),0))</f>
        <v/>
      </c>
      <c r="E559" s="222">
        <f>IF($B559="","",DATE(YEAR('Calendario C'!$F575),MONTH('Calendario C'!$F575),DAY('Calendario C'!$F575)))</f>
        <v/>
      </c>
      <c r="F559" s="223">
        <f>IF($B559="","",TIME(HOUR('Calendario C'!$F575)+2,MINUTE('Calendario C'!$F575),0))</f>
        <v/>
      </c>
      <c r="G559" s="68">
        <f>IF($B559="","",'Calendario C'!$B576)</f>
        <v/>
      </c>
      <c r="H559" s="68">
        <f>IF($B559="","",Campionato!$D$2&amp;" "&amp;Campionato!$D$6)</f>
        <v/>
      </c>
      <c r="I559" s="68" t="n"/>
    </row>
    <row r="560">
      <c r="A560" s="68">
        <f>IF($B560="","","BEGIN:VEVENT
DTSTAMP:"&amp;TEXT(NOW(),"yyyymmdd")&amp;"T000001Z
UID:evt559@ClaudeCoworkBaskin
DTSTART;TZID=Europe/Rome:"&amp;TEXT($C560,"yyyymmdd")&amp;"T"&amp;TEXT($D560,"hhmmss")&amp;"
DTEND;TZID=Europe/Rome:"&amp;TEXT($E560,"yyyymmdd")&amp;"T"&amp;TEXT($F560,"hhmmss")&amp;"
SUMMARY:"&amp;$B560&amp;"
LOCATION:"&amp;$G560&amp;"
DESCRIPTION:"&amp;$H560&amp;"
END:VEVENT")</f>
        <v/>
      </c>
      <c r="B560" s="68">
        <f>IF('Calendario C'!$B578="","",'Calendario C'!$B578&amp;" vs "&amp;'Calendario C'!$D578&amp;" "&amp;'Calendario C'!$AC578)</f>
        <v/>
      </c>
      <c r="C560" s="222">
        <f>IF($B560="","",DATE(YEAR('Calendario C'!$F578),MONTH('Calendario C'!$F578),DAY('Calendario C'!$F578)))</f>
        <v/>
      </c>
      <c r="D560" s="223">
        <f>IF($B560="","",TIME(HOUR('Calendario C'!$F578),MINUTE('Calendario C'!$F578),0))</f>
        <v/>
      </c>
      <c r="E560" s="222">
        <f>IF($B560="","",DATE(YEAR('Calendario C'!$F578),MONTH('Calendario C'!$F578),DAY('Calendario C'!$F578)))</f>
        <v/>
      </c>
      <c r="F560" s="223">
        <f>IF($B560="","",TIME(HOUR('Calendario C'!$F578)+2,MINUTE('Calendario C'!$F578),0))</f>
        <v/>
      </c>
      <c r="G560" s="68">
        <f>IF($B560="","",'Calendario C'!$B579)</f>
        <v/>
      </c>
      <c r="H560" s="68">
        <f>IF($B560="","",Campionato!$D$2&amp;" "&amp;Campionato!$D$6)</f>
        <v/>
      </c>
      <c r="I560" s="68" t="n"/>
    </row>
    <row r="561">
      <c r="A561" s="68">
        <f>IF($B561="","","BEGIN:VEVENT
DTSTAMP:"&amp;TEXT(NOW(),"yyyymmdd")&amp;"T000001Z
UID:evt560@ClaudeCoworkBaskin
DTSTART;TZID=Europe/Rome:"&amp;TEXT($C561,"yyyymmdd")&amp;"T"&amp;TEXT($D561,"hhmmss")&amp;"
DTEND;TZID=Europe/Rome:"&amp;TEXT($E561,"yyyymmdd")&amp;"T"&amp;TEXT($F561,"hhmmss")&amp;"
SUMMARY:"&amp;$B561&amp;"
LOCATION:"&amp;$G561&amp;"
DESCRIPTION:"&amp;$H561&amp;"
END:VEVENT")</f>
        <v/>
      </c>
      <c r="B561" s="68">
        <f>IF('Calendario C'!$B581="","",'Calendario C'!$B581&amp;" vs "&amp;'Calendario C'!$D581&amp;" "&amp;'Calendario C'!$AC581)</f>
        <v/>
      </c>
      <c r="C561" s="222">
        <f>IF($B561="","",DATE(YEAR('Calendario C'!$F581),MONTH('Calendario C'!$F581),DAY('Calendario C'!$F581)))</f>
        <v/>
      </c>
      <c r="D561" s="223">
        <f>IF($B561="","",TIME(HOUR('Calendario C'!$F581),MINUTE('Calendario C'!$F581),0))</f>
        <v/>
      </c>
      <c r="E561" s="222">
        <f>IF($B561="","",DATE(YEAR('Calendario C'!$F581),MONTH('Calendario C'!$F581),DAY('Calendario C'!$F581)))</f>
        <v/>
      </c>
      <c r="F561" s="223">
        <f>IF($B561="","",TIME(HOUR('Calendario C'!$F581)+2,MINUTE('Calendario C'!$F581),0))</f>
        <v/>
      </c>
      <c r="G561" s="68">
        <f>IF($B561="","",'Calendario C'!$B582)</f>
        <v/>
      </c>
      <c r="H561" s="68">
        <f>IF($B561="","",Campionato!$D$2&amp;" "&amp;Campionato!$D$6)</f>
        <v/>
      </c>
      <c r="I561" s="68" t="n"/>
    </row>
    <row r="562">
      <c r="A562" s="68">
        <f>IF($B562="","","BEGIN:VEVENT
DTSTAMP:"&amp;TEXT(NOW(),"yyyymmdd")&amp;"T000001Z
UID:evt561@ClaudeCoworkBaskin
DTSTART;TZID=Europe/Rome:"&amp;TEXT($C562,"yyyymmdd")&amp;"T"&amp;TEXT($D562,"hhmmss")&amp;"
DTEND;TZID=Europe/Rome:"&amp;TEXT($E562,"yyyymmdd")&amp;"T"&amp;TEXT($F562,"hhmmss")&amp;"
SUMMARY:"&amp;$B562&amp;"
LOCATION:"&amp;$G562&amp;"
DESCRIPTION:"&amp;$H562&amp;"
END:VEVENT")</f>
        <v/>
      </c>
      <c r="B562" s="68">
        <f>IF('Calendario C'!$B586="","",'Calendario C'!$B586&amp;" vs "&amp;'Calendario C'!$D586&amp;" "&amp;'Calendario C'!$AC586)</f>
        <v/>
      </c>
      <c r="C562" s="222">
        <f>IF($B562="","",DATE(YEAR('Calendario C'!$F586),MONTH('Calendario C'!$F586),DAY('Calendario C'!$F586)))</f>
        <v/>
      </c>
      <c r="D562" s="223">
        <f>IF($B562="","",TIME(HOUR('Calendario C'!$F586),MINUTE('Calendario C'!$F586),0))</f>
        <v/>
      </c>
      <c r="E562" s="222">
        <f>IF($B562="","",DATE(YEAR('Calendario C'!$F586),MONTH('Calendario C'!$F586),DAY('Calendario C'!$F586)))</f>
        <v/>
      </c>
      <c r="F562" s="223">
        <f>IF($B562="","",TIME(HOUR('Calendario C'!$F586)+2,MINUTE('Calendario C'!$F586),0))</f>
        <v/>
      </c>
      <c r="G562" s="68">
        <f>IF($B562="","",'Calendario C'!$B587)</f>
        <v/>
      </c>
      <c r="H562" s="68">
        <f>IF($B562="","",Campionato!$D$2&amp;" "&amp;Campionato!$D$6)</f>
        <v/>
      </c>
      <c r="I562" s="68" t="n"/>
    </row>
    <row r="563">
      <c r="A563" s="68">
        <f>IF($B563="","","BEGIN:VEVENT
DTSTAMP:"&amp;TEXT(NOW(),"yyyymmdd")&amp;"T000001Z
UID:evt562@ClaudeCoworkBaskin
DTSTART;TZID=Europe/Rome:"&amp;TEXT($C563,"yyyymmdd")&amp;"T"&amp;TEXT($D563,"hhmmss")&amp;"
DTEND;TZID=Europe/Rome:"&amp;TEXT($E563,"yyyymmdd")&amp;"T"&amp;TEXT($F563,"hhmmss")&amp;"
SUMMARY:"&amp;$B563&amp;"
LOCATION:"&amp;$G563&amp;"
DESCRIPTION:"&amp;$H563&amp;"
END:VEVENT")</f>
        <v/>
      </c>
      <c r="B563" s="68">
        <f>IF('Calendario C'!$B589="","",'Calendario C'!$B589&amp;" vs "&amp;'Calendario C'!$D589&amp;" "&amp;'Calendario C'!$AC589)</f>
        <v/>
      </c>
      <c r="C563" s="222">
        <f>IF($B563="","",DATE(YEAR('Calendario C'!$F589),MONTH('Calendario C'!$F589),DAY('Calendario C'!$F589)))</f>
        <v/>
      </c>
      <c r="D563" s="223">
        <f>IF($B563="","",TIME(HOUR('Calendario C'!$F589),MINUTE('Calendario C'!$F589),0))</f>
        <v/>
      </c>
      <c r="E563" s="222">
        <f>IF($B563="","",DATE(YEAR('Calendario C'!$F589),MONTH('Calendario C'!$F589),DAY('Calendario C'!$F589)))</f>
        <v/>
      </c>
      <c r="F563" s="223">
        <f>IF($B563="","",TIME(HOUR('Calendario C'!$F589)+2,MINUTE('Calendario C'!$F589),0))</f>
        <v/>
      </c>
      <c r="G563" s="68">
        <f>IF($B563="","",'Calendario C'!$B590)</f>
        <v/>
      </c>
      <c r="H563" s="68">
        <f>IF($B563="","",Campionato!$D$2&amp;" "&amp;Campionato!$D$6)</f>
        <v/>
      </c>
      <c r="I563" s="68" t="n"/>
    </row>
    <row r="564">
      <c r="A564" s="68">
        <f>IF($B564="","","BEGIN:VEVENT
DTSTAMP:"&amp;TEXT(NOW(),"yyyymmdd")&amp;"T000001Z
UID:evt563@ClaudeCoworkBaskin
DTSTART;TZID=Europe/Rome:"&amp;TEXT($C564,"yyyymmdd")&amp;"T"&amp;TEXT($D564,"hhmmss")&amp;"
DTEND;TZID=Europe/Rome:"&amp;TEXT($E564,"yyyymmdd")&amp;"T"&amp;TEXT($F564,"hhmmss")&amp;"
SUMMARY:"&amp;$B564&amp;"
LOCATION:"&amp;$G564&amp;"
DESCRIPTION:"&amp;$H564&amp;"
END:VEVENT")</f>
        <v/>
      </c>
      <c r="B564" s="68">
        <f>IF('Calendario C'!$B592="","",'Calendario C'!$B592&amp;" vs "&amp;'Calendario C'!$D592&amp;" "&amp;'Calendario C'!$AC592)</f>
        <v/>
      </c>
      <c r="C564" s="222">
        <f>IF($B564="","",DATE(YEAR('Calendario C'!$F592),MONTH('Calendario C'!$F592),DAY('Calendario C'!$F592)))</f>
        <v/>
      </c>
      <c r="D564" s="223">
        <f>IF($B564="","",TIME(HOUR('Calendario C'!$F592),MINUTE('Calendario C'!$F592),0))</f>
        <v/>
      </c>
      <c r="E564" s="222">
        <f>IF($B564="","",DATE(YEAR('Calendario C'!$F592),MONTH('Calendario C'!$F592),DAY('Calendario C'!$F592)))</f>
        <v/>
      </c>
      <c r="F564" s="223">
        <f>IF($B564="","",TIME(HOUR('Calendario C'!$F592)+2,MINUTE('Calendario C'!$F592),0))</f>
        <v/>
      </c>
      <c r="G564" s="68">
        <f>IF($B564="","",'Calendario C'!$B593)</f>
        <v/>
      </c>
      <c r="H564" s="68">
        <f>IF($B564="","",Campionato!$D$2&amp;" "&amp;Campionato!$D$6)</f>
        <v/>
      </c>
      <c r="I564" s="68" t="n"/>
    </row>
    <row r="565">
      <c r="A565" s="68">
        <f>IF($B565="","","BEGIN:VEVENT
DTSTAMP:"&amp;TEXT(NOW(),"yyyymmdd")&amp;"T000001Z
UID:evt564@ClaudeCoworkBaskin
DTSTART;TZID=Europe/Rome:"&amp;TEXT($C565,"yyyymmdd")&amp;"T"&amp;TEXT($D565,"hhmmss")&amp;"
DTEND;TZID=Europe/Rome:"&amp;TEXT($E565,"yyyymmdd")&amp;"T"&amp;TEXT($F565,"hhmmss")&amp;"
SUMMARY:"&amp;$B565&amp;"
LOCATION:"&amp;$G565&amp;"
DESCRIPTION:"&amp;$H565&amp;"
END:VEVENT")</f>
        <v/>
      </c>
      <c r="B565" s="68">
        <f>IF('Calendario C'!$B595="","",'Calendario C'!$B595&amp;" vs "&amp;'Calendario C'!$D595&amp;" "&amp;'Calendario C'!$AC595)</f>
        <v/>
      </c>
      <c r="C565" s="222">
        <f>IF($B565="","",DATE(YEAR('Calendario C'!$F595),MONTH('Calendario C'!$F595),DAY('Calendario C'!$F595)))</f>
        <v/>
      </c>
      <c r="D565" s="223">
        <f>IF($B565="","",TIME(HOUR('Calendario C'!$F595),MINUTE('Calendario C'!$F595),0))</f>
        <v/>
      </c>
      <c r="E565" s="222">
        <f>IF($B565="","",DATE(YEAR('Calendario C'!$F595),MONTH('Calendario C'!$F595),DAY('Calendario C'!$F595)))</f>
        <v/>
      </c>
      <c r="F565" s="223">
        <f>IF($B565="","",TIME(HOUR('Calendario C'!$F595)+2,MINUTE('Calendario C'!$F595),0))</f>
        <v/>
      </c>
      <c r="G565" s="68">
        <f>IF($B565="","",'Calendario C'!$B596)</f>
        <v/>
      </c>
      <c r="H565" s="68">
        <f>IF($B565="","",Campionato!$D$2&amp;" "&amp;Campionato!$D$6)</f>
        <v/>
      </c>
      <c r="I565" s="68" t="n"/>
    </row>
    <row r="566">
      <c r="A566" s="68">
        <f>IF($B566="","","BEGIN:VEVENT
DTSTAMP:"&amp;TEXT(NOW(),"yyyymmdd")&amp;"T000001Z
UID:evt565@ClaudeCoworkBaskin
DTSTART;TZID=Europe/Rome:"&amp;TEXT($C566,"yyyymmdd")&amp;"T"&amp;TEXT($D566,"hhmmss")&amp;"
DTEND;TZID=Europe/Rome:"&amp;TEXT($E566,"yyyymmdd")&amp;"T"&amp;TEXT($F566,"hhmmss")&amp;"
SUMMARY:"&amp;$B566&amp;"
LOCATION:"&amp;$G566&amp;"
DESCRIPTION:"&amp;$H566&amp;"
END:VEVENT")</f>
        <v/>
      </c>
      <c r="B566" s="68">
        <f>IF('Calendario C'!$B598="","",'Calendario C'!$B598&amp;" vs "&amp;'Calendario C'!$D598&amp;" "&amp;'Calendario C'!$AC598)</f>
        <v/>
      </c>
      <c r="C566" s="222">
        <f>IF($B566="","",DATE(YEAR('Calendario C'!$F598),MONTH('Calendario C'!$F598),DAY('Calendario C'!$F598)))</f>
        <v/>
      </c>
      <c r="D566" s="223">
        <f>IF($B566="","",TIME(HOUR('Calendario C'!$F598),MINUTE('Calendario C'!$F598),0))</f>
        <v/>
      </c>
      <c r="E566" s="222">
        <f>IF($B566="","",DATE(YEAR('Calendario C'!$F598),MONTH('Calendario C'!$F598),DAY('Calendario C'!$F598)))</f>
        <v/>
      </c>
      <c r="F566" s="223">
        <f>IF($B566="","",TIME(HOUR('Calendario C'!$F598)+2,MINUTE('Calendario C'!$F598),0))</f>
        <v/>
      </c>
      <c r="G566" s="68">
        <f>IF($B566="","",'Calendario C'!$B599)</f>
        <v/>
      </c>
      <c r="H566" s="68">
        <f>IF($B566="","",Campionato!$D$2&amp;" "&amp;Campionato!$D$6)</f>
        <v/>
      </c>
      <c r="I566" s="68" t="n"/>
    </row>
    <row r="567">
      <c r="A567" s="68">
        <f>IF($B567="","","BEGIN:VEVENT
DTSTAMP:"&amp;TEXT(NOW(),"yyyymmdd")&amp;"T000001Z
UID:evt566@ClaudeCoworkBaskin
DTSTART;TZID=Europe/Rome:"&amp;TEXT($C567,"yyyymmdd")&amp;"T"&amp;TEXT($D567,"hhmmss")&amp;"
DTEND;TZID=Europe/Rome:"&amp;TEXT($E567,"yyyymmdd")&amp;"T"&amp;TEXT($F567,"hhmmss")&amp;"
SUMMARY:"&amp;$B567&amp;"
LOCATION:"&amp;$G567&amp;"
DESCRIPTION:"&amp;$H567&amp;"
END:VEVENT")</f>
        <v/>
      </c>
      <c r="B567" s="68">
        <f>IF('Calendario C'!$B601="","",'Calendario C'!$B601&amp;" vs "&amp;'Calendario C'!$D601&amp;" "&amp;'Calendario C'!$AC601)</f>
        <v/>
      </c>
      <c r="C567" s="222">
        <f>IF($B567="","",DATE(YEAR('Calendario C'!$F601),MONTH('Calendario C'!$F601),DAY('Calendario C'!$F601)))</f>
        <v/>
      </c>
      <c r="D567" s="223">
        <f>IF($B567="","",TIME(HOUR('Calendario C'!$F601),MINUTE('Calendario C'!$F601),0))</f>
        <v/>
      </c>
      <c r="E567" s="222">
        <f>IF($B567="","",DATE(YEAR('Calendario C'!$F601),MONTH('Calendario C'!$F601),DAY('Calendario C'!$F601)))</f>
        <v/>
      </c>
      <c r="F567" s="223">
        <f>IF($B567="","",TIME(HOUR('Calendario C'!$F601)+2,MINUTE('Calendario C'!$F601),0))</f>
        <v/>
      </c>
      <c r="G567" s="68">
        <f>IF($B567="","",'Calendario C'!$B602)</f>
        <v/>
      </c>
      <c r="H567" s="68">
        <f>IF($B567="","",Campionato!$D$2&amp;" "&amp;Campionato!$D$6)</f>
        <v/>
      </c>
      <c r="I567" s="68" t="n"/>
    </row>
    <row r="568">
      <c r="A568" s="68">
        <f>IF($B568="","","BEGIN:VEVENT
DTSTAMP:"&amp;TEXT(NOW(),"yyyymmdd")&amp;"T000001Z
UID:evt567@ClaudeCoworkBaskin
DTSTART;TZID=Europe/Rome:"&amp;TEXT($C568,"yyyymmdd")&amp;"T"&amp;TEXT($D568,"hhmmss")&amp;"
DTEND;TZID=Europe/Rome:"&amp;TEXT($E568,"yyyymmdd")&amp;"T"&amp;TEXT($F568,"hhmmss")&amp;"
SUMMARY:"&amp;$B568&amp;"
LOCATION:"&amp;$G568&amp;"
DESCRIPTION:"&amp;$H568&amp;"
END:VEVENT")</f>
        <v/>
      </c>
      <c r="B568" s="68">
        <f>IF('Calendario C'!$B604="","",'Calendario C'!$B604&amp;" vs "&amp;'Calendario C'!$D604&amp;" "&amp;'Calendario C'!$AC604)</f>
        <v/>
      </c>
      <c r="C568" s="222">
        <f>IF($B568="","",DATE(YEAR('Calendario C'!$F604),MONTH('Calendario C'!$F604),DAY('Calendario C'!$F604)))</f>
        <v/>
      </c>
      <c r="D568" s="223">
        <f>IF($B568="","",TIME(HOUR('Calendario C'!$F604),MINUTE('Calendario C'!$F604),0))</f>
        <v/>
      </c>
      <c r="E568" s="222">
        <f>IF($B568="","",DATE(YEAR('Calendario C'!$F604),MONTH('Calendario C'!$F604),DAY('Calendario C'!$F604)))</f>
        <v/>
      </c>
      <c r="F568" s="223">
        <f>IF($B568="","",TIME(HOUR('Calendario C'!$F604)+2,MINUTE('Calendario C'!$F604),0))</f>
        <v/>
      </c>
      <c r="G568" s="68">
        <f>IF($B568="","",'Calendario C'!$B605)</f>
        <v/>
      </c>
      <c r="H568" s="68">
        <f>IF($B568="","",Campionato!$D$2&amp;" "&amp;Campionato!$D$6)</f>
        <v/>
      </c>
      <c r="I568" s="68" t="n"/>
    </row>
    <row r="569">
      <c r="A569" s="68">
        <f>IF($B569="","","BEGIN:VEVENT
DTSTAMP:"&amp;TEXT(NOW(),"yyyymmdd")&amp;"T000001Z
UID:evt568@ClaudeCoworkBaskin
DTSTART;TZID=Europe/Rome:"&amp;TEXT($C569,"yyyymmdd")&amp;"T"&amp;TEXT($D569,"hhmmss")&amp;"
DTEND;TZID=Europe/Rome:"&amp;TEXT($E569,"yyyymmdd")&amp;"T"&amp;TEXT($F569,"hhmmss")&amp;"
SUMMARY:"&amp;$B569&amp;"
LOCATION:"&amp;$G569&amp;"
DESCRIPTION:"&amp;$H569&amp;"
END:VEVENT")</f>
        <v/>
      </c>
      <c r="B569" s="68">
        <f>IF('Calendario C'!$B607="","",'Calendario C'!$B607&amp;" vs "&amp;'Calendario C'!$D607&amp;" "&amp;'Calendario C'!$AC607)</f>
        <v/>
      </c>
      <c r="C569" s="222">
        <f>IF($B569="","",DATE(YEAR('Calendario C'!$F607),MONTH('Calendario C'!$F607),DAY('Calendario C'!$F607)))</f>
        <v/>
      </c>
      <c r="D569" s="223">
        <f>IF($B569="","",TIME(HOUR('Calendario C'!$F607),MINUTE('Calendario C'!$F607),0))</f>
        <v/>
      </c>
      <c r="E569" s="222">
        <f>IF($B569="","",DATE(YEAR('Calendario C'!$F607),MONTH('Calendario C'!$F607),DAY('Calendario C'!$F607)))</f>
        <v/>
      </c>
      <c r="F569" s="223">
        <f>IF($B569="","",TIME(HOUR('Calendario C'!$F607)+2,MINUTE('Calendario C'!$F607),0))</f>
        <v/>
      </c>
      <c r="G569" s="68">
        <f>IF($B569="","",'Calendario C'!$B608)</f>
        <v/>
      </c>
      <c r="H569" s="68">
        <f>IF($B569="","",Campionato!$D$2&amp;" "&amp;Campionato!$D$6)</f>
        <v/>
      </c>
      <c r="I569" s="68" t="n"/>
    </row>
    <row r="570">
      <c r="A570" s="68">
        <f>IF($B570="","","BEGIN:VEVENT
DTSTAMP:"&amp;TEXT(NOW(),"yyyymmdd")&amp;"T000001Z
UID:evt569@ClaudeCoworkBaskin
DTSTART;TZID=Europe/Rome:"&amp;TEXT($C570,"yyyymmdd")&amp;"T"&amp;TEXT($D570,"hhmmss")&amp;"
DTEND;TZID=Europe/Rome:"&amp;TEXT($E570,"yyyymmdd")&amp;"T"&amp;TEXT($F570,"hhmmss")&amp;"
SUMMARY:"&amp;$B570&amp;"
LOCATION:"&amp;$G570&amp;"
DESCRIPTION:"&amp;$H570&amp;"
END:VEVENT")</f>
        <v/>
      </c>
      <c r="B570" s="68">
        <f>IF('Calendario C'!$B610="","",'Calendario C'!$B610&amp;" vs "&amp;'Calendario C'!$D610&amp;" "&amp;'Calendario C'!$AC610)</f>
        <v/>
      </c>
      <c r="C570" s="222">
        <f>IF($B570="","",DATE(YEAR('Calendario C'!$F610),MONTH('Calendario C'!$F610),DAY('Calendario C'!$F610)))</f>
        <v/>
      </c>
      <c r="D570" s="223">
        <f>IF($B570="","",TIME(HOUR('Calendario C'!$F610),MINUTE('Calendario C'!$F610),0))</f>
        <v/>
      </c>
      <c r="E570" s="222">
        <f>IF($B570="","",DATE(YEAR('Calendario C'!$F610),MONTH('Calendario C'!$F610),DAY('Calendario C'!$F610)))</f>
        <v/>
      </c>
      <c r="F570" s="223">
        <f>IF($B570="","",TIME(HOUR('Calendario C'!$F610)+2,MINUTE('Calendario C'!$F610),0))</f>
        <v/>
      </c>
      <c r="G570" s="68">
        <f>IF($B570="","",'Calendario C'!$B611)</f>
        <v/>
      </c>
      <c r="H570" s="68">
        <f>IF($B570="","",Campionato!$D$2&amp;" "&amp;Campionato!$D$6)</f>
        <v/>
      </c>
      <c r="I570" s="68" t="n"/>
    </row>
    <row r="571">
      <c r="A571" s="68">
        <f>IF($B571="","","BEGIN:VEVENT
DTSTAMP:"&amp;TEXT(NOW(),"yyyymmdd")&amp;"T000001Z
UID:evt570@ClaudeCoworkBaskin
DTSTART;TZID=Europe/Rome:"&amp;TEXT($C571,"yyyymmdd")&amp;"T"&amp;TEXT($D571,"hhmmss")&amp;"
DTEND;TZID=Europe/Rome:"&amp;TEXT($E571,"yyyymmdd")&amp;"T"&amp;TEXT($F571,"hhmmss")&amp;"
SUMMARY:"&amp;$B571&amp;"
LOCATION:"&amp;$G571&amp;"
DESCRIPTION:"&amp;$H571&amp;"
END:VEVENT")</f>
        <v/>
      </c>
      <c r="B571" s="68">
        <f>IF('Calendario C'!$B613="","",'Calendario C'!$B613&amp;" vs "&amp;'Calendario C'!$D613&amp;" "&amp;'Calendario C'!$AC613)</f>
        <v/>
      </c>
      <c r="C571" s="222">
        <f>IF($B571="","",DATE(YEAR('Calendario C'!$F613),MONTH('Calendario C'!$F613),DAY('Calendario C'!$F613)))</f>
        <v/>
      </c>
      <c r="D571" s="223">
        <f>IF($B571="","",TIME(HOUR('Calendario C'!$F613),MINUTE('Calendario C'!$F613),0))</f>
        <v/>
      </c>
      <c r="E571" s="222">
        <f>IF($B571="","",DATE(YEAR('Calendario C'!$F613),MONTH('Calendario C'!$F613),DAY('Calendario C'!$F613)))</f>
        <v/>
      </c>
      <c r="F571" s="223">
        <f>IF($B571="","",TIME(HOUR('Calendario C'!$F613)+2,MINUTE('Calendario C'!$F613),0))</f>
        <v/>
      </c>
      <c r="G571" s="68">
        <f>IF($B571="","",'Calendario C'!$B614)</f>
        <v/>
      </c>
      <c r="H571" s="68">
        <f>IF($B571="","",Campionato!$D$2&amp;" "&amp;Campionato!$D$6)</f>
        <v/>
      </c>
      <c r="I571" s="68" t="n"/>
    </row>
    <row r="572">
      <c r="A572" s="68">
        <f>IF($B572="","","BEGIN:VEVENT
DTSTAMP:"&amp;TEXT(NOW(),"yyyymmdd")&amp;"T000001Z
UID:evt571@ClaudeCoworkBaskin
DTSTART;TZID=Europe/Rome:"&amp;TEXT($C572,"yyyymmdd")&amp;"T"&amp;TEXT($D572,"hhmmss")&amp;"
DTEND;TZID=Europe/Rome:"&amp;TEXT($E572,"yyyymmdd")&amp;"T"&amp;TEXT($F572,"hhmmss")&amp;"
SUMMARY:"&amp;$B572&amp;"
LOCATION:"&amp;$G572&amp;"
DESCRIPTION:"&amp;$H572&amp;"
END:VEVENT")</f>
        <v/>
      </c>
      <c r="B572" s="68">
        <f>IF('Calendario D'!$B10="","",'Calendario D'!$B10&amp;" vs "&amp;'Calendario D'!$D10&amp;" "&amp;'Calendario D'!$AC10)</f>
        <v/>
      </c>
      <c r="C572" s="222">
        <f>IF($B572="","",DATE(YEAR('Calendario D'!$F10),MONTH('Calendario D'!$F10),DAY('Calendario D'!$F10)))</f>
        <v/>
      </c>
      <c r="D572" s="223">
        <f>IF($B572="","",TIME(HOUR('Calendario D'!$F10),MINUTE('Calendario D'!$F10),0))</f>
        <v/>
      </c>
      <c r="E572" s="222">
        <f>IF($B572="","",DATE(YEAR('Calendario D'!$F10),MONTH('Calendario D'!$F10),DAY('Calendario D'!$F10)))</f>
        <v/>
      </c>
      <c r="F572" s="223">
        <f>IF($B572="","",TIME(HOUR('Calendario D'!$F10)+2,MINUTE('Calendario D'!$F10),0))</f>
        <v/>
      </c>
      <c r="G572" s="68">
        <f>IF($B572="","",'Calendario D'!$B11)</f>
        <v/>
      </c>
      <c r="H572" s="68">
        <f>IF($B572="","",Campionato!$D$2&amp;" "&amp;Campionato!$D$6)</f>
        <v/>
      </c>
      <c r="I572" s="68" t="n"/>
    </row>
    <row r="573">
      <c r="A573" s="68">
        <f>IF($B573="","","BEGIN:VEVENT
DTSTAMP:"&amp;TEXT(NOW(),"yyyymmdd")&amp;"T000001Z
UID:evt572@ClaudeCoworkBaskin
DTSTART;TZID=Europe/Rome:"&amp;TEXT($C573,"yyyymmdd")&amp;"T"&amp;TEXT($D573,"hhmmss")&amp;"
DTEND;TZID=Europe/Rome:"&amp;TEXT($E573,"yyyymmdd")&amp;"T"&amp;TEXT($F573,"hhmmss")&amp;"
SUMMARY:"&amp;$B573&amp;"
LOCATION:"&amp;$G573&amp;"
DESCRIPTION:"&amp;$H573&amp;"
END:VEVENT")</f>
        <v/>
      </c>
      <c r="B573" s="68">
        <f>IF('Calendario D'!$B13="","",'Calendario D'!$B13&amp;" vs "&amp;'Calendario D'!$D13&amp;" "&amp;'Calendario D'!$AC13)</f>
        <v/>
      </c>
      <c r="C573" s="222">
        <f>IF($B573="","",DATE(YEAR('Calendario D'!$F13),MONTH('Calendario D'!$F13),DAY('Calendario D'!$F13)))</f>
        <v/>
      </c>
      <c r="D573" s="223">
        <f>IF($B573="","",TIME(HOUR('Calendario D'!$F13),MINUTE('Calendario D'!$F13),0))</f>
        <v/>
      </c>
      <c r="E573" s="222">
        <f>IF($B573="","",DATE(YEAR('Calendario D'!$F13),MONTH('Calendario D'!$F13),DAY('Calendario D'!$F13)))</f>
        <v/>
      </c>
      <c r="F573" s="223">
        <f>IF($B573="","",TIME(HOUR('Calendario D'!$F13)+2,MINUTE('Calendario D'!$F13),0))</f>
        <v/>
      </c>
      <c r="G573" s="68">
        <f>IF($B573="","",'Calendario D'!$B14)</f>
        <v/>
      </c>
      <c r="H573" s="68">
        <f>IF($B573="","",Campionato!$D$2&amp;" "&amp;Campionato!$D$6)</f>
        <v/>
      </c>
      <c r="I573" s="68" t="n"/>
    </row>
    <row r="574">
      <c r="A574" s="68">
        <f>IF($B574="","","BEGIN:VEVENT
DTSTAMP:"&amp;TEXT(NOW(),"yyyymmdd")&amp;"T000001Z
UID:evt573@ClaudeCoworkBaskin
DTSTART;TZID=Europe/Rome:"&amp;TEXT($C574,"yyyymmdd")&amp;"T"&amp;TEXT($D574,"hhmmss")&amp;"
DTEND;TZID=Europe/Rome:"&amp;TEXT($E574,"yyyymmdd")&amp;"T"&amp;TEXT($F574,"hhmmss")&amp;"
SUMMARY:"&amp;$B574&amp;"
LOCATION:"&amp;$G574&amp;"
DESCRIPTION:"&amp;$H574&amp;"
END:VEVENT")</f>
        <v/>
      </c>
      <c r="B574" s="68">
        <f>IF('Calendario D'!$B16="","",'Calendario D'!$B16&amp;" vs "&amp;'Calendario D'!$D16&amp;" "&amp;'Calendario D'!$AC16)</f>
        <v/>
      </c>
      <c r="C574" s="222">
        <f>IF($B574="","",DATE(YEAR('Calendario D'!$F16),MONTH('Calendario D'!$F16),DAY('Calendario D'!$F16)))</f>
        <v/>
      </c>
      <c r="D574" s="223">
        <f>IF($B574="","",TIME(HOUR('Calendario D'!$F16),MINUTE('Calendario D'!$F16),0))</f>
        <v/>
      </c>
      <c r="E574" s="222">
        <f>IF($B574="","",DATE(YEAR('Calendario D'!$F16),MONTH('Calendario D'!$F16),DAY('Calendario D'!$F16)))</f>
        <v/>
      </c>
      <c r="F574" s="223">
        <f>IF($B574="","",TIME(HOUR('Calendario D'!$F16)+2,MINUTE('Calendario D'!$F16),0))</f>
        <v/>
      </c>
      <c r="G574" s="68">
        <f>IF($B574="","",'Calendario D'!$B17)</f>
        <v/>
      </c>
      <c r="H574" s="68">
        <f>IF($B574="","",Campionato!$D$2&amp;" "&amp;Campionato!$D$6)</f>
        <v/>
      </c>
      <c r="I574" s="68" t="n"/>
    </row>
    <row r="575">
      <c r="A575" s="68">
        <f>IF($B575="","","BEGIN:VEVENT
DTSTAMP:"&amp;TEXT(NOW(),"yyyymmdd")&amp;"T000001Z
UID:evt574@ClaudeCoworkBaskin
DTSTART;TZID=Europe/Rome:"&amp;TEXT($C575,"yyyymmdd")&amp;"T"&amp;TEXT($D575,"hhmmss")&amp;"
DTEND;TZID=Europe/Rome:"&amp;TEXT($E575,"yyyymmdd")&amp;"T"&amp;TEXT($F575,"hhmmss")&amp;"
SUMMARY:"&amp;$B575&amp;"
LOCATION:"&amp;$G575&amp;"
DESCRIPTION:"&amp;$H575&amp;"
END:VEVENT")</f>
        <v/>
      </c>
      <c r="B575" s="68">
        <f>IF('Calendario D'!$B19="","",'Calendario D'!$B19&amp;" vs "&amp;'Calendario D'!$D19&amp;" "&amp;'Calendario D'!$AC19)</f>
        <v/>
      </c>
      <c r="C575" s="222">
        <f>IF($B575="","",DATE(YEAR('Calendario D'!$F19),MONTH('Calendario D'!$F19),DAY('Calendario D'!$F19)))</f>
        <v/>
      </c>
      <c r="D575" s="223">
        <f>IF($B575="","",TIME(HOUR('Calendario D'!$F19),MINUTE('Calendario D'!$F19),0))</f>
        <v/>
      </c>
      <c r="E575" s="222">
        <f>IF($B575="","",DATE(YEAR('Calendario D'!$F19),MONTH('Calendario D'!$F19),DAY('Calendario D'!$F19)))</f>
        <v/>
      </c>
      <c r="F575" s="223">
        <f>IF($B575="","",TIME(HOUR('Calendario D'!$F19)+2,MINUTE('Calendario D'!$F19),0))</f>
        <v/>
      </c>
      <c r="G575" s="68">
        <f>IF($B575="","",'Calendario D'!$B20)</f>
        <v/>
      </c>
      <c r="H575" s="68">
        <f>IF($B575="","",Campionato!$D$2&amp;" "&amp;Campionato!$D$6)</f>
        <v/>
      </c>
      <c r="I575" s="68" t="n"/>
    </row>
    <row r="576">
      <c r="A576" s="68">
        <f>IF($B576="","","BEGIN:VEVENT
DTSTAMP:"&amp;TEXT(NOW(),"yyyymmdd")&amp;"T000001Z
UID:evt575@ClaudeCoworkBaskin
DTSTART;TZID=Europe/Rome:"&amp;TEXT($C576,"yyyymmdd")&amp;"T"&amp;TEXT($D576,"hhmmss")&amp;"
DTEND;TZID=Europe/Rome:"&amp;TEXT($E576,"yyyymmdd")&amp;"T"&amp;TEXT($F576,"hhmmss")&amp;"
SUMMARY:"&amp;$B576&amp;"
LOCATION:"&amp;$G576&amp;"
DESCRIPTION:"&amp;$H576&amp;"
END:VEVENT")</f>
        <v/>
      </c>
      <c r="B576" s="68">
        <f>IF('Calendario D'!$B22="","",'Calendario D'!$B22&amp;" vs "&amp;'Calendario D'!$D22&amp;" "&amp;'Calendario D'!$AC22)</f>
        <v/>
      </c>
      <c r="C576" s="222">
        <f>IF($B576="","",DATE(YEAR('Calendario D'!$F22),MONTH('Calendario D'!$F22),DAY('Calendario D'!$F22)))</f>
        <v/>
      </c>
      <c r="D576" s="223">
        <f>IF($B576="","",TIME(HOUR('Calendario D'!$F22),MINUTE('Calendario D'!$F22),0))</f>
        <v/>
      </c>
      <c r="E576" s="222">
        <f>IF($B576="","",DATE(YEAR('Calendario D'!$F22),MONTH('Calendario D'!$F22),DAY('Calendario D'!$F22)))</f>
        <v/>
      </c>
      <c r="F576" s="223">
        <f>IF($B576="","",TIME(HOUR('Calendario D'!$F22)+2,MINUTE('Calendario D'!$F22),0))</f>
        <v/>
      </c>
      <c r="G576" s="68">
        <f>IF($B576="","",'Calendario D'!$B23)</f>
        <v/>
      </c>
      <c r="H576" s="68">
        <f>IF($B576="","",Campionato!$D$2&amp;" "&amp;Campionato!$D$6)</f>
        <v/>
      </c>
      <c r="I576" s="68" t="n"/>
    </row>
    <row r="577">
      <c r="A577" s="68">
        <f>IF($B577="","","BEGIN:VEVENT
DTSTAMP:"&amp;TEXT(NOW(),"yyyymmdd")&amp;"T000001Z
UID:evt576@ClaudeCoworkBaskin
DTSTART;TZID=Europe/Rome:"&amp;TEXT($C577,"yyyymmdd")&amp;"T"&amp;TEXT($D577,"hhmmss")&amp;"
DTEND;TZID=Europe/Rome:"&amp;TEXT($E577,"yyyymmdd")&amp;"T"&amp;TEXT($F577,"hhmmss")&amp;"
SUMMARY:"&amp;$B577&amp;"
LOCATION:"&amp;$G577&amp;"
DESCRIPTION:"&amp;$H577&amp;"
END:VEVENT")</f>
        <v/>
      </c>
      <c r="B577" s="68">
        <f>IF('Calendario D'!$B25="","",'Calendario D'!$B25&amp;" vs "&amp;'Calendario D'!$D25&amp;" "&amp;'Calendario D'!$AC25)</f>
        <v/>
      </c>
      <c r="C577" s="222">
        <f>IF($B577="","",DATE(YEAR('Calendario D'!$F25),MONTH('Calendario D'!$F25),DAY('Calendario D'!$F25)))</f>
        <v/>
      </c>
      <c r="D577" s="223">
        <f>IF($B577="","",TIME(HOUR('Calendario D'!$F25),MINUTE('Calendario D'!$F25),0))</f>
        <v/>
      </c>
      <c r="E577" s="222">
        <f>IF($B577="","",DATE(YEAR('Calendario D'!$F25),MONTH('Calendario D'!$F25),DAY('Calendario D'!$F25)))</f>
        <v/>
      </c>
      <c r="F577" s="223">
        <f>IF($B577="","",TIME(HOUR('Calendario D'!$F25)+2,MINUTE('Calendario D'!$F25),0))</f>
        <v/>
      </c>
      <c r="G577" s="68">
        <f>IF($B577="","",'Calendario D'!$B26)</f>
        <v/>
      </c>
      <c r="H577" s="68">
        <f>IF($B577="","",Campionato!$D$2&amp;" "&amp;Campionato!$D$6)</f>
        <v/>
      </c>
      <c r="I577" s="68" t="n"/>
    </row>
    <row r="578">
      <c r="A578" s="68">
        <f>IF($B578="","","BEGIN:VEVENT
DTSTAMP:"&amp;TEXT(NOW(),"yyyymmdd")&amp;"T000001Z
UID:evt577@ClaudeCoworkBaskin
DTSTART;TZID=Europe/Rome:"&amp;TEXT($C578,"yyyymmdd")&amp;"T"&amp;TEXT($D578,"hhmmss")&amp;"
DTEND;TZID=Europe/Rome:"&amp;TEXT($E578,"yyyymmdd")&amp;"T"&amp;TEXT($F578,"hhmmss")&amp;"
SUMMARY:"&amp;$B578&amp;"
LOCATION:"&amp;$G578&amp;"
DESCRIPTION:"&amp;$H578&amp;"
END:VEVENT")</f>
        <v/>
      </c>
      <c r="B578" s="68">
        <f>IF('Calendario D'!$B28="","",'Calendario D'!$B28&amp;" vs "&amp;'Calendario D'!$D28&amp;" "&amp;'Calendario D'!$AC28)</f>
        <v/>
      </c>
      <c r="C578" s="222">
        <f>IF($B578="","",DATE(YEAR('Calendario D'!$F28),MONTH('Calendario D'!$F28),DAY('Calendario D'!$F28)))</f>
        <v/>
      </c>
      <c r="D578" s="223">
        <f>IF($B578="","",TIME(HOUR('Calendario D'!$F28),MINUTE('Calendario D'!$F28),0))</f>
        <v/>
      </c>
      <c r="E578" s="222">
        <f>IF($B578="","",DATE(YEAR('Calendario D'!$F28),MONTH('Calendario D'!$F28),DAY('Calendario D'!$F28)))</f>
        <v/>
      </c>
      <c r="F578" s="223">
        <f>IF($B578="","",TIME(HOUR('Calendario D'!$F28)+2,MINUTE('Calendario D'!$F28),0))</f>
        <v/>
      </c>
      <c r="G578" s="68">
        <f>IF($B578="","",'Calendario D'!$B29)</f>
        <v/>
      </c>
      <c r="H578" s="68">
        <f>IF($B578="","",Campionato!$D$2&amp;" "&amp;Campionato!$D$6)</f>
        <v/>
      </c>
      <c r="I578" s="68" t="n"/>
    </row>
    <row r="579">
      <c r="A579" s="68">
        <f>IF($B579="","","BEGIN:VEVENT
DTSTAMP:"&amp;TEXT(NOW(),"yyyymmdd")&amp;"T000001Z
UID:evt578@ClaudeCoworkBaskin
DTSTART;TZID=Europe/Rome:"&amp;TEXT($C579,"yyyymmdd")&amp;"T"&amp;TEXT($D579,"hhmmss")&amp;"
DTEND;TZID=Europe/Rome:"&amp;TEXT($E579,"yyyymmdd")&amp;"T"&amp;TEXT($F579,"hhmmss")&amp;"
SUMMARY:"&amp;$B579&amp;"
LOCATION:"&amp;$G579&amp;"
DESCRIPTION:"&amp;$H579&amp;"
END:VEVENT")</f>
        <v/>
      </c>
      <c r="B579" s="68">
        <f>IF('Calendario D'!$B31="","",'Calendario D'!$B31&amp;" vs "&amp;'Calendario D'!$D31&amp;" "&amp;'Calendario D'!$AC31)</f>
        <v/>
      </c>
      <c r="C579" s="222">
        <f>IF($B579="","",DATE(YEAR('Calendario D'!$F31),MONTH('Calendario D'!$F31),DAY('Calendario D'!$F31)))</f>
        <v/>
      </c>
      <c r="D579" s="223">
        <f>IF($B579="","",TIME(HOUR('Calendario D'!$F31),MINUTE('Calendario D'!$F31),0))</f>
        <v/>
      </c>
      <c r="E579" s="222">
        <f>IF($B579="","",DATE(YEAR('Calendario D'!$F31),MONTH('Calendario D'!$F31),DAY('Calendario D'!$F31)))</f>
        <v/>
      </c>
      <c r="F579" s="223">
        <f>IF($B579="","",TIME(HOUR('Calendario D'!$F31)+2,MINUTE('Calendario D'!$F31),0))</f>
        <v/>
      </c>
      <c r="G579" s="68">
        <f>IF($B579="","",'Calendario D'!$B32)</f>
        <v/>
      </c>
      <c r="H579" s="68">
        <f>IF($B579="","",Campionato!$D$2&amp;" "&amp;Campionato!$D$6)</f>
        <v/>
      </c>
      <c r="I579" s="68" t="n"/>
    </row>
    <row r="580">
      <c r="A580" s="68">
        <f>IF($B580="","","BEGIN:VEVENT
DTSTAMP:"&amp;TEXT(NOW(),"yyyymmdd")&amp;"T000001Z
UID:evt579@ClaudeCoworkBaskin
DTSTART;TZID=Europe/Rome:"&amp;TEXT($C580,"yyyymmdd")&amp;"T"&amp;TEXT($D580,"hhmmss")&amp;"
DTEND;TZID=Europe/Rome:"&amp;TEXT($E580,"yyyymmdd")&amp;"T"&amp;TEXT($F580,"hhmmss")&amp;"
SUMMARY:"&amp;$B580&amp;"
LOCATION:"&amp;$G580&amp;"
DESCRIPTION:"&amp;$H580&amp;"
END:VEVENT")</f>
        <v/>
      </c>
      <c r="B580" s="68">
        <f>IF('Calendario D'!$B34="","",'Calendario D'!$B34&amp;" vs "&amp;'Calendario D'!$D34&amp;" "&amp;'Calendario D'!$AC34)</f>
        <v/>
      </c>
      <c r="C580" s="222">
        <f>IF($B580="","",DATE(YEAR('Calendario D'!$F34),MONTH('Calendario D'!$F34),DAY('Calendario D'!$F34)))</f>
        <v/>
      </c>
      <c r="D580" s="223">
        <f>IF($B580="","",TIME(HOUR('Calendario D'!$F34),MINUTE('Calendario D'!$F34),0))</f>
        <v/>
      </c>
      <c r="E580" s="222">
        <f>IF($B580="","",DATE(YEAR('Calendario D'!$F34),MONTH('Calendario D'!$F34),DAY('Calendario D'!$F34)))</f>
        <v/>
      </c>
      <c r="F580" s="223">
        <f>IF($B580="","",TIME(HOUR('Calendario D'!$F34)+2,MINUTE('Calendario D'!$F34),0))</f>
        <v/>
      </c>
      <c r="G580" s="68">
        <f>IF($B580="","",'Calendario D'!$B35)</f>
        <v/>
      </c>
      <c r="H580" s="68">
        <f>IF($B580="","",Campionato!$D$2&amp;" "&amp;Campionato!$D$6)</f>
        <v/>
      </c>
      <c r="I580" s="68" t="n"/>
    </row>
    <row r="581">
      <c r="A581" s="68">
        <f>IF($B581="","","BEGIN:VEVENT
DTSTAMP:"&amp;TEXT(NOW(),"yyyymmdd")&amp;"T000001Z
UID:evt580@ClaudeCoworkBaskin
DTSTART;TZID=Europe/Rome:"&amp;TEXT($C581,"yyyymmdd")&amp;"T"&amp;TEXT($D581,"hhmmss")&amp;"
DTEND;TZID=Europe/Rome:"&amp;TEXT($E581,"yyyymmdd")&amp;"T"&amp;TEXT($F581,"hhmmss")&amp;"
SUMMARY:"&amp;$B581&amp;"
LOCATION:"&amp;$G581&amp;"
DESCRIPTION:"&amp;$H581&amp;"
END:VEVENT")</f>
        <v/>
      </c>
      <c r="B581" s="68">
        <f>IF('Calendario D'!$B37="","",'Calendario D'!$B37&amp;" vs "&amp;'Calendario D'!$D37&amp;" "&amp;'Calendario D'!$AC37)</f>
        <v/>
      </c>
      <c r="C581" s="222">
        <f>IF($B581="","",DATE(YEAR('Calendario D'!$F37),MONTH('Calendario D'!$F37),DAY('Calendario D'!$F37)))</f>
        <v/>
      </c>
      <c r="D581" s="223">
        <f>IF($B581="","",TIME(HOUR('Calendario D'!$F37),MINUTE('Calendario D'!$F37),0))</f>
        <v/>
      </c>
      <c r="E581" s="222">
        <f>IF($B581="","",DATE(YEAR('Calendario D'!$F37),MONTH('Calendario D'!$F37),DAY('Calendario D'!$F37)))</f>
        <v/>
      </c>
      <c r="F581" s="223">
        <f>IF($B581="","",TIME(HOUR('Calendario D'!$F37)+2,MINUTE('Calendario D'!$F37),0))</f>
        <v/>
      </c>
      <c r="G581" s="68">
        <f>IF($B581="","",'Calendario D'!$B38)</f>
        <v/>
      </c>
      <c r="H581" s="68">
        <f>IF($B581="","",Campionato!$D$2&amp;" "&amp;Campionato!$D$6)</f>
        <v/>
      </c>
      <c r="I581" s="68" t="n"/>
    </row>
    <row r="582">
      <c r="A582" s="68">
        <f>IF($B582="","","BEGIN:VEVENT
DTSTAMP:"&amp;TEXT(NOW(),"yyyymmdd")&amp;"T000001Z
UID:evt581@ClaudeCoworkBaskin
DTSTART;TZID=Europe/Rome:"&amp;TEXT($C582,"yyyymmdd")&amp;"T"&amp;TEXT($D582,"hhmmss")&amp;"
DTEND;TZID=Europe/Rome:"&amp;TEXT($E582,"yyyymmdd")&amp;"T"&amp;TEXT($F582,"hhmmss")&amp;"
SUMMARY:"&amp;$B582&amp;"
LOCATION:"&amp;$G582&amp;"
DESCRIPTION:"&amp;$H582&amp;"
END:VEVENT")</f>
        <v/>
      </c>
      <c r="B582" s="68">
        <f>IF('Calendario D'!$B42="","",'Calendario D'!$B42&amp;" vs "&amp;'Calendario D'!$D42&amp;" "&amp;'Calendario D'!$AC42)</f>
        <v/>
      </c>
      <c r="C582" s="222">
        <f>IF($B582="","",DATE(YEAR('Calendario D'!$F42),MONTH('Calendario D'!$F42),DAY('Calendario D'!$F42)))</f>
        <v/>
      </c>
      <c r="D582" s="223">
        <f>IF($B582="","",TIME(HOUR('Calendario D'!$F42),MINUTE('Calendario D'!$F42),0))</f>
        <v/>
      </c>
      <c r="E582" s="222">
        <f>IF($B582="","",DATE(YEAR('Calendario D'!$F42),MONTH('Calendario D'!$F42),DAY('Calendario D'!$F42)))</f>
        <v/>
      </c>
      <c r="F582" s="223">
        <f>IF($B582="","",TIME(HOUR('Calendario D'!$F42)+2,MINUTE('Calendario D'!$F42),0))</f>
        <v/>
      </c>
      <c r="G582" s="68">
        <f>IF($B582="","",'Calendario D'!$B43)</f>
        <v/>
      </c>
      <c r="H582" s="68">
        <f>IF($B582="","",Campionato!$D$2&amp;" "&amp;Campionato!$D$6)</f>
        <v/>
      </c>
      <c r="I582" s="68" t="n"/>
    </row>
    <row r="583">
      <c r="A583" s="68">
        <f>IF($B583="","","BEGIN:VEVENT
DTSTAMP:"&amp;TEXT(NOW(),"yyyymmdd")&amp;"T000001Z
UID:evt582@ClaudeCoworkBaskin
DTSTART;TZID=Europe/Rome:"&amp;TEXT($C583,"yyyymmdd")&amp;"T"&amp;TEXT($D583,"hhmmss")&amp;"
DTEND;TZID=Europe/Rome:"&amp;TEXT($E583,"yyyymmdd")&amp;"T"&amp;TEXT($F583,"hhmmss")&amp;"
SUMMARY:"&amp;$B583&amp;"
LOCATION:"&amp;$G583&amp;"
DESCRIPTION:"&amp;$H583&amp;"
END:VEVENT")</f>
        <v/>
      </c>
      <c r="B583" s="68">
        <f>IF('Calendario D'!$B45="","",'Calendario D'!$B45&amp;" vs "&amp;'Calendario D'!$D45&amp;" "&amp;'Calendario D'!$AC45)</f>
        <v/>
      </c>
      <c r="C583" s="222">
        <f>IF($B583="","",DATE(YEAR('Calendario D'!$F45),MONTH('Calendario D'!$F45),DAY('Calendario D'!$F45)))</f>
        <v/>
      </c>
      <c r="D583" s="223">
        <f>IF($B583="","",TIME(HOUR('Calendario D'!$F45),MINUTE('Calendario D'!$F45),0))</f>
        <v/>
      </c>
      <c r="E583" s="222">
        <f>IF($B583="","",DATE(YEAR('Calendario D'!$F45),MONTH('Calendario D'!$F45),DAY('Calendario D'!$F45)))</f>
        <v/>
      </c>
      <c r="F583" s="223">
        <f>IF($B583="","",TIME(HOUR('Calendario D'!$F45)+2,MINUTE('Calendario D'!$F45),0))</f>
        <v/>
      </c>
      <c r="G583" s="68">
        <f>IF($B583="","",'Calendario D'!$B46)</f>
        <v/>
      </c>
      <c r="H583" s="68">
        <f>IF($B583="","",Campionato!$D$2&amp;" "&amp;Campionato!$D$6)</f>
        <v/>
      </c>
      <c r="I583" s="68" t="n"/>
    </row>
    <row r="584">
      <c r="A584" s="68">
        <f>IF($B584="","","BEGIN:VEVENT
DTSTAMP:"&amp;TEXT(NOW(),"yyyymmdd")&amp;"T000001Z
UID:evt583@ClaudeCoworkBaskin
DTSTART;TZID=Europe/Rome:"&amp;TEXT($C584,"yyyymmdd")&amp;"T"&amp;TEXT($D584,"hhmmss")&amp;"
DTEND;TZID=Europe/Rome:"&amp;TEXT($E584,"yyyymmdd")&amp;"T"&amp;TEXT($F584,"hhmmss")&amp;"
SUMMARY:"&amp;$B584&amp;"
LOCATION:"&amp;$G584&amp;"
DESCRIPTION:"&amp;$H584&amp;"
END:VEVENT")</f>
        <v/>
      </c>
      <c r="B584" s="68">
        <f>IF('Calendario D'!$B48="","",'Calendario D'!$B48&amp;" vs "&amp;'Calendario D'!$D48&amp;" "&amp;'Calendario D'!$AC48)</f>
        <v/>
      </c>
      <c r="C584" s="222">
        <f>IF($B584="","",DATE(YEAR('Calendario D'!$F48),MONTH('Calendario D'!$F48),DAY('Calendario D'!$F48)))</f>
        <v/>
      </c>
      <c r="D584" s="223">
        <f>IF($B584="","",TIME(HOUR('Calendario D'!$F48),MINUTE('Calendario D'!$F48),0))</f>
        <v/>
      </c>
      <c r="E584" s="222">
        <f>IF($B584="","",DATE(YEAR('Calendario D'!$F48),MONTH('Calendario D'!$F48),DAY('Calendario D'!$F48)))</f>
        <v/>
      </c>
      <c r="F584" s="223">
        <f>IF($B584="","",TIME(HOUR('Calendario D'!$F48)+2,MINUTE('Calendario D'!$F48),0))</f>
        <v/>
      </c>
      <c r="G584" s="68">
        <f>IF($B584="","",'Calendario D'!$B49)</f>
        <v/>
      </c>
      <c r="H584" s="68">
        <f>IF($B584="","",Campionato!$D$2&amp;" "&amp;Campionato!$D$6)</f>
        <v/>
      </c>
      <c r="I584" s="68" t="n"/>
    </row>
    <row r="585">
      <c r="A585" s="68">
        <f>IF($B585="","","BEGIN:VEVENT
DTSTAMP:"&amp;TEXT(NOW(),"yyyymmdd")&amp;"T000001Z
UID:evt584@ClaudeCoworkBaskin
DTSTART;TZID=Europe/Rome:"&amp;TEXT($C585,"yyyymmdd")&amp;"T"&amp;TEXT($D585,"hhmmss")&amp;"
DTEND;TZID=Europe/Rome:"&amp;TEXT($E585,"yyyymmdd")&amp;"T"&amp;TEXT($F585,"hhmmss")&amp;"
SUMMARY:"&amp;$B585&amp;"
LOCATION:"&amp;$G585&amp;"
DESCRIPTION:"&amp;$H585&amp;"
END:VEVENT")</f>
        <v/>
      </c>
      <c r="B585" s="68">
        <f>IF('Calendario D'!$B51="","",'Calendario D'!$B51&amp;" vs "&amp;'Calendario D'!$D51&amp;" "&amp;'Calendario D'!$AC51)</f>
        <v/>
      </c>
      <c r="C585" s="222">
        <f>IF($B585="","",DATE(YEAR('Calendario D'!$F51),MONTH('Calendario D'!$F51),DAY('Calendario D'!$F51)))</f>
        <v/>
      </c>
      <c r="D585" s="223">
        <f>IF($B585="","",TIME(HOUR('Calendario D'!$F51),MINUTE('Calendario D'!$F51),0))</f>
        <v/>
      </c>
      <c r="E585" s="222">
        <f>IF($B585="","",DATE(YEAR('Calendario D'!$F51),MONTH('Calendario D'!$F51),DAY('Calendario D'!$F51)))</f>
        <v/>
      </c>
      <c r="F585" s="223">
        <f>IF($B585="","",TIME(HOUR('Calendario D'!$F51)+2,MINUTE('Calendario D'!$F51),0))</f>
        <v/>
      </c>
      <c r="G585" s="68">
        <f>IF($B585="","",'Calendario D'!$B52)</f>
        <v/>
      </c>
      <c r="H585" s="68">
        <f>IF($B585="","",Campionato!$D$2&amp;" "&amp;Campionato!$D$6)</f>
        <v/>
      </c>
      <c r="I585" s="68" t="n"/>
    </row>
    <row r="586">
      <c r="A586" s="68">
        <f>IF($B586="","","BEGIN:VEVENT
DTSTAMP:"&amp;TEXT(NOW(),"yyyymmdd")&amp;"T000001Z
UID:evt585@ClaudeCoworkBaskin
DTSTART;TZID=Europe/Rome:"&amp;TEXT($C586,"yyyymmdd")&amp;"T"&amp;TEXT($D586,"hhmmss")&amp;"
DTEND;TZID=Europe/Rome:"&amp;TEXT($E586,"yyyymmdd")&amp;"T"&amp;TEXT($F586,"hhmmss")&amp;"
SUMMARY:"&amp;$B586&amp;"
LOCATION:"&amp;$G586&amp;"
DESCRIPTION:"&amp;$H586&amp;"
END:VEVENT")</f>
        <v/>
      </c>
      <c r="B586" s="68">
        <f>IF('Calendario D'!$B54="","",'Calendario D'!$B54&amp;" vs "&amp;'Calendario D'!$D54&amp;" "&amp;'Calendario D'!$AC54)</f>
        <v/>
      </c>
      <c r="C586" s="222">
        <f>IF($B586="","",DATE(YEAR('Calendario D'!$F54),MONTH('Calendario D'!$F54),DAY('Calendario D'!$F54)))</f>
        <v/>
      </c>
      <c r="D586" s="223">
        <f>IF($B586="","",TIME(HOUR('Calendario D'!$F54),MINUTE('Calendario D'!$F54),0))</f>
        <v/>
      </c>
      <c r="E586" s="222">
        <f>IF($B586="","",DATE(YEAR('Calendario D'!$F54),MONTH('Calendario D'!$F54),DAY('Calendario D'!$F54)))</f>
        <v/>
      </c>
      <c r="F586" s="223">
        <f>IF($B586="","",TIME(HOUR('Calendario D'!$F54)+2,MINUTE('Calendario D'!$F54),0))</f>
        <v/>
      </c>
      <c r="G586" s="68">
        <f>IF($B586="","",'Calendario D'!$B55)</f>
        <v/>
      </c>
      <c r="H586" s="68">
        <f>IF($B586="","",Campionato!$D$2&amp;" "&amp;Campionato!$D$6)</f>
        <v/>
      </c>
      <c r="I586" s="68" t="n"/>
    </row>
    <row r="587">
      <c r="A587" s="68">
        <f>IF($B587="","","BEGIN:VEVENT
DTSTAMP:"&amp;TEXT(NOW(),"yyyymmdd")&amp;"T000001Z
UID:evt586@ClaudeCoworkBaskin
DTSTART;TZID=Europe/Rome:"&amp;TEXT($C587,"yyyymmdd")&amp;"T"&amp;TEXT($D587,"hhmmss")&amp;"
DTEND;TZID=Europe/Rome:"&amp;TEXT($E587,"yyyymmdd")&amp;"T"&amp;TEXT($F587,"hhmmss")&amp;"
SUMMARY:"&amp;$B587&amp;"
LOCATION:"&amp;$G587&amp;"
DESCRIPTION:"&amp;$H587&amp;"
END:VEVENT")</f>
        <v/>
      </c>
      <c r="B587" s="68">
        <f>IF('Calendario D'!$B57="","",'Calendario D'!$B57&amp;" vs "&amp;'Calendario D'!$D57&amp;" "&amp;'Calendario D'!$AC57)</f>
        <v/>
      </c>
      <c r="C587" s="222">
        <f>IF($B587="","",DATE(YEAR('Calendario D'!$F57),MONTH('Calendario D'!$F57),DAY('Calendario D'!$F57)))</f>
        <v/>
      </c>
      <c r="D587" s="223">
        <f>IF($B587="","",TIME(HOUR('Calendario D'!$F57),MINUTE('Calendario D'!$F57),0))</f>
        <v/>
      </c>
      <c r="E587" s="222">
        <f>IF($B587="","",DATE(YEAR('Calendario D'!$F57),MONTH('Calendario D'!$F57),DAY('Calendario D'!$F57)))</f>
        <v/>
      </c>
      <c r="F587" s="223">
        <f>IF($B587="","",TIME(HOUR('Calendario D'!$F57)+2,MINUTE('Calendario D'!$F57),0))</f>
        <v/>
      </c>
      <c r="G587" s="68">
        <f>IF($B587="","",'Calendario D'!$B58)</f>
        <v/>
      </c>
      <c r="H587" s="68">
        <f>IF($B587="","",Campionato!$D$2&amp;" "&amp;Campionato!$D$6)</f>
        <v/>
      </c>
      <c r="I587" s="68" t="n"/>
    </row>
    <row r="588">
      <c r="A588" s="68">
        <f>IF($B588="","","BEGIN:VEVENT
DTSTAMP:"&amp;TEXT(NOW(),"yyyymmdd")&amp;"T000001Z
UID:evt587@ClaudeCoworkBaskin
DTSTART;TZID=Europe/Rome:"&amp;TEXT($C588,"yyyymmdd")&amp;"T"&amp;TEXT($D588,"hhmmss")&amp;"
DTEND;TZID=Europe/Rome:"&amp;TEXT($E588,"yyyymmdd")&amp;"T"&amp;TEXT($F588,"hhmmss")&amp;"
SUMMARY:"&amp;$B588&amp;"
LOCATION:"&amp;$G588&amp;"
DESCRIPTION:"&amp;$H588&amp;"
END:VEVENT")</f>
        <v/>
      </c>
      <c r="B588" s="68">
        <f>IF('Calendario D'!$B60="","",'Calendario D'!$B60&amp;" vs "&amp;'Calendario D'!$D60&amp;" "&amp;'Calendario D'!$AC60)</f>
        <v/>
      </c>
      <c r="C588" s="222">
        <f>IF($B588="","",DATE(YEAR('Calendario D'!$F60),MONTH('Calendario D'!$F60),DAY('Calendario D'!$F60)))</f>
        <v/>
      </c>
      <c r="D588" s="223">
        <f>IF($B588="","",TIME(HOUR('Calendario D'!$F60),MINUTE('Calendario D'!$F60),0))</f>
        <v/>
      </c>
      <c r="E588" s="222">
        <f>IF($B588="","",DATE(YEAR('Calendario D'!$F60),MONTH('Calendario D'!$F60),DAY('Calendario D'!$F60)))</f>
        <v/>
      </c>
      <c r="F588" s="223">
        <f>IF($B588="","",TIME(HOUR('Calendario D'!$F60)+2,MINUTE('Calendario D'!$F60),0))</f>
        <v/>
      </c>
      <c r="G588" s="68">
        <f>IF($B588="","",'Calendario D'!$B61)</f>
        <v/>
      </c>
      <c r="H588" s="68">
        <f>IF($B588="","",Campionato!$D$2&amp;" "&amp;Campionato!$D$6)</f>
        <v/>
      </c>
      <c r="I588" s="68" t="n"/>
    </row>
    <row r="589">
      <c r="A589" s="68">
        <f>IF($B589="","","BEGIN:VEVENT
DTSTAMP:"&amp;TEXT(NOW(),"yyyymmdd")&amp;"T000001Z
UID:evt588@ClaudeCoworkBaskin
DTSTART;TZID=Europe/Rome:"&amp;TEXT($C589,"yyyymmdd")&amp;"T"&amp;TEXT($D589,"hhmmss")&amp;"
DTEND;TZID=Europe/Rome:"&amp;TEXT($E589,"yyyymmdd")&amp;"T"&amp;TEXT($F589,"hhmmss")&amp;"
SUMMARY:"&amp;$B589&amp;"
LOCATION:"&amp;$G589&amp;"
DESCRIPTION:"&amp;$H589&amp;"
END:VEVENT")</f>
        <v/>
      </c>
      <c r="B589" s="68">
        <f>IF('Calendario D'!$B63="","",'Calendario D'!$B63&amp;" vs "&amp;'Calendario D'!$D63&amp;" "&amp;'Calendario D'!$AC63)</f>
        <v/>
      </c>
      <c r="C589" s="222">
        <f>IF($B589="","",DATE(YEAR('Calendario D'!$F63),MONTH('Calendario D'!$F63),DAY('Calendario D'!$F63)))</f>
        <v/>
      </c>
      <c r="D589" s="223">
        <f>IF($B589="","",TIME(HOUR('Calendario D'!$F63),MINUTE('Calendario D'!$F63),0))</f>
        <v/>
      </c>
      <c r="E589" s="222">
        <f>IF($B589="","",DATE(YEAR('Calendario D'!$F63),MONTH('Calendario D'!$F63),DAY('Calendario D'!$F63)))</f>
        <v/>
      </c>
      <c r="F589" s="223">
        <f>IF($B589="","",TIME(HOUR('Calendario D'!$F63)+2,MINUTE('Calendario D'!$F63),0))</f>
        <v/>
      </c>
      <c r="G589" s="68">
        <f>IF($B589="","",'Calendario D'!$B64)</f>
        <v/>
      </c>
      <c r="H589" s="68">
        <f>IF($B589="","",Campionato!$D$2&amp;" "&amp;Campionato!$D$6)</f>
        <v/>
      </c>
      <c r="I589" s="68" t="n"/>
    </row>
    <row r="590">
      <c r="A590" s="68">
        <f>IF($B590="","","BEGIN:VEVENT
DTSTAMP:"&amp;TEXT(NOW(),"yyyymmdd")&amp;"T000001Z
UID:evt589@ClaudeCoworkBaskin
DTSTART;TZID=Europe/Rome:"&amp;TEXT($C590,"yyyymmdd")&amp;"T"&amp;TEXT($D590,"hhmmss")&amp;"
DTEND;TZID=Europe/Rome:"&amp;TEXT($E590,"yyyymmdd")&amp;"T"&amp;TEXT($F590,"hhmmss")&amp;"
SUMMARY:"&amp;$B590&amp;"
LOCATION:"&amp;$G590&amp;"
DESCRIPTION:"&amp;$H590&amp;"
END:VEVENT")</f>
        <v/>
      </c>
      <c r="B590" s="68">
        <f>IF('Calendario D'!$B66="","",'Calendario D'!$B66&amp;" vs "&amp;'Calendario D'!$D66&amp;" "&amp;'Calendario D'!$AC66)</f>
        <v/>
      </c>
      <c r="C590" s="222">
        <f>IF($B590="","",DATE(YEAR('Calendario D'!$F66),MONTH('Calendario D'!$F66),DAY('Calendario D'!$F66)))</f>
        <v/>
      </c>
      <c r="D590" s="223">
        <f>IF($B590="","",TIME(HOUR('Calendario D'!$F66),MINUTE('Calendario D'!$F66),0))</f>
        <v/>
      </c>
      <c r="E590" s="222">
        <f>IF($B590="","",DATE(YEAR('Calendario D'!$F66),MONTH('Calendario D'!$F66),DAY('Calendario D'!$F66)))</f>
        <v/>
      </c>
      <c r="F590" s="223">
        <f>IF($B590="","",TIME(HOUR('Calendario D'!$F66)+2,MINUTE('Calendario D'!$F66),0))</f>
        <v/>
      </c>
      <c r="G590" s="68">
        <f>IF($B590="","",'Calendario D'!$B67)</f>
        <v/>
      </c>
      <c r="H590" s="68">
        <f>IF($B590="","",Campionato!$D$2&amp;" "&amp;Campionato!$D$6)</f>
        <v/>
      </c>
      <c r="I590" s="68" t="n"/>
    </row>
    <row r="591">
      <c r="A591" s="68">
        <f>IF($B591="","","BEGIN:VEVENT
DTSTAMP:"&amp;TEXT(NOW(),"yyyymmdd")&amp;"T000001Z
UID:evt590@ClaudeCoworkBaskin
DTSTART;TZID=Europe/Rome:"&amp;TEXT($C591,"yyyymmdd")&amp;"T"&amp;TEXT($D591,"hhmmss")&amp;"
DTEND;TZID=Europe/Rome:"&amp;TEXT($E591,"yyyymmdd")&amp;"T"&amp;TEXT($F591,"hhmmss")&amp;"
SUMMARY:"&amp;$B591&amp;"
LOCATION:"&amp;$G591&amp;"
DESCRIPTION:"&amp;$H591&amp;"
END:VEVENT")</f>
        <v/>
      </c>
      <c r="B591" s="68">
        <f>IF('Calendario D'!$B69="","",'Calendario D'!$B69&amp;" vs "&amp;'Calendario D'!$D69&amp;" "&amp;'Calendario D'!$AC69)</f>
        <v/>
      </c>
      <c r="C591" s="222">
        <f>IF($B591="","",DATE(YEAR('Calendario D'!$F69),MONTH('Calendario D'!$F69),DAY('Calendario D'!$F69)))</f>
        <v/>
      </c>
      <c r="D591" s="223">
        <f>IF($B591="","",TIME(HOUR('Calendario D'!$F69),MINUTE('Calendario D'!$F69),0))</f>
        <v/>
      </c>
      <c r="E591" s="222">
        <f>IF($B591="","",DATE(YEAR('Calendario D'!$F69),MONTH('Calendario D'!$F69),DAY('Calendario D'!$F69)))</f>
        <v/>
      </c>
      <c r="F591" s="223">
        <f>IF($B591="","",TIME(HOUR('Calendario D'!$F69)+2,MINUTE('Calendario D'!$F69),0))</f>
        <v/>
      </c>
      <c r="G591" s="68">
        <f>IF($B591="","",'Calendario D'!$B70)</f>
        <v/>
      </c>
      <c r="H591" s="68">
        <f>IF($B591="","",Campionato!$D$2&amp;" "&amp;Campionato!$D$6)</f>
        <v/>
      </c>
      <c r="I591" s="68" t="n"/>
    </row>
    <row r="592">
      <c r="A592" s="68">
        <f>IF($B592="","","BEGIN:VEVENT
DTSTAMP:"&amp;TEXT(NOW(),"yyyymmdd")&amp;"T000001Z
UID:evt591@ClaudeCoworkBaskin
DTSTART;TZID=Europe/Rome:"&amp;TEXT($C592,"yyyymmdd")&amp;"T"&amp;TEXT($D592,"hhmmss")&amp;"
DTEND;TZID=Europe/Rome:"&amp;TEXT($E592,"yyyymmdd")&amp;"T"&amp;TEXT($F592,"hhmmss")&amp;"
SUMMARY:"&amp;$B592&amp;"
LOCATION:"&amp;$G592&amp;"
DESCRIPTION:"&amp;$H592&amp;"
END:VEVENT")</f>
        <v/>
      </c>
      <c r="B592" s="68">
        <f>IF('Calendario D'!$B74="","",'Calendario D'!$B74&amp;" vs "&amp;'Calendario D'!$D74&amp;" "&amp;'Calendario D'!$AC74)</f>
        <v/>
      </c>
      <c r="C592" s="222">
        <f>IF($B592="","",DATE(YEAR('Calendario D'!$F74),MONTH('Calendario D'!$F74),DAY('Calendario D'!$F74)))</f>
        <v/>
      </c>
      <c r="D592" s="223">
        <f>IF($B592="","",TIME(HOUR('Calendario D'!$F74),MINUTE('Calendario D'!$F74),0))</f>
        <v/>
      </c>
      <c r="E592" s="222">
        <f>IF($B592="","",DATE(YEAR('Calendario D'!$F74),MONTH('Calendario D'!$F74),DAY('Calendario D'!$F74)))</f>
        <v/>
      </c>
      <c r="F592" s="223">
        <f>IF($B592="","",TIME(HOUR('Calendario D'!$F74)+2,MINUTE('Calendario D'!$F74),0))</f>
        <v/>
      </c>
      <c r="G592" s="68">
        <f>IF($B592="","",'Calendario D'!$B75)</f>
        <v/>
      </c>
      <c r="H592" s="68">
        <f>IF($B592="","",Campionato!$D$2&amp;" "&amp;Campionato!$D$6)</f>
        <v/>
      </c>
      <c r="I592" s="68" t="n"/>
    </row>
    <row r="593">
      <c r="A593" s="68">
        <f>IF($B593="","","BEGIN:VEVENT
DTSTAMP:"&amp;TEXT(NOW(),"yyyymmdd")&amp;"T000001Z
UID:evt592@ClaudeCoworkBaskin
DTSTART;TZID=Europe/Rome:"&amp;TEXT($C593,"yyyymmdd")&amp;"T"&amp;TEXT($D593,"hhmmss")&amp;"
DTEND;TZID=Europe/Rome:"&amp;TEXT($E593,"yyyymmdd")&amp;"T"&amp;TEXT($F593,"hhmmss")&amp;"
SUMMARY:"&amp;$B593&amp;"
LOCATION:"&amp;$G593&amp;"
DESCRIPTION:"&amp;$H593&amp;"
END:VEVENT")</f>
        <v/>
      </c>
      <c r="B593" s="68">
        <f>IF('Calendario D'!$B77="","",'Calendario D'!$B77&amp;" vs "&amp;'Calendario D'!$D77&amp;" "&amp;'Calendario D'!$AC77)</f>
        <v/>
      </c>
      <c r="C593" s="222">
        <f>IF($B593="","",DATE(YEAR('Calendario D'!$F77),MONTH('Calendario D'!$F77),DAY('Calendario D'!$F77)))</f>
        <v/>
      </c>
      <c r="D593" s="223">
        <f>IF($B593="","",TIME(HOUR('Calendario D'!$F77),MINUTE('Calendario D'!$F77),0))</f>
        <v/>
      </c>
      <c r="E593" s="222">
        <f>IF($B593="","",DATE(YEAR('Calendario D'!$F77),MONTH('Calendario D'!$F77),DAY('Calendario D'!$F77)))</f>
        <v/>
      </c>
      <c r="F593" s="223">
        <f>IF($B593="","",TIME(HOUR('Calendario D'!$F77)+2,MINUTE('Calendario D'!$F77),0))</f>
        <v/>
      </c>
      <c r="G593" s="68">
        <f>IF($B593="","",'Calendario D'!$B78)</f>
        <v/>
      </c>
      <c r="H593" s="68">
        <f>IF($B593="","",Campionato!$D$2&amp;" "&amp;Campionato!$D$6)</f>
        <v/>
      </c>
      <c r="I593" s="68" t="n"/>
    </row>
    <row r="594">
      <c r="A594" s="68">
        <f>IF($B594="","","BEGIN:VEVENT
DTSTAMP:"&amp;TEXT(NOW(),"yyyymmdd")&amp;"T000001Z
UID:evt593@ClaudeCoworkBaskin
DTSTART;TZID=Europe/Rome:"&amp;TEXT($C594,"yyyymmdd")&amp;"T"&amp;TEXT($D594,"hhmmss")&amp;"
DTEND;TZID=Europe/Rome:"&amp;TEXT($E594,"yyyymmdd")&amp;"T"&amp;TEXT($F594,"hhmmss")&amp;"
SUMMARY:"&amp;$B594&amp;"
LOCATION:"&amp;$G594&amp;"
DESCRIPTION:"&amp;$H594&amp;"
END:VEVENT")</f>
        <v/>
      </c>
      <c r="B594" s="68">
        <f>IF('Calendario D'!$B80="","",'Calendario D'!$B80&amp;" vs "&amp;'Calendario D'!$D80&amp;" "&amp;'Calendario D'!$AC80)</f>
        <v/>
      </c>
      <c r="C594" s="222">
        <f>IF($B594="","",DATE(YEAR('Calendario D'!$F80),MONTH('Calendario D'!$F80),DAY('Calendario D'!$F80)))</f>
        <v/>
      </c>
      <c r="D594" s="223">
        <f>IF($B594="","",TIME(HOUR('Calendario D'!$F80),MINUTE('Calendario D'!$F80),0))</f>
        <v/>
      </c>
      <c r="E594" s="222">
        <f>IF($B594="","",DATE(YEAR('Calendario D'!$F80),MONTH('Calendario D'!$F80),DAY('Calendario D'!$F80)))</f>
        <v/>
      </c>
      <c r="F594" s="223">
        <f>IF($B594="","",TIME(HOUR('Calendario D'!$F80)+2,MINUTE('Calendario D'!$F80),0))</f>
        <v/>
      </c>
      <c r="G594" s="68">
        <f>IF($B594="","",'Calendario D'!$B81)</f>
        <v/>
      </c>
      <c r="H594" s="68">
        <f>IF($B594="","",Campionato!$D$2&amp;" "&amp;Campionato!$D$6)</f>
        <v/>
      </c>
      <c r="I594" s="68" t="n"/>
    </row>
    <row r="595">
      <c r="A595" s="68">
        <f>IF($B595="","","BEGIN:VEVENT
DTSTAMP:"&amp;TEXT(NOW(),"yyyymmdd")&amp;"T000001Z
UID:evt594@ClaudeCoworkBaskin
DTSTART;TZID=Europe/Rome:"&amp;TEXT($C595,"yyyymmdd")&amp;"T"&amp;TEXT($D595,"hhmmss")&amp;"
DTEND;TZID=Europe/Rome:"&amp;TEXT($E595,"yyyymmdd")&amp;"T"&amp;TEXT($F595,"hhmmss")&amp;"
SUMMARY:"&amp;$B595&amp;"
LOCATION:"&amp;$G595&amp;"
DESCRIPTION:"&amp;$H595&amp;"
END:VEVENT")</f>
        <v/>
      </c>
      <c r="B595" s="68">
        <f>IF('Calendario D'!$B83="","",'Calendario D'!$B83&amp;" vs "&amp;'Calendario D'!$D83&amp;" "&amp;'Calendario D'!$AC83)</f>
        <v/>
      </c>
      <c r="C595" s="222">
        <f>IF($B595="","",DATE(YEAR('Calendario D'!$F83),MONTH('Calendario D'!$F83),DAY('Calendario D'!$F83)))</f>
        <v/>
      </c>
      <c r="D595" s="223">
        <f>IF($B595="","",TIME(HOUR('Calendario D'!$F83),MINUTE('Calendario D'!$F83),0))</f>
        <v/>
      </c>
      <c r="E595" s="222">
        <f>IF($B595="","",DATE(YEAR('Calendario D'!$F83),MONTH('Calendario D'!$F83),DAY('Calendario D'!$F83)))</f>
        <v/>
      </c>
      <c r="F595" s="223">
        <f>IF($B595="","",TIME(HOUR('Calendario D'!$F83)+2,MINUTE('Calendario D'!$F83),0))</f>
        <v/>
      </c>
      <c r="G595" s="68">
        <f>IF($B595="","",'Calendario D'!$B84)</f>
        <v/>
      </c>
      <c r="H595" s="68">
        <f>IF($B595="","",Campionato!$D$2&amp;" "&amp;Campionato!$D$6)</f>
        <v/>
      </c>
      <c r="I595" s="68" t="n"/>
    </row>
    <row r="596">
      <c r="A596" s="68">
        <f>IF($B596="","","BEGIN:VEVENT
DTSTAMP:"&amp;TEXT(NOW(),"yyyymmdd")&amp;"T000001Z
UID:evt595@ClaudeCoworkBaskin
DTSTART;TZID=Europe/Rome:"&amp;TEXT($C596,"yyyymmdd")&amp;"T"&amp;TEXT($D596,"hhmmss")&amp;"
DTEND;TZID=Europe/Rome:"&amp;TEXT($E596,"yyyymmdd")&amp;"T"&amp;TEXT($F596,"hhmmss")&amp;"
SUMMARY:"&amp;$B596&amp;"
LOCATION:"&amp;$G596&amp;"
DESCRIPTION:"&amp;$H596&amp;"
END:VEVENT")</f>
        <v/>
      </c>
      <c r="B596" s="68">
        <f>IF('Calendario D'!$B86="","",'Calendario D'!$B86&amp;" vs "&amp;'Calendario D'!$D86&amp;" "&amp;'Calendario D'!$AC86)</f>
        <v/>
      </c>
      <c r="C596" s="222">
        <f>IF($B596="","",DATE(YEAR('Calendario D'!$F86),MONTH('Calendario D'!$F86),DAY('Calendario D'!$F86)))</f>
        <v/>
      </c>
      <c r="D596" s="223">
        <f>IF($B596="","",TIME(HOUR('Calendario D'!$F86),MINUTE('Calendario D'!$F86),0))</f>
        <v/>
      </c>
      <c r="E596" s="222">
        <f>IF($B596="","",DATE(YEAR('Calendario D'!$F86),MONTH('Calendario D'!$F86),DAY('Calendario D'!$F86)))</f>
        <v/>
      </c>
      <c r="F596" s="223">
        <f>IF($B596="","",TIME(HOUR('Calendario D'!$F86)+2,MINUTE('Calendario D'!$F86),0))</f>
        <v/>
      </c>
      <c r="G596" s="68">
        <f>IF($B596="","",'Calendario D'!$B87)</f>
        <v/>
      </c>
      <c r="H596" s="68">
        <f>IF($B596="","",Campionato!$D$2&amp;" "&amp;Campionato!$D$6)</f>
        <v/>
      </c>
      <c r="I596" s="68" t="n"/>
    </row>
    <row r="597">
      <c r="A597" s="68">
        <f>IF($B597="","","BEGIN:VEVENT
DTSTAMP:"&amp;TEXT(NOW(),"yyyymmdd")&amp;"T000001Z
UID:evt596@ClaudeCoworkBaskin
DTSTART;TZID=Europe/Rome:"&amp;TEXT($C597,"yyyymmdd")&amp;"T"&amp;TEXT($D597,"hhmmss")&amp;"
DTEND;TZID=Europe/Rome:"&amp;TEXT($E597,"yyyymmdd")&amp;"T"&amp;TEXT($F597,"hhmmss")&amp;"
SUMMARY:"&amp;$B597&amp;"
LOCATION:"&amp;$G597&amp;"
DESCRIPTION:"&amp;$H597&amp;"
END:VEVENT")</f>
        <v/>
      </c>
      <c r="B597" s="68">
        <f>IF('Calendario D'!$B89="","",'Calendario D'!$B89&amp;" vs "&amp;'Calendario D'!$D89&amp;" "&amp;'Calendario D'!$AC89)</f>
        <v/>
      </c>
      <c r="C597" s="222">
        <f>IF($B597="","",DATE(YEAR('Calendario D'!$F89),MONTH('Calendario D'!$F89),DAY('Calendario D'!$F89)))</f>
        <v/>
      </c>
      <c r="D597" s="223">
        <f>IF($B597="","",TIME(HOUR('Calendario D'!$F89),MINUTE('Calendario D'!$F89),0))</f>
        <v/>
      </c>
      <c r="E597" s="222">
        <f>IF($B597="","",DATE(YEAR('Calendario D'!$F89),MONTH('Calendario D'!$F89),DAY('Calendario D'!$F89)))</f>
        <v/>
      </c>
      <c r="F597" s="223">
        <f>IF($B597="","",TIME(HOUR('Calendario D'!$F89)+2,MINUTE('Calendario D'!$F89),0))</f>
        <v/>
      </c>
      <c r="G597" s="68">
        <f>IF($B597="","",'Calendario D'!$B90)</f>
        <v/>
      </c>
      <c r="H597" s="68">
        <f>IF($B597="","",Campionato!$D$2&amp;" "&amp;Campionato!$D$6)</f>
        <v/>
      </c>
      <c r="I597" s="68" t="n"/>
    </row>
    <row r="598">
      <c r="A598" s="68">
        <f>IF($B598="","","BEGIN:VEVENT
DTSTAMP:"&amp;TEXT(NOW(),"yyyymmdd")&amp;"T000001Z
UID:evt597@ClaudeCoworkBaskin
DTSTART;TZID=Europe/Rome:"&amp;TEXT($C598,"yyyymmdd")&amp;"T"&amp;TEXT($D598,"hhmmss")&amp;"
DTEND;TZID=Europe/Rome:"&amp;TEXT($E598,"yyyymmdd")&amp;"T"&amp;TEXT($F598,"hhmmss")&amp;"
SUMMARY:"&amp;$B598&amp;"
LOCATION:"&amp;$G598&amp;"
DESCRIPTION:"&amp;$H598&amp;"
END:VEVENT")</f>
        <v/>
      </c>
      <c r="B598" s="68">
        <f>IF('Calendario D'!$B92="","",'Calendario D'!$B92&amp;" vs "&amp;'Calendario D'!$D92&amp;" "&amp;'Calendario D'!$AC92)</f>
        <v/>
      </c>
      <c r="C598" s="222">
        <f>IF($B598="","",DATE(YEAR('Calendario D'!$F92),MONTH('Calendario D'!$F92),DAY('Calendario D'!$F92)))</f>
        <v/>
      </c>
      <c r="D598" s="223">
        <f>IF($B598="","",TIME(HOUR('Calendario D'!$F92),MINUTE('Calendario D'!$F92),0))</f>
        <v/>
      </c>
      <c r="E598" s="222">
        <f>IF($B598="","",DATE(YEAR('Calendario D'!$F92),MONTH('Calendario D'!$F92),DAY('Calendario D'!$F92)))</f>
        <v/>
      </c>
      <c r="F598" s="223">
        <f>IF($B598="","",TIME(HOUR('Calendario D'!$F92)+2,MINUTE('Calendario D'!$F92),0))</f>
        <v/>
      </c>
      <c r="G598" s="68">
        <f>IF($B598="","",'Calendario D'!$B93)</f>
        <v/>
      </c>
      <c r="H598" s="68">
        <f>IF($B598="","",Campionato!$D$2&amp;" "&amp;Campionato!$D$6)</f>
        <v/>
      </c>
      <c r="I598" s="68" t="n"/>
    </row>
    <row r="599">
      <c r="A599" s="68">
        <f>IF($B599="","","BEGIN:VEVENT
DTSTAMP:"&amp;TEXT(NOW(),"yyyymmdd")&amp;"T000001Z
UID:evt598@ClaudeCoworkBaskin
DTSTART;TZID=Europe/Rome:"&amp;TEXT($C599,"yyyymmdd")&amp;"T"&amp;TEXT($D599,"hhmmss")&amp;"
DTEND;TZID=Europe/Rome:"&amp;TEXT($E599,"yyyymmdd")&amp;"T"&amp;TEXT($F599,"hhmmss")&amp;"
SUMMARY:"&amp;$B599&amp;"
LOCATION:"&amp;$G599&amp;"
DESCRIPTION:"&amp;$H599&amp;"
END:VEVENT")</f>
        <v/>
      </c>
      <c r="B599" s="68">
        <f>IF('Calendario D'!$B95="","",'Calendario D'!$B95&amp;" vs "&amp;'Calendario D'!$D95&amp;" "&amp;'Calendario D'!$AC95)</f>
        <v/>
      </c>
      <c r="C599" s="222">
        <f>IF($B599="","",DATE(YEAR('Calendario D'!$F95),MONTH('Calendario D'!$F95),DAY('Calendario D'!$F95)))</f>
        <v/>
      </c>
      <c r="D599" s="223">
        <f>IF($B599="","",TIME(HOUR('Calendario D'!$F95),MINUTE('Calendario D'!$F95),0))</f>
        <v/>
      </c>
      <c r="E599" s="222">
        <f>IF($B599="","",DATE(YEAR('Calendario D'!$F95),MONTH('Calendario D'!$F95),DAY('Calendario D'!$F95)))</f>
        <v/>
      </c>
      <c r="F599" s="223">
        <f>IF($B599="","",TIME(HOUR('Calendario D'!$F95)+2,MINUTE('Calendario D'!$F95),0))</f>
        <v/>
      </c>
      <c r="G599" s="68">
        <f>IF($B599="","",'Calendario D'!$B96)</f>
        <v/>
      </c>
      <c r="H599" s="68">
        <f>IF($B599="","",Campionato!$D$2&amp;" "&amp;Campionato!$D$6)</f>
        <v/>
      </c>
      <c r="I599" s="68" t="n"/>
    </row>
    <row r="600">
      <c r="A600" s="68">
        <f>IF($B600="","","BEGIN:VEVENT
DTSTAMP:"&amp;TEXT(NOW(),"yyyymmdd")&amp;"T000001Z
UID:evt599@ClaudeCoworkBaskin
DTSTART;TZID=Europe/Rome:"&amp;TEXT($C600,"yyyymmdd")&amp;"T"&amp;TEXT($D600,"hhmmss")&amp;"
DTEND;TZID=Europe/Rome:"&amp;TEXT($E600,"yyyymmdd")&amp;"T"&amp;TEXT($F600,"hhmmss")&amp;"
SUMMARY:"&amp;$B600&amp;"
LOCATION:"&amp;$G600&amp;"
DESCRIPTION:"&amp;$H600&amp;"
END:VEVENT")</f>
        <v/>
      </c>
      <c r="B600" s="68">
        <f>IF('Calendario D'!$B98="","",'Calendario D'!$B98&amp;" vs "&amp;'Calendario D'!$D98&amp;" "&amp;'Calendario D'!$AC98)</f>
        <v/>
      </c>
      <c r="C600" s="222">
        <f>IF($B600="","",DATE(YEAR('Calendario D'!$F98),MONTH('Calendario D'!$F98),DAY('Calendario D'!$F98)))</f>
        <v/>
      </c>
      <c r="D600" s="223">
        <f>IF($B600="","",TIME(HOUR('Calendario D'!$F98),MINUTE('Calendario D'!$F98),0))</f>
        <v/>
      </c>
      <c r="E600" s="222">
        <f>IF($B600="","",DATE(YEAR('Calendario D'!$F98),MONTH('Calendario D'!$F98),DAY('Calendario D'!$F98)))</f>
        <v/>
      </c>
      <c r="F600" s="223">
        <f>IF($B600="","",TIME(HOUR('Calendario D'!$F98)+2,MINUTE('Calendario D'!$F98),0))</f>
        <v/>
      </c>
      <c r="G600" s="68">
        <f>IF($B600="","",'Calendario D'!$B99)</f>
        <v/>
      </c>
      <c r="H600" s="68">
        <f>IF($B600="","",Campionato!$D$2&amp;" "&amp;Campionato!$D$6)</f>
        <v/>
      </c>
      <c r="I600" s="68" t="n"/>
    </row>
    <row r="601">
      <c r="A601" s="68">
        <f>IF($B601="","","BEGIN:VEVENT
DTSTAMP:"&amp;TEXT(NOW(),"yyyymmdd")&amp;"T000001Z
UID:evt600@ClaudeCoworkBaskin
DTSTART;TZID=Europe/Rome:"&amp;TEXT($C601,"yyyymmdd")&amp;"T"&amp;TEXT($D601,"hhmmss")&amp;"
DTEND;TZID=Europe/Rome:"&amp;TEXT($E601,"yyyymmdd")&amp;"T"&amp;TEXT($F601,"hhmmss")&amp;"
SUMMARY:"&amp;$B601&amp;"
LOCATION:"&amp;$G601&amp;"
DESCRIPTION:"&amp;$H601&amp;"
END:VEVENT")</f>
        <v/>
      </c>
      <c r="B601" s="68">
        <f>IF('Calendario D'!$B101="","",'Calendario D'!$B101&amp;" vs "&amp;'Calendario D'!$D101&amp;" "&amp;'Calendario D'!$AC101)</f>
        <v/>
      </c>
      <c r="C601" s="222">
        <f>IF($B601="","",DATE(YEAR('Calendario D'!$F101),MONTH('Calendario D'!$F101),DAY('Calendario D'!$F101)))</f>
        <v/>
      </c>
      <c r="D601" s="223">
        <f>IF($B601="","",TIME(HOUR('Calendario D'!$F101),MINUTE('Calendario D'!$F101),0))</f>
        <v/>
      </c>
      <c r="E601" s="222">
        <f>IF($B601="","",DATE(YEAR('Calendario D'!$F101),MONTH('Calendario D'!$F101),DAY('Calendario D'!$F101)))</f>
        <v/>
      </c>
      <c r="F601" s="223">
        <f>IF($B601="","",TIME(HOUR('Calendario D'!$F101)+2,MINUTE('Calendario D'!$F101),0))</f>
        <v/>
      </c>
      <c r="G601" s="68">
        <f>IF($B601="","",'Calendario D'!$B102)</f>
        <v/>
      </c>
      <c r="H601" s="68">
        <f>IF($B601="","",Campionato!$D$2&amp;" "&amp;Campionato!$D$6)</f>
        <v/>
      </c>
      <c r="I601" s="68" t="n"/>
    </row>
    <row r="602">
      <c r="A602" s="68">
        <f>IF($B602="","","BEGIN:VEVENT
DTSTAMP:"&amp;TEXT(NOW(),"yyyymmdd")&amp;"T000001Z
UID:evt601@ClaudeCoworkBaskin
DTSTART;TZID=Europe/Rome:"&amp;TEXT($C602,"yyyymmdd")&amp;"T"&amp;TEXT($D602,"hhmmss")&amp;"
DTEND;TZID=Europe/Rome:"&amp;TEXT($E602,"yyyymmdd")&amp;"T"&amp;TEXT($F602,"hhmmss")&amp;"
SUMMARY:"&amp;$B602&amp;"
LOCATION:"&amp;$G602&amp;"
DESCRIPTION:"&amp;$H602&amp;"
END:VEVENT")</f>
        <v/>
      </c>
      <c r="B602" s="68">
        <f>IF('Calendario D'!$B106="","",'Calendario D'!$B106&amp;" vs "&amp;'Calendario D'!$D106&amp;" "&amp;'Calendario D'!$AC106)</f>
        <v/>
      </c>
      <c r="C602" s="222">
        <f>IF($B602="","",DATE(YEAR('Calendario D'!$F106),MONTH('Calendario D'!$F106),DAY('Calendario D'!$F106)))</f>
        <v/>
      </c>
      <c r="D602" s="223">
        <f>IF($B602="","",TIME(HOUR('Calendario D'!$F106),MINUTE('Calendario D'!$F106),0))</f>
        <v/>
      </c>
      <c r="E602" s="222">
        <f>IF($B602="","",DATE(YEAR('Calendario D'!$F106),MONTH('Calendario D'!$F106),DAY('Calendario D'!$F106)))</f>
        <v/>
      </c>
      <c r="F602" s="223">
        <f>IF($B602="","",TIME(HOUR('Calendario D'!$F106)+2,MINUTE('Calendario D'!$F106),0))</f>
        <v/>
      </c>
      <c r="G602" s="68">
        <f>IF($B602="","",'Calendario D'!$B107)</f>
        <v/>
      </c>
      <c r="H602" s="68">
        <f>IF($B602="","",Campionato!$D$2&amp;" "&amp;Campionato!$D$6)</f>
        <v/>
      </c>
      <c r="I602" s="68" t="n"/>
    </row>
    <row r="603">
      <c r="A603" s="68">
        <f>IF($B603="","","BEGIN:VEVENT
DTSTAMP:"&amp;TEXT(NOW(),"yyyymmdd")&amp;"T000001Z
UID:evt602@ClaudeCoworkBaskin
DTSTART;TZID=Europe/Rome:"&amp;TEXT($C603,"yyyymmdd")&amp;"T"&amp;TEXT($D603,"hhmmss")&amp;"
DTEND;TZID=Europe/Rome:"&amp;TEXT($E603,"yyyymmdd")&amp;"T"&amp;TEXT($F603,"hhmmss")&amp;"
SUMMARY:"&amp;$B603&amp;"
LOCATION:"&amp;$G603&amp;"
DESCRIPTION:"&amp;$H603&amp;"
END:VEVENT")</f>
        <v/>
      </c>
      <c r="B603" s="68">
        <f>IF('Calendario D'!$B109="","",'Calendario D'!$B109&amp;" vs "&amp;'Calendario D'!$D109&amp;" "&amp;'Calendario D'!$AC109)</f>
        <v/>
      </c>
      <c r="C603" s="222">
        <f>IF($B603="","",DATE(YEAR('Calendario D'!$F109),MONTH('Calendario D'!$F109),DAY('Calendario D'!$F109)))</f>
        <v/>
      </c>
      <c r="D603" s="223">
        <f>IF($B603="","",TIME(HOUR('Calendario D'!$F109),MINUTE('Calendario D'!$F109),0))</f>
        <v/>
      </c>
      <c r="E603" s="222">
        <f>IF($B603="","",DATE(YEAR('Calendario D'!$F109),MONTH('Calendario D'!$F109),DAY('Calendario D'!$F109)))</f>
        <v/>
      </c>
      <c r="F603" s="223">
        <f>IF($B603="","",TIME(HOUR('Calendario D'!$F109)+2,MINUTE('Calendario D'!$F109),0))</f>
        <v/>
      </c>
      <c r="G603" s="68">
        <f>IF($B603="","",'Calendario D'!$B110)</f>
        <v/>
      </c>
      <c r="H603" s="68">
        <f>IF($B603="","",Campionato!$D$2&amp;" "&amp;Campionato!$D$6)</f>
        <v/>
      </c>
      <c r="I603" s="68" t="n"/>
    </row>
    <row r="604">
      <c r="A604" s="68">
        <f>IF($B604="","","BEGIN:VEVENT
DTSTAMP:"&amp;TEXT(NOW(),"yyyymmdd")&amp;"T000001Z
UID:evt603@ClaudeCoworkBaskin
DTSTART;TZID=Europe/Rome:"&amp;TEXT($C604,"yyyymmdd")&amp;"T"&amp;TEXT($D604,"hhmmss")&amp;"
DTEND;TZID=Europe/Rome:"&amp;TEXT($E604,"yyyymmdd")&amp;"T"&amp;TEXT($F604,"hhmmss")&amp;"
SUMMARY:"&amp;$B604&amp;"
LOCATION:"&amp;$G604&amp;"
DESCRIPTION:"&amp;$H604&amp;"
END:VEVENT")</f>
        <v/>
      </c>
      <c r="B604" s="68">
        <f>IF('Calendario D'!$B112="","",'Calendario D'!$B112&amp;" vs "&amp;'Calendario D'!$D112&amp;" "&amp;'Calendario D'!$AC112)</f>
        <v/>
      </c>
      <c r="C604" s="222">
        <f>IF($B604="","",DATE(YEAR('Calendario D'!$F112),MONTH('Calendario D'!$F112),DAY('Calendario D'!$F112)))</f>
        <v/>
      </c>
      <c r="D604" s="223">
        <f>IF($B604="","",TIME(HOUR('Calendario D'!$F112),MINUTE('Calendario D'!$F112),0))</f>
        <v/>
      </c>
      <c r="E604" s="222">
        <f>IF($B604="","",DATE(YEAR('Calendario D'!$F112),MONTH('Calendario D'!$F112),DAY('Calendario D'!$F112)))</f>
        <v/>
      </c>
      <c r="F604" s="223">
        <f>IF($B604="","",TIME(HOUR('Calendario D'!$F112)+2,MINUTE('Calendario D'!$F112),0))</f>
        <v/>
      </c>
      <c r="G604" s="68">
        <f>IF($B604="","",'Calendario D'!$B113)</f>
        <v/>
      </c>
      <c r="H604" s="68">
        <f>IF($B604="","",Campionato!$D$2&amp;" "&amp;Campionato!$D$6)</f>
        <v/>
      </c>
      <c r="I604" s="68" t="n"/>
    </row>
    <row r="605">
      <c r="A605" s="68">
        <f>IF($B605="","","BEGIN:VEVENT
DTSTAMP:"&amp;TEXT(NOW(),"yyyymmdd")&amp;"T000001Z
UID:evt604@ClaudeCoworkBaskin
DTSTART;TZID=Europe/Rome:"&amp;TEXT($C605,"yyyymmdd")&amp;"T"&amp;TEXT($D605,"hhmmss")&amp;"
DTEND;TZID=Europe/Rome:"&amp;TEXT($E605,"yyyymmdd")&amp;"T"&amp;TEXT($F605,"hhmmss")&amp;"
SUMMARY:"&amp;$B605&amp;"
LOCATION:"&amp;$G605&amp;"
DESCRIPTION:"&amp;$H605&amp;"
END:VEVENT")</f>
        <v/>
      </c>
      <c r="B605" s="68">
        <f>IF('Calendario D'!$B115="","",'Calendario D'!$B115&amp;" vs "&amp;'Calendario D'!$D115&amp;" "&amp;'Calendario D'!$AC115)</f>
        <v/>
      </c>
      <c r="C605" s="222">
        <f>IF($B605="","",DATE(YEAR('Calendario D'!$F115),MONTH('Calendario D'!$F115),DAY('Calendario D'!$F115)))</f>
        <v/>
      </c>
      <c r="D605" s="223">
        <f>IF($B605="","",TIME(HOUR('Calendario D'!$F115),MINUTE('Calendario D'!$F115),0))</f>
        <v/>
      </c>
      <c r="E605" s="222">
        <f>IF($B605="","",DATE(YEAR('Calendario D'!$F115),MONTH('Calendario D'!$F115),DAY('Calendario D'!$F115)))</f>
        <v/>
      </c>
      <c r="F605" s="223">
        <f>IF($B605="","",TIME(HOUR('Calendario D'!$F115)+2,MINUTE('Calendario D'!$F115),0))</f>
        <v/>
      </c>
      <c r="G605" s="68">
        <f>IF($B605="","",'Calendario D'!$B116)</f>
        <v/>
      </c>
      <c r="H605" s="68">
        <f>IF($B605="","",Campionato!$D$2&amp;" "&amp;Campionato!$D$6)</f>
        <v/>
      </c>
      <c r="I605" s="68" t="n"/>
    </row>
    <row r="606">
      <c r="A606" s="68">
        <f>IF($B606="","","BEGIN:VEVENT
DTSTAMP:"&amp;TEXT(NOW(),"yyyymmdd")&amp;"T000001Z
UID:evt605@ClaudeCoworkBaskin
DTSTART;TZID=Europe/Rome:"&amp;TEXT($C606,"yyyymmdd")&amp;"T"&amp;TEXT($D606,"hhmmss")&amp;"
DTEND;TZID=Europe/Rome:"&amp;TEXT($E606,"yyyymmdd")&amp;"T"&amp;TEXT($F606,"hhmmss")&amp;"
SUMMARY:"&amp;$B606&amp;"
LOCATION:"&amp;$G606&amp;"
DESCRIPTION:"&amp;$H606&amp;"
END:VEVENT")</f>
        <v/>
      </c>
      <c r="B606" s="68">
        <f>IF('Calendario D'!$B118="","",'Calendario D'!$B118&amp;" vs "&amp;'Calendario D'!$D118&amp;" "&amp;'Calendario D'!$AC118)</f>
        <v/>
      </c>
      <c r="C606" s="222">
        <f>IF($B606="","",DATE(YEAR('Calendario D'!$F118),MONTH('Calendario D'!$F118),DAY('Calendario D'!$F118)))</f>
        <v/>
      </c>
      <c r="D606" s="223">
        <f>IF($B606="","",TIME(HOUR('Calendario D'!$F118),MINUTE('Calendario D'!$F118),0))</f>
        <v/>
      </c>
      <c r="E606" s="222">
        <f>IF($B606="","",DATE(YEAR('Calendario D'!$F118),MONTH('Calendario D'!$F118),DAY('Calendario D'!$F118)))</f>
        <v/>
      </c>
      <c r="F606" s="223">
        <f>IF($B606="","",TIME(HOUR('Calendario D'!$F118)+2,MINUTE('Calendario D'!$F118),0))</f>
        <v/>
      </c>
      <c r="G606" s="68">
        <f>IF($B606="","",'Calendario D'!$B119)</f>
        <v/>
      </c>
      <c r="H606" s="68">
        <f>IF($B606="","",Campionato!$D$2&amp;" "&amp;Campionato!$D$6)</f>
        <v/>
      </c>
      <c r="I606" s="68" t="n"/>
    </row>
    <row r="607">
      <c r="A607" s="68">
        <f>IF($B607="","","BEGIN:VEVENT
DTSTAMP:"&amp;TEXT(NOW(),"yyyymmdd")&amp;"T000001Z
UID:evt606@ClaudeCoworkBaskin
DTSTART;TZID=Europe/Rome:"&amp;TEXT($C607,"yyyymmdd")&amp;"T"&amp;TEXT($D607,"hhmmss")&amp;"
DTEND;TZID=Europe/Rome:"&amp;TEXT($E607,"yyyymmdd")&amp;"T"&amp;TEXT($F607,"hhmmss")&amp;"
SUMMARY:"&amp;$B607&amp;"
LOCATION:"&amp;$G607&amp;"
DESCRIPTION:"&amp;$H607&amp;"
END:VEVENT")</f>
        <v/>
      </c>
      <c r="B607" s="68">
        <f>IF('Calendario D'!$B121="","",'Calendario D'!$B121&amp;" vs "&amp;'Calendario D'!$D121&amp;" "&amp;'Calendario D'!$AC121)</f>
        <v/>
      </c>
      <c r="C607" s="222">
        <f>IF($B607="","",DATE(YEAR('Calendario D'!$F121),MONTH('Calendario D'!$F121),DAY('Calendario D'!$F121)))</f>
        <v/>
      </c>
      <c r="D607" s="223">
        <f>IF($B607="","",TIME(HOUR('Calendario D'!$F121),MINUTE('Calendario D'!$F121),0))</f>
        <v/>
      </c>
      <c r="E607" s="222">
        <f>IF($B607="","",DATE(YEAR('Calendario D'!$F121),MONTH('Calendario D'!$F121),DAY('Calendario D'!$F121)))</f>
        <v/>
      </c>
      <c r="F607" s="223">
        <f>IF($B607="","",TIME(HOUR('Calendario D'!$F121)+2,MINUTE('Calendario D'!$F121),0))</f>
        <v/>
      </c>
      <c r="G607" s="68">
        <f>IF($B607="","",'Calendario D'!$B122)</f>
        <v/>
      </c>
      <c r="H607" s="68">
        <f>IF($B607="","",Campionato!$D$2&amp;" "&amp;Campionato!$D$6)</f>
        <v/>
      </c>
      <c r="I607" s="68" t="n"/>
    </row>
    <row r="608">
      <c r="A608" s="68">
        <f>IF($B608="","","BEGIN:VEVENT
DTSTAMP:"&amp;TEXT(NOW(),"yyyymmdd")&amp;"T000001Z
UID:evt607@ClaudeCoworkBaskin
DTSTART;TZID=Europe/Rome:"&amp;TEXT($C608,"yyyymmdd")&amp;"T"&amp;TEXT($D608,"hhmmss")&amp;"
DTEND;TZID=Europe/Rome:"&amp;TEXT($E608,"yyyymmdd")&amp;"T"&amp;TEXT($F608,"hhmmss")&amp;"
SUMMARY:"&amp;$B608&amp;"
LOCATION:"&amp;$G608&amp;"
DESCRIPTION:"&amp;$H608&amp;"
END:VEVENT")</f>
        <v/>
      </c>
      <c r="B608" s="68">
        <f>IF('Calendario D'!$B124="","",'Calendario D'!$B124&amp;" vs "&amp;'Calendario D'!$D124&amp;" "&amp;'Calendario D'!$AC124)</f>
        <v/>
      </c>
      <c r="C608" s="222">
        <f>IF($B608="","",DATE(YEAR('Calendario D'!$F124),MONTH('Calendario D'!$F124),DAY('Calendario D'!$F124)))</f>
        <v/>
      </c>
      <c r="D608" s="223">
        <f>IF($B608="","",TIME(HOUR('Calendario D'!$F124),MINUTE('Calendario D'!$F124),0))</f>
        <v/>
      </c>
      <c r="E608" s="222">
        <f>IF($B608="","",DATE(YEAR('Calendario D'!$F124),MONTH('Calendario D'!$F124),DAY('Calendario D'!$F124)))</f>
        <v/>
      </c>
      <c r="F608" s="223">
        <f>IF($B608="","",TIME(HOUR('Calendario D'!$F124)+2,MINUTE('Calendario D'!$F124),0))</f>
        <v/>
      </c>
      <c r="G608" s="68">
        <f>IF($B608="","",'Calendario D'!$B125)</f>
        <v/>
      </c>
      <c r="H608" s="68">
        <f>IF($B608="","",Campionato!$D$2&amp;" "&amp;Campionato!$D$6)</f>
        <v/>
      </c>
      <c r="I608" s="68" t="n"/>
    </row>
    <row r="609">
      <c r="A609" s="68">
        <f>IF($B609="","","BEGIN:VEVENT
DTSTAMP:"&amp;TEXT(NOW(),"yyyymmdd")&amp;"T000001Z
UID:evt608@ClaudeCoworkBaskin
DTSTART;TZID=Europe/Rome:"&amp;TEXT($C609,"yyyymmdd")&amp;"T"&amp;TEXT($D609,"hhmmss")&amp;"
DTEND;TZID=Europe/Rome:"&amp;TEXT($E609,"yyyymmdd")&amp;"T"&amp;TEXT($F609,"hhmmss")&amp;"
SUMMARY:"&amp;$B609&amp;"
LOCATION:"&amp;$G609&amp;"
DESCRIPTION:"&amp;$H609&amp;"
END:VEVENT")</f>
        <v/>
      </c>
      <c r="B609" s="68">
        <f>IF('Calendario D'!$B127="","",'Calendario D'!$B127&amp;" vs "&amp;'Calendario D'!$D127&amp;" "&amp;'Calendario D'!$AC127)</f>
        <v/>
      </c>
      <c r="C609" s="222">
        <f>IF($B609="","",DATE(YEAR('Calendario D'!$F127),MONTH('Calendario D'!$F127),DAY('Calendario D'!$F127)))</f>
        <v/>
      </c>
      <c r="D609" s="223">
        <f>IF($B609="","",TIME(HOUR('Calendario D'!$F127),MINUTE('Calendario D'!$F127),0))</f>
        <v/>
      </c>
      <c r="E609" s="222">
        <f>IF($B609="","",DATE(YEAR('Calendario D'!$F127),MONTH('Calendario D'!$F127),DAY('Calendario D'!$F127)))</f>
        <v/>
      </c>
      <c r="F609" s="223">
        <f>IF($B609="","",TIME(HOUR('Calendario D'!$F127)+2,MINUTE('Calendario D'!$F127),0))</f>
        <v/>
      </c>
      <c r="G609" s="68">
        <f>IF($B609="","",'Calendario D'!$B128)</f>
        <v/>
      </c>
      <c r="H609" s="68">
        <f>IF($B609="","",Campionato!$D$2&amp;" "&amp;Campionato!$D$6)</f>
        <v/>
      </c>
      <c r="I609" s="68" t="n"/>
    </row>
    <row r="610">
      <c r="A610" s="68">
        <f>IF($B610="","","BEGIN:VEVENT
DTSTAMP:"&amp;TEXT(NOW(),"yyyymmdd")&amp;"T000001Z
UID:evt609@ClaudeCoworkBaskin
DTSTART;TZID=Europe/Rome:"&amp;TEXT($C610,"yyyymmdd")&amp;"T"&amp;TEXT($D610,"hhmmss")&amp;"
DTEND;TZID=Europe/Rome:"&amp;TEXT($E610,"yyyymmdd")&amp;"T"&amp;TEXT($F610,"hhmmss")&amp;"
SUMMARY:"&amp;$B610&amp;"
LOCATION:"&amp;$G610&amp;"
DESCRIPTION:"&amp;$H610&amp;"
END:VEVENT")</f>
        <v/>
      </c>
      <c r="B610" s="68">
        <f>IF('Calendario D'!$B130="","",'Calendario D'!$B130&amp;" vs "&amp;'Calendario D'!$D130&amp;" "&amp;'Calendario D'!$AC130)</f>
        <v/>
      </c>
      <c r="C610" s="222">
        <f>IF($B610="","",DATE(YEAR('Calendario D'!$F130),MONTH('Calendario D'!$F130),DAY('Calendario D'!$F130)))</f>
        <v/>
      </c>
      <c r="D610" s="223">
        <f>IF($B610="","",TIME(HOUR('Calendario D'!$F130),MINUTE('Calendario D'!$F130),0))</f>
        <v/>
      </c>
      <c r="E610" s="222">
        <f>IF($B610="","",DATE(YEAR('Calendario D'!$F130),MONTH('Calendario D'!$F130),DAY('Calendario D'!$F130)))</f>
        <v/>
      </c>
      <c r="F610" s="223">
        <f>IF($B610="","",TIME(HOUR('Calendario D'!$F130)+2,MINUTE('Calendario D'!$F130),0))</f>
        <v/>
      </c>
      <c r="G610" s="68">
        <f>IF($B610="","",'Calendario D'!$B131)</f>
        <v/>
      </c>
      <c r="H610" s="68">
        <f>IF($B610="","",Campionato!$D$2&amp;" "&amp;Campionato!$D$6)</f>
        <v/>
      </c>
      <c r="I610" s="68" t="n"/>
    </row>
    <row r="611">
      <c r="A611" s="68">
        <f>IF($B611="","","BEGIN:VEVENT
DTSTAMP:"&amp;TEXT(NOW(),"yyyymmdd")&amp;"T000001Z
UID:evt610@ClaudeCoworkBaskin
DTSTART;TZID=Europe/Rome:"&amp;TEXT($C611,"yyyymmdd")&amp;"T"&amp;TEXT($D611,"hhmmss")&amp;"
DTEND;TZID=Europe/Rome:"&amp;TEXT($E611,"yyyymmdd")&amp;"T"&amp;TEXT($F611,"hhmmss")&amp;"
SUMMARY:"&amp;$B611&amp;"
LOCATION:"&amp;$G611&amp;"
DESCRIPTION:"&amp;$H611&amp;"
END:VEVENT")</f>
        <v/>
      </c>
      <c r="B611" s="68">
        <f>IF('Calendario D'!$B133="","",'Calendario D'!$B133&amp;" vs "&amp;'Calendario D'!$D133&amp;" "&amp;'Calendario D'!$AC133)</f>
        <v/>
      </c>
      <c r="C611" s="222">
        <f>IF($B611="","",DATE(YEAR('Calendario D'!$F133),MONTH('Calendario D'!$F133),DAY('Calendario D'!$F133)))</f>
        <v/>
      </c>
      <c r="D611" s="223">
        <f>IF($B611="","",TIME(HOUR('Calendario D'!$F133),MINUTE('Calendario D'!$F133),0))</f>
        <v/>
      </c>
      <c r="E611" s="222">
        <f>IF($B611="","",DATE(YEAR('Calendario D'!$F133),MONTH('Calendario D'!$F133),DAY('Calendario D'!$F133)))</f>
        <v/>
      </c>
      <c r="F611" s="223">
        <f>IF($B611="","",TIME(HOUR('Calendario D'!$F133)+2,MINUTE('Calendario D'!$F133),0))</f>
        <v/>
      </c>
      <c r="G611" s="68">
        <f>IF($B611="","",'Calendario D'!$B134)</f>
        <v/>
      </c>
      <c r="H611" s="68">
        <f>IF($B611="","",Campionato!$D$2&amp;" "&amp;Campionato!$D$6)</f>
        <v/>
      </c>
      <c r="I611" s="68" t="n"/>
    </row>
    <row r="612">
      <c r="A612" s="68">
        <f>IF($B612="","","BEGIN:VEVENT
DTSTAMP:"&amp;TEXT(NOW(),"yyyymmdd")&amp;"T000001Z
UID:evt611@ClaudeCoworkBaskin
DTSTART;TZID=Europe/Rome:"&amp;TEXT($C612,"yyyymmdd")&amp;"T"&amp;TEXT($D612,"hhmmss")&amp;"
DTEND;TZID=Europe/Rome:"&amp;TEXT($E612,"yyyymmdd")&amp;"T"&amp;TEXT($F612,"hhmmss")&amp;"
SUMMARY:"&amp;$B612&amp;"
LOCATION:"&amp;$G612&amp;"
DESCRIPTION:"&amp;$H612&amp;"
END:VEVENT")</f>
        <v/>
      </c>
      <c r="B612" s="68">
        <f>IF('Calendario D'!$B138="","",'Calendario D'!$B138&amp;" vs "&amp;'Calendario D'!$D138&amp;" "&amp;'Calendario D'!$AC138)</f>
        <v/>
      </c>
      <c r="C612" s="222">
        <f>IF($B612="","",DATE(YEAR('Calendario D'!$F138),MONTH('Calendario D'!$F138),DAY('Calendario D'!$F138)))</f>
        <v/>
      </c>
      <c r="D612" s="223">
        <f>IF($B612="","",TIME(HOUR('Calendario D'!$F138),MINUTE('Calendario D'!$F138),0))</f>
        <v/>
      </c>
      <c r="E612" s="222">
        <f>IF($B612="","",DATE(YEAR('Calendario D'!$F138),MONTH('Calendario D'!$F138),DAY('Calendario D'!$F138)))</f>
        <v/>
      </c>
      <c r="F612" s="223">
        <f>IF($B612="","",TIME(HOUR('Calendario D'!$F138)+2,MINUTE('Calendario D'!$F138),0))</f>
        <v/>
      </c>
      <c r="G612" s="68">
        <f>IF($B612="","",'Calendario D'!$B139)</f>
        <v/>
      </c>
      <c r="H612" s="68">
        <f>IF($B612="","",Campionato!$D$2&amp;" "&amp;Campionato!$D$6)</f>
        <v/>
      </c>
      <c r="I612" s="68" t="n"/>
    </row>
    <row r="613">
      <c r="A613" s="68">
        <f>IF($B613="","","BEGIN:VEVENT
DTSTAMP:"&amp;TEXT(NOW(),"yyyymmdd")&amp;"T000001Z
UID:evt612@ClaudeCoworkBaskin
DTSTART;TZID=Europe/Rome:"&amp;TEXT($C613,"yyyymmdd")&amp;"T"&amp;TEXT($D613,"hhmmss")&amp;"
DTEND;TZID=Europe/Rome:"&amp;TEXT($E613,"yyyymmdd")&amp;"T"&amp;TEXT($F613,"hhmmss")&amp;"
SUMMARY:"&amp;$B613&amp;"
LOCATION:"&amp;$G613&amp;"
DESCRIPTION:"&amp;$H613&amp;"
END:VEVENT")</f>
        <v/>
      </c>
      <c r="B613" s="68">
        <f>IF('Calendario D'!$B141="","",'Calendario D'!$B141&amp;" vs "&amp;'Calendario D'!$D141&amp;" "&amp;'Calendario D'!$AC141)</f>
        <v/>
      </c>
      <c r="C613" s="222">
        <f>IF($B613="","",DATE(YEAR('Calendario D'!$F141),MONTH('Calendario D'!$F141),DAY('Calendario D'!$F141)))</f>
        <v/>
      </c>
      <c r="D613" s="223">
        <f>IF($B613="","",TIME(HOUR('Calendario D'!$F141),MINUTE('Calendario D'!$F141),0))</f>
        <v/>
      </c>
      <c r="E613" s="222">
        <f>IF($B613="","",DATE(YEAR('Calendario D'!$F141),MONTH('Calendario D'!$F141),DAY('Calendario D'!$F141)))</f>
        <v/>
      </c>
      <c r="F613" s="223">
        <f>IF($B613="","",TIME(HOUR('Calendario D'!$F141)+2,MINUTE('Calendario D'!$F141),0))</f>
        <v/>
      </c>
      <c r="G613" s="68">
        <f>IF($B613="","",'Calendario D'!$B142)</f>
        <v/>
      </c>
      <c r="H613" s="68">
        <f>IF($B613="","",Campionato!$D$2&amp;" "&amp;Campionato!$D$6)</f>
        <v/>
      </c>
      <c r="I613" s="68" t="n"/>
    </row>
    <row r="614">
      <c r="A614" s="68">
        <f>IF($B614="","","BEGIN:VEVENT
DTSTAMP:"&amp;TEXT(NOW(),"yyyymmdd")&amp;"T000001Z
UID:evt613@ClaudeCoworkBaskin
DTSTART;TZID=Europe/Rome:"&amp;TEXT($C614,"yyyymmdd")&amp;"T"&amp;TEXT($D614,"hhmmss")&amp;"
DTEND;TZID=Europe/Rome:"&amp;TEXT($E614,"yyyymmdd")&amp;"T"&amp;TEXT($F614,"hhmmss")&amp;"
SUMMARY:"&amp;$B614&amp;"
LOCATION:"&amp;$G614&amp;"
DESCRIPTION:"&amp;$H614&amp;"
END:VEVENT")</f>
        <v/>
      </c>
      <c r="B614" s="68">
        <f>IF('Calendario D'!$B144="","",'Calendario D'!$B144&amp;" vs "&amp;'Calendario D'!$D144&amp;" "&amp;'Calendario D'!$AC144)</f>
        <v/>
      </c>
      <c r="C614" s="222">
        <f>IF($B614="","",DATE(YEAR('Calendario D'!$F144),MONTH('Calendario D'!$F144),DAY('Calendario D'!$F144)))</f>
        <v/>
      </c>
      <c r="D614" s="223">
        <f>IF($B614="","",TIME(HOUR('Calendario D'!$F144),MINUTE('Calendario D'!$F144),0))</f>
        <v/>
      </c>
      <c r="E614" s="222">
        <f>IF($B614="","",DATE(YEAR('Calendario D'!$F144),MONTH('Calendario D'!$F144),DAY('Calendario D'!$F144)))</f>
        <v/>
      </c>
      <c r="F614" s="223">
        <f>IF($B614="","",TIME(HOUR('Calendario D'!$F144)+2,MINUTE('Calendario D'!$F144),0))</f>
        <v/>
      </c>
      <c r="G614" s="68">
        <f>IF($B614="","",'Calendario D'!$B145)</f>
        <v/>
      </c>
      <c r="H614" s="68">
        <f>IF($B614="","",Campionato!$D$2&amp;" "&amp;Campionato!$D$6)</f>
        <v/>
      </c>
      <c r="I614" s="68" t="n"/>
    </row>
    <row r="615">
      <c r="A615" s="68">
        <f>IF($B615="","","BEGIN:VEVENT
DTSTAMP:"&amp;TEXT(NOW(),"yyyymmdd")&amp;"T000001Z
UID:evt614@ClaudeCoworkBaskin
DTSTART;TZID=Europe/Rome:"&amp;TEXT($C615,"yyyymmdd")&amp;"T"&amp;TEXT($D615,"hhmmss")&amp;"
DTEND;TZID=Europe/Rome:"&amp;TEXT($E615,"yyyymmdd")&amp;"T"&amp;TEXT($F615,"hhmmss")&amp;"
SUMMARY:"&amp;$B615&amp;"
LOCATION:"&amp;$G615&amp;"
DESCRIPTION:"&amp;$H615&amp;"
END:VEVENT")</f>
        <v/>
      </c>
      <c r="B615" s="68">
        <f>IF('Calendario D'!$B147="","",'Calendario D'!$B147&amp;" vs "&amp;'Calendario D'!$D147&amp;" "&amp;'Calendario D'!$AC147)</f>
        <v/>
      </c>
      <c r="C615" s="222">
        <f>IF($B615="","",DATE(YEAR('Calendario D'!$F147),MONTH('Calendario D'!$F147),DAY('Calendario D'!$F147)))</f>
        <v/>
      </c>
      <c r="D615" s="223">
        <f>IF($B615="","",TIME(HOUR('Calendario D'!$F147),MINUTE('Calendario D'!$F147),0))</f>
        <v/>
      </c>
      <c r="E615" s="222">
        <f>IF($B615="","",DATE(YEAR('Calendario D'!$F147),MONTH('Calendario D'!$F147),DAY('Calendario D'!$F147)))</f>
        <v/>
      </c>
      <c r="F615" s="223">
        <f>IF($B615="","",TIME(HOUR('Calendario D'!$F147)+2,MINUTE('Calendario D'!$F147),0))</f>
        <v/>
      </c>
      <c r="G615" s="68">
        <f>IF($B615="","",'Calendario D'!$B148)</f>
        <v/>
      </c>
      <c r="H615" s="68">
        <f>IF($B615="","",Campionato!$D$2&amp;" "&amp;Campionato!$D$6)</f>
        <v/>
      </c>
      <c r="I615" s="68" t="n"/>
    </row>
    <row r="616">
      <c r="A616" s="68">
        <f>IF($B616="","","BEGIN:VEVENT
DTSTAMP:"&amp;TEXT(NOW(),"yyyymmdd")&amp;"T000001Z
UID:evt615@ClaudeCoworkBaskin
DTSTART;TZID=Europe/Rome:"&amp;TEXT($C616,"yyyymmdd")&amp;"T"&amp;TEXT($D616,"hhmmss")&amp;"
DTEND;TZID=Europe/Rome:"&amp;TEXT($E616,"yyyymmdd")&amp;"T"&amp;TEXT($F616,"hhmmss")&amp;"
SUMMARY:"&amp;$B616&amp;"
LOCATION:"&amp;$G616&amp;"
DESCRIPTION:"&amp;$H616&amp;"
END:VEVENT")</f>
        <v/>
      </c>
      <c r="B616" s="68">
        <f>IF('Calendario D'!$B150="","",'Calendario D'!$B150&amp;" vs "&amp;'Calendario D'!$D150&amp;" "&amp;'Calendario D'!$AC150)</f>
        <v/>
      </c>
      <c r="C616" s="222">
        <f>IF($B616="","",DATE(YEAR('Calendario D'!$F150),MONTH('Calendario D'!$F150),DAY('Calendario D'!$F150)))</f>
        <v/>
      </c>
      <c r="D616" s="223">
        <f>IF($B616="","",TIME(HOUR('Calendario D'!$F150),MINUTE('Calendario D'!$F150),0))</f>
        <v/>
      </c>
      <c r="E616" s="222">
        <f>IF($B616="","",DATE(YEAR('Calendario D'!$F150),MONTH('Calendario D'!$F150),DAY('Calendario D'!$F150)))</f>
        <v/>
      </c>
      <c r="F616" s="223">
        <f>IF($B616="","",TIME(HOUR('Calendario D'!$F150)+2,MINUTE('Calendario D'!$F150),0))</f>
        <v/>
      </c>
      <c r="G616" s="68">
        <f>IF($B616="","",'Calendario D'!$B151)</f>
        <v/>
      </c>
      <c r="H616" s="68">
        <f>IF($B616="","",Campionato!$D$2&amp;" "&amp;Campionato!$D$6)</f>
        <v/>
      </c>
      <c r="I616" s="68" t="n"/>
    </row>
    <row r="617">
      <c r="A617" s="68">
        <f>IF($B617="","","BEGIN:VEVENT
DTSTAMP:"&amp;TEXT(NOW(),"yyyymmdd")&amp;"T000001Z
UID:evt616@ClaudeCoworkBaskin
DTSTART;TZID=Europe/Rome:"&amp;TEXT($C617,"yyyymmdd")&amp;"T"&amp;TEXT($D617,"hhmmss")&amp;"
DTEND;TZID=Europe/Rome:"&amp;TEXT($E617,"yyyymmdd")&amp;"T"&amp;TEXT($F617,"hhmmss")&amp;"
SUMMARY:"&amp;$B617&amp;"
LOCATION:"&amp;$G617&amp;"
DESCRIPTION:"&amp;$H617&amp;"
END:VEVENT")</f>
        <v/>
      </c>
      <c r="B617" s="68">
        <f>IF('Calendario D'!$B153="","",'Calendario D'!$B153&amp;" vs "&amp;'Calendario D'!$D153&amp;" "&amp;'Calendario D'!$AC153)</f>
        <v/>
      </c>
      <c r="C617" s="222">
        <f>IF($B617="","",DATE(YEAR('Calendario D'!$F153),MONTH('Calendario D'!$F153),DAY('Calendario D'!$F153)))</f>
        <v/>
      </c>
      <c r="D617" s="223">
        <f>IF($B617="","",TIME(HOUR('Calendario D'!$F153),MINUTE('Calendario D'!$F153),0))</f>
        <v/>
      </c>
      <c r="E617" s="222">
        <f>IF($B617="","",DATE(YEAR('Calendario D'!$F153),MONTH('Calendario D'!$F153),DAY('Calendario D'!$F153)))</f>
        <v/>
      </c>
      <c r="F617" s="223">
        <f>IF($B617="","",TIME(HOUR('Calendario D'!$F153)+2,MINUTE('Calendario D'!$F153),0))</f>
        <v/>
      </c>
      <c r="G617" s="68">
        <f>IF($B617="","",'Calendario D'!$B154)</f>
        <v/>
      </c>
      <c r="H617" s="68">
        <f>IF($B617="","",Campionato!$D$2&amp;" "&amp;Campionato!$D$6)</f>
        <v/>
      </c>
      <c r="I617" s="68" t="n"/>
    </row>
    <row r="618">
      <c r="A618" s="68">
        <f>IF($B618="","","BEGIN:VEVENT
DTSTAMP:"&amp;TEXT(NOW(),"yyyymmdd")&amp;"T000001Z
UID:evt617@ClaudeCoworkBaskin
DTSTART;TZID=Europe/Rome:"&amp;TEXT($C618,"yyyymmdd")&amp;"T"&amp;TEXT($D618,"hhmmss")&amp;"
DTEND;TZID=Europe/Rome:"&amp;TEXT($E618,"yyyymmdd")&amp;"T"&amp;TEXT($F618,"hhmmss")&amp;"
SUMMARY:"&amp;$B618&amp;"
LOCATION:"&amp;$G618&amp;"
DESCRIPTION:"&amp;$H618&amp;"
END:VEVENT")</f>
        <v/>
      </c>
      <c r="B618" s="68">
        <f>IF('Calendario D'!$B156="","",'Calendario D'!$B156&amp;" vs "&amp;'Calendario D'!$D156&amp;" "&amp;'Calendario D'!$AC156)</f>
        <v/>
      </c>
      <c r="C618" s="222">
        <f>IF($B618="","",DATE(YEAR('Calendario D'!$F156),MONTH('Calendario D'!$F156),DAY('Calendario D'!$F156)))</f>
        <v/>
      </c>
      <c r="D618" s="223">
        <f>IF($B618="","",TIME(HOUR('Calendario D'!$F156),MINUTE('Calendario D'!$F156),0))</f>
        <v/>
      </c>
      <c r="E618" s="222">
        <f>IF($B618="","",DATE(YEAR('Calendario D'!$F156),MONTH('Calendario D'!$F156),DAY('Calendario D'!$F156)))</f>
        <v/>
      </c>
      <c r="F618" s="223">
        <f>IF($B618="","",TIME(HOUR('Calendario D'!$F156)+2,MINUTE('Calendario D'!$F156),0))</f>
        <v/>
      </c>
      <c r="G618" s="68">
        <f>IF($B618="","",'Calendario D'!$B157)</f>
        <v/>
      </c>
      <c r="H618" s="68">
        <f>IF($B618="","",Campionato!$D$2&amp;" "&amp;Campionato!$D$6)</f>
        <v/>
      </c>
      <c r="I618" s="68" t="n"/>
    </row>
    <row r="619">
      <c r="A619" s="68">
        <f>IF($B619="","","BEGIN:VEVENT
DTSTAMP:"&amp;TEXT(NOW(),"yyyymmdd")&amp;"T000001Z
UID:evt618@ClaudeCoworkBaskin
DTSTART;TZID=Europe/Rome:"&amp;TEXT($C619,"yyyymmdd")&amp;"T"&amp;TEXT($D619,"hhmmss")&amp;"
DTEND;TZID=Europe/Rome:"&amp;TEXT($E619,"yyyymmdd")&amp;"T"&amp;TEXT($F619,"hhmmss")&amp;"
SUMMARY:"&amp;$B619&amp;"
LOCATION:"&amp;$G619&amp;"
DESCRIPTION:"&amp;$H619&amp;"
END:VEVENT")</f>
        <v/>
      </c>
      <c r="B619" s="68">
        <f>IF('Calendario D'!$B159="","",'Calendario D'!$B159&amp;" vs "&amp;'Calendario D'!$D159&amp;" "&amp;'Calendario D'!$AC159)</f>
        <v/>
      </c>
      <c r="C619" s="222">
        <f>IF($B619="","",DATE(YEAR('Calendario D'!$F159),MONTH('Calendario D'!$F159),DAY('Calendario D'!$F159)))</f>
        <v/>
      </c>
      <c r="D619" s="223">
        <f>IF($B619="","",TIME(HOUR('Calendario D'!$F159),MINUTE('Calendario D'!$F159),0))</f>
        <v/>
      </c>
      <c r="E619" s="222">
        <f>IF($B619="","",DATE(YEAR('Calendario D'!$F159),MONTH('Calendario D'!$F159),DAY('Calendario D'!$F159)))</f>
        <v/>
      </c>
      <c r="F619" s="223">
        <f>IF($B619="","",TIME(HOUR('Calendario D'!$F159)+2,MINUTE('Calendario D'!$F159),0))</f>
        <v/>
      </c>
      <c r="G619" s="68">
        <f>IF($B619="","",'Calendario D'!$B160)</f>
        <v/>
      </c>
      <c r="H619" s="68">
        <f>IF($B619="","",Campionato!$D$2&amp;" "&amp;Campionato!$D$6)</f>
        <v/>
      </c>
      <c r="I619" s="68" t="n"/>
    </row>
    <row r="620">
      <c r="A620" s="68">
        <f>IF($B620="","","BEGIN:VEVENT
DTSTAMP:"&amp;TEXT(NOW(),"yyyymmdd")&amp;"T000001Z
UID:evt619@ClaudeCoworkBaskin
DTSTART;TZID=Europe/Rome:"&amp;TEXT($C620,"yyyymmdd")&amp;"T"&amp;TEXT($D620,"hhmmss")&amp;"
DTEND;TZID=Europe/Rome:"&amp;TEXT($E620,"yyyymmdd")&amp;"T"&amp;TEXT($F620,"hhmmss")&amp;"
SUMMARY:"&amp;$B620&amp;"
LOCATION:"&amp;$G620&amp;"
DESCRIPTION:"&amp;$H620&amp;"
END:VEVENT")</f>
        <v/>
      </c>
      <c r="B620" s="68">
        <f>IF('Calendario D'!$B162="","",'Calendario D'!$B162&amp;" vs "&amp;'Calendario D'!$D162&amp;" "&amp;'Calendario D'!$AC162)</f>
        <v/>
      </c>
      <c r="C620" s="222">
        <f>IF($B620="","",DATE(YEAR('Calendario D'!$F162),MONTH('Calendario D'!$F162),DAY('Calendario D'!$F162)))</f>
        <v/>
      </c>
      <c r="D620" s="223">
        <f>IF($B620="","",TIME(HOUR('Calendario D'!$F162),MINUTE('Calendario D'!$F162),0))</f>
        <v/>
      </c>
      <c r="E620" s="222">
        <f>IF($B620="","",DATE(YEAR('Calendario D'!$F162),MONTH('Calendario D'!$F162),DAY('Calendario D'!$F162)))</f>
        <v/>
      </c>
      <c r="F620" s="223">
        <f>IF($B620="","",TIME(HOUR('Calendario D'!$F162)+2,MINUTE('Calendario D'!$F162),0))</f>
        <v/>
      </c>
      <c r="G620" s="68">
        <f>IF($B620="","",'Calendario D'!$B163)</f>
        <v/>
      </c>
      <c r="H620" s="68">
        <f>IF($B620="","",Campionato!$D$2&amp;" "&amp;Campionato!$D$6)</f>
        <v/>
      </c>
      <c r="I620" s="68" t="n"/>
    </row>
    <row r="621">
      <c r="A621" s="68">
        <f>IF($B621="","","BEGIN:VEVENT
DTSTAMP:"&amp;TEXT(NOW(),"yyyymmdd")&amp;"T000001Z
UID:evt620@ClaudeCoworkBaskin
DTSTART;TZID=Europe/Rome:"&amp;TEXT($C621,"yyyymmdd")&amp;"T"&amp;TEXT($D621,"hhmmss")&amp;"
DTEND;TZID=Europe/Rome:"&amp;TEXT($E621,"yyyymmdd")&amp;"T"&amp;TEXT($F621,"hhmmss")&amp;"
SUMMARY:"&amp;$B621&amp;"
LOCATION:"&amp;$G621&amp;"
DESCRIPTION:"&amp;$H621&amp;"
END:VEVENT")</f>
        <v/>
      </c>
      <c r="B621" s="68">
        <f>IF('Calendario D'!$B165="","",'Calendario D'!$B165&amp;" vs "&amp;'Calendario D'!$D165&amp;" "&amp;'Calendario D'!$AC165)</f>
        <v/>
      </c>
      <c r="C621" s="222">
        <f>IF($B621="","",DATE(YEAR('Calendario D'!$F165),MONTH('Calendario D'!$F165),DAY('Calendario D'!$F165)))</f>
        <v/>
      </c>
      <c r="D621" s="223">
        <f>IF($B621="","",TIME(HOUR('Calendario D'!$F165),MINUTE('Calendario D'!$F165),0))</f>
        <v/>
      </c>
      <c r="E621" s="222">
        <f>IF($B621="","",DATE(YEAR('Calendario D'!$F165),MONTH('Calendario D'!$F165),DAY('Calendario D'!$F165)))</f>
        <v/>
      </c>
      <c r="F621" s="223">
        <f>IF($B621="","",TIME(HOUR('Calendario D'!$F165)+2,MINUTE('Calendario D'!$F165),0))</f>
        <v/>
      </c>
      <c r="G621" s="68">
        <f>IF($B621="","",'Calendario D'!$B166)</f>
        <v/>
      </c>
      <c r="H621" s="68">
        <f>IF($B621="","",Campionato!$D$2&amp;" "&amp;Campionato!$D$6)</f>
        <v/>
      </c>
      <c r="I621" s="68" t="n"/>
    </row>
    <row r="622">
      <c r="A622" s="68">
        <f>IF($B622="","","BEGIN:VEVENT
DTSTAMP:"&amp;TEXT(NOW(),"yyyymmdd")&amp;"T000001Z
UID:evt621@ClaudeCoworkBaskin
DTSTART;TZID=Europe/Rome:"&amp;TEXT($C622,"yyyymmdd")&amp;"T"&amp;TEXT($D622,"hhmmss")&amp;"
DTEND;TZID=Europe/Rome:"&amp;TEXT($E622,"yyyymmdd")&amp;"T"&amp;TEXT($F622,"hhmmss")&amp;"
SUMMARY:"&amp;$B622&amp;"
LOCATION:"&amp;$G622&amp;"
DESCRIPTION:"&amp;$H622&amp;"
END:VEVENT")</f>
        <v/>
      </c>
      <c r="B622" s="68">
        <f>IF('Calendario D'!$B170="","",'Calendario D'!$B170&amp;" vs "&amp;'Calendario D'!$D170&amp;" "&amp;'Calendario D'!$AC170)</f>
        <v/>
      </c>
      <c r="C622" s="222">
        <f>IF($B622="","",DATE(YEAR('Calendario D'!$F170),MONTH('Calendario D'!$F170),DAY('Calendario D'!$F170)))</f>
        <v/>
      </c>
      <c r="D622" s="223">
        <f>IF($B622="","",TIME(HOUR('Calendario D'!$F170),MINUTE('Calendario D'!$F170),0))</f>
        <v/>
      </c>
      <c r="E622" s="222">
        <f>IF($B622="","",DATE(YEAR('Calendario D'!$F170),MONTH('Calendario D'!$F170),DAY('Calendario D'!$F170)))</f>
        <v/>
      </c>
      <c r="F622" s="223">
        <f>IF($B622="","",TIME(HOUR('Calendario D'!$F170)+2,MINUTE('Calendario D'!$F170),0))</f>
        <v/>
      </c>
      <c r="G622" s="68">
        <f>IF($B622="","",'Calendario D'!$B171)</f>
        <v/>
      </c>
      <c r="H622" s="68">
        <f>IF($B622="","",Campionato!$D$2&amp;" "&amp;Campionato!$D$6)</f>
        <v/>
      </c>
      <c r="I622" s="68" t="n"/>
    </row>
    <row r="623">
      <c r="A623" s="68">
        <f>IF($B623="","","BEGIN:VEVENT
DTSTAMP:"&amp;TEXT(NOW(),"yyyymmdd")&amp;"T000001Z
UID:evt622@ClaudeCoworkBaskin
DTSTART;TZID=Europe/Rome:"&amp;TEXT($C623,"yyyymmdd")&amp;"T"&amp;TEXT($D623,"hhmmss")&amp;"
DTEND;TZID=Europe/Rome:"&amp;TEXT($E623,"yyyymmdd")&amp;"T"&amp;TEXT($F623,"hhmmss")&amp;"
SUMMARY:"&amp;$B623&amp;"
LOCATION:"&amp;$G623&amp;"
DESCRIPTION:"&amp;$H623&amp;"
END:VEVENT")</f>
        <v/>
      </c>
      <c r="B623" s="68">
        <f>IF('Calendario D'!$B173="","",'Calendario D'!$B173&amp;" vs "&amp;'Calendario D'!$D173&amp;" "&amp;'Calendario D'!$AC173)</f>
        <v/>
      </c>
      <c r="C623" s="222">
        <f>IF($B623="","",DATE(YEAR('Calendario D'!$F173),MONTH('Calendario D'!$F173),DAY('Calendario D'!$F173)))</f>
        <v/>
      </c>
      <c r="D623" s="223">
        <f>IF($B623="","",TIME(HOUR('Calendario D'!$F173),MINUTE('Calendario D'!$F173),0))</f>
        <v/>
      </c>
      <c r="E623" s="222">
        <f>IF($B623="","",DATE(YEAR('Calendario D'!$F173),MONTH('Calendario D'!$F173),DAY('Calendario D'!$F173)))</f>
        <v/>
      </c>
      <c r="F623" s="223">
        <f>IF($B623="","",TIME(HOUR('Calendario D'!$F173)+2,MINUTE('Calendario D'!$F173),0))</f>
        <v/>
      </c>
      <c r="G623" s="68">
        <f>IF($B623="","",'Calendario D'!$B174)</f>
        <v/>
      </c>
      <c r="H623" s="68">
        <f>IF($B623="","",Campionato!$D$2&amp;" "&amp;Campionato!$D$6)</f>
        <v/>
      </c>
      <c r="I623" s="68" t="n"/>
    </row>
    <row r="624">
      <c r="A624" s="68">
        <f>IF($B624="","","BEGIN:VEVENT
DTSTAMP:"&amp;TEXT(NOW(),"yyyymmdd")&amp;"T000001Z
UID:evt623@ClaudeCoworkBaskin
DTSTART;TZID=Europe/Rome:"&amp;TEXT($C624,"yyyymmdd")&amp;"T"&amp;TEXT($D624,"hhmmss")&amp;"
DTEND;TZID=Europe/Rome:"&amp;TEXT($E624,"yyyymmdd")&amp;"T"&amp;TEXT($F624,"hhmmss")&amp;"
SUMMARY:"&amp;$B624&amp;"
LOCATION:"&amp;$G624&amp;"
DESCRIPTION:"&amp;$H624&amp;"
END:VEVENT")</f>
        <v/>
      </c>
      <c r="B624" s="68">
        <f>IF('Calendario D'!$B176="","",'Calendario D'!$B176&amp;" vs "&amp;'Calendario D'!$D176&amp;" "&amp;'Calendario D'!$AC176)</f>
        <v/>
      </c>
      <c r="C624" s="222">
        <f>IF($B624="","",DATE(YEAR('Calendario D'!$F176),MONTH('Calendario D'!$F176),DAY('Calendario D'!$F176)))</f>
        <v/>
      </c>
      <c r="D624" s="223">
        <f>IF($B624="","",TIME(HOUR('Calendario D'!$F176),MINUTE('Calendario D'!$F176),0))</f>
        <v/>
      </c>
      <c r="E624" s="222">
        <f>IF($B624="","",DATE(YEAR('Calendario D'!$F176),MONTH('Calendario D'!$F176),DAY('Calendario D'!$F176)))</f>
        <v/>
      </c>
      <c r="F624" s="223">
        <f>IF($B624="","",TIME(HOUR('Calendario D'!$F176)+2,MINUTE('Calendario D'!$F176),0))</f>
        <v/>
      </c>
      <c r="G624" s="68">
        <f>IF($B624="","",'Calendario D'!$B177)</f>
        <v/>
      </c>
      <c r="H624" s="68">
        <f>IF($B624="","",Campionato!$D$2&amp;" "&amp;Campionato!$D$6)</f>
        <v/>
      </c>
      <c r="I624" s="68" t="n"/>
    </row>
    <row r="625">
      <c r="A625" s="68">
        <f>IF($B625="","","BEGIN:VEVENT
DTSTAMP:"&amp;TEXT(NOW(),"yyyymmdd")&amp;"T000001Z
UID:evt624@ClaudeCoworkBaskin
DTSTART;TZID=Europe/Rome:"&amp;TEXT($C625,"yyyymmdd")&amp;"T"&amp;TEXT($D625,"hhmmss")&amp;"
DTEND;TZID=Europe/Rome:"&amp;TEXT($E625,"yyyymmdd")&amp;"T"&amp;TEXT($F625,"hhmmss")&amp;"
SUMMARY:"&amp;$B625&amp;"
LOCATION:"&amp;$G625&amp;"
DESCRIPTION:"&amp;$H625&amp;"
END:VEVENT")</f>
        <v/>
      </c>
      <c r="B625" s="68">
        <f>IF('Calendario D'!$B179="","",'Calendario D'!$B179&amp;" vs "&amp;'Calendario D'!$D179&amp;" "&amp;'Calendario D'!$AC179)</f>
        <v/>
      </c>
      <c r="C625" s="222">
        <f>IF($B625="","",DATE(YEAR('Calendario D'!$F179),MONTH('Calendario D'!$F179),DAY('Calendario D'!$F179)))</f>
        <v/>
      </c>
      <c r="D625" s="223">
        <f>IF($B625="","",TIME(HOUR('Calendario D'!$F179),MINUTE('Calendario D'!$F179),0))</f>
        <v/>
      </c>
      <c r="E625" s="222">
        <f>IF($B625="","",DATE(YEAR('Calendario D'!$F179),MONTH('Calendario D'!$F179),DAY('Calendario D'!$F179)))</f>
        <v/>
      </c>
      <c r="F625" s="223">
        <f>IF($B625="","",TIME(HOUR('Calendario D'!$F179)+2,MINUTE('Calendario D'!$F179),0))</f>
        <v/>
      </c>
      <c r="G625" s="68">
        <f>IF($B625="","",'Calendario D'!$B180)</f>
        <v/>
      </c>
      <c r="H625" s="68">
        <f>IF($B625="","",Campionato!$D$2&amp;" "&amp;Campionato!$D$6)</f>
        <v/>
      </c>
      <c r="I625" s="68" t="n"/>
    </row>
    <row r="626">
      <c r="A626" s="68">
        <f>IF($B626="","","BEGIN:VEVENT
DTSTAMP:"&amp;TEXT(NOW(),"yyyymmdd")&amp;"T000001Z
UID:evt625@ClaudeCoworkBaskin
DTSTART;TZID=Europe/Rome:"&amp;TEXT($C626,"yyyymmdd")&amp;"T"&amp;TEXT($D626,"hhmmss")&amp;"
DTEND;TZID=Europe/Rome:"&amp;TEXT($E626,"yyyymmdd")&amp;"T"&amp;TEXT($F626,"hhmmss")&amp;"
SUMMARY:"&amp;$B626&amp;"
LOCATION:"&amp;$G626&amp;"
DESCRIPTION:"&amp;$H626&amp;"
END:VEVENT")</f>
        <v/>
      </c>
      <c r="B626" s="68">
        <f>IF('Calendario D'!$B182="","",'Calendario D'!$B182&amp;" vs "&amp;'Calendario D'!$D182&amp;" "&amp;'Calendario D'!$AC182)</f>
        <v/>
      </c>
      <c r="C626" s="222">
        <f>IF($B626="","",DATE(YEAR('Calendario D'!$F182),MONTH('Calendario D'!$F182),DAY('Calendario D'!$F182)))</f>
        <v/>
      </c>
      <c r="D626" s="223">
        <f>IF($B626="","",TIME(HOUR('Calendario D'!$F182),MINUTE('Calendario D'!$F182),0))</f>
        <v/>
      </c>
      <c r="E626" s="222">
        <f>IF($B626="","",DATE(YEAR('Calendario D'!$F182),MONTH('Calendario D'!$F182),DAY('Calendario D'!$F182)))</f>
        <v/>
      </c>
      <c r="F626" s="223">
        <f>IF($B626="","",TIME(HOUR('Calendario D'!$F182)+2,MINUTE('Calendario D'!$F182),0))</f>
        <v/>
      </c>
      <c r="G626" s="68">
        <f>IF($B626="","",'Calendario D'!$B183)</f>
        <v/>
      </c>
      <c r="H626" s="68">
        <f>IF($B626="","",Campionato!$D$2&amp;" "&amp;Campionato!$D$6)</f>
        <v/>
      </c>
      <c r="I626" s="68" t="n"/>
    </row>
    <row r="627">
      <c r="A627" s="68">
        <f>IF($B627="","","BEGIN:VEVENT
DTSTAMP:"&amp;TEXT(NOW(),"yyyymmdd")&amp;"T000001Z
UID:evt626@ClaudeCoworkBaskin
DTSTART;TZID=Europe/Rome:"&amp;TEXT($C627,"yyyymmdd")&amp;"T"&amp;TEXT($D627,"hhmmss")&amp;"
DTEND;TZID=Europe/Rome:"&amp;TEXT($E627,"yyyymmdd")&amp;"T"&amp;TEXT($F627,"hhmmss")&amp;"
SUMMARY:"&amp;$B627&amp;"
LOCATION:"&amp;$G627&amp;"
DESCRIPTION:"&amp;$H627&amp;"
END:VEVENT")</f>
        <v/>
      </c>
      <c r="B627" s="68">
        <f>IF('Calendario D'!$B185="","",'Calendario D'!$B185&amp;" vs "&amp;'Calendario D'!$D185&amp;" "&amp;'Calendario D'!$AC185)</f>
        <v/>
      </c>
      <c r="C627" s="222">
        <f>IF($B627="","",DATE(YEAR('Calendario D'!$F185),MONTH('Calendario D'!$F185),DAY('Calendario D'!$F185)))</f>
        <v/>
      </c>
      <c r="D627" s="223">
        <f>IF($B627="","",TIME(HOUR('Calendario D'!$F185),MINUTE('Calendario D'!$F185),0))</f>
        <v/>
      </c>
      <c r="E627" s="222">
        <f>IF($B627="","",DATE(YEAR('Calendario D'!$F185),MONTH('Calendario D'!$F185),DAY('Calendario D'!$F185)))</f>
        <v/>
      </c>
      <c r="F627" s="223">
        <f>IF($B627="","",TIME(HOUR('Calendario D'!$F185)+2,MINUTE('Calendario D'!$F185),0))</f>
        <v/>
      </c>
      <c r="G627" s="68">
        <f>IF($B627="","",'Calendario D'!$B186)</f>
        <v/>
      </c>
      <c r="H627" s="68">
        <f>IF($B627="","",Campionato!$D$2&amp;" "&amp;Campionato!$D$6)</f>
        <v/>
      </c>
      <c r="I627" s="68" t="n"/>
    </row>
    <row r="628">
      <c r="A628" s="68">
        <f>IF($B628="","","BEGIN:VEVENT
DTSTAMP:"&amp;TEXT(NOW(),"yyyymmdd")&amp;"T000001Z
UID:evt627@ClaudeCoworkBaskin
DTSTART;TZID=Europe/Rome:"&amp;TEXT($C628,"yyyymmdd")&amp;"T"&amp;TEXT($D628,"hhmmss")&amp;"
DTEND;TZID=Europe/Rome:"&amp;TEXT($E628,"yyyymmdd")&amp;"T"&amp;TEXT($F628,"hhmmss")&amp;"
SUMMARY:"&amp;$B628&amp;"
LOCATION:"&amp;$G628&amp;"
DESCRIPTION:"&amp;$H628&amp;"
END:VEVENT")</f>
        <v/>
      </c>
      <c r="B628" s="68">
        <f>IF('Calendario D'!$B188="","",'Calendario D'!$B188&amp;" vs "&amp;'Calendario D'!$D188&amp;" "&amp;'Calendario D'!$AC188)</f>
        <v/>
      </c>
      <c r="C628" s="222">
        <f>IF($B628="","",DATE(YEAR('Calendario D'!$F188),MONTH('Calendario D'!$F188),DAY('Calendario D'!$F188)))</f>
        <v/>
      </c>
      <c r="D628" s="223">
        <f>IF($B628="","",TIME(HOUR('Calendario D'!$F188),MINUTE('Calendario D'!$F188),0))</f>
        <v/>
      </c>
      <c r="E628" s="222">
        <f>IF($B628="","",DATE(YEAR('Calendario D'!$F188),MONTH('Calendario D'!$F188),DAY('Calendario D'!$F188)))</f>
        <v/>
      </c>
      <c r="F628" s="223">
        <f>IF($B628="","",TIME(HOUR('Calendario D'!$F188)+2,MINUTE('Calendario D'!$F188),0))</f>
        <v/>
      </c>
      <c r="G628" s="68">
        <f>IF($B628="","",'Calendario D'!$B189)</f>
        <v/>
      </c>
      <c r="H628" s="68">
        <f>IF($B628="","",Campionato!$D$2&amp;" "&amp;Campionato!$D$6)</f>
        <v/>
      </c>
      <c r="I628" s="68" t="n"/>
    </row>
    <row r="629">
      <c r="A629" s="68">
        <f>IF($B629="","","BEGIN:VEVENT
DTSTAMP:"&amp;TEXT(NOW(),"yyyymmdd")&amp;"T000001Z
UID:evt628@ClaudeCoworkBaskin
DTSTART;TZID=Europe/Rome:"&amp;TEXT($C629,"yyyymmdd")&amp;"T"&amp;TEXT($D629,"hhmmss")&amp;"
DTEND;TZID=Europe/Rome:"&amp;TEXT($E629,"yyyymmdd")&amp;"T"&amp;TEXT($F629,"hhmmss")&amp;"
SUMMARY:"&amp;$B629&amp;"
LOCATION:"&amp;$G629&amp;"
DESCRIPTION:"&amp;$H629&amp;"
END:VEVENT")</f>
        <v/>
      </c>
      <c r="B629" s="68">
        <f>IF('Calendario D'!$B191="","",'Calendario D'!$B191&amp;" vs "&amp;'Calendario D'!$D191&amp;" "&amp;'Calendario D'!$AC191)</f>
        <v/>
      </c>
      <c r="C629" s="222">
        <f>IF($B629="","",DATE(YEAR('Calendario D'!$F191),MONTH('Calendario D'!$F191),DAY('Calendario D'!$F191)))</f>
        <v/>
      </c>
      <c r="D629" s="223">
        <f>IF($B629="","",TIME(HOUR('Calendario D'!$F191),MINUTE('Calendario D'!$F191),0))</f>
        <v/>
      </c>
      <c r="E629" s="222">
        <f>IF($B629="","",DATE(YEAR('Calendario D'!$F191),MONTH('Calendario D'!$F191),DAY('Calendario D'!$F191)))</f>
        <v/>
      </c>
      <c r="F629" s="223">
        <f>IF($B629="","",TIME(HOUR('Calendario D'!$F191)+2,MINUTE('Calendario D'!$F191),0))</f>
        <v/>
      </c>
      <c r="G629" s="68">
        <f>IF($B629="","",'Calendario D'!$B192)</f>
        <v/>
      </c>
      <c r="H629" s="68">
        <f>IF($B629="","",Campionato!$D$2&amp;" "&amp;Campionato!$D$6)</f>
        <v/>
      </c>
      <c r="I629" s="68" t="n"/>
    </row>
    <row r="630">
      <c r="A630" s="68">
        <f>IF($B630="","","BEGIN:VEVENT
DTSTAMP:"&amp;TEXT(NOW(),"yyyymmdd")&amp;"T000001Z
UID:evt629@ClaudeCoworkBaskin
DTSTART;TZID=Europe/Rome:"&amp;TEXT($C630,"yyyymmdd")&amp;"T"&amp;TEXT($D630,"hhmmss")&amp;"
DTEND;TZID=Europe/Rome:"&amp;TEXT($E630,"yyyymmdd")&amp;"T"&amp;TEXT($F630,"hhmmss")&amp;"
SUMMARY:"&amp;$B630&amp;"
LOCATION:"&amp;$G630&amp;"
DESCRIPTION:"&amp;$H630&amp;"
END:VEVENT")</f>
        <v/>
      </c>
      <c r="B630" s="68">
        <f>IF('Calendario D'!$B194="","",'Calendario D'!$B194&amp;" vs "&amp;'Calendario D'!$D194&amp;" "&amp;'Calendario D'!$AC194)</f>
        <v/>
      </c>
      <c r="C630" s="222">
        <f>IF($B630="","",DATE(YEAR('Calendario D'!$F194),MONTH('Calendario D'!$F194),DAY('Calendario D'!$F194)))</f>
        <v/>
      </c>
      <c r="D630" s="223">
        <f>IF($B630="","",TIME(HOUR('Calendario D'!$F194),MINUTE('Calendario D'!$F194),0))</f>
        <v/>
      </c>
      <c r="E630" s="222">
        <f>IF($B630="","",DATE(YEAR('Calendario D'!$F194),MONTH('Calendario D'!$F194),DAY('Calendario D'!$F194)))</f>
        <v/>
      </c>
      <c r="F630" s="223">
        <f>IF($B630="","",TIME(HOUR('Calendario D'!$F194)+2,MINUTE('Calendario D'!$F194),0))</f>
        <v/>
      </c>
      <c r="G630" s="68">
        <f>IF($B630="","",'Calendario D'!$B195)</f>
        <v/>
      </c>
      <c r="H630" s="68">
        <f>IF($B630="","",Campionato!$D$2&amp;" "&amp;Campionato!$D$6)</f>
        <v/>
      </c>
      <c r="I630" s="68" t="n"/>
    </row>
    <row r="631">
      <c r="A631" s="68">
        <f>IF($B631="","","BEGIN:VEVENT
DTSTAMP:"&amp;TEXT(NOW(),"yyyymmdd")&amp;"T000001Z
UID:evt630@ClaudeCoworkBaskin
DTSTART;TZID=Europe/Rome:"&amp;TEXT($C631,"yyyymmdd")&amp;"T"&amp;TEXT($D631,"hhmmss")&amp;"
DTEND;TZID=Europe/Rome:"&amp;TEXT($E631,"yyyymmdd")&amp;"T"&amp;TEXT($F631,"hhmmss")&amp;"
SUMMARY:"&amp;$B631&amp;"
LOCATION:"&amp;$G631&amp;"
DESCRIPTION:"&amp;$H631&amp;"
END:VEVENT")</f>
        <v/>
      </c>
      <c r="B631" s="68">
        <f>IF('Calendario D'!$B197="","",'Calendario D'!$B197&amp;" vs "&amp;'Calendario D'!$D197&amp;" "&amp;'Calendario D'!$AC197)</f>
        <v/>
      </c>
      <c r="C631" s="222">
        <f>IF($B631="","",DATE(YEAR('Calendario D'!$F197),MONTH('Calendario D'!$F197),DAY('Calendario D'!$F197)))</f>
        <v/>
      </c>
      <c r="D631" s="223">
        <f>IF($B631="","",TIME(HOUR('Calendario D'!$F197),MINUTE('Calendario D'!$F197),0))</f>
        <v/>
      </c>
      <c r="E631" s="222">
        <f>IF($B631="","",DATE(YEAR('Calendario D'!$F197),MONTH('Calendario D'!$F197),DAY('Calendario D'!$F197)))</f>
        <v/>
      </c>
      <c r="F631" s="223">
        <f>IF($B631="","",TIME(HOUR('Calendario D'!$F197)+2,MINUTE('Calendario D'!$F197),0))</f>
        <v/>
      </c>
      <c r="G631" s="68">
        <f>IF($B631="","",'Calendario D'!$B198)</f>
        <v/>
      </c>
      <c r="H631" s="68">
        <f>IF($B631="","",Campionato!$D$2&amp;" "&amp;Campionato!$D$6)</f>
        <v/>
      </c>
      <c r="I631" s="68" t="n"/>
    </row>
    <row r="632">
      <c r="A632" s="68">
        <f>IF($B632="","","BEGIN:VEVENT
DTSTAMP:"&amp;TEXT(NOW(),"yyyymmdd")&amp;"T000001Z
UID:evt631@ClaudeCoworkBaskin
DTSTART;TZID=Europe/Rome:"&amp;TEXT($C632,"yyyymmdd")&amp;"T"&amp;TEXT($D632,"hhmmss")&amp;"
DTEND;TZID=Europe/Rome:"&amp;TEXT($E632,"yyyymmdd")&amp;"T"&amp;TEXT($F632,"hhmmss")&amp;"
SUMMARY:"&amp;$B632&amp;"
LOCATION:"&amp;$G632&amp;"
DESCRIPTION:"&amp;$H632&amp;"
END:VEVENT")</f>
        <v/>
      </c>
      <c r="B632" s="68">
        <f>IF('Calendario D'!$B202="","",'Calendario D'!$B202&amp;" vs "&amp;'Calendario D'!$D202&amp;" "&amp;'Calendario D'!$AC202)</f>
        <v/>
      </c>
      <c r="C632" s="222">
        <f>IF($B632="","",DATE(YEAR('Calendario D'!$F202),MONTH('Calendario D'!$F202),DAY('Calendario D'!$F202)))</f>
        <v/>
      </c>
      <c r="D632" s="223">
        <f>IF($B632="","",TIME(HOUR('Calendario D'!$F202),MINUTE('Calendario D'!$F202),0))</f>
        <v/>
      </c>
      <c r="E632" s="222">
        <f>IF($B632="","",DATE(YEAR('Calendario D'!$F202),MONTH('Calendario D'!$F202),DAY('Calendario D'!$F202)))</f>
        <v/>
      </c>
      <c r="F632" s="223">
        <f>IF($B632="","",TIME(HOUR('Calendario D'!$F202)+2,MINUTE('Calendario D'!$F202),0))</f>
        <v/>
      </c>
      <c r="G632" s="68">
        <f>IF($B632="","",'Calendario D'!$B203)</f>
        <v/>
      </c>
      <c r="H632" s="68">
        <f>IF($B632="","",Campionato!$D$2&amp;" "&amp;Campionato!$D$6)</f>
        <v/>
      </c>
      <c r="I632" s="68" t="n"/>
    </row>
    <row r="633">
      <c r="A633" s="68">
        <f>IF($B633="","","BEGIN:VEVENT
DTSTAMP:"&amp;TEXT(NOW(),"yyyymmdd")&amp;"T000001Z
UID:evt632@ClaudeCoworkBaskin
DTSTART;TZID=Europe/Rome:"&amp;TEXT($C633,"yyyymmdd")&amp;"T"&amp;TEXT($D633,"hhmmss")&amp;"
DTEND;TZID=Europe/Rome:"&amp;TEXT($E633,"yyyymmdd")&amp;"T"&amp;TEXT($F633,"hhmmss")&amp;"
SUMMARY:"&amp;$B633&amp;"
LOCATION:"&amp;$G633&amp;"
DESCRIPTION:"&amp;$H633&amp;"
END:VEVENT")</f>
        <v/>
      </c>
      <c r="B633" s="68">
        <f>IF('Calendario D'!$B205="","",'Calendario D'!$B205&amp;" vs "&amp;'Calendario D'!$D205&amp;" "&amp;'Calendario D'!$AC205)</f>
        <v/>
      </c>
      <c r="C633" s="222">
        <f>IF($B633="","",DATE(YEAR('Calendario D'!$F205),MONTH('Calendario D'!$F205),DAY('Calendario D'!$F205)))</f>
        <v/>
      </c>
      <c r="D633" s="223">
        <f>IF($B633="","",TIME(HOUR('Calendario D'!$F205),MINUTE('Calendario D'!$F205),0))</f>
        <v/>
      </c>
      <c r="E633" s="222">
        <f>IF($B633="","",DATE(YEAR('Calendario D'!$F205),MONTH('Calendario D'!$F205),DAY('Calendario D'!$F205)))</f>
        <v/>
      </c>
      <c r="F633" s="223">
        <f>IF($B633="","",TIME(HOUR('Calendario D'!$F205)+2,MINUTE('Calendario D'!$F205),0))</f>
        <v/>
      </c>
      <c r="G633" s="68">
        <f>IF($B633="","",'Calendario D'!$B206)</f>
        <v/>
      </c>
      <c r="H633" s="68">
        <f>IF($B633="","",Campionato!$D$2&amp;" "&amp;Campionato!$D$6)</f>
        <v/>
      </c>
      <c r="I633" s="68" t="n"/>
    </row>
    <row r="634">
      <c r="A634" s="68">
        <f>IF($B634="","","BEGIN:VEVENT
DTSTAMP:"&amp;TEXT(NOW(),"yyyymmdd")&amp;"T000001Z
UID:evt633@ClaudeCoworkBaskin
DTSTART;TZID=Europe/Rome:"&amp;TEXT($C634,"yyyymmdd")&amp;"T"&amp;TEXT($D634,"hhmmss")&amp;"
DTEND;TZID=Europe/Rome:"&amp;TEXT($E634,"yyyymmdd")&amp;"T"&amp;TEXT($F634,"hhmmss")&amp;"
SUMMARY:"&amp;$B634&amp;"
LOCATION:"&amp;$G634&amp;"
DESCRIPTION:"&amp;$H634&amp;"
END:VEVENT")</f>
        <v/>
      </c>
      <c r="B634" s="68">
        <f>IF('Calendario D'!$B208="","",'Calendario D'!$B208&amp;" vs "&amp;'Calendario D'!$D208&amp;" "&amp;'Calendario D'!$AC208)</f>
        <v/>
      </c>
      <c r="C634" s="222">
        <f>IF($B634="","",DATE(YEAR('Calendario D'!$F208),MONTH('Calendario D'!$F208),DAY('Calendario D'!$F208)))</f>
        <v/>
      </c>
      <c r="D634" s="223">
        <f>IF($B634="","",TIME(HOUR('Calendario D'!$F208),MINUTE('Calendario D'!$F208),0))</f>
        <v/>
      </c>
      <c r="E634" s="222">
        <f>IF($B634="","",DATE(YEAR('Calendario D'!$F208),MONTH('Calendario D'!$F208),DAY('Calendario D'!$F208)))</f>
        <v/>
      </c>
      <c r="F634" s="223">
        <f>IF($B634="","",TIME(HOUR('Calendario D'!$F208)+2,MINUTE('Calendario D'!$F208),0))</f>
        <v/>
      </c>
      <c r="G634" s="68">
        <f>IF($B634="","",'Calendario D'!$B209)</f>
        <v/>
      </c>
      <c r="H634" s="68">
        <f>IF($B634="","",Campionato!$D$2&amp;" "&amp;Campionato!$D$6)</f>
        <v/>
      </c>
      <c r="I634" s="68" t="n"/>
    </row>
    <row r="635">
      <c r="A635" s="68">
        <f>IF($B635="","","BEGIN:VEVENT
DTSTAMP:"&amp;TEXT(NOW(),"yyyymmdd")&amp;"T000001Z
UID:evt634@ClaudeCoworkBaskin
DTSTART;TZID=Europe/Rome:"&amp;TEXT($C635,"yyyymmdd")&amp;"T"&amp;TEXT($D635,"hhmmss")&amp;"
DTEND;TZID=Europe/Rome:"&amp;TEXT($E635,"yyyymmdd")&amp;"T"&amp;TEXT($F635,"hhmmss")&amp;"
SUMMARY:"&amp;$B635&amp;"
LOCATION:"&amp;$G635&amp;"
DESCRIPTION:"&amp;$H635&amp;"
END:VEVENT")</f>
        <v/>
      </c>
      <c r="B635" s="68">
        <f>IF('Calendario D'!$B211="","",'Calendario D'!$B211&amp;" vs "&amp;'Calendario D'!$D211&amp;" "&amp;'Calendario D'!$AC211)</f>
        <v/>
      </c>
      <c r="C635" s="222">
        <f>IF($B635="","",DATE(YEAR('Calendario D'!$F211),MONTH('Calendario D'!$F211),DAY('Calendario D'!$F211)))</f>
        <v/>
      </c>
      <c r="D635" s="223">
        <f>IF($B635="","",TIME(HOUR('Calendario D'!$F211),MINUTE('Calendario D'!$F211),0))</f>
        <v/>
      </c>
      <c r="E635" s="222">
        <f>IF($B635="","",DATE(YEAR('Calendario D'!$F211),MONTH('Calendario D'!$F211),DAY('Calendario D'!$F211)))</f>
        <v/>
      </c>
      <c r="F635" s="223">
        <f>IF($B635="","",TIME(HOUR('Calendario D'!$F211)+2,MINUTE('Calendario D'!$F211),0))</f>
        <v/>
      </c>
      <c r="G635" s="68">
        <f>IF($B635="","",'Calendario D'!$B212)</f>
        <v/>
      </c>
      <c r="H635" s="68">
        <f>IF($B635="","",Campionato!$D$2&amp;" "&amp;Campionato!$D$6)</f>
        <v/>
      </c>
      <c r="I635" s="68" t="n"/>
    </row>
    <row r="636">
      <c r="A636" s="68">
        <f>IF($B636="","","BEGIN:VEVENT
DTSTAMP:"&amp;TEXT(NOW(),"yyyymmdd")&amp;"T000001Z
UID:evt635@ClaudeCoworkBaskin
DTSTART;TZID=Europe/Rome:"&amp;TEXT($C636,"yyyymmdd")&amp;"T"&amp;TEXT($D636,"hhmmss")&amp;"
DTEND;TZID=Europe/Rome:"&amp;TEXT($E636,"yyyymmdd")&amp;"T"&amp;TEXT($F636,"hhmmss")&amp;"
SUMMARY:"&amp;$B636&amp;"
LOCATION:"&amp;$G636&amp;"
DESCRIPTION:"&amp;$H636&amp;"
END:VEVENT")</f>
        <v/>
      </c>
      <c r="B636" s="68">
        <f>IF('Calendario D'!$B214="","",'Calendario D'!$B214&amp;" vs "&amp;'Calendario D'!$D214&amp;" "&amp;'Calendario D'!$AC214)</f>
        <v/>
      </c>
      <c r="C636" s="222">
        <f>IF($B636="","",DATE(YEAR('Calendario D'!$F214),MONTH('Calendario D'!$F214),DAY('Calendario D'!$F214)))</f>
        <v/>
      </c>
      <c r="D636" s="223">
        <f>IF($B636="","",TIME(HOUR('Calendario D'!$F214),MINUTE('Calendario D'!$F214),0))</f>
        <v/>
      </c>
      <c r="E636" s="222">
        <f>IF($B636="","",DATE(YEAR('Calendario D'!$F214),MONTH('Calendario D'!$F214),DAY('Calendario D'!$F214)))</f>
        <v/>
      </c>
      <c r="F636" s="223">
        <f>IF($B636="","",TIME(HOUR('Calendario D'!$F214)+2,MINUTE('Calendario D'!$F214),0))</f>
        <v/>
      </c>
      <c r="G636" s="68">
        <f>IF($B636="","",'Calendario D'!$B215)</f>
        <v/>
      </c>
      <c r="H636" s="68">
        <f>IF($B636="","",Campionato!$D$2&amp;" "&amp;Campionato!$D$6)</f>
        <v/>
      </c>
      <c r="I636" s="68" t="n"/>
    </row>
    <row r="637">
      <c r="A637" s="68">
        <f>IF($B637="","","BEGIN:VEVENT
DTSTAMP:"&amp;TEXT(NOW(),"yyyymmdd")&amp;"T000001Z
UID:evt636@ClaudeCoworkBaskin
DTSTART;TZID=Europe/Rome:"&amp;TEXT($C637,"yyyymmdd")&amp;"T"&amp;TEXT($D637,"hhmmss")&amp;"
DTEND;TZID=Europe/Rome:"&amp;TEXT($E637,"yyyymmdd")&amp;"T"&amp;TEXT($F637,"hhmmss")&amp;"
SUMMARY:"&amp;$B637&amp;"
LOCATION:"&amp;$G637&amp;"
DESCRIPTION:"&amp;$H637&amp;"
END:VEVENT")</f>
        <v/>
      </c>
      <c r="B637" s="68">
        <f>IF('Calendario D'!$B217="","",'Calendario D'!$B217&amp;" vs "&amp;'Calendario D'!$D217&amp;" "&amp;'Calendario D'!$AC217)</f>
        <v/>
      </c>
      <c r="C637" s="222">
        <f>IF($B637="","",DATE(YEAR('Calendario D'!$F217),MONTH('Calendario D'!$F217),DAY('Calendario D'!$F217)))</f>
        <v/>
      </c>
      <c r="D637" s="223">
        <f>IF($B637="","",TIME(HOUR('Calendario D'!$F217),MINUTE('Calendario D'!$F217),0))</f>
        <v/>
      </c>
      <c r="E637" s="222">
        <f>IF($B637="","",DATE(YEAR('Calendario D'!$F217),MONTH('Calendario D'!$F217),DAY('Calendario D'!$F217)))</f>
        <v/>
      </c>
      <c r="F637" s="223">
        <f>IF($B637="","",TIME(HOUR('Calendario D'!$F217)+2,MINUTE('Calendario D'!$F217),0))</f>
        <v/>
      </c>
      <c r="G637" s="68">
        <f>IF($B637="","",'Calendario D'!$B218)</f>
        <v/>
      </c>
      <c r="H637" s="68">
        <f>IF($B637="","",Campionato!$D$2&amp;" "&amp;Campionato!$D$6)</f>
        <v/>
      </c>
      <c r="I637" s="68" t="n"/>
    </row>
    <row r="638">
      <c r="A638" s="68">
        <f>IF($B638="","","BEGIN:VEVENT
DTSTAMP:"&amp;TEXT(NOW(),"yyyymmdd")&amp;"T000001Z
UID:evt637@ClaudeCoworkBaskin
DTSTART;TZID=Europe/Rome:"&amp;TEXT($C638,"yyyymmdd")&amp;"T"&amp;TEXT($D638,"hhmmss")&amp;"
DTEND;TZID=Europe/Rome:"&amp;TEXT($E638,"yyyymmdd")&amp;"T"&amp;TEXT($F638,"hhmmss")&amp;"
SUMMARY:"&amp;$B638&amp;"
LOCATION:"&amp;$G638&amp;"
DESCRIPTION:"&amp;$H638&amp;"
END:VEVENT")</f>
        <v/>
      </c>
      <c r="B638" s="68">
        <f>IF('Calendario D'!$B220="","",'Calendario D'!$B220&amp;" vs "&amp;'Calendario D'!$D220&amp;" "&amp;'Calendario D'!$AC220)</f>
        <v/>
      </c>
      <c r="C638" s="222">
        <f>IF($B638="","",DATE(YEAR('Calendario D'!$F220),MONTH('Calendario D'!$F220),DAY('Calendario D'!$F220)))</f>
        <v/>
      </c>
      <c r="D638" s="223">
        <f>IF($B638="","",TIME(HOUR('Calendario D'!$F220),MINUTE('Calendario D'!$F220),0))</f>
        <v/>
      </c>
      <c r="E638" s="222">
        <f>IF($B638="","",DATE(YEAR('Calendario D'!$F220),MONTH('Calendario D'!$F220),DAY('Calendario D'!$F220)))</f>
        <v/>
      </c>
      <c r="F638" s="223">
        <f>IF($B638="","",TIME(HOUR('Calendario D'!$F220)+2,MINUTE('Calendario D'!$F220),0))</f>
        <v/>
      </c>
      <c r="G638" s="68">
        <f>IF($B638="","",'Calendario D'!$B221)</f>
        <v/>
      </c>
      <c r="H638" s="68">
        <f>IF($B638="","",Campionato!$D$2&amp;" "&amp;Campionato!$D$6)</f>
        <v/>
      </c>
      <c r="I638" s="68" t="n"/>
    </row>
    <row r="639">
      <c r="A639" s="68">
        <f>IF($B639="","","BEGIN:VEVENT
DTSTAMP:"&amp;TEXT(NOW(),"yyyymmdd")&amp;"T000001Z
UID:evt638@ClaudeCoworkBaskin
DTSTART;TZID=Europe/Rome:"&amp;TEXT($C639,"yyyymmdd")&amp;"T"&amp;TEXT($D639,"hhmmss")&amp;"
DTEND;TZID=Europe/Rome:"&amp;TEXT($E639,"yyyymmdd")&amp;"T"&amp;TEXT($F639,"hhmmss")&amp;"
SUMMARY:"&amp;$B639&amp;"
LOCATION:"&amp;$G639&amp;"
DESCRIPTION:"&amp;$H639&amp;"
END:VEVENT")</f>
        <v/>
      </c>
      <c r="B639" s="68">
        <f>IF('Calendario D'!$B223="","",'Calendario D'!$B223&amp;" vs "&amp;'Calendario D'!$D223&amp;" "&amp;'Calendario D'!$AC223)</f>
        <v/>
      </c>
      <c r="C639" s="222">
        <f>IF($B639="","",DATE(YEAR('Calendario D'!$F223),MONTH('Calendario D'!$F223),DAY('Calendario D'!$F223)))</f>
        <v/>
      </c>
      <c r="D639" s="223">
        <f>IF($B639="","",TIME(HOUR('Calendario D'!$F223),MINUTE('Calendario D'!$F223),0))</f>
        <v/>
      </c>
      <c r="E639" s="222">
        <f>IF($B639="","",DATE(YEAR('Calendario D'!$F223),MONTH('Calendario D'!$F223),DAY('Calendario D'!$F223)))</f>
        <v/>
      </c>
      <c r="F639" s="223">
        <f>IF($B639="","",TIME(HOUR('Calendario D'!$F223)+2,MINUTE('Calendario D'!$F223),0))</f>
        <v/>
      </c>
      <c r="G639" s="68">
        <f>IF($B639="","",'Calendario D'!$B224)</f>
        <v/>
      </c>
      <c r="H639" s="68">
        <f>IF($B639="","",Campionato!$D$2&amp;" "&amp;Campionato!$D$6)</f>
        <v/>
      </c>
      <c r="I639" s="68" t="n"/>
    </row>
    <row r="640">
      <c r="A640" s="68">
        <f>IF($B640="","","BEGIN:VEVENT
DTSTAMP:"&amp;TEXT(NOW(),"yyyymmdd")&amp;"T000001Z
UID:evt639@ClaudeCoworkBaskin
DTSTART;TZID=Europe/Rome:"&amp;TEXT($C640,"yyyymmdd")&amp;"T"&amp;TEXT($D640,"hhmmss")&amp;"
DTEND;TZID=Europe/Rome:"&amp;TEXT($E640,"yyyymmdd")&amp;"T"&amp;TEXT($F640,"hhmmss")&amp;"
SUMMARY:"&amp;$B640&amp;"
LOCATION:"&amp;$G640&amp;"
DESCRIPTION:"&amp;$H640&amp;"
END:VEVENT")</f>
        <v/>
      </c>
      <c r="B640" s="68">
        <f>IF('Calendario D'!$B226="","",'Calendario D'!$B226&amp;" vs "&amp;'Calendario D'!$D226&amp;" "&amp;'Calendario D'!$AC226)</f>
        <v/>
      </c>
      <c r="C640" s="222">
        <f>IF($B640="","",DATE(YEAR('Calendario D'!$F226),MONTH('Calendario D'!$F226),DAY('Calendario D'!$F226)))</f>
        <v/>
      </c>
      <c r="D640" s="223">
        <f>IF($B640="","",TIME(HOUR('Calendario D'!$F226),MINUTE('Calendario D'!$F226),0))</f>
        <v/>
      </c>
      <c r="E640" s="222">
        <f>IF($B640="","",DATE(YEAR('Calendario D'!$F226),MONTH('Calendario D'!$F226),DAY('Calendario D'!$F226)))</f>
        <v/>
      </c>
      <c r="F640" s="223">
        <f>IF($B640="","",TIME(HOUR('Calendario D'!$F226)+2,MINUTE('Calendario D'!$F226),0))</f>
        <v/>
      </c>
      <c r="G640" s="68">
        <f>IF($B640="","",'Calendario D'!$B227)</f>
        <v/>
      </c>
      <c r="H640" s="68">
        <f>IF($B640="","",Campionato!$D$2&amp;" "&amp;Campionato!$D$6)</f>
        <v/>
      </c>
      <c r="I640" s="68" t="n"/>
    </row>
    <row r="641">
      <c r="A641" s="68">
        <f>IF($B641="","","BEGIN:VEVENT
DTSTAMP:"&amp;TEXT(NOW(),"yyyymmdd")&amp;"T000001Z
UID:evt640@ClaudeCoworkBaskin
DTSTART;TZID=Europe/Rome:"&amp;TEXT($C641,"yyyymmdd")&amp;"T"&amp;TEXT($D641,"hhmmss")&amp;"
DTEND;TZID=Europe/Rome:"&amp;TEXT($E641,"yyyymmdd")&amp;"T"&amp;TEXT($F641,"hhmmss")&amp;"
SUMMARY:"&amp;$B641&amp;"
LOCATION:"&amp;$G641&amp;"
DESCRIPTION:"&amp;$H641&amp;"
END:VEVENT")</f>
        <v/>
      </c>
      <c r="B641" s="68">
        <f>IF('Calendario D'!$B229="","",'Calendario D'!$B229&amp;" vs "&amp;'Calendario D'!$D229&amp;" "&amp;'Calendario D'!$AC229)</f>
        <v/>
      </c>
      <c r="C641" s="222">
        <f>IF($B641="","",DATE(YEAR('Calendario D'!$F229),MONTH('Calendario D'!$F229),DAY('Calendario D'!$F229)))</f>
        <v/>
      </c>
      <c r="D641" s="223">
        <f>IF($B641="","",TIME(HOUR('Calendario D'!$F229),MINUTE('Calendario D'!$F229),0))</f>
        <v/>
      </c>
      <c r="E641" s="222">
        <f>IF($B641="","",DATE(YEAR('Calendario D'!$F229),MONTH('Calendario D'!$F229),DAY('Calendario D'!$F229)))</f>
        <v/>
      </c>
      <c r="F641" s="223">
        <f>IF($B641="","",TIME(HOUR('Calendario D'!$F229)+2,MINUTE('Calendario D'!$F229),0))</f>
        <v/>
      </c>
      <c r="G641" s="68">
        <f>IF($B641="","",'Calendario D'!$B230)</f>
        <v/>
      </c>
      <c r="H641" s="68">
        <f>IF($B641="","",Campionato!$D$2&amp;" "&amp;Campionato!$D$6)</f>
        <v/>
      </c>
      <c r="I641" s="68" t="n"/>
    </row>
    <row r="642">
      <c r="A642" s="68">
        <f>IF($B642="","","BEGIN:VEVENT
DTSTAMP:"&amp;TEXT(NOW(),"yyyymmdd")&amp;"T000001Z
UID:evt641@ClaudeCoworkBaskin
DTSTART;TZID=Europe/Rome:"&amp;TEXT($C642,"yyyymmdd")&amp;"T"&amp;TEXT($D642,"hhmmss")&amp;"
DTEND;TZID=Europe/Rome:"&amp;TEXT($E642,"yyyymmdd")&amp;"T"&amp;TEXT($F642,"hhmmss")&amp;"
SUMMARY:"&amp;$B642&amp;"
LOCATION:"&amp;$G642&amp;"
DESCRIPTION:"&amp;$H642&amp;"
END:VEVENT")</f>
        <v/>
      </c>
      <c r="B642" s="68">
        <f>IF('Calendario D'!$B234="","",'Calendario D'!$B234&amp;" vs "&amp;'Calendario D'!$D234&amp;" "&amp;'Calendario D'!$AC234)</f>
        <v/>
      </c>
      <c r="C642" s="222">
        <f>IF($B642="","",DATE(YEAR('Calendario D'!$F234),MONTH('Calendario D'!$F234),DAY('Calendario D'!$F234)))</f>
        <v/>
      </c>
      <c r="D642" s="223">
        <f>IF($B642="","",TIME(HOUR('Calendario D'!$F234),MINUTE('Calendario D'!$F234),0))</f>
        <v/>
      </c>
      <c r="E642" s="222">
        <f>IF($B642="","",DATE(YEAR('Calendario D'!$F234),MONTH('Calendario D'!$F234),DAY('Calendario D'!$F234)))</f>
        <v/>
      </c>
      <c r="F642" s="223">
        <f>IF($B642="","",TIME(HOUR('Calendario D'!$F234)+2,MINUTE('Calendario D'!$F234),0))</f>
        <v/>
      </c>
      <c r="G642" s="68">
        <f>IF($B642="","",'Calendario D'!$B235)</f>
        <v/>
      </c>
      <c r="H642" s="68">
        <f>IF($B642="","",Campionato!$D$2&amp;" "&amp;Campionato!$D$6)</f>
        <v/>
      </c>
      <c r="I642" s="68" t="n"/>
    </row>
    <row r="643">
      <c r="A643" s="68">
        <f>IF($B643="","","BEGIN:VEVENT
DTSTAMP:"&amp;TEXT(NOW(),"yyyymmdd")&amp;"T000001Z
UID:evt642@ClaudeCoworkBaskin
DTSTART;TZID=Europe/Rome:"&amp;TEXT($C643,"yyyymmdd")&amp;"T"&amp;TEXT($D643,"hhmmss")&amp;"
DTEND;TZID=Europe/Rome:"&amp;TEXT($E643,"yyyymmdd")&amp;"T"&amp;TEXT($F643,"hhmmss")&amp;"
SUMMARY:"&amp;$B643&amp;"
LOCATION:"&amp;$G643&amp;"
DESCRIPTION:"&amp;$H643&amp;"
END:VEVENT")</f>
        <v/>
      </c>
      <c r="B643" s="68">
        <f>IF('Calendario D'!$B237="","",'Calendario D'!$B237&amp;" vs "&amp;'Calendario D'!$D237&amp;" "&amp;'Calendario D'!$AC237)</f>
        <v/>
      </c>
      <c r="C643" s="222">
        <f>IF($B643="","",DATE(YEAR('Calendario D'!$F237),MONTH('Calendario D'!$F237),DAY('Calendario D'!$F237)))</f>
        <v/>
      </c>
      <c r="D643" s="223">
        <f>IF($B643="","",TIME(HOUR('Calendario D'!$F237),MINUTE('Calendario D'!$F237),0))</f>
        <v/>
      </c>
      <c r="E643" s="222">
        <f>IF($B643="","",DATE(YEAR('Calendario D'!$F237),MONTH('Calendario D'!$F237),DAY('Calendario D'!$F237)))</f>
        <v/>
      </c>
      <c r="F643" s="223">
        <f>IF($B643="","",TIME(HOUR('Calendario D'!$F237)+2,MINUTE('Calendario D'!$F237),0))</f>
        <v/>
      </c>
      <c r="G643" s="68">
        <f>IF($B643="","",'Calendario D'!$B238)</f>
        <v/>
      </c>
      <c r="H643" s="68">
        <f>IF($B643="","",Campionato!$D$2&amp;" "&amp;Campionato!$D$6)</f>
        <v/>
      </c>
      <c r="I643" s="68" t="n"/>
    </row>
    <row r="644">
      <c r="A644" s="68">
        <f>IF($B644="","","BEGIN:VEVENT
DTSTAMP:"&amp;TEXT(NOW(),"yyyymmdd")&amp;"T000001Z
UID:evt643@ClaudeCoworkBaskin
DTSTART;TZID=Europe/Rome:"&amp;TEXT($C644,"yyyymmdd")&amp;"T"&amp;TEXT($D644,"hhmmss")&amp;"
DTEND;TZID=Europe/Rome:"&amp;TEXT($E644,"yyyymmdd")&amp;"T"&amp;TEXT($F644,"hhmmss")&amp;"
SUMMARY:"&amp;$B644&amp;"
LOCATION:"&amp;$G644&amp;"
DESCRIPTION:"&amp;$H644&amp;"
END:VEVENT")</f>
        <v/>
      </c>
      <c r="B644" s="68">
        <f>IF('Calendario D'!$B240="","",'Calendario D'!$B240&amp;" vs "&amp;'Calendario D'!$D240&amp;" "&amp;'Calendario D'!$AC240)</f>
        <v/>
      </c>
      <c r="C644" s="222">
        <f>IF($B644="","",DATE(YEAR('Calendario D'!$F240),MONTH('Calendario D'!$F240),DAY('Calendario D'!$F240)))</f>
        <v/>
      </c>
      <c r="D644" s="223">
        <f>IF($B644="","",TIME(HOUR('Calendario D'!$F240),MINUTE('Calendario D'!$F240),0))</f>
        <v/>
      </c>
      <c r="E644" s="222">
        <f>IF($B644="","",DATE(YEAR('Calendario D'!$F240),MONTH('Calendario D'!$F240),DAY('Calendario D'!$F240)))</f>
        <v/>
      </c>
      <c r="F644" s="223">
        <f>IF($B644="","",TIME(HOUR('Calendario D'!$F240)+2,MINUTE('Calendario D'!$F240),0))</f>
        <v/>
      </c>
      <c r="G644" s="68">
        <f>IF($B644="","",'Calendario D'!$B241)</f>
        <v/>
      </c>
      <c r="H644" s="68">
        <f>IF($B644="","",Campionato!$D$2&amp;" "&amp;Campionato!$D$6)</f>
        <v/>
      </c>
      <c r="I644" s="68" t="n"/>
    </row>
    <row r="645">
      <c r="A645" s="68">
        <f>IF($B645="","","BEGIN:VEVENT
DTSTAMP:"&amp;TEXT(NOW(),"yyyymmdd")&amp;"T000001Z
UID:evt644@ClaudeCoworkBaskin
DTSTART;TZID=Europe/Rome:"&amp;TEXT($C645,"yyyymmdd")&amp;"T"&amp;TEXT($D645,"hhmmss")&amp;"
DTEND;TZID=Europe/Rome:"&amp;TEXT($E645,"yyyymmdd")&amp;"T"&amp;TEXT($F645,"hhmmss")&amp;"
SUMMARY:"&amp;$B645&amp;"
LOCATION:"&amp;$G645&amp;"
DESCRIPTION:"&amp;$H645&amp;"
END:VEVENT")</f>
        <v/>
      </c>
      <c r="B645" s="68">
        <f>IF('Calendario D'!$B243="","",'Calendario D'!$B243&amp;" vs "&amp;'Calendario D'!$D243&amp;" "&amp;'Calendario D'!$AC243)</f>
        <v/>
      </c>
      <c r="C645" s="222">
        <f>IF($B645="","",DATE(YEAR('Calendario D'!$F243),MONTH('Calendario D'!$F243),DAY('Calendario D'!$F243)))</f>
        <v/>
      </c>
      <c r="D645" s="223">
        <f>IF($B645="","",TIME(HOUR('Calendario D'!$F243),MINUTE('Calendario D'!$F243),0))</f>
        <v/>
      </c>
      <c r="E645" s="222">
        <f>IF($B645="","",DATE(YEAR('Calendario D'!$F243),MONTH('Calendario D'!$F243),DAY('Calendario D'!$F243)))</f>
        <v/>
      </c>
      <c r="F645" s="223">
        <f>IF($B645="","",TIME(HOUR('Calendario D'!$F243)+2,MINUTE('Calendario D'!$F243),0))</f>
        <v/>
      </c>
      <c r="G645" s="68">
        <f>IF($B645="","",'Calendario D'!$B244)</f>
        <v/>
      </c>
      <c r="H645" s="68">
        <f>IF($B645="","",Campionato!$D$2&amp;" "&amp;Campionato!$D$6)</f>
        <v/>
      </c>
      <c r="I645" s="68" t="n"/>
    </row>
    <row r="646">
      <c r="A646" s="68">
        <f>IF($B646="","","BEGIN:VEVENT
DTSTAMP:"&amp;TEXT(NOW(),"yyyymmdd")&amp;"T000001Z
UID:evt645@ClaudeCoworkBaskin
DTSTART;TZID=Europe/Rome:"&amp;TEXT($C646,"yyyymmdd")&amp;"T"&amp;TEXT($D646,"hhmmss")&amp;"
DTEND;TZID=Europe/Rome:"&amp;TEXT($E646,"yyyymmdd")&amp;"T"&amp;TEXT($F646,"hhmmss")&amp;"
SUMMARY:"&amp;$B646&amp;"
LOCATION:"&amp;$G646&amp;"
DESCRIPTION:"&amp;$H646&amp;"
END:VEVENT")</f>
        <v/>
      </c>
      <c r="B646" s="68">
        <f>IF('Calendario D'!$B246="","",'Calendario D'!$B246&amp;" vs "&amp;'Calendario D'!$D246&amp;" "&amp;'Calendario D'!$AC246)</f>
        <v/>
      </c>
      <c r="C646" s="222">
        <f>IF($B646="","",DATE(YEAR('Calendario D'!$F246),MONTH('Calendario D'!$F246),DAY('Calendario D'!$F246)))</f>
        <v/>
      </c>
      <c r="D646" s="223">
        <f>IF($B646="","",TIME(HOUR('Calendario D'!$F246),MINUTE('Calendario D'!$F246),0))</f>
        <v/>
      </c>
      <c r="E646" s="222">
        <f>IF($B646="","",DATE(YEAR('Calendario D'!$F246),MONTH('Calendario D'!$F246),DAY('Calendario D'!$F246)))</f>
        <v/>
      </c>
      <c r="F646" s="223">
        <f>IF($B646="","",TIME(HOUR('Calendario D'!$F246)+2,MINUTE('Calendario D'!$F246),0))</f>
        <v/>
      </c>
      <c r="G646" s="68">
        <f>IF($B646="","",'Calendario D'!$B247)</f>
        <v/>
      </c>
      <c r="H646" s="68">
        <f>IF($B646="","",Campionato!$D$2&amp;" "&amp;Campionato!$D$6)</f>
        <v/>
      </c>
      <c r="I646" s="68" t="n"/>
    </row>
    <row r="647">
      <c r="A647" s="68">
        <f>IF($B647="","","BEGIN:VEVENT
DTSTAMP:"&amp;TEXT(NOW(),"yyyymmdd")&amp;"T000001Z
UID:evt646@ClaudeCoworkBaskin
DTSTART;TZID=Europe/Rome:"&amp;TEXT($C647,"yyyymmdd")&amp;"T"&amp;TEXT($D647,"hhmmss")&amp;"
DTEND;TZID=Europe/Rome:"&amp;TEXT($E647,"yyyymmdd")&amp;"T"&amp;TEXT($F647,"hhmmss")&amp;"
SUMMARY:"&amp;$B647&amp;"
LOCATION:"&amp;$G647&amp;"
DESCRIPTION:"&amp;$H647&amp;"
END:VEVENT")</f>
        <v/>
      </c>
      <c r="B647" s="68">
        <f>IF('Calendario D'!$B249="","",'Calendario D'!$B249&amp;" vs "&amp;'Calendario D'!$D249&amp;" "&amp;'Calendario D'!$AC249)</f>
        <v/>
      </c>
      <c r="C647" s="222">
        <f>IF($B647="","",DATE(YEAR('Calendario D'!$F249),MONTH('Calendario D'!$F249),DAY('Calendario D'!$F249)))</f>
        <v/>
      </c>
      <c r="D647" s="223">
        <f>IF($B647="","",TIME(HOUR('Calendario D'!$F249),MINUTE('Calendario D'!$F249),0))</f>
        <v/>
      </c>
      <c r="E647" s="222">
        <f>IF($B647="","",DATE(YEAR('Calendario D'!$F249),MONTH('Calendario D'!$F249),DAY('Calendario D'!$F249)))</f>
        <v/>
      </c>
      <c r="F647" s="223">
        <f>IF($B647="","",TIME(HOUR('Calendario D'!$F249)+2,MINUTE('Calendario D'!$F249),0))</f>
        <v/>
      </c>
      <c r="G647" s="68">
        <f>IF($B647="","",'Calendario D'!$B250)</f>
        <v/>
      </c>
      <c r="H647" s="68">
        <f>IF($B647="","",Campionato!$D$2&amp;" "&amp;Campionato!$D$6)</f>
        <v/>
      </c>
      <c r="I647" s="68" t="n"/>
    </row>
    <row r="648">
      <c r="A648" s="68">
        <f>IF($B648="","","BEGIN:VEVENT
DTSTAMP:"&amp;TEXT(NOW(),"yyyymmdd")&amp;"T000001Z
UID:evt647@ClaudeCoworkBaskin
DTSTART;TZID=Europe/Rome:"&amp;TEXT($C648,"yyyymmdd")&amp;"T"&amp;TEXT($D648,"hhmmss")&amp;"
DTEND;TZID=Europe/Rome:"&amp;TEXT($E648,"yyyymmdd")&amp;"T"&amp;TEXT($F648,"hhmmss")&amp;"
SUMMARY:"&amp;$B648&amp;"
LOCATION:"&amp;$G648&amp;"
DESCRIPTION:"&amp;$H648&amp;"
END:VEVENT")</f>
        <v/>
      </c>
      <c r="B648" s="68">
        <f>IF('Calendario D'!$B252="","",'Calendario D'!$B252&amp;" vs "&amp;'Calendario D'!$D252&amp;" "&amp;'Calendario D'!$AC252)</f>
        <v/>
      </c>
      <c r="C648" s="222">
        <f>IF($B648="","",DATE(YEAR('Calendario D'!$F252),MONTH('Calendario D'!$F252),DAY('Calendario D'!$F252)))</f>
        <v/>
      </c>
      <c r="D648" s="223">
        <f>IF($B648="","",TIME(HOUR('Calendario D'!$F252),MINUTE('Calendario D'!$F252),0))</f>
        <v/>
      </c>
      <c r="E648" s="222">
        <f>IF($B648="","",DATE(YEAR('Calendario D'!$F252),MONTH('Calendario D'!$F252),DAY('Calendario D'!$F252)))</f>
        <v/>
      </c>
      <c r="F648" s="223">
        <f>IF($B648="","",TIME(HOUR('Calendario D'!$F252)+2,MINUTE('Calendario D'!$F252),0))</f>
        <v/>
      </c>
      <c r="G648" s="68">
        <f>IF($B648="","",'Calendario D'!$B253)</f>
        <v/>
      </c>
      <c r="H648" s="68">
        <f>IF($B648="","",Campionato!$D$2&amp;" "&amp;Campionato!$D$6)</f>
        <v/>
      </c>
      <c r="I648" s="68" t="n"/>
    </row>
    <row r="649">
      <c r="A649" s="68">
        <f>IF($B649="","","BEGIN:VEVENT
DTSTAMP:"&amp;TEXT(NOW(),"yyyymmdd")&amp;"T000001Z
UID:evt648@ClaudeCoworkBaskin
DTSTART;TZID=Europe/Rome:"&amp;TEXT($C649,"yyyymmdd")&amp;"T"&amp;TEXT($D649,"hhmmss")&amp;"
DTEND;TZID=Europe/Rome:"&amp;TEXT($E649,"yyyymmdd")&amp;"T"&amp;TEXT($F649,"hhmmss")&amp;"
SUMMARY:"&amp;$B649&amp;"
LOCATION:"&amp;$G649&amp;"
DESCRIPTION:"&amp;$H649&amp;"
END:VEVENT")</f>
        <v/>
      </c>
      <c r="B649" s="68">
        <f>IF('Calendario D'!$B255="","",'Calendario D'!$B255&amp;" vs "&amp;'Calendario D'!$D255&amp;" "&amp;'Calendario D'!$AC255)</f>
        <v/>
      </c>
      <c r="C649" s="222">
        <f>IF($B649="","",DATE(YEAR('Calendario D'!$F255),MONTH('Calendario D'!$F255),DAY('Calendario D'!$F255)))</f>
        <v/>
      </c>
      <c r="D649" s="223">
        <f>IF($B649="","",TIME(HOUR('Calendario D'!$F255),MINUTE('Calendario D'!$F255),0))</f>
        <v/>
      </c>
      <c r="E649" s="222">
        <f>IF($B649="","",DATE(YEAR('Calendario D'!$F255),MONTH('Calendario D'!$F255),DAY('Calendario D'!$F255)))</f>
        <v/>
      </c>
      <c r="F649" s="223">
        <f>IF($B649="","",TIME(HOUR('Calendario D'!$F255)+2,MINUTE('Calendario D'!$F255),0))</f>
        <v/>
      </c>
      <c r="G649" s="68">
        <f>IF($B649="","",'Calendario D'!$B256)</f>
        <v/>
      </c>
      <c r="H649" s="68">
        <f>IF($B649="","",Campionato!$D$2&amp;" "&amp;Campionato!$D$6)</f>
        <v/>
      </c>
      <c r="I649" s="68" t="n"/>
    </row>
    <row r="650">
      <c r="A650" s="68">
        <f>IF($B650="","","BEGIN:VEVENT
DTSTAMP:"&amp;TEXT(NOW(),"yyyymmdd")&amp;"T000001Z
UID:evt649@ClaudeCoworkBaskin
DTSTART;TZID=Europe/Rome:"&amp;TEXT($C650,"yyyymmdd")&amp;"T"&amp;TEXT($D650,"hhmmss")&amp;"
DTEND;TZID=Europe/Rome:"&amp;TEXT($E650,"yyyymmdd")&amp;"T"&amp;TEXT($F650,"hhmmss")&amp;"
SUMMARY:"&amp;$B650&amp;"
LOCATION:"&amp;$G650&amp;"
DESCRIPTION:"&amp;$H650&amp;"
END:VEVENT")</f>
        <v/>
      </c>
      <c r="B650" s="68">
        <f>IF('Calendario D'!$B258="","",'Calendario D'!$B258&amp;" vs "&amp;'Calendario D'!$D258&amp;" "&amp;'Calendario D'!$AC258)</f>
        <v/>
      </c>
      <c r="C650" s="222">
        <f>IF($B650="","",DATE(YEAR('Calendario D'!$F258),MONTH('Calendario D'!$F258),DAY('Calendario D'!$F258)))</f>
        <v/>
      </c>
      <c r="D650" s="223">
        <f>IF($B650="","",TIME(HOUR('Calendario D'!$F258),MINUTE('Calendario D'!$F258),0))</f>
        <v/>
      </c>
      <c r="E650" s="222">
        <f>IF($B650="","",DATE(YEAR('Calendario D'!$F258),MONTH('Calendario D'!$F258),DAY('Calendario D'!$F258)))</f>
        <v/>
      </c>
      <c r="F650" s="223">
        <f>IF($B650="","",TIME(HOUR('Calendario D'!$F258)+2,MINUTE('Calendario D'!$F258),0))</f>
        <v/>
      </c>
      <c r="G650" s="68">
        <f>IF($B650="","",'Calendario D'!$B259)</f>
        <v/>
      </c>
      <c r="H650" s="68">
        <f>IF($B650="","",Campionato!$D$2&amp;" "&amp;Campionato!$D$6)</f>
        <v/>
      </c>
      <c r="I650" s="68" t="n"/>
    </row>
    <row r="651">
      <c r="A651" s="68">
        <f>IF($B651="","","BEGIN:VEVENT
DTSTAMP:"&amp;TEXT(NOW(),"yyyymmdd")&amp;"T000001Z
UID:evt650@ClaudeCoworkBaskin
DTSTART;TZID=Europe/Rome:"&amp;TEXT($C651,"yyyymmdd")&amp;"T"&amp;TEXT($D651,"hhmmss")&amp;"
DTEND;TZID=Europe/Rome:"&amp;TEXT($E651,"yyyymmdd")&amp;"T"&amp;TEXT($F651,"hhmmss")&amp;"
SUMMARY:"&amp;$B651&amp;"
LOCATION:"&amp;$G651&amp;"
DESCRIPTION:"&amp;$H651&amp;"
END:VEVENT")</f>
        <v/>
      </c>
      <c r="B651" s="68">
        <f>IF('Calendario D'!$B261="","",'Calendario D'!$B261&amp;" vs "&amp;'Calendario D'!$D261&amp;" "&amp;'Calendario D'!$AC261)</f>
        <v/>
      </c>
      <c r="C651" s="222">
        <f>IF($B651="","",DATE(YEAR('Calendario D'!$F261),MONTH('Calendario D'!$F261),DAY('Calendario D'!$F261)))</f>
        <v/>
      </c>
      <c r="D651" s="223">
        <f>IF($B651="","",TIME(HOUR('Calendario D'!$F261),MINUTE('Calendario D'!$F261),0))</f>
        <v/>
      </c>
      <c r="E651" s="222">
        <f>IF($B651="","",DATE(YEAR('Calendario D'!$F261),MONTH('Calendario D'!$F261),DAY('Calendario D'!$F261)))</f>
        <v/>
      </c>
      <c r="F651" s="223">
        <f>IF($B651="","",TIME(HOUR('Calendario D'!$F261)+2,MINUTE('Calendario D'!$F261),0))</f>
        <v/>
      </c>
      <c r="G651" s="68">
        <f>IF($B651="","",'Calendario D'!$B262)</f>
        <v/>
      </c>
      <c r="H651" s="68">
        <f>IF($B651="","",Campionato!$D$2&amp;" "&amp;Campionato!$D$6)</f>
        <v/>
      </c>
      <c r="I651" s="68" t="n"/>
    </row>
    <row r="652">
      <c r="A652" s="68">
        <f>IF($B652="","","BEGIN:VEVENT
DTSTAMP:"&amp;TEXT(NOW(),"yyyymmdd")&amp;"T000001Z
UID:evt651@ClaudeCoworkBaskin
DTSTART;TZID=Europe/Rome:"&amp;TEXT($C652,"yyyymmdd")&amp;"T"&amp;TEXT($D652,"hhmmss")&amp;"
DTEND;TZID=Europe/Rome:"&amp;TEXT($E652,"yyyymmdd")&amp;"T"&amp;TEXT($F652,"hhmmss")&amp;"
SUMMARY:"&amp;$B652&amp;"
LOCATION:"&amp;$G652&amp;"
DESCRIPTION:"&amp;$H652&amp;"
END:VEVENT")</f>
        <v/>
      </c>
      <c r="B652" s="68">
        <f>IF('Calendario D'!$B266="","",'Calendario D'!$B266&amp;" vs "&amp;'Calendario D'!$D266&amp;" "&amp;'Calendario D'!$AC266)</f>
        <v/>
      </c>
      <c r="C652" s="222">
        <f>IF($B652="","",DATE(YEAR('Calendario D'!$F266),MONTH('Calendario D'!$F266),DAY('Calendario D'!$F266)))</f>
        <v/>
      </c>
      <c r="D652" s="223">
        <f>IF($B652="","",TIME(HOUR('Calendario D'!$F266),MINUTE('Calendario D'!$F266),0))</f>
        <v/>
      </c>
      <c r="E652" s="222">
        <f>IF($B652="","",DATE(YEAR('Calendario D'!$F266),MONTH('Calendario D'!$F266),DAY('Calendario D'!$F266)))</f>
        <v/>
      </c>
      <c r="F652" s="223">
        <f>IF($B652="","",TIME(HOUR('Calendario D'!$F266)+2,MINUTE('Calendario D'!$F266),0))</f>
        <v/>
      </c>
      <c r="G652" s="68">
        <f>IF($B652="","",'Calendario D'!$B267)</f>
        <v/>
      </c>
      <c r="H652" s="68">
        <f>IF($B652="","",Campionato!$D$2&amp;" "&amp;Campionato!$D$6)</f>
        <v/>
      </c>
      <c r="I652" s="68" t="n"/>
    </row>
    <row r="653">
      <c r="A653" s="68">
        <f>IF($B653="","","BEGIN:VEVENT
DTSTAMP:"&amp;TEXT(NOW(),"yyyymmdd")&amp;"T000001Z
UID:evt652@ClaudeCoworkBaskin
DTSTART;TZID=Europe/Rome:"&amp;TEXT($C653,"yyyymmdd")&amp;"T"&amp;TEXT($D653,"hhmmss")&amp;"
DTEND;TZID=Europe/Rome:"&amp;TEXT($E653,"yyyymmdd")&amp;"T"&amp;TEXT($F653,"hhmmss")&amp;"
SUMMARY:"&amp;$B653&amp;"
LOCATION:"&amp;$G653&amp;"
DESCRIPTION:"&amp;$H653&amp;"
END:VEVENT")</f>
        <v/>
      </c>
      <c r="B653" s="68">
        <f>IF('Calendario D'!$B269="","",'Calendario D'!$B269&amp;" vs "&amp;'Calendario D'!$D269&amp;" "&amp;'Calendario D'!$AC269)</f>
        <v/>
      </c>
      <c r="C653" s="222">
        <f>IF($B653="","",DATE(YEAR('Calendario D'!$F269),MONTH('Calendario D'!$F269),DAY('Calendario D'!$F269)))</f>
        <v/>
      </c>
      <c r="D653" s="223">
        <f>IF($B653="","",TIME(HOUR('Calendario D'!$F269),MINUTE('Calendario D'!$F269),0))</f>
        <v/>
      </c>
      <c r="E653" s="222">
        <f>IF($B653="","",DATE(YEAR('Calendario D'!$F269),MONTH('Calendario D'!$F269),DAY('Calendario D'!$F269)))</f>
        <v/>
      </c>
      <c r="F653" s="223">
        <f>IF($B653="","",TIME(HOUR('Calendario D'!$F269)+2,MINUTE('Calendario D'!$F269),0))</f>
        <v/>
      </c>
      <c r="G653" s="68">
        <f>IF($B653="","",'Calendario D'!$B270)</f>
        <v/>
      </c>
      <c r="H653" s="68">
        <f>IF($B653="","",Campionato!$D$2&amp;" "&amp;Campionato!$D$6)</f>
        <v/>
      </c>
      <c r="I653" s="68" t="n"/>
    </row>
    <row r="654">
      <c r="A654" s="68">
        <f>IF($B654="","","BEGIN:VEVENT
DTSTAMP:"&amp;TEXT(NOW(),"yyyymmdd")&amp;"T000001Z
UID:evt653@ClaudeCoworkBaskin
DTSTART;TZID=Europe/Rome:"&amp;TEXT($C654,"yyyymmdd")&amp;"T"&amp;TEXT($D654,"hhmmss")&amp;"
DTEND;TZID=Europe/Rome:"&amp;TEXT($E654,"yyyymmdd")&amp;"T"&amp;TEXT($F654,"hhmmss")&amp;"
SUMMARY:"&amp;$B654&amp;"
LOCATION:"&amp;$G654&amp;"
DESCRIPTION:"&amp;$H654&amp;"
END:VEVENT")</f>
        <v/>
      </c>
      <c r="B654" s="68">
        <f>IF('Calendario D'!$B272="","",'Calendario D'!$B272&amp;" vs "&amp;'Calendario D'!$D272&amp;" "&amp;'Calendario D'!$AC272)</f>
        <v/>
      </c>
      <c r="C654" s="222">
        <f>IF($B654="","",DATE(YEAR('Calendario D'!$F272),MONTH('Calendario D'!$F272),DAY('Calendario D'!$F272)))</f>
        <v/>
      </c>
      <c r="D654" s="223">
        <f>IF($B654="","",TIME(HOUR('Calendario D'!$F272),MINUTE('Calendario D'!$F272),0))</f>
        <v/>
      </c>
      <c r="E654" s="222">
        <f>IF($B654="","",DATE(YEAR('Calendario D'!$F272),MONTH('Calendario D'!$F272),DAY('Calendario D'!$F272)))</f>
        <v/>
      </c>
      <c r="F654" s="223">
        <f>IF($B654="","",TIME(HOUR('Calendario D'!$F272)+2,MINUTE('Calendario D'!$F272),0))</f>
        <v/>
      </c>
      <c r="G654" s="68">
        <f>IF($B654="","",'Calendario D'!$B273)</f>
        <v/>
      </c>
      <c r="H654" s="68">
        <f>IF($B654="","",Campionato!$D$2&amp;" "&amp;Campionato!$D$6)</f>
        <v/>
      </c>
      <c r="I654" s="68" t="n"/>
    </row>
    <row r="655">
      <c r="A655" s="68">
        <f>IF($B655="","","BEGIN:VEVENT
DTSTAMP:"&amp;TEXT(NOW(),"yyyymmdd")&amp;"T000001Z
UID:evt654@ClaudeCoworkBaskin
DTSTART;TZID=Europe/Rome:"&amp;TEXT($C655,"yyyymmdd")&amp;"T"&amp;TEXT($D655,"hhmmss")&amp;"
DTEND;TZID=Europe/Rome:"&amp;TEXT($E655,"yyyymmdd")&amp;"T"&amp;TEXT($F655,"hhmmss")&amp;"
SUMMARY:"&amp;$B655&amp;"
LOCATION:"&amp;$G655&amp;"
DESCRIPTION:"&amp;$H655&amp;"
END:VEVENT")</f>
        <v/>
      </c>
      <c r="B655" s="68">
        <f>IF('Calendario D'!$B275="","",'Calendario D'!$B275&amp;" vs "&amp;'Calendario D'!$D275&amp;" "&amp;'Calendario D'!$AC275)</f>
        <v/>
      </c>
      <c r="C655" s="222">
        <f>IF($B655="","",DATE(YEAR('Calendario D'!$F275),MONTH('Calendario D'!$F275),DAY('Calendario D'!$F275)))</f>
        <v/>
      </c>
      <c r="D655" s="223">
        <f>IF($B655="","",TIME(HOUR('Calendario D'!$F275),MINUTE('Calendario D'!$F275),0))</f>
        <v/>
      </c>
      <c r="E655" s="222">
        <f>IF($B655="","",DATE(YEAR('Calendario D'!$F275),MONTH('Calendario D'!$F275),DAY('Calendario D'!$F275)))</f>
        <v/>
      </c>
      <c r="F655" s="223">
        <f>IF($B655="","",TIME(HOUR('Calendario D'!$F275)+2,MINUTE('Calendario D'!$F275),0))</f>
        <v/>
      </c>
      <c r="G655" s="68">
        <f>IF($B655="","",'Calendario D'!$B276)</f>
        <v/>
      </c>
      <c r="H655" s="68">
        <f>IF($B655="","",Campionato!$D$2&amp;" "&amp;Campionato!$D$6)</f>
        <v/>
      </c>
      <c r="I655" s="68" t="n"/>
    </row>
    <row r="656">
      <c r="A656" s="68">
        <f>IF($B656="","","BEGIN:VEVENT
DTSTAMP:"&amp;TEXT(NOW(),"yyyymmdd")&amp;"T000001Z
UID:evt655@ClaudeCoworkBaskin
DTSTART;TZID=Europe/Rome:"&amp;TEXT($C656,"yyyymmdd")&amp;"T"&amp;TEXT($D656,"hhmmss")&amp;"
DTEND;TZID=Europe/Rome:"&amp;TEXT($E656,"yyyymmdd")&amp;"T"&amp;TEXT($F656,"hhmmss")&amp;"
SUMMARY:"&amp;$B656&amp;"
LOCATION:"&amp;$G656&amp;"
DESCRIPTION:"&amp;$H656&amp;"
END:VEVENT")</f>
        <v/>
      </c>
      <c r="B656" s="68">
        <f>IF('Calendario D'!$B278="","",'Calendario D'!$B278&amp;" vs "&amp;'Calendario D'!$D278&amp;" "&amp;'Calendario D'!$AC278)</f>
        <v/>
      </c>
      <c r="C656" s="222">
        <f>IF($B656="","",DATE(YEAR('Calendario D'!$F278),MONTH('Calendario D'!$F278),DAY('Calendario D'!$F278)))</f>
        <v/>
      </c>
      <c r="D656" s="223">
        <f>IF($B656="","",TIME(HOUR('Calendario D'!$F278),MINUTE('Calendario D'!$F278),0))</f>
        <v/>
      </c>
      <c r="E656" s="222">
        <f>IF($B656="","",DATE(YEAR('Calendario D'!$F278),MONTH('Calendario D'!$F278),DAY('Calendario D'!$F278)))</f>
        <v/>
      </c>
      <c r="F656" s="223">
        <f>IF($B656="","",TIME(HOUR('Calendario D'!$F278)+2,MINUTE('Calendario D'!$F278),0))</f>
        <v/>
      </c>
      <c r="G656" s="68">
        <f>IF($B656="","",'Calendario D'!$B279)</f>
        <v/>
      </c>
      <c r="H656" s="68">
        <f>IF($B656="","",Campionato!$D$2&amp;" "&amp;Campionato!$D$6)</f>
        <v/>
      </c>
      <c r="I656" s="68" t="n"/>
    </row>
    <row r="657">
      <c r="A657" s="68">
        <f>IF($B657="","","BEGIN:VEVENT
DTSTAMP:"&amp;TEXT(NOW(),"yyyymmdd")&amp;"T000001Z
UID:evt656@ClaudeCoworkBaskin
DTSTART;TZID=Europe/Rome:"&amp;TEXT($C657,"yyyymmdd")&amp;"T"&amp;TEXT($D657,"hhmmss")&amp;"
DTEND;TZID=Europe/Rome:"&amp;TEXT($E657,"yyyymmdd")&amp;"T"&amp;TEXT($F657,"hhmmss")&amp;"
SUMMARY:"&amp;$B657&amp;"
LOCATION:"&amp;$G657&amp;"
DESCRIPTION:"&amp;$H657&amp;"
END:VEVENT")</f>
        <v/>
      </c>
      <c r="B657" s="68">
        <f>IF('Calendario D'!$B281="","",'Calendario D'!$B281&amp;" vs "&amp;'Calendario D'!$D281&amp;" "&amp;'Calendario D'!$AC281)</f>
        <v/>
      </c>
      <c r="C657" s="222">
        <f>IF($B657="","",DATE(YEAR('Calendario D'!$F281),MONTH('Calendario D'!$F281),DAY('Calendario D'!$F281)))</f>
        <v/>
      </c>
      <c r="D657" s="223">
        <f>IF($B657="","",TIME(HOUR('Calendario D'!$F281),MINUTE('Calendario D'!$F281),0))</f>
        <v/>
      </c>
      <c r="E657" s="222">
        <f>IF($B657="","",DATE(YEAR('Calendario D'!$F281),MONTH('Calendario D'!$F281),DAY('Calendario D'!$F281)))</f>
        <v/>
      </c>
      <c r="F657" s="223">
        <f>IF($B657="","",TIME(HOUR('Calendario D'!$F281)+2,MINUTE('Calendario D'!$F281),0))</f>
        <v/>
      </c>
      <c r="G657" s="68">
        <f>IF($B657="","",'Calendario D'!$B282)</f>
        <v/>
      </c>
      <c r="H657" s="68">
        <f>IF($B657="","",Campionato!$D$2&amp;" "&amp;Campionato!$D$6)</f>
        <v/>
      </c>
      <c r="I657" s="68" t="n"/>
    </row>
    <row r="658">
      <c r="A658" s="68">
        <f>IF($B658="","","BEGIN:VEVENT
DTSTAMP:"&amp;TEXT(NOW(),"yyyymmdd")&amp;"T000001Z
UID:evt657@ClaudeCoworkBaskin
DTSTART;TZID=Europe/Rome:"&amp;TEXT($C658,"yyyymmdd")&amp;"T"&amp;TEXT($D658,"hhmmss")&amp;"
DTEND;TZID=Europe/Rome:"&amp;TEXT($E658,"yyyymmdd")&amp;"T"&amp;TEXT($F658,"hhmmss")&amp;"
SUMMARY:"&amp;$B658&amp;"
LOCATION:"&amp;$G658&amp;"
DESCRIPTION:"&amp;$H658&amp;"
END:VEVENT")</f>
        <v/>
      </c>
      <c r="B658" s="68">
        <f>IF('Calendario D'!$B284="","",'Calendario D'!$B284&amp;" vs "&amp;'Calendario D'!$D284&amp;" "&amp;'Calendario D'!$AC284)</f>
        <v/>
      </c>
      <c r="C658" s="222">
        <f>IF($B658="","",DATE(YEAR('Calendario D'!$F284),MONTH('Calendario D'!$F284),DAY('Calendario D'!$F284)))</f>
        <v/>
      </c>
      <c r="D658" s="223">
        <f>IF($B658="","",TIME(HOUR('Calendario D'!$F284),MINUTE('Calendario D'!$F284),0))</f>
        <v/>
      </c>
      <c r="E658" s="222">
        <f>IF($B658="","",DATE(YEAR('Calendario D'!$F284),MONTH('Calendario D'!$F284),DAY('Calendario D'!$F284)))</f>
        <v/>
      </c>
      <c r="F658" s="223">
        <f>IF($B658="","",TIME(HOUR('Calendario D'!$F284)+2,MINUTE('Calendario D'!$F284),0))</f>
        <v/>
      </c>
      <c r="G658" s="68">
        <f>IF($B658="","",'Calendario D'!$B285)</f>
        <v/>
      </c>
      <c r="H658" s="68">
        <f>IF($B658="","",Campionato!$D$2&amp;" "&amp;Campionato!$D$6)</f>
        <v/>
      </c>
      <c r="I658" s="68" t="n"/>
    </row>
    <row r="659">
      <c r="A659" s="68">
        <f>IF($B659="","","BEGIN:VEVENT
DTSTAMP:"&amp;TEXT(NOW(),"yyyymmdd")&amp;"T000001Z
UID:evt658@ClaudeCoworkBaskin
DTSTART;TZID=Europe/Rome:"&amp;TEXT($C659,"yyyymmdd")&amp;"T"&amp;TEXT($D659,"hhmmss")&amp;"
DTEND;TZID=Europe/Rome:"&amp;TEXT($E659,"yyyymmdd")&amp;"T"&amp;TEXT($F659,"hhmmss")&amp;"
SUMMARY:"&amp;$B659&amp;"
LOCATION:"&amp;$G659&amp;"
DESCRIPTION:"&amp;$H659&amp;"
END:VEVENT")</f>
        <v/>
      </c>
      <c r="B659" s="68">
        <f>IF('Calendario D'!$B287="","",'Calendario D'!$B287&amp;" vs "&amp;'Calendario D'!$D287&amp;" "&amp;'Calendario D'!$AC287)</f>
        <v/>
      </c>
      <c r="C659" s="222">
        <f>IF($B659="","",DATE(YEAR('Calendario D'!$F287),MONTH('Calendario D'!$F287),DAY('Calendario D'!$F287)))</f>
        <v/>
      </c>
      <c r="D659" s="223">
        <f>IF($B659="","",TIME(HOUR('Calendario D'!$F287),MINUTE('Calendario D'!$F287),0))</f>
        <v/>
      </c>
      <c r="E659" s="222">
        <f>IF($B659="","",DATE(YEAR('Calendario D'!$F287),MONTH('Calendario D'!$F287),DAY('Calendario D'!$F287)))</f>
        <v/>
      </c>
      <c r="F659" s="223">
        <f>IF($B659="","",TIME(HOUR('Calendario D'!$F287)+2,MINUTE('Calendario D'!$F287),0))</f>
        <v/>
      </c>
      <c r="G659" s="68">
        <f>IF($B659="","",'Calendario D'!$B288)</f>
        <v/>
      </c>
      <c r="H659" s="68">
        <f>IF($B659="","",Campionato!$D$2&amp;" "&amp;Campionato!$D$6)</f>
        <v/>
      </c>
      <c r="I659" s="68" t="n"/>
    </row>
    <row r="660">
      <c r="A660" s="68">
        <f>IF($B660="","","BEGIN:VEVENT
DTSTAMP:"&amp;TEXT(NOW(),"yyyymmdd")&amp;"T000001Z
UID:evt659@ClaudeCoworkBaskin
DTSTART;TZID=Europe/Rome:"&amp;TEXT($C660,"yyyymmdd")&amp;"T"&amp;TEXT($D660,"hhmmss")&amp;"
DTEND;TZID=Europe/Rome:"&amp;TEXT($E660,"yyyymmdd")&amp;"T"&amp;TEXT($F660,"hhmmss")&amp;"
SUMMARY:"&amp;$B660&amp;"
LOCATION:"&amp;$G660&amp;"
DESCRIPTION:"&amp;$H660&amp;"
END:VEVENT")</f>
        <v/>
      </c>
      <c r="B660" s="68">
        <f>IF('Calendario D'!$B290="","",'Calendario D'!$B290&amp;" vs "&amp;'Calendario D'!$D290&amp;" "&amp;'Calendario D'!$AC290)</f>
        <v/>
      </c>
      <c r="C660" s="222">
        <f>IF($B660="","",DATE(YEAR('Calendario D'!$F290),MONTH('Calendario D'!$F290),DAY('Calendario D'!$F290)))</f>
        <v/>
      </c>
      <c r="D660" s="223">
        <f>IF($B660="","",TIME(HOUR('Calendario D'!$F290),MINUTE('Calendario D'!$F290),0))</f>
        <v/>
      </c>
      <c r="E660" s="222">
        <f>IF($B660="","",DATE(YEAR('Calendario D'!$F290),MONTH('Calendario D'!$F290),DAY('Calendario D'!$F290)))</f>
        <v/>
      </c>
      <c r="F660" s="223">
        <f>IF($B660="","",TIME(HOUR('Calendario D'!$F290)+2,MINUTE('Calendario D'!$F290),0))</f>
        <v/>
      </c>
      <c r="G660" s="68">
        <f>IF($B660="","",'Calendario D'!$B291)</f>
        <v/>
      </c>
      <c r="H660" s="68">
        <f>IF($B660="","",Campionato!$D$2&amp;" "&amp;Campionato!$D$6)</f>
        <v/>
      </c>
      <c r="I660" s="68" t="n"/>
    </row>
    <row r="661">
      <c r="A661" s="68">
        <f>IF($B661="","","BEGIN:VEVENT
DTSTAMP:"&amp;TEXT(NOW(),"yyyymmdd")&amp;"T000001Z
UID:evt660@ClaudeCoworkBaskin
DTSTART;TZID=Europe/Rome:"&amp;TEXT($C661,"yyyymmdd")&amp;"T"&amp;TEXT($D661,"hhmmss")&amp;"
DTEND;TZID=Europe/Rome:"&amp;TEXT($E661,"yyyymmdd")&amp;"T"&amp;TEXT($F661,"hhmmss")&amp;"
SUMMARY:"&amp;$B661&amp;"
LOCATION:"&amp;$G661&amp;"
DESCRIPTION:"&amp;$H661&amp;"
END:VEVENT")</f>
        <v/>
      </c>
      <c r="B661" s="68">
        <f>IF('Calendario D'!$B293="","",'Calendario D'!$B293&amp;" vs "&amp;'Calendario D'!$D293&amp;" "&amp;'Calendario D'!$AC293)</f>
        <v/>
      </c>
      <c r="C661" s="222">
        <f>IF($B661="","",DATE(YEAR('Calendario D'!$F293),MONTH('Calendario D'!$F293),DAY('Calendario D'!$F293)))</f>
        <v/>
      </c>
      <c r="D661" s="223">
        <f>IF($B661="","",TIME(HOUR('Calendario D'!$F293),MINUTE('Calendario D'!$F293),0))</f>
        <v/>
      </c>
      <c r="E661" s="222">
        <f>IF($B661="","",DATE(YEAR('Calendario D'!$F293),MONTH('Calendario D'!$F293),DAY('Calendario D'!$F293)))</f>
        <v/>
      </c>
      <c r="F661" s="223">
        <f>IF($B661="","",TIME(HOUR('Calendario D'!$F293)+2,MINUTE('Calendario D'!$F293),0))</f>
        <v/>
      </c>
      <c r="G661" s="68">
        <f>IF($B661="","",'Calendario D'!$B294)</f>
        <v/>
      </c>
      <c r="H661" s="68">
        <f>IF($B661="","",Campionato!$D$2&amp;" "&amp;Campionato!$D$6)</f>
        <v/>
      </c>
      <c r="I661" s="68" t="n"/>
    </row>
    <row r="662">
      <c r="A662" s="68">
        <f>IF($B662="","","BEGIN:VEVENT
DTSTAMP:"&amp;TEXT(NOW(),"yyyymmdd")&amp;"T000001Z
UID:evt661@ClaudeCoworkBaskin
DTSTART;TZID=Europe/Rome:"&amp;TEXT($C662,"yyyymmdd")&amp;"T"&amp;TEXT($D662,"hhmmss")&amp;"
DTEND;TZID=Europe/Rome:"&amp;TEXT($E662,"yyyymmdd")&amp;"T"&amp;TEXT($F662,"hhmmss")&amp;"
SUMMARY:"&amp;$B662&amp;"
LOCATION:"&amp;$G662&amp;"
DESCRIPTION:"&amp;$H662&amp;"
END:VEVENT")</f>
        <v/>
      </c>
      <c r="B662" s="68">
        <f>IF('Calendario D'!$B298="","",'Calendario D'!$B298&amp;" vs "&amp;'Calendario D'!$D298&amp;" "&amp;'Calendario D'!$AC298)</f>
        <v/>
      </c>
      <c r="C662" s="222">
        <f>IF($B662="","",DATE(YEAR('Calendario D'!$F298),MONTH('Calendario D'!$F298),DAY('Calendario D'!$F298)))</f>
        <v/>
      </c>
      <c r="D662" s="223">
        <f>IF($B662="","",TIME(HOUR('Calendario D'!$F298),MINUTE('Calendario D'!$F298),0))</f>
        <v/>
      </c>
      <c r="E662" s="222">
        <f>IF($B662="","",DATE(YEAR('Calendario D'!$F298),MONTH('Calendario D'!$F298),DAY('Calendario D'!$F298)))</f>
        <v/>
      </c>
      <c r="F662" s="223">
        <f>IF($B662="","",TIME(HOUR('Calendario D'!$F298)+2,MINUTE('Calendario D'!$F298),0))</f>
        <v/>
      </c>
      <c r="G662" s="68">
        <f>IF($B662="","",'Calendario D'!$B299)</f>
        <v/>
      </c>
      <c r="H662" s="68">
        <f>IF($B662="","",Campionato!$D$2&amp;" "&amp;Campionato!$D$6)</f>
        <v/>
      </c>
      <c r="I662" s="68" t="n"/>
    </row>
    <row r="663">
      <c r="A663" s="68">
        <f>IF($B663="","","BEGIN:VEVENT
DTSTAMP:"&amp;TEXT(NOW(),"yyyymmdd")&amp;"T000001Z
UID:evt662@ClaudeCoworkBaskin
DTSTART;TZID=Europe/Rome:"&amp;TEXT($C663,"yyyymmdd")&amp;"T"&amp;TEXT($D663,"hhmmss")&amp;"
DTEND;TZID=Europe/Rome:"&amp;TEXT($E663,"yyyymmdd")&amp;"T"&amp;TEXT($F663,"hhmmss")&amp;"
SUMMARY:"&amp;$B663&amp;"
LOCATION:"&amp;$G663&amp;"
DESCRIPTION:"&amp;$H663&amp;"
END:VEVENT")</f>
        <v/>
      </c>
      <c r="B663" s="68">
        <f>IF('Calendario D'!$B301="","",'Calendario D'!$B301&amp;" vs "&amp;'Calendario D'!$D301&amp;" "&amp;'Calendario D'!$AC301)</f>
        <v/>
      </c>
      <c r="C663" s="222">
        <f>IF($B663="","",DATE(YEAR('Calendario D'!$F301),MONTH('Calendario D'!$F301),DAY('Calendario D'!$F301)))</f>
        <v/>
      </c>
      <c r="D663" s="223">
        <f>IF($B663="","",TIME(HOUR('Calendario D'!$F301),MINUTE('Calendario D'!$F301),0))</f>
        <v/>
      </c>
      <c r="E663" s="222">
        <f>IF($B663="","",DATE(YEAR('Calendario D'!$F301),MONTH('Calendario D'!$F301),DAY('Calendario D'!$F301)))</f>
        <v/>
      </c>
      <c r="F663" s="223">
        <f>IF($B663="","",TIME(HOUR('Calendario D'!$F301)+2,MINUTE('Calendario D'!$F301),0))</f>
        <v/>
      </c>
      <c r="G663" s="68">
        <f>IF($B663="","",'Calendario D'!$B302)</f>
        <v/>
      </c>
      <c r="H663" s="68">
        <f>IF($B663="","",Campionato!$D$2&amp;" "&amp;Campionato!$D$6)</f>
        <v/>
      </c>
      <c r="I663" s="68" t="n"/>
    </row>
    <row r="664">
      <c r="A664" s="68">
        <f>IF($B664="","","BEGIN:VEVENT
DTSTAMP:"&amp;TEXT(NOW(),"yyyymmdd")&amp;"T000001Z
UID:evt663@ClaudeCoworkBaskin
DTSTART;TZID=Europe/Rome:"&amp;TEXT($C664,"yyyymmdd")&amp;"T"&amp;TEXT($D664,"hhmmss")&amp;"
DTEND;TZID=Europe/Rome:"&amp;TEXT($E664,"yyyymmdd")&amp;"T"&amp;TEXT($F664,"hhmmss")&amp;"
SUMMARY:"&amp;$B664&amp;"
LOCATION:"&amp;$G664&amp;"
DESCRIPTION:"&amp;$H664&amp;"
END:VEVENT")</f>
        <v/>
      </c>
      <c r="B664" s="68">
        <f>IF('Calendario D'!$B304="","",'Calendario D'!$B304&amp;" vs "&amp;'Calendario D'!$D304&amp;" "&amp;'Calendario D'!$AC304)</f>
        <v/>
      </c>
      <c r="C664" s="222">
        <f>IF($B664="","",DATE(YEAR('Calendario D'!$F304),MONTH('Calendario D'!$F304),DAY('Calendario D'!$F304)))</f>
        <v/>
      </c>
      <c r="D664" s="223">
        <f>IF($B664="","",TIME(HOUR('Calendario D'!$F304),MINUTE('Calendario D'!$F304),0))</f>
        <v/>
      </c>
      <c r="E664" s="222">
        <f>IF($B664="","",DATE(YEAR('Calendario D'!$F304),MONTH('Calendario D'!$F304),DAY('Calendario D'!$F304)))</f>
        <v/>
      </c>
      <c r="F664" s="223">
        <f>IF($B664="","",TIME(HOUR('Calendario D'!$F304)+2,MINUTE('Calendario D'!$F304),0))</f>
        <v/>
      </c>
      <c r="G664" s="68">
        <f>IF($B664="","",'Calendario D'!$B305)</f>
        <v/>
      </c>
      <c r="H664" s="68">
        <f>IF($B664="","",Campionato!$D$2&amp;" "&amp;Campionato!$D$6)</f>
        <v/>
      </c>
      <c r="I664" s="68" t="n"/>
    </row>
    <row r="665">
      <c r="A665" s="68">
        <f>IF($B665="","","BEGIN:VEVENT
DTSTAMP:"&amp;TEXT(NOW(),"yyyymmdd")&amp;"T000001Z
UID:evt664@ClaudeCoworkBaskin
DTSTART;TZID=Europe/Rome:"&amp;TEXT($C665,"yyyymmdd")&amp;"T"&amp;TEXT($D665,"hhmmss")&amp;"
DTEND;TZID=Europe/Rome:"&amp;TEXT($E665,"yyyymmdd")&amp;"T"&amp;TEXT($F665,"hhmmss")&amp;"
SUMMARY:"&amp;$B665&amp;"
LOCATION:"&amp;$G665&amp;"
DESCRIPTION:"&amp;$H665&amp;"
END:VEVENT")</f>
        <v/>
      </c>
      <c r="B665" s="68">
        <f>IF('Calendario D'!$B307="","",'Calendario D'!$B307&amp;" vs "&amp;'Calendario D'!$D307&amp;" "&amp;'Calendario D'!$AC307)</f>
        <v/>
      </c>
      <c r="C665" s="222">
        <f>IF($B665="","",DATE(YEAR('Calendario D'!$F307),MONTH('Calendario D'!$F307),DAY('Calendario D'!$F307)))</f>
        <v/>
      </c>
      <c r="D665" s="223">
        <f>IF($B665="","",TIME(HOUR('Calendario D'!$F307),MINUTE('Calendario D'!$F307),0))</f>
        <v/>
      </c>
      <c r="E665" s="222">
        <f>IF($B665="","",DATE(YEAR('Calendario D'!$F307),MONTH('Calendario D'!$F307),DAY('Calendario D'!$F307)))</f>
        <v/>
      </c>
      <c r="F665" s="223">
        <f>IF($B665="","",TIME(HOUR('Calendario D'!$F307)+2,MINUTE('Calendario D'!$F307),0))</f>
        <v/>
      </c>
      <c r="G665" s="68">
        <f>IF($B665="","",'Calendario D'!$B308)</f>
        <v/>
      </c>
      <c r="H665" s="68">
        <f>IF($B665="","",Campionato!$D$2&amp;" "&amp;Campionato!$D$6)</f>
        <v/>
      </c>
      <c r="I665" s="68" t="n"/>
    </row>
    <row r="666">
      <c r="A666" s="68">
        <f>IF($B666="","","BEGIN:VEVENT
DTSTAMP:"&amp;TEXT(NOW(),"yyyymmdd")&amp;"T000001Z
UID:evt665@ClaudeCoworkBaskin
DTSTART;TZID=Europe/Rome:"&amp;TEXT($C666,"yyyymmdd")&amp;"T"&amp;TEXT($D666,"hhmmss")&amp;"
DTEND;TZID=Europe/Rome:"&amp;TEXT($E666,"yyyymmdd")&amp;"T"&amp;TEXT($F666,"hhmmss")&amp;"
SUMMARY:"&amp;$B666&amp;"
LOCATION:"&amp;$G666&amp;"
DESCRIPTION:"&amp;$H666&amp;"
END:VEVENT")</f>
        <v/>
      </c>
      <c r="B666" s="68">
        <f>IF('Calendario D'!$B310="","",'Calendario D'!$B310&amp;" vs "&amp;'Calendario D'!$D310&amp;" "&amp;'Calendario D'!$AC310)</f>
        <v/>
      </c>
      <c r="C666" s="222">
        <f>IF($B666="","",DATE(YEAR('Calendario D'!$F310),MONTH('Calendario D'!$F310),DAY('Calendario D'!$F310)))</f>
        <v/>
      </c>
      <c r="D666" s="223">
        <f>IF($B666="","",TIME(HOUR('Calendario D'!$F310),MINUTE('Calendario D'!$F310),0))</f>
        <v/>
      </c>
      <c r="E666" s="222">
        <f>IF($B666="","",DATE(YEAR('Calendario D'!$F310),MONTH('Calendario D'!$F310),DAY('Calendario D'!$F310)))</f>
        <v/>
      </c>
      <c r="F666" s="223">
        <f>IF($B666="","",TIME(HOUR('Calendario D'!$F310)+2,MINUTE('Calendario D'!$F310),0))</f>
        <v/>
      </c>
      <c r="G666" s="68">
        <f>IF($B666="","",'Calendario D'!$B311)</f>
        <v/>
      </c>
      <c r="H666" s="68">
        <f>IF($B666="","",Campionato!$D$2&amp;" "&amp;Campionato!$D$6)</f>
        <v/>
      </c>
      <c r="I666" s="68" t="n"/>
    </row>
    <row r="667">
      <c r="A667" s="68">
        <f>IF($B667="","","BEGIN:VEVENT
DTSTAMP:"&amp;TEXT(NOW(),"yyyymmdd")&amp;"T000001Z
UID:evt666@ClaudeCoworkBaskin
DTSTART;TZID=Europe/Rome:"&amp;TEXT($C667,"yyyymmdd")&amp;"T"&amp;TEXT($D667,"hhmmss")&amp;"
DTEND;TZID=Europe/Rome:"&amp;TEXT($E667,"yyyymmdd")&amp;"T"&amp;TEXT($F667,"hhmmss")&amp;"
SUMMARY:"&amp;$B667&amp;"
LOCATION:"&amp;$G667&amp;"
DESCRIPTION:"&amp;$H667&amp;"
END:VEVENT")</f>
        <v/>
      </c>
      <c r="B667" s="68">
        <f>IF('Calendario D'!$B313="","",'Calendario D'!$B313&amp;" vs "&amp;'Calendario D'!$D313&amp;" "&amp;'Calendario D'!$AC313)</f>
        <v/>
      </c>
      <c r="C667" s="222">
        <f>IF($B667="","",DATE(YEAR('Calendario D'!$F313),MONTH('Calendario D'!$F313),DAY('Calendario D'!$F313)))</f>
        <v/>
      </c>
      <c r="D667" s="223">
        <f>IF($B667="","",TIME(HOUR('Calendario D'!$F313),MINUTE('Calendario D'!$F313),0))</f>
        <v/>
      </c>
      <c r="E667" s="222">
        <f>IF($B667="","",DATE(YEAR('Calendario D'!$F313),MONTH('Calendario D'!$F313),DAY('Calendario D'!$F313)))</f>
        <v/>
      </c>
      <c r="F667" s="223">
        <f>IF($B667="","",TIME(HOUR('Calendario D'!$F313)+2,MINUTE('Calendario D'!$F313),0))</f>
        <v/>
      </c>
      <c r="G667" s="68">
        <f>IF($B667="","",'Calendario D'!$B314)</f>
        <v/>
      </c>
      <c r="H667" s="68">
        <f>IF($B667="","",Campionato!$D$2&amp;" "&amp;Campionato!$D$6)</f>
        <v/>
      </c>
      <c r="I667" s="68" t="n"/>
    </row>
    <row r="668">
      <c r="A668" s="68">
        <f>IF($B668="","","BEGIN:VEVENT
DTSTAMP:"&amp;TEXT(NOW(),"yyyymmdd")&amp;"T000001Z
UID:evt667@ClaudeCoworkBaskin
DTSTART;TZID=Europe/Rome:"&amp;TEXT($C668,"yyyymmdd")&amp;"T"&amp;TEXT($D668,"hhmmss")&amp;"
DTEND;TZID=Europe/Rome:"&amp;TEXT($E668,"yyyymmdd")&amp;"T"&amp;TEXT($F668,"hhmmss")&amp;"
SUMMARY:"&amp;$B668&amp;"
LOCATION:"&amp;$G668&amp;"
DESCRIPTION:"&amp;$H668&amp;"
END:VEVENT")</f>
        <v/>
      </c>
      <c r="B668" s="68">
        <f>IF('Calendario D'!$B316="","",'Calendario D'!$B316&amp;" vs "&amp;'Calendario D'!$D316&amp;" "&amp;'Calendario D'!$AC316)</f>
        <v/>
      </c>
      <c r="C668" s="222">
        <f>IF($B668="","",DATE(YEAR('Calendario D'!$F316),MONTH('Calendario D'!$F316),DAY('Calendario D'!$F316)))</f>
        <v/>
      </c>
      <c r="D668" s="223">
        <f>IF($B668="","",TIME(HOUR('Calendario D'!$F316),MINUTE('Calendario D'!$F316),0))</f>
        <v/>
      </c>
      <c r="E668" s="222">
        <f>IF($B668="","",DATE(YEAR('Calendario D'!$F316),MONTH('Calendario D'!$F316),DAY('Calendario D'!$F316)))</f>
        <v/>
      </c>
      <c r="F668" s="223">
        <f>IF($B668="","",TIME(HOUR('Calendario D'!$F316)+2,MINUTE('Calendario D'!$F316),0))</f>
        <v/>
      </c>
      <c r="G668" s="68">
        <f>IF($B668="","",'Calendario D'!$B317)</f>
        <v/>
      </c>
      <c r="H668" s="68">
        <f>IF($B668="","",Campionato!$D$2&amp;" "&amp;Campionato!$D$6)</f>
        <v/>
      </c>
      <c r="I668" s="68" t="n"/>
    </row>
    <row r="669">
      <c r="A669" s="68">
        <f>IF($B669="","","BEGIN:VEVENT
DTSTAMP:"&amp;TEXT(NOW(),"yyyymmdd")&amp;"T000001Z
UID:evt668@ClaudeCoworkBaskin
DTSTART;TZID=Europe/Rome:"&amp;TEXT($C669,"yyyymmdd")&amp;"T"&amp;TEXT($D669,"hhmmss")&amp;"
DTEND;TZID=Europe/Rome:"&amp;TEXT($E669,"yyyymmdd")&amp;"T"&amp;TEXT($F669,"hhmmss")&amp;"
SUMMARY:"&amp;$B669&amp;"
LOCATION:"&amp;$G669&amp;"
DESCRIPTION:"&amp;$H669&amp;"
END:VEVENT")</f>
        <v/>
      </c>
      <c r="B669" s="68">
        <f>IF('Calendario D'!$B319="","",'Calendario D'!$B319&amp;" vs "&amp;'Calendario D'!$D319&amp;" "&amp;'Calendario D'!$AC319)</f>
        <v/>
      </c>
      <c r="C669" s="222">
        <f>IF($B669="","",DATE(YEAR('Calendario D'!$F319),MONTH('Calendario D'!$F319),DAY('Calendario D'!$F319)))</f>
        <v/>
      </c>
      <c r="D669" s="223">
        <f>IF($B669="","",TIME(HOUR('Calendario D'!$F319),MINUTE('Calendario D'!$F319),0))</f>
        <v/>
      </c>
      <c r="E669" s="222">
        <f>IF($B669="","",DATE(YEAR('Calendario D'!$F319),MONTH('Calendario D'!$F319),DAY('Calendario D'!$F319)))</f>
        <v/>
      </c>
      <c r="F669" s="223">
        <f>IF($B669="","",TIME(HOUR('Calendario D'!$F319)+2,MINUTE('Calendario D'!$F319),0))</f>
        <v/>
      </c>
      <c r="G669" s="68">
        <f>IF($B669="","",'Calendario D'!$B320)</f>
        <v/>
      </c>
      <c r="H669" s="68">
        <f>IF($B669="","",Campionato!$D$2&amp;" "&amp;Campionato!$D$6)</f>
        <v/>
      </c>
      <c r="I669" s="68" t="n"/>
    </row>
    <row r="670">
      <c r="A670" s="68">
        <f>IF($B670="","","BEGIN:VEVENT
DTSTAMP:"&amp;TEXT(NOW(),"yyyymmdd")&amp;"T000001Z
UID:evt669@ClaudeCoworkBaskin
DTSTART;TZID=Europe/Rome:"&amp;TEXT($C670,"yyyymmdd")&amp;"T"&amp;TEXT($D670,"hhmmss")&amp;"
DTEND;TZID=Europe/Rome:"&amp;TEXT($E670,"yyyymmdd")&amp;"T"&amp;TEXT($F670,"hhmmss")&amp;"
SUMMARY:"&amp;$B670&amp;"
LOCATION:"&amp;$G670&amp;"
DESCRIPTION:"&amp;$H670&amp;"
END:VEVENT")</f>
        <v/>
      </c>
      <c r="B670" s="68">
        <f>IF('Calendario D'!$B322="","",'Calendario D'!$B322&amp;" vs "&amp;'Calendario D'!$D322&amp;" "&amp;'Calendario D'!$AC322)</f>
        <v/>
      </c>
      <c r="C670" s="222">
        <f>IF($B670="","",DATE(YEAR('Calendario D'!$F322),MONTH('Calendario D'!$F322),DAY('Calendario D'!$F322)))</f>
        <v/>
      </c>
      <c r="D670" s="223">
        <f>IF($B670="","",TIME(HOUR('Calendario D'!$F322),MINUTE('Calendario D'!$F322),0))</f>
        <v/>
      </c>
      <c r="E670" s="222">
        <f>IF($B670="","",DATE(YEAR('Calendario D'!$F322),MONTH('Calendario D'!$F322),DAY('Calendario D'!$F322)))</f>
        <v/>
      </c>
      <c r="F670" s="223">
        <f>IF($B670="","",TIME(HOUR('Calendario D'!$F322)+2,MINUTE('Calendario D'!$F322),0))</f>
        <v/>
      </c>
      <c r="G670" s="68">
        <f>IF($B670="","",'Calendario D'!$B323)</f>
        <v/>
      </c>
      <c r="H670" s="68">
        <f>IF($B670="","",Campionato!$D$2&amp;" "&amp;Campionato!$D$6)</f>
        <v/>
      </c>
      <c r="I670" s="68" t="n"/>
    </row>
    <row r="671">
      <c r="A671" s="68">
        <f>IF($B671="","","BEGIN:VEVENT
DTSTAMP:"&amp;TEXT(NOW(),"yyyymmdd")&amp;"T000001Z
UID:evt670@ClaudeCoworkBaskin
DTSTART;TZID=Europe/Rome:"&amp;TEXT($C671,"yyyymmdd")&amp;"T"&amp;TEXT($D671,"hhmmss")&amp;"
DTEND;TZID=Europe/Rome:"&amp;TEXT($E671,"yyyymmdd")&amp;"T"&amp;TEXT($F671,"hhmmss")&amp;"
SUMMARY:"&amp;$B671&amp;"
LOCATION:"&amp;$G671&amp;"
DESCRIPTION:"&amp;$H671&amp;"
END:VEVENT")</f>
        <v/>
      </c>
      <c r="B671" s="68">
        <f>IF('Calendario D'!$B325="","",'Calendario D'!$B325&amp;" vs "&amp;'Calendario D'!$D325&amp;" "&amp;'Calendario D'!$AC325)</f>
        <v/>
      </c>
      <c r="C671" s="222">
        <f>IF($B671="","",DATE(YEAR('Calendario D'!$F325),MONTH('Calendario D'!$F325),DAY('Calendario D'!$F325)))</f>
        <v/>
      </c>
      <c r="D671" s="223">
        <f>IF($B671="","",TIME(HOUR('Calendario D'!$F325),MINUTE('Calendario D'!$F325),0))</f>
        <v/>
      </c>
      <c r="E671" s="222">
        <f>IF($B671="","",DATE(YEAR('Calendario D'!$F325),MONTH('Calendario D'!$F325),DAY('Calendario D'!$F325)))</f>
        <v/>
      </c>
      <c r="F671" s="223">
        <f>IF($B671="","",TIME(HOUR('Calendario D'!$F325)+2,MINUTE('Calendario D'!$F325),0))</f>
        <v/>
      </c>
      <c r="G671" s="68">
        <f>IF($B671="","",'Calendario D'!$B326)</f>
        <v/>
      </c>
      <c r="H671" s="68">
        <f>IF($B671="","",Campionato!$D$2&amp;" "&amp;Campionato!$D$6)</f>
        <v/>
      </c>
      <c r="I671" s="68" t="n"/>
    </row>
    <row r="672">
      <c r="A672" s="68">
        <f>IF($B672="","","BEGIN:VEVENT
DTSTAMP:"&amp;TEXT(NOW(),"yyyymmdd")&amp;"T000001Z
UID:evt671@ClaudeCoworkBaskin
DTSTART;TZID=Europe/Rome:"&amp;TEXT($C672,"yyyymmdd")&amp;"T"&amp;TEXT($D672,"hhmmss")&amp;"
DTEND;TZID=Europe/Rome:"&amp;TEXT($E672,"yyyymmdd")&amp;"T"&amp;TEXT($F672,"hhmmss")&amp;"
SUMMARY:"&amp;$B672&amp;"
LOCATION:"&amp;$G672&amp;"
DESCRIPTION:"&amp;$H672&amp;"
END:VEVENT")</f>
        <v/>
      </c>
      <c r="B672" s="68">
        <f>IF('Calendario D'!$B330="","",'Calendario D'!$B330&amp;" vs "&amp;'Calendario D'!$D330&amp;" "&amp;'Calendario D'!$AC330)</f>
        <v/>
      </c>
      <c r="C672" s="222">
        <f>IF($B672="","",DATE(YEAR('Calendario D'!$F330),MONTH('Calendario D'!$F330),DAY('Calendario D'!$F330)))</f>
        <v/>
      </c>
      <c r="D672" s="223">
        <f>IF($B672="","",TIME(HOUR('Calendario D'!$F330),MINUTE('Calendario D'!$F330),0))</f>
        <v/>
      </c>
      <c r="E672" s="222">
        <f>IF($B672="","",DATE(YEAR('Calendario D'!$F330),MONTH('Calendario D'!$F330),DAY('Calendario D'!$F330)))</f>
        <v/>
      </c>
      <c r="F672" s="223">
        <f>IF($B672="","",TIME(HOUR('Calendario D'!$F330)+2,MINUTE('Calendario D'!$F330),0))</f>
        <v/>
      </c>
      <c r="G672" s="68">
        <f>IF($B672="","",'Calendario D'!$B331)</f>
        <v/>
      </c>
      <c r="H672" s="68">
        <f>IF($B672="","",Campionato!$D$2&amp;" "&amp;Campionato!$D$6)</f>
        <v/>
      </c>
      <c r="I672" s="68" t="n"/>
    </row>
    <row r="673">
      <c r="A673" s="68">
        <f>IF($B673="","","BEGIN:VEVENT
DTSTAMP:"&amp;TEXT(NOW(),"yyyymmdd")&amp;"T000001Z
UID:evt672@ClaudeCoworkBaskin
DTSTART;TZID=Europe/Rome:"&amp;TEXT($C673,"yyyymmdd")&amp;"T"&amp;TEXT($D673,"hhmmss")&amp;"
DTEND;TZID=Europe/Rome:"&amp;TEXT($E673,"yyyymmdd")&amp;"T"&amp;TEXT($F673,"hhmmss")&amp;"
SUMMARY:"&amp;$B673&amp;"
LOCATION:"&amp;$G673&amp;"
DESCRIPTION:"&amp;$H673&amp;"
END:VEVENT")</f>
        <v/>
      </c>
      <c r="B673" s="68">
        <f>IF('Calendario D'!$B333="","",'Calendario D'!$B333&amp;" vs "&amp;'Calendario D'!$D333&amp;" "&amp;'Calendario D'!$AC333)</f>
        <v/>
      </c>
      <c r="C673" s="222">
        <f>IF($B673="","",DATE(YEAR('Calendario D'!$F333),MONTH('Calendario D'!$F333),DAY('Calendario D'!$F333)))</f>
        <v/>
      </c>
      <c r="D673" s="223">
        <f>IF($B673="","",TIME(HOUR('Calendario D'!$F333),MINUTE('Calendario D'!$F333),0))</f>
        <v/>
      </c>
      <c r="E673" s="222">
        <f>IF($B673="","",DATE(YEAR('Calendario D'!$F333),MONTH('Calendario D'!$F333),DAY('Calendario D'!$F333)))</f>
        <v/>
      </c>
      <c r="F673" s="223">
        <f>IF($B673="","",TIME(HOUR('Calendario D'!$F333)+2,MINUTE('Calendario D'!$F333),0))</f>
        <v/>
      </c>
      <c r="G673" s="68">
        <f>IF($B673="","",'Calendario D'!$B334)</f>
        <v/>
      </c>
      <c r="H673" s="68">
        <f>IF($B673="","",Campionato!$D$2&amp;" "&amp;Campionato!$D$6)</f>
        <v/>
      </c>
      <c r="I673" s="68" t="n"/>
    </row>
    <row r="674">
      <c r="A674" s="68">
        <f>IF($B674="","","BEGIN:VEVENT
DTSTAMP:"&amp;TEXT(NOW(),"yyyymmdd")&amp;"T000001Z
UID:evt673@ClaudeCoworkBaskin
DTSTART;TZID=Europe/Rome:"&amp;TEXT($C674,"yyyymmdd")&amp;"T"&amp;TEXT($D674,"hhmmss")&amp;"
DTEND;TZID=Europe/Rome:"&amp;TEXT($E674,"yyyymmdd")&amp;"T"&amp;TEXT($F674,"hhmmss")&amp;"
SUMMARY:"&amp;$B674&amp;"
LOCATION:"&amp;$G674&amp;"
DESCRIPTION:"&amp;$H674&amp;"
END:VEVENT")</f>
        <v/>
      </c>
      <c r="B674" s="68">
        <f>IF('Calendario D'!$B336="","",'Calendario D'!$B336&amp;" vs "&amp;'Calendario D'!$D336&amp;" "&amp;'Calendario D'!$AC336)</f>
        <v/>
      </c>
      <c r="C674" s="222">
        <f>IF($B674="","",DATE(YEAR('Calendario D'!$F336),MONTH('Calendario D'!$F336),DAY('Calendario D'!$F336)))</f>
        <v/>
      </c>
      <c r="D674" s="223">
        <f>IF($B674="","",TIME(HOUR('Calendario D'!$F336),MINUTE('Calendario D'!$F336),0))</f>
        <v/>
      </c>
      <c r="E674" s="222">
        <f>IF($B674="","",DATE(YEAR('Calendario D'!$F336),MONTH('Calendario D'!$F336),DAY('Calendario D'!$F336)))</f>
        <v/>
      </c>
      <c r="F674" s="223">
        <f>IF($B674="","",TIME(HOUR('Calendario D'!$F336)+2,MINUTE('Calendario D'!$F336),0))</f>
        <v/>
      </c>
      <c r="G674" s="68">
        <f>IF($B674="","",'Calendario D'!$B337)</f>
        <v/>
      </c>
      <c r="H674" s="68">
        <f>IF($B674="","",Campionato!$D$2&amp;" "&amp;Campionato!$D$6)</f>
        <v/>
      </c>
      <c r="I674" s="68" t="n"/>
    </row>
    <row r="675">
      <c r="A675" s="68">
        <f>IF($B675="","","BEGIN:VEVENT
DTSTAMP:"&amp;TEXT(NOW(),"yyyymmdd")&amp;"T000001Z
UID:evt674@ClaudeCoworkBaskin
DTSTART;TZID=Europe/Rome:"&amp;TEXT($C675,"yyyymmdd")&amp;"T"&amp;TEXT($D675,"hhmmss")&amp;"
DTEND;TZID=Europe/Rome:"&amp;TEXT($E675,"yyyymmdd")&amp;"T"&amp;TEXT($F675,"hhmmss")&amp;"
SUMMARY:"&amp;$B675&amp;"
LOCATION:"&amp;$G675&amp;"
DESCRIPTION:"&amp;$H675&amp;"
END:VEVENT")</f>
        <v/>
      </c>
      <c r="B675" s="68">
        <f>IF('Calendario D'!$B339="","",'Calendario D'!$B339&amp;" vs "&amp;'Calendario D'!$D339&amp;" "&amp;'Calendario D'!$AC339)</f>
        <v/>
      </c>
      <c r="C675" s="222">
        <f>IF($B675="","",DATE(YEAR('Calendario D'!$F339),MONTH('Calendario D'!$F339),DAY('Calendario D'!$F339)))</f>
        <v/>
      </c>
      <c r="D675" s="223">
        <f>IF($B675="","",TIME(HOUR('Calendario D'!$F339),MINUTE('Calendario D'!$F339),0))</f>
        <v/>
      </c>
      <c r="E675" s="222">
        <f>IF($B675="","",DATE(YEAR('Calendario D'!$F339),MONTH('Calendario D'!$F339),DAY('Calendario D'!$F339)))</f>
        <v/>
      </c>
      <c r="F675" s="223">
        <f>IF($B675="","",TIME(HOUR('Calendario D'!$F339)+2,MINUTE('Calendario D'!$F339),0))</f>
        <v/>
      </c>
      <c r="G675" s="68">
        <f>IF($B675="","",'Calendario D'!$B340)</f>
        <v/>
      </c>
      <c r="H675" s="68">
        <f>IF($B675="","",Campionato!$D$2&amp;" "&amp;Campionato!$D$6)</f>
        <v/>
      </c>
      <c r="I675" s="68" t="n"/>
    </row>
    <row r="676">
      <c r="A676" s="68">
        <f>IF($B676="","","BEGIN:VEVENT
DTSTAMP:"&amp;TEXT(NOW(),"yyyymmdd")&amp;"T000001Z
UID:evt675@ClaudeCoworkBaskin
DTSTART;TZID=Europe/Rome:"&amp;TEXT($C676,"yyyymmdd")&amp;"T"&amp;TEXT($D676,"hhmmss")&amp;"
DTEND;TZID=Europe/Rome:"&amp;TEXT($E676,"yyyymmdd")&amp;"T"&amp;TEXT($F676,"hhmmss")&amp;"
SUMMARY:"&amp;$B676&amp;"
LOCATION:"&amp;$G676&amp;"
DESCRIPTION:"&amp;$H676&amp;"
END:VEVENT")</f>
        <v/>
      </c>
      <c r="B676" s="68">
        <f>IF('Calendario D'!$B342="","",'Calendario D'!$B342&amp;" vs "&amp;'Calendario D'!$D342&amp;" "&amp;'Calendario D'!$AC342)</f>
        <v/>
      </c>
      <c r="C676" s="222">
        <f>IF($B676="","",DATE(YEAR('Calendario D'!$F342),MONTH('Calendario D'!$F342),DAY('Calendario D'!$F342)))</f>
        <v/>
      </c>
      <c r="D676" s="223">
        <f>IF($B676="","",TIME(HOUR('Calendario D'!$F342),MINUTE('Calendario D'!$F342),0))</f>
        <v/>
      </c>
      <c r="E676" s="222">
        <f>IF($B676="","",DATE(YEAR('Calendario D'!$F342),MONTH('Calendario D'!$F342),DAY('Calendario D'!$F342)))</f>
        <v/>
      </c>
      <c r="F676" s="223">
        <f>IF($B676="","",TIME(HOUR('Calendario D'!$F342)+2,MINUTE('Calendario D'!$F342),0))</f>
        <v/>
      </c>
      <c r="G676" s="68">
        <f>IF($B676="","",'Calendario D'!$B343)</f>
        <v/>
      </c>
      <c r="H676" s="68">
        <f>IF($B676="","",Campionato!$D$2&amp;" "&amp;Campionato!$D$6)</f>
        <v/>
      </c>
      <c r="I676" s="68" t="n"/>
    </row>
    <row r="677">
      <c r="A677" s="68">
        <f>IF($B677="","","BEGIN:VEVENT
DTSTAMP:"&amp;TEXT(NOW(),"yyyymmdd")&amp;"T000001Z
UID:evt676@ClaudeCoworkBaskin
DTSTART;TZID=Europe/Rome:"&amp;TEXT($C677,"yyyymmdd")&amp;"T"&amp;TEXT($D677,"hhmmss")&amp;"
DTEND;TZID=Europe/Rome:"&amp;TEXT($E677,"yyyymmdd")&amp;"T"&amp;TEXT($F677,"hhmmss")&amp;"
SUMMARY:"&amp;$B677&amp;"
LOCATION:"&amp;$G677&amp;"
DESCRIPTION:"&amp;$H677&amp;"
END:VEVENT")</f>
        <v/>
      </c>
      <c r="B677" s="68">
        <f>IF('Calendario D'!$B345="","",'Calendario D'!$B345&amp;" vs "&amp;'Calendario D'!$D345&amp;" "&amp;'Calendario D'!$AC345)</f>
        <v/>
      </c>
      <c r="C677" s="222">
        <f>IF($B677="","",DATE(YEAR('Calendario D'!$F345),MONTH('Calendario D'!$F345),DAY('Calendario D'!$F345)))</f>
        <v/>
      </c>
      <c r="D677" s="223">
        <f>IF($B677="","",TIME(HOUR('Calendario D'!$F345),MINUTE('Calendario D'!$F345),0))</f>
        <v/>
      </c>
      <c r="E677" s="222">
        <f>IF($B677="","",DATE(YEAR('Calendario D'!$F345),MONTH('Calendario D'!$F345),DAY('Calendario D'!$F345)))</f>
        <v/>
      </c>
      <c r="F677" s="223">
        <f>IF($B677="","",TIME(HOUR('Calendario D'!$F345)+2,MINUTE('Calendario D'!$F345),0))</f>
        <v/>
      </c>
      <c r="G677" s="68">
        <f>IF($B677="","",'Calendario D'!$B346)</f>
        <v/>
      </c>
      <c r="H677" s="68">
        <f>IF($B677="","",Campionato!$D$2&amp;" "&amp;Campionato!$D$6)</f>
        <v/>
      </c>
      <c r="I677" s="68" t="n"/>
    </row>
    <row r="678">
      <c r="A678" s="68">
        <f>IF($B678="","","BEGIN:VEVENT
DTSTAMP:"&amp;TEXT(NOW(),"yyyymmdd")&amp;"T000001Z
UID:evt677@ClaudeCoworkBaskin
DTSTART;TZID=Europe/Rome:"&amp;TEXT($C678,"yyyymmdd")&amp;"T"&amp;TEXT($D678,"hhmmss")&amp;"
DTEND;TZID=Europe/Rome:"&amp;TEXT($E678,"yyyymmdd")&amp;"T"&amp;TEXT($F678,"hhmmss")&amp;"
SUMMARY:"&amp;$B678&amp;"
LOCATION:"&amp;$G678&amp;"
DESCRIPTION:"&amp;$H678&amp;"
END:VEVENT")</f>
        <v/>
      </c>
      <c r="B678" s="68">
        <f>IF('Calendario D'!$B348="","",'Calendario D'!$B348&amp;" vs "&amp;'Calendario D'!$D348&amp;" "&amp;'Calendario D'!$AC348)</f>
        <v/>
      </c>
      <c r="C678" s="222">
        <f>IF($B678="","",DATE(YEAR('Calendario D'!$F348),MONTH('Calendario D'!$F348),DAY('Calendario D'!$F348)))</f>
        <v/>
      </c>
      <c r="D678" s="223">
        <f>IF($B678="","",TIME(HOUR('Calendario D'!$F348),MINUTE('Calendario D'!$F348),0))</f>
        <v/>
      </c>
      <c r="E678" s="222">
        <f>IF($B678="","",DATE(YEAR('Calendario D'!$F348),MONTH('Calendario D'!$F348),DAY('Calendario D'!$F348)))</f>
        <v/>
      </c>
      <c r="F678" s="223">
        <f>IF($B678="","",TIME(HOUR('Calendario D'!$F348)+2,MINUTE('Calendario D'!$F348),0))</f>
        <v/>
      </c>
      <c r="G678" s="68">
        <f>IF($B678="","",'Calendario D'!$B349)</f>
        <v/>
      </c>
      <c r="H678" s="68">
        <f>IF($B678="","",Campionato!$D$2&amp;" "&amp;Campionato!$D$6)</f>
        <v/>
      </c>
      <c r="I678" s="68" t="n"/>
    </row>
    <row r="679">
      <c r="A679" s="68">
        <f>IF($B679="","","BEGIN:VEVENT
DTSTAMP:"&amp;TEXT(NOW(),"yyyymmdd")&amp;"T000001Z
UID:evt678@ClaudeCoworkBaskin
DTSTART;TZID=Europe/Rome:"&amp;TEXT($C679,"yyyymmdd")&amp;"T"&amp;TEXT($D679,"hhmmss")&amp;"
DTEND;TZID=Europe/Rome:"&amp;TEXT($E679,"yyyymmdd")&amp;"T"&amp;TEXT($F679,"hhmmss")&amp;"
SUMMARY:"&amp;$B679&amp;"
LOCATION:"&amp;$G679&amp;"
DESCRIPTION:"&amp;$H679&amp;"
END:VEVENT")</f>
        <v/>
      </c>
      <c r="B679" s="68">
        <f>IF('Calendario D'!$B351="","",'Calendario D'!$B351&amp;" vs "&amp;'Calendario D'!$D351&amp;" "&amp;'Calendario D'!$AC351)</f>
        <v/>
      </c>
      <c r="C679" s="222">
        <f>IF($B679="","",DATE(YEAR('Calendario D'!$F351),MONTH('Calendario D'!$F351),DAY('Calendario D'!$F351)))</f>
        <v/>
      </c>
      <c r="D679" s="223">
        <f>IF($B679="","",TIME(HOUR('Calendario D'!$F351),MINUTE('Calendario D'!$F351),0))</f>
        <v/>
      </c>
      <c r="E679" s="222">
        <f>IF($B679="","",DATE(YEAR('Calendario D'!$F351),MONTH('Calendario D'!$F351),DAY('Calendario D'!$F351)))</f>
        <v/>
      </c>
      <c r="F679" s="223">
        <f>IF($B679="","",TIME(HOUR('Calendario D'!$F351)+2,MINUTE('Calendario D'!$F351),0))</f>
        <v/>
      </c>
      <c r="G679" s="68">
        <f>IF($B679="","",'Calendario D'!$B352)</f>
        <v/>
      </c>
      <c r="H679" s="68">
        <f>IF($B679="","",Campionato!$D$2&amp;" "&amp;Campionato!$D$6)</f>
        <v/>
      </c>
      <c r="I679" s="68" t="n"/>
    </row>
    <row r="680">
      <c r="A680" s="68">
        <f>IF($B680="","","BEGIN:VEVENT
DTSTAMP:"&amp;TEXT(NOW(),"yyyymmdd")&amp;"T000001Z
UID:evt679@ClaudeCoworkBaskin
DTSTART;TZID=Europe/Rome:"&amp;TEXT($C680,"yyyymmdd")&amp;"T"&amp;TEXT($D680,"hhmmss")&amp;"
DTEND;TZID=Europe/Rome:"&amp;TEXT($E680,"yyyymmdd")&amp;"T"&amp;TEXT($F680,"hhmmss")&amp;"
SUMMARY:"&amp;$B680&amp;"
LOCATION:"&amp;$G680&amp;"
DESCRIPTION:"&amp;$H680&amp;"
END:VEVENT")</f>
        <v/>
      </c>
      <c r="B680" s="68">
        <f>IF('Calendario D'!$B354="","",'Calendario D'!$B354&amp;" vs "&amp;'Calendario D'!$D354&amp;" "&amp;'Calendario D'!$AC354)</f>
        <v/>
      </c>
      <c r="C680" s="222">
        <f>IF($B680="","",DATE(YEAR('Calendario D'!$F354),MONTH('Calendario D'!$F354),DAY('Calendario D'!$F354)))</f>
        <v/>
      </c>
      <c r="D680" s="223">
        <f>IF($B680="","",TIME(HOUR('Calendario D'!$F354),MINUTE('Calendario D'!$F354),0))</f>
        <v/>
      </c>
      <c r="E680" s="222">
        <f>IF($B680="","",DATE(YEAR('Calendario D'!$F354),MONTH('Calendario D'!$F354),DAY('Calendario D'!$F354)))</f>
        <v/>
      </c>
      <c r="F680" s="223">
        <f>IF($B680="","",TIME(HOUR('Calendario D'!$F354)+2,MINUTE('Calendario D'!$F354),0))</f>
        <v/>
      </c>
      <c r="G680" s="68">
        <f>IF($B680="","",'Calendario D'!$B355)</f>
        <v/>
      </c>
      <c r="H680" s="68">
        <f>IF($B680="","",Campionato!$D$2&amp;" "&amp;Campionato!$D$6)</f>
        <v/>
      </c>
      <c r="I680" s="68" t="n"/>
    </row>
    <row r="681">
      <c r="A681" s="68">
        <f>IF($B681="","","BEGIN:VEVENT
DTSTAMP:"&amp;TEXT(NOW(),"yyyymmdd")&amp;"T000001Z
UID:evt680@ClaudeCoworkBaskin
DTSTART;TZID=Europe/Rome:"&amp;TEXT($C681,"yyyymmdd")&amp;"T"&amp;TEXT($D681,"hhmmss")&amp;"
DTEND;TZID=Europe/Rome:"&amp;TEXT($E681,"yyyymmdd")&amp;"T"&amp;TEXT($F681,"hhmmss")&amp;"
SUMMARY:"&amp;$B681&amp;"
LOCATION:"&amp;$G681&amp;"
DESCRIPTION:"&amp;$H681&amp;"
END:VEVENT")</f>
        <v/>
      </c>
      <c r="B681" s="68">
        <f>IF('Calendario D'!$B357="","",'Calendario D'!$B357&amp;" vs "&amp;'Calendario D'!$D357&amp;" "&amp;'Calendario D'!$AC357)</f>
        <v/>
      </c>
      <c r="C681" s="222">
        <f>IF($B681="","",DATE(YEAR('Calendario D'!$F357),MONTH('Calendario D'!$F357),DAY('Calendario D'!$F357)))</f>
        <v/>
      </c>
      <c r="D681" s="223">
        <f>IF($B681="","",TIME(HOUR('Calendario D'!$F357),MINUTE('Calendario D'!$F357),0))</f>
        <v/>
      </c>
      <c r="E681" s="222">
        <f>IF($B681="","",DATE(YEAR('Calendario D'!$F357),MONTH('Calendario D'!$F357),DAY('Calendario D'!$F357)))</f>
        <v/>
      </c>
      <c r="F681" s="223">
        <f>IF($B681="","",TIME(HOUR('Calendario D'!$F357)+2,MINUTE('Calendario D'!$F357),0))</f>
        <v/>
      </c>
      <c r="G681" s="68">
        <f>IF($B681="","",'Calendario D'!$B358)</f>
        <v/>
      </c>
      <c r="H681" s="68">
        <f>IF($B681="","",Campionato!$D$2&amp;" "&amp;Campionato!$D$6)</f>
        <v/>
      </c>
      <c r="I681" s="68" t="n"/>
    </row>
    <row r="682">
      <c r="A682" s="68">
        <f>IF($B682="","","BEGIN:VEVENT
DTSTAMP:"&amp;TEXT(NOW(),"yyyymmdd")&amp;"T000001Z
UID:evt681@ClaudeCoworkBaskin
DTSTART;TZID=Europe/Rome:"&amp;TEXT($C682,"yyyymmdd")&amp;"T"&amp;TEXT($D682,"hhmmss")&amp;"
DTEND;TZID=Europe/Rome:"&amp;TEXT($E682,"yyyymmdd")&amp;"T"&amp;TEXT($F682,"hhmmss")&amp;"
SUMMARY:"&amp;$B682&amp;"
LOCATION:"&amp;$G682&amp;"
DESCRIPTION:"&amp;$H682&amp;"
END:VEVENT")</f>
        <v/>
      </c>
      <c r="B682" s="68">
        <f>IF('Calendario D'!$B362="","",'Calendario D'!$B362&amp;" vs "&amp;'Calendario D'!$D362&amp;" "&amp;'Calendario D'!$AC362)</f>
        <v/>
      </c>
      <c r="C682" s="222">
        <f>IF($B682="","",DATE(YEAR('Calendario D'!$F362),MONTH('Calendario D'!$F362),DAY('Calendario D'!$F362)))</f>
        <v/>
      </c>
      <c r="D682" s="223">
        <f>IF($B682="","",TIME(HOUR('Calendario D'!$F362),MINUTE('Calendario D'!$F362),0))</f>
        <v/>
      </c>
      <c r="E682" s="222">
        <f>IF($B682="","",DATE(YEAR('Calendario D'!$F362),MONTH('Calendario D'!$F362),DAY('Calendario D'!$F362)))</f>
        <v/>
      </c>
      <c r="F682" s="223">
        <f>IF($B682="","",TIME(HOUR('Calendario D'!$F362)+2,MINUTE('Calendario D'!$F362),0))</f>
        <v/>
      </c>
      <c r="G682" s="68">
        <f>IF($B682="","",'Calendario D'!$B363)</f>
        <v/>
      </c>
      <c r="H682" s="68">
        <f>IF($B682="","",Campionato!$D$2&amp;" "&amp;Campionato!$D$6)</f>
        <v/>
      </c>
      <c r="I682" s="68" t="n"/>
    </row>
    <row r="683">
      <c r="A683" s="68">
        <f>IF($B683="","","BEGIN:VEVENT
DTSTAMP:"&amp;TEXT(NOW(),"yyyymmdd")&amp;"T000001Z
UID:evt682@ClaudeCoworkBaskin
DTSTART;TZID=Europe/Rome:"&amp;TEXT($C683,"yyyymmdd")&amp;"T"&amp;TEXT($D683,"hhmmss")&amp;"
DTEND;TZID=Europe/Rome:"&amp;TEXT($E683,"yyyymmdd")&amp;"T"&amp;TEXT($F683,"hhmmss")&amp;"
SUMMARY:"&amp;$B683&amp;"
LOCATION:"&amp;$G683&amp;"
DESCRIPTION:"&amp;$H683&amp;"
END:VEVENT")</f>
        <v/>
      </c>
      <c r="B683" s="68">
        <f>IF('Calendario D'!$B365="","",'Calendario D'!$B365&amp;" vs "&amp;'Calendario D'!$D365&amp;" "&amp;'Calendario D'!$AC365)</f>
        <v/>
      </c>
      <c r="C683" s="222">
        <f>IF($B683="","",DATE(YEAR('Calendario D'!$F365),MONTH('Calendario D'!$F365),DAY('Calendario D'!$F365)))</f>
        <v/>
      </c>
      <c r="D683" s="223">
        <f>IF($B683="","",TIME(HOUR('Calendario D'!$F365),MINUTE('Calendario D'!$F365),0))</f>
        <v/>
      </c>
      <c r="E683" s="222">
        <f>IF($B683="","",DATE(YEAR('Calendario D'!$F365),MONTH('Calendario D'!$F365),DAY('Calendario D'!$F365)))</f>
        <v/>
      </c>
      <c r="F683" s="223">
        <f>IF($B683="","",TIME(HOUR('Calendario D'!$F365)+2,MINUTE('Calendario D'!$F365),0))</f>
        <v/>
      </c>
      <c r="G683" s="68">
        <f>IF($B683="","",'Calendario D'!$B366)</f>
        <v/>
      </c>
      <c r="H683" s="68">
        <f>IF($B683="","",Campionato!$D$2&amp;" "&amp;Campionato!$D$6)</f>
        <v/>
      </c>
      <c r="I683" s="68" t="n"/>
    </row>
    <row r="684">
      <c r="A684" s="68">
        <f>IF($B684="","","BEGIN:VEVENT
DTSTAMP:"&amp;TEXT(NOW(),"yyyymmdd")&amp;"T000001Z
UID:evt683@ClaudeCoworkBaskin
DTSTART;TZID=Europe/Rome:"&amp;TEXT($C684,"yyyymmdd")&amp;"T"&amp;TEXT($D684,"hhmmss")&amp;"
DTEND;TZID=Europe/Rome:"&amp;TEXT($E684,"yyyymmdd")&amp;"T"&amp;TEXT($F684,"hhmmss")&amp;"
SUMMARY:"&amp;$B684&amp;"
LOCATION:"&amp;$G684&amp;"
DESCRIPTION:"&amp;$H684&amp;"
END:VEVENT")</f>
        <v/>
      </c>
      <c r="B684" s="68">
        <f>IF('Calendario D'!$B368="","",'Calendario D'!$B368&amp;" vs "&amp;'Calendario D'!$D368&amp;" "&amp;'Calendario D'!$AC368)</f>
        <v/>
      </c>
      <c r="C684" s="222">
        <f>IF($B684="","",DATE(YEAR('Calendario D'!$F368),MONTH('Calendario D'!$F368),DAY('Calendario D'!$F368)))</f>
        <v/>
      </c>
      <c r="D684" s="223">
        <f>IF($B684="","",TIME(HOUR('Calendario D'!$F368),MINUTE('Calendario D'!$F368),0))</f>
        <v/>
      </c>
      <c r="E684" s="222">
        <f>IF($B684="","",DATE(YEAR('Calendario D'!$F368),MONTH('Calendario D'!$F368),DAY('Calendario D'!$F368)))</f>
        <v/>
      </c>
      <c r="F684" s="223">
        <f>IF($B684="","",TIME(HOUR('Calendario D'!$F368)+2,MINUTE('Calendario D'!$F368),0))</f>
        <v/>
      </c>
      <c r="G684" s="68">
        <f>IF($B684="","",'Calendario D'!$B369)</f>
        <v/>
      </c>
      <c r="H684" s="68">
        <f>IF($B684="","",Campionato!$D$2&amp;" "&amp;Campionato!$D$6)</f>
        <v/>
      </c>
      <c r="I684" s="68" t="n"/>
    </row>
    <row r="685">
      <c r="A685" s="68">
        <f>IF($B685="","","BEGIN:VEVENT
DTSTAMP:"&amp;TEXT(NOW(),"yyyymmdd")&amp;"T000001Z
UID:evt684@ClaudeCoworkBaskin
DTSTART;TZID=Europe/Rome:"&amp;TEXT($C685,"yyyymmdd")&amp;"T"&amp;TEXT($D685,"hhmmss")&amp;"
DTEND;TZID=Europe/Rome:"&amp;TEXT($E685,"yyyymmdd")&amp;"T"&amp;TEXT($F685,"hhmmss")&amp;"
SUMMARY:"&amp;$B685&amp;"
LOCATION:"&amp;$G685&amp;"
DESCRIPTION:"&amp;$H685&amp;"
END:VEVENT")</f>
        <v/>
      </c>
      <c r="B685" s="68">
        <f>IF('Calendario D'!$B371="","",'Calendario D'!$B371&amp;" vs "&amp;'Calendario D'!$D371&amp;" "&amp;'Calendario D'!$AC371)</f>
        <v/>
      </c>
      <c r="C685" s="222">
        <f>IF($B685="","",DATE(YEAR('Calendario D'!$F371),MONTH('Calendario D'!$F371),DAY('Calendario D'!$F371)))</f>
        <v/>
      </c>
      <c r="D685" s="223">
        <f>IF($B685="","",TIME(HOUR('Calendario D'!$F371),MINUTE('Calendario D'!$F371),0))</f>
        <v/>
      </c>
      <c r="E685" s="222">
        <f>IF($B685="","",DATE(YEAR('Calendario D'!$F371),MONTH('Calendario D'!$F371),DAY('Calendario D'!$F371)))</f>
        <v/>
      </c>
      <c r="F685" s="223">
        <f>IF($B685="","",TIME(HOUR('Calendario D'!$F371)+2,MINUTE('Calendario D'!$F371),0))</f>
        <v/>
      </c>
      <c r="G685" s="68">
        <f>IF($B685="","",'Calendario D'!$B372)</f>
        <v/>
      </c>
      <c r="H685" s="68">
        <f>IF($B685="","",Campionato!$D$2&amp;" "&amp;Campionato!$D$6)</f>
        <v/>
      </c>
      <c r="I685" s="68" t="n"/>
    </row>
    <row r="686">
      <c r="A686" s="68">
        <f>IF($B686="","","BEGIN:VEVENT
DTSTAMP:"&amp;TEXT(NOW(),"yyyymmdd")&amp;"T000001Z
UID:evt685@ClaudeCoworkBaskin
DTSTART;TZID=Europe/Rome:"&amp;TEXT($C686,"yyyymmdd")&amp;"T"&amp;TEXT($D686,"hhmmss")&amp;"
DTEND;TZID=Europe/Rome:"&amp;TEXT($E686,"yyyymmdd")&amp;"T"&amp;TEXT($F686,"hhmmss")&amp;"
SUMMARY:"&amp;$B686&amp;"
LOCATION:"&amp;$G686&amp;"
DESCRIPTION:"&amp;$H686&amp;"
END:VEVENT")</f>
        <v/>
      </c>
      <c r="B686" s="68">
        <f>IF('Calendario D'!$B374="","",'Calendario D'!$B374&amp;" vs "&amp;'Calendario D'!$D374&amp;" "&amp;'Calendario D'!$AC374)</f>
        <v/>
      </c>
      <c r="C686" s="222">
        <f>IF($B686="","",DATE(YEAR('Calendario D'!$F374),MONTH('Calendario D'!$F374),DAY('Calendario D'!$F374)))</f>
        <v/>
      </c>
      <c r="D686" s="223">
        <f>IF($B686="","",TIME(HOUR('Calendario D'!$F374),MINUTE('Calendario D'!$F374),0))</f>
        <v/>
      </c>
      <c r="E686" s="222">
        <f>IF($B686="","",DATE(YEAR('Calendario D'!$F374),MONTH('Calendario D'!$F374),DAY('Calendario D'!$F374)))</f>
        <v/>
      </c>
      <c r="F686" s="223">
        <f>IF($B686="","",TIME(HOUR('Calendario D'!$F374)+2,MINUTE('Calendario D'!$F374),0))</f>
        <v/>
      </c>
      <c r="G686" s="68">
        <f>IF($B686="","",'Calendario D'!$B375)</f>
        <v/>
      </c>
      <c r="H686" s="68">
        <f>IF($B686="","",Campionato!$D$2&amp;" "&amp;Campionato!$D$6)</f>
        <v/>
      </c>
      <c r="I686" s="68" t="n"/>
    </row>
    <row r="687">
      <c r="A687" s="68">
        <f>IF($B687="","","BEGIN:VEVENT
DTSTAMP:"&amp;TEXT(NOW(),"yyyymmdd")&amp;"T000001Z
UID:evt686@ClaudeCoworkBaskin
DTSTART;TZID=Europe/Rome:"&amp;TEXT($C687,"yyyymmdd")&amp;"T"&amp;TEXT($D687,"hhmmss")&amp;"
DTEND;TZID=Europe/Rome:"&amp;TEXT($E687,"yyyymmdd")&amp;"T"&amp;TEXT($F687,"hhmmss")&amp;"
SUMMARY:"&amp;$B687&amp;"
LOCATION:"&amp;$G687&amp;"
DESCRIPTION:"&amp;$H687&amp;"
END:VEVENT")</f>
        <v/>
      </c>
      <c r="B687" s="68">
        <f>IF('Calendario D'!$B377="","",'Calendario D'!$B377&amp;" vs "&amp;'Calendario D'!$D377&amp;" "&amp;'Calendario D'!$AC377)</f>
        <v/>
      </c>
      <c r="C687" s="222">
        <f>IF($B687="","",DATE(YEAR('Calendario D'!$F377),MONTH('Calendario D'!$F377),DAY('Calendario D'!$F377)))</f>
        <v/>
      </c>
      <c r="D687" s="223">
        <f>IF($B687="","",TIME(HOUR('Calendario D'!$F377),MINUTE('Calendario D'!$F377),0))</f>
        <v/>
      </c>
      <c r="E687" s="222">
        <f>IF($B687="","",DATE(YEAR('Calendario D'!$F377),MONTH('Calendario D'!$F377),DAY('Calendario D'!$F377)))</f>
        <v/>
      </c>
      <c r="F687" s="223">
        <f>IF($B687="","",TIME(HOUR('Calendario D'!$F377)+2,MINUTE('Calendario D'!$F377),0))</f>
        <v/>
      </c>
      <c r="G687" s="68">
        <f>IF($B687="","",'Calendario D'!$B378)</f>
        <v/>
      </c>
      <c r="H687" s="68">
        <f>IF($B687="","",Campionato!$D$2&amp;" "&amp;Campionato!$D$6)</f>
        <v/>
      </c>
      <c r="I687" s="68" t="n"/>
    </row>
    <row r="688">
      <c r="A688" s="68">
        <f>IF($B688="","","BEGIN:VEVENT
DTSTAMP:"&amp;TEXT(NOW(),"yyyymmdd")&amp;"T000001Z
UID:evt687@ClaudeCoworkBaskin
DTSTART;TZID=Europe/Rome:"&amp;TEXT($C688,"yyyymmdd")&amp;"T"&amp;TEXT($D688,"hhmmss")&amp;"
DTEND;TZID=Europe/Rome:"&amp;TEXT($E688,"yyyymmdd")&amp;"T"&amp;TEXT($F688,"hhmmss")&amp;"
SUMMARY:"&amp;$B688&amp;"
LOCATION:"&amp;$G688&amp;"
DESCRIPTION:"&amp;$H688&amp;"
END:VEVENT")</f>
        <v/>
      </c>
      <c r="B688" s="68">
        <f>IF('Calendario D'!$B380="","",'Calendario D'!$B380&amp;" vs "&amp;'Calendario D'!$D380&amp;" "&amp;'Calendario D'!$AC380)</f>
        <v/>
      </c>
      <c r="C688" s="222">
        <f>IF($B688="","",DATE(YEAR('Calendario D'!$F380),MONTH('Calendario D'!$F380),DAY('Calendario D'!$F380)))</f>
        <v/>
      </c>
      <c r="D688" s="223">
        <f>IF($B688="","",TIME(HOUR('Calendario D'!$F380),MINUTE('Calendario D'!$F380),0))</f>
        <v/>
      </c>
      <c r="E688" s="222">
        <f>IF($B688="","",DATE(YEAR('Calendario D'!$F380),MONTH('Calendario D'!$F380),DAY('Calendario D'!$F380)))</f>
        <v/>
      </c>
      <c r="F688" s="223">
        <f>IF($B688="","",TIME(HOUR('Calendario D'!$F380)+2,MINUTE('Calendario D'!$F380),0))</f>
        <v/>
      </c>
      <c r="G688" s="68">
        <f>IF($B688="","",'Calendario D'!$B381)</f>
        <v/>
      </c>
      <c r="H688" s="68">
        <f>IF($B688="","",Campionato!$D$2&amp;" "&amp;Campionato!$D$6)</f>
        <v/>
      </c>
      <c r="I688" s="68" t="n"/>
    </row>
    <row r="689">
      <c r="A689" s="68">
        <f>IF($B689="","","BEGIN:VEVENT
DTSTAMP:"&amp;TEXT(NOW(),"yyyymmdd")&amp;"T000001Z
UID:evt688@ClaudeCoworkBaskin
DTSTART;TZID=Europe/Rome:"&amp;TEXT($C689,"yyyymmdd")&amp;"T"&amp;TEXT($D689,"hhmmss")&amp;"
DTEND;TZID=Europe/Rome:"&amp;TEXT($E689,"yyyymmdd")&amp;"T"&amp;TEXT($F689,"hhmmss")&amp;"
SUMMARY:"&amp;$B689&amp;"
LOCATION:"&amp;$G689&amp;"
DESCRIPTION:"&amp;$H689&amp;"
END:VEVENT")</f>
        <v/>
      </c>
      <c r="B689" s="68">
        <f>IF('Calendario D'!$B383="","",'Calendario D'!$B383&amp;" vs "&amp;'Calendario D'!$D383&amp;" "&amp;'Calendario D'!$AC383)</f>
        <v/>
      </c>
      <c r="C689" s="222">
        <f>IF($B689="","",DATE(YEAR('Calendario D'!$F383),MONTH('Calendario D'!$F383),DAY('Calendario D'!$F383)))</f>
        <v/>
      </c>
      <c r="D689" s="223">
        <f>IF($B689="","",TIME(HOUR('Calendario D'!$F383),MINUTE('Calendario D'!$F383),0))</f>
        <v/>
      </c>
      <c r="E689" s="222">
        <f>IF($B689="","",DATE(YEAR('Calendario D'!$F383),MONTH('Calendario D'!$F383),DAY('Calendario D'!$F383)))</f>
        <v/>
      </c>
      <c r="F689" s="223">
        <f>IF($B689="","",TIME(HOUR('Calendario D'!$F383)+2,MINUTE('Calendario D'!$F383),0))</f>
        <v/>
      </c>
      <c r="G689" s="68">
        <f>IF($B689="","",'Calendario D'!$B384)</f>
        <v/>
      </c>
      <c r="H689" s="68">
        <f>IF($B689="","",Campionato!$D$2&amp;" "&amp;Campionato!$D$6)</f>
        <v/>
      </c>
      <c r="I689" s="68" t="n"/>
    </row>
    <row r="690">
      <c r="A690" s="68">
        <f>IF($B690="","","BEGIN:VEVENT
DTSTAMP:"&amp;TEXT(NOW(),"yyyymmdd")&amp;"T000001Z
UID:evt689@ClaudeCoworkBaskin
DTSTART;TZID=Europe/Rome:"&amp;TEXT($C690,"yyyymmdd")&amp;"T"&amp;TEXT($D690,"hhmmss")&amp;"
DTEND;TZID=Europe/Rome:"&amp;TEXT($E690,"yyyymmdd")&amp;"T"&amp;TEXT($F690,"hhmmss")&amp;"
SUMMARY:"&amp;$B690&amp;"
LOCATION:"&amp;$G690&amp;"
DESCRIPTION:"&amp;$H690&amp;"
END:VEVENT")</f>
        <v/>
      </c>
      <c r="B690" s="68">
        <f>IF('Calendario D'!$B386="","",'Calendario D'!$B386&amp;" vs "&amp;'Calendario D'!$D386&amp;" "&amp;'Calendario D'!$AC386)</f>
        <v/>
      </c>
      <c r="C690" s="222">
        <f>IF($B690="","",DATE(YEAR('Calendario D'!$F386),MONTH('Calendario D'!$F386),DAY('Calendario D'!$F386)))</f>
        <v/>
      </c>
      <c r="D690" s="223">
        <f>IF($B690="","",TIME(HOUR('Calendario D'!$F386),MINUTE('Calendario D'!$F386),0))</f>
        <v/>
      </c>
      <c r="E690" s="222">
        <f>IF($B690="","",DATE(YEAR('Calendario D'!$F386),MONTH('Calendario D'!$F386),DAY('Calendario D'!$F386)))</f>
        <v/>
      </c>
      <c r="F690" s="223">
        <f>IF($B690="","",TIME(HOUR('Calendario D'!$F386)+2,MINUTE('Calendario D'!$F386),0))</f>
        <v/>
      </c>
      <c r="G690" s="68">
        <f>IF($B690="","",'Calendario D'!$B387)</f>
        <v/>
      </c>
      <c r="H690" s="68">
        <f>IF($B690="","",Campionato!$D$2&amp;" "&amp;Campionato!$D$6)</f>
        <v/>
      </c>
      <c r="I690" s="68" t="n"/>
    </row>
    <row r="691">
      <c r="A691" s="68">
        <f>IF($B691="","","BEGIN:VEVENT
DTSTAMP:"&amp;TEXT(NOW(),"yyyymmdd")&amp;"T000001Z
UID:evt690@ClaudeCoworkBaskin
DTSTART;TZID=Europe/Rome:"&amp;TEXT($C691,"yyyymmdd")&amp;"T"&amp;TEXT($D691,"hhmmss")&amp;"
DTEND;TZID=Europe/Rome:"&amp;TEXT($E691,"yyyymmdd")&amp;"T"&amp;TEXT($F691,"hhmmss")&amp;"
SUMMARY:"&amp;$B691&amp;"
LOCATION:"&amp;$G691&amp;"
DESCRIPTION:"&amp;$H691&amp;"
END:VEVENT")</f>
        <v/>
      </c>
      <c r="B691" s="68">
        <f>IF('Calendario D'!$B389="","",'Calendario D'!$B389&amp;" vs "&amp;'Calendario D'!$D389&amp;" "&amp;'Calendario D'!$AC389)</f>
        <v/>
      </c>
      <c r="C691" s="222">
        <f>IF($B691="","",DATE(YEAR('Calendario D'!$F389),MONTH('Calendario D'!$F389),DAY('Calendario D'!$F389)))</f>
        <v/>
      </c>
      <c r="D691" s="223">
        <f>IF($B691="","",TIME(HOUR('Calendario D'!$F389),MINUTE('Calendario D'!$F389),0))</f>
        <v/>
      </c>
      <c r="E691" s="222">
        <f>IF($B691="","",DATE(YEAR('Calendario D'!$F389),MONTH('Calendario D'!$F389),DAY('Calendario D'!$F389)))</f>
        <v/>
      </c>
      <c r="F691" s="223">
        <f>IF($B691="","",TIME(HOUR('Calendario D'!$F389)+2,MINUTE('Calendario D'!$F389),0))</f>
        <v/>
      </c>
      <c r="G691" s="68">
        <f>IF($B691="","",'Calendario D'!$B390)</f>
        <v/>
      </c>
      <c r="H691" s="68">
        <f>IF($B691="","",Campionato!$D$2&amp;" "&amp;Campionato!$D$6)</f>
        <v/>
      </c>
      <c r="I691" s="68" t="n"/>
    </row>
    <row r="692">
      <c r="A692" s="68">
        <f>IF($B692="","","BEGIN:VEVENT
DTSTAMP:"&amp;TEXT(NOW(),"yyyymmdd")&amp;"T000001Z
UID:evt691@ClaudeCoworkBaskin
DTSTART;TZID=Europe/Rome:"&amp;TEXT($C692,"yyyymmdd")&amp;"T"&amp;TEXT($D692,"hhmmss")&amp;"
DTEND;TZID=Europe/Rome:"&amp;TEXT($E692,"yyyymmdd")&amp;"T"&amp;TEXT($F692,"hhmmss")&amp;"
SUMMARY:"&amp;$B692&amp;"
LOCATION:"&amp;$G692&amp;"
DESCRIPTION:"&amp;$H692&amp;"
END:VEVENT")</f>
        <v/>
      </c>
      <c r="B692" s="68">
        <f>IF('Calendario D'!$B394="","",'Calendario D'!$B394&amp;" vs "&amp;'Calendario D'!$D394&amp;" "&amp;'Calendario D'!$AC394)</f>
        <v/>
      </c>
      <c r="C692" s="222">
        <f>IF($B692="","",DATE(YEAR('Calendario D'!$F394),MONTH('Calendario D'!$F394),DAY('Calendario D'!$F394)))</f>
        <v/>
      </c>
      <c r="D692" s="223">
        <f>IF($B692="","",TIME(HOUR('Calendario D'!$F394),MINUTE('Calendario D'!$F394),0))</f>
        <v/>
      </c>
      <c r="E692" s="222">
        <f>IF($B692="","",DATE(YEAR('Calendario D'!$F394),MONTH('Calendario D'!$F394),DAY('Calendario D'!$F394)))</f>
        <v/>
      </c>
      <c r="F692" s="223">
        <f>IF($B692="","",TIME(HOUR('Calendario D'!$F394)+2,MINUTE('Calendario D'!$F394),0))</f>
        <v/>
      </c>
      <c r="G692" s="68">
        <f>IF($B692="","",'Calendario D'!$B395)</f>
        <v/>
      </c>
      <c r="H692" s="68">
        <f>IF($B692="","",Campionato!$D$2&amp;" "&amp;Campionato!$D$6)</f>
        <v/>
      </c>
      <c r="I692" s="68" t="n"/>
    </row>
    <row r="693">
      <c r="A693" s="68">
        <f>IF($B693="","","BEGIN:VEVENT
DTSTAMP:"&amp;TEXT(NOW(),"yyyymmdd")&amp;"T000001Z
UID:evt692@ClaudeCoworkBaskin
DTSTART;TZID=Europe/Rome:"&amp;TEXT($C693,"yyyymmdd")&amp;"T"&amp;TEXT($D693,"hhmmss")&amp;"
DTEND;TZID=Europe/Rome:"&amp;TEXT($E693,"yyyymmdd")&amp;"T"&amp;TEXT($F693,"hhmmss")&amp;"
SUMMARY:"&amp;$B693&amp;"
LOCATION:"&amp;$G693&amp;"
DESCRIPTION:"&amp;$H693&amp;"
END:VEVENT")</f>
        <v/>
      </c>
      <c r="B693" s="68">
        <f>IF('Calendario D'!$B397="","",'Calendario D'!$B397&amp;" vs "&amp;'Calendario D'!$D397&amp;" "&amp;'Calendario D'!$AC397)</f>
        <v/>
      </c>
      <c r="C693" s="222">
        <f>IF($B693="","",DATE(YEAR('Calendario D'!$F397),MONTH('Calendario D'!$F397),DAY('Calendario D'!$F397)))</f>
        <v/>
      </c>
      <c r="D693" s="223">
        <f>IF($B693="","",TIME(HOUR('Calendario D'!$F397),MINUTE('Calendario D'!$F397),0))</f>
        <v/>
      </c>
      <c r="E693" s="222">
        <f>IF($B693="","",DATE(YEAR('Calendario D'!$F397),MONTH('Calendario D'!$F397),DAY('Calendario D'!$F397)))</f>
        <v/>
      </c>
      <c r="F693" s="223">
        <f>IF($B693="","",TIME(HOUR('Calendario D'!$F397)+2,MINUTE('Calendario D'!$F397),0))</f>
        <v/>
      </c>
      <c r="G693" s="68">
        <f>IF($B693="","",'Calendario D'!$B398)</f>
        <v/>
      </c>
      <c r="H693" s="68">
        <f>IF($B693="","",Campionato!$D$2&amp;" "&amp;Campionato!$D$6)</f>
        <v/>
      </c>
      <c r="I693" s="68" t="n"/>
    </row>
    <row r="694">
      <c r="A694" s="68">
        <f>IF($B694="","","BEGIN:VEVENT
DTSTAMP:"&amp;TEXT(NOW(),"yyyymmdd")&amp;"T000001Z
UID:evt693@ClaudeCoworkBaskin
DTSTART;TZID=Europe/Rome:"&amp;TEXT($C694,"yyyymmdd")&amp;"T"&amp;TEXT($D694,"hhmmss")&amp;"
DTEND;TZID=Europe/Rome:"&amp;TEXT($E694,"yyyymmdd")&amp;"T"&amp;TEXT($F694,"hhmmss")&amp;"
SUMMARY:"&amp;$B694&amp;"
LOCATION:"&amp;$G694&amp;"
DESCRIPTION:"&amp;$H694&amp;"
END:VEVENT")</f>
        <v/>
      </c>
      <c r="B694" s="68">
        <f>IF('Calendario D'!$B400="","",'Calendario D'!$B400&amp;" vs "&amp;'Calendario D'!$D400&amp;" "&amp;'Calendario D'!$AC400)</f>
        <v/>
      </c>
      <c r="C694" s="222">
        <f>IF($B694="","",DATE(YEAR('Calendario D'!$F400),MONTH('Calendario D'!$F400),DAY('Calendario D'!$F400)))</f>
        <v/>
      </c>
      <c r="D694" s="223">
        <f>IF($B694="","",TIME(HOUR('Calendario D'!$F400),MINUTE('Calendario D'!$F400),0))</f>
        <v/>
      </c>
      <c r="E694" s="222">
        <f>IF($B694="","",DATE(YEAR('Calendario D'!$F400),MONTH('Calendario D'!$F400),DAY('Calendario D'!$F400)))</f>
        <v/>
      </c>
      <c r="F694" s="223">
        <f>IF($B694="","",TIME(HOUR('Calendario D'!$F400)+2,MINUTE('Calendario D'!$F400),0))</f>
        <v/>
      </c>
      <c r="G694" s="68">
        <f>IF($B694="","",'Calendario D'!$B401)</f>
        <v/>
      </c>
      <c r="H694" s="68">
        <f>IF($B694="","",Campionato!$D$2&amp;" "&amp;Campionato!$D$6)</f>
        <v/>
      </c>
      <c r="I694" s="68" t="n"/>
    </row>
    <row r="695">
      <c r="A695" s="68">
        <f>IF($B695="","","BEGIN:VEVENT
DTSTAMP:"&amp;TEXT(NOW(),"yyyymmdd")&amp;"T000001Z
UID:evt694@ClaudeCoworkBaskin
DTSTART;TZID=Europe/Rome:"&amp;TEXT($C695,"yyyymmdd")&amp;"T"&amp;TEXT($D695,"hhmmss")&amp;"
DTEND;TZID=Europe/Rome:"&amp;TEXT($E695,"yyyymmdd")&amp;"T"&amp;TEXT($F695,"hhmmss")&amp;"
SUMMARY:"&amp;$B695&amp;"
LOCATION:"&amp;$G695&amp;"
DESCRIPTION:"&amp;$H695&amp;"
END:VEVENT")</f>
        <v/>
      </c>
      <c r="B695" s="68">
        <f>IF('Calendario D'!$B403="","",'Calendario D'!$B403&amp;" vs "&amp;'Calendario D'!$D403&amp;" "&amp;'Calendario D'!$AC403)</f>
        <v/>
      </c>
      <c r="C695" s="222">
        <f>IF($B695="","",DATE(YEAR('Calendario D'!$F403),MONTH('Calendario D'!$F403),DAY('Calendario D'!$F403)))</f>
        <v/>
      </c>
      <c r="D695" s="223">
        <f>IF($B695="","",TIME(HOUR('Calendario D'!$F403),MINUTE('Calendario D'!$F403),0))</f>
        <v/>
      </c>
      <c r="E695" s="222">
        <f>IF($B695="","",DATE(YEAR('Calendario D'!$F403),MONTH('Calendario D'!$F403),DAY('Calendario D'!$F403)))</f>
        <v/>
      </c>
      <c r="F695" s="223">
        <f>IF($B695="","",TIME(HOUR('Calendario D'!$F403)+2,MINUTE('Calendario D'!$F403),0))</f>
        <v/>
      </c>
      <c r="G695" s="68">
        <f>IF($B695="","",'Calendario D'!$B404)</f>
        <v/>
      </c>
      <c r="H695" s="68">
        <f>IF($B695="","",Campionato!$D$2&amp;" "&amp;Campionato!$D$6)</f>
        <v/>
      </c>
      <c r="I695" s="68" t="n"/>
    </row>
    <row r="696">
      <c r="A696" s="68">
        <f>IF($B696="","","BEGIN:VEVENT
DTSTAMP:"&amp;TEXT(NOW(),"yyyymmdd")&amp;"T000001Z
UID:evt695@ClaudeCoworkBaskin
DTSTART;TZID=Europe/Rome:"&amp;TEXT($C696,"yyyymmdd")&amp;"T"&amp;TEXT($D696,"hhmmss")&amp;"
DTEND;TZID=Europe/Rome:"&amp;TEXT($E696,"yyyymmdd")&amp;"T"&amp;TEXT($F696,"hhmmss")&amp;"
SUMMARY:"&amp;$B696&amp;"
LOCATION:"&amp;$G696&amp;"
DESCRIPTION:"&amp;$H696&amp;"
END:VEVENT")</f>
        <v/>
      </c>
      <c r="B696" s="68">
        <f>IF('Calendario D'!$B406="","",'Calendario D'!$B406&amp;" vs "&amp;'Calendario D'!$D406&amp;" "&amp;'Calendario D'!$AC406)</f>
        <v/>
      </c>
      <c r="C696" s="222">
        <f>IF($B696="","",DATE(YEAR('Calendario D'!$F406),MONTH('Calendario D'!$F406),DAY('Calendario D'!$F406)))</f>
        <v/>
      </c>
      <c r="D696" s="223">
        <f>IF($B696="","",TIME(HOUR('Calendario D'!$F406),MINUTE('Calendario D'!$F406),0))</f>
        <v/>
      </c>
      <c r="E696" s="222">
        <f>IF($B696="","",DATE(YEAR('Calendario D'!$F406),MONTH('Calendario D'!$F406),DAY('Calendario D'!$F406)))</f>
        <v/>
      </c>
      <c r="F696" s="223">
        <f>IF($B696="","",TIME(HOUR('Calendario D'!$F406)+2,MINUTE('Calendario D'!$F406),0))</f>
        <v/>
      </c>
      <c r="G696" s="68">
        <f>IF($B696="","",'Calendario D'!$B407)</f>
        <v/>
      </c>
      <c r="H696" s="68">
        <f>IF($B696="","",Campionato!$D$2&amp;" "&amp;Campionato!$D$6)</f>
        <v/>
      </c>
      <c r="I696" s="68" t="n"/>
    </row>
    <row r="697">
      <c r="A697" s="68">
        <f>IF($B697="","","BEGIN:VEVENT
DTSTAMP:"&amp;TEXT(NOW(),"yyyymmdd")&amp;"T000001Z
UID:evt696@ClaudeCoworkBaskin
DTSTART;TZID=Europe/Rome:"&amp;TEXT($C697,"yyyymmdd")&amp;"T"&amp;TEXT($D697,"hhmmss")&amp;"
DTEND;TZID=Europe/Rome:"&amp;TEXT($E697,"yyyymmdd")&amp;"T"&amp;TEXT($F697,"hhmmss")&amp;"
SUMMARY:"&amp;$B697&amp;"
LOCATION:"&amp;$G697&amp;"
DESCRIPTION:"&amp;$H697&amp;"
END:VEVENT")</f>
        <v/>
      </c>
      <c r="B697" s="68">
        <f>IF('Calendario D'!$B409="","",'Calendario D'!$B409&amp;" vs "&amp;'Calendario D'!$D409&amp;" "&amp;'Calendario D'!$AC409)</f>
        <v/>
      </c>
      <c r="C697" s="222">
        <f>IF($B697="","",DATE(YEAR('Calendario D'!$F409),MONTH('Calendario D'!$F409),DAY('Calendario D'!$F409)))</f>
        <v/>
      </c>
      <c r="D697" s="223">
        <f>IF($B697="","",TIME(HOUR('Calendario D'!$F409),MINUTE('Calendario D'!$F409),0))</f>
        <v/>
      </c>
      <c r="E697" s="222">
        <f>IF($B697="","",DATE(YEAR('Calendario D'!$F409),MONTH('Calendario D'!$F409),DAY('Calendario D'!$F409)))</f>
        <v/>
      </c>
      <c r="F697" s="223">
        <f>IF($B697="","",TIME(HOUR('Calendario D'!$F409)+2,MINUTE('Calendario D'!$F409),0))</f>
        <v/>
      </c>
      <c r="G697" s="68">
        <f>IF($B697="","",'Calendario D'!$B410)</f>
        <v/>
      </c>
      <c r="H697" s="68">
        <f>IF($B697="","",Campionato!$D$2&amp;" "&amp;Campionato!$D$6)</f>
        <v/>
      </c>
      <c r="I697" s="68" t="n"/>
    </row>
    <row r="698">
      <c r="A698" s="68">
        <f>IF($B698="","","BEGIN:VEVENT
DTSTAMP:"&amp;TEXT(NOW(),"yyyymmdd")&amp;"T000001Z
UID:evt697@ClaudeCoworkBaskin
DTSTART;TZID=Europe/Rome:"&amp;TEXT($C698,"yyyymmdd")&amp;"T"&amp;TEXT($D698,"hhmmss")&amp;"
DTEND;TZID=Europe/Rome:"&amp;TEXT($E698,"yyyymmdd")&amp;"T"&amp;TEXT($F698,"hhmmss")&amp;"
SUMMARY:"&amp;$B698&amp;"
LOCATION:"&amp;$G698&amp;"
DESCRIPTION:"&amp;$H698&amp;"
END:VEVENT")</f>
        <v/>
      </c>
      <c r="B698" s="68">
        <f>IF('Calendario D'!$B412="","",'Calendario D'!$B412&amp;" vs "&amp;'Calendario D'!$D412&amp;" "&amp;'Calendario D'!$AC412)</f>
        <v/>
      </c>
      <c r="C698" s="222">
        <f>IF($B698="","",DATE(YEAR('Calendario D'!$F412),MONTH('Calendario D'!$F412),DAY('Calendario D'!$F412)))</f>
        <v/>
      </c>
      <c r="D698" s="223">
        <f>IF($B698="","",TIME(HOUR('Calendario D'!$F412),MINUTE('Calendario D'!$F412),0))</f>
        <v/>
      </c>
      <c r="E698" s="222">
        <f>IF($B698="","",DATE(YEAR('Calendario D'!$F412),MONTH('Calendario D'!$F412),DAY('Calendario D'!$F412)))</f>
        <v/>
      </c>
      <c r="F698" s="223">
        <f>IF($B698="","",TIME(HOUR('Calendario D'!$F412)+2,MINUTE('Calendario D'!$F412),0))</f>
        <v/>
      </c>
      <c r="G698" s="68">
        <f>IF($B698="","",'Calendario D'!$B413)</f>
        <v/>
      </c>
      <c r="H698" s="68">
        <f>IF($B698="","",Campionato!$D$2&amp;" "&amp;Campionato!$D$6)</f>
        <v/>
      </c>
      <c r="I698" s="68" t="n"/>
    </row>
    <row r="699">
      <c r="A699" s="68">
        <f>IF($B699="","","BEGIN:VEVENT
DTSTAMP:"&amp;TEXT(NOW(),"yyyymmdd")&amp;"T000001Z
UID:evt698@ClaudeCoworkBaskin
DTSTART;TZID=Europe/Rome:"&amp;TEXT($C699,"yyyymmdd")&amp;"T"&amp;TEXT($D699,"hhmmss")&amp;"
DTEND;TZID=Europe/Rome:"&amp;TEXT($E699,"yyyymmdd")&amp;"T"&amp;TEXT($F699,"hhmmss")&amp;"
SUMMARY:"&amp;$B699&amp;"
LOCATION:"&amp;$G699&amp;"
DESCRIPTION:"&amp;$H699&amp;"
END:VEVENT")</f>
        <v/>
      </c>
      <c r="B699" s="68">
        <f>IF('Calendario D'!$B415="","",'Calendario D'!$B415&amp;" vs "&amp;'Calendario D'!$D415&amp;" "&amp;'Calendario D'!$AC415)</f>
        <v/>
      </c>
      <c r="C699" s="222">
        <f>IF($B699="","",DATE(YEAR('Calendario D'!$F415),MONTH('Calendario D'!$F415),DAY('Calendario D'!$F415)))</f>
        <v/>
      </c>
      <c r="D699" s="223">
        <f>IF($B699="","",TIME(HOUR('Calendario D'!$F415),MINUTE('Calendario D'!$F415),0))</f>
        <v/>
      </c>
      <c r="E699" s="222">
        <f>IF($B699="","",DATE(YEAR('Calendario D'!$F415),MONTH('Calendario D'!$F415),DAY('Calendario D'!$F415)))</f>
        <v/>
      </c>
      <c r="F699" s="223">
        <f>IF($B699="","",TIME(HOUR('Calendario D'!$F415)+2,MINUTE('Calendario D'!$F415),0))</f>
        <v/>
      </c>
      <c r="G699" s="68">
        <f>IF($B699="","",'Calendario D'!$B416)</f>
        <v/>
      </c>
      <c r="H699" s="68">
        <f>IF($B699="","",Campionato!$D$2&amp;" "&amp;Campionato!$D$6)</f>
        <v/>
      </c>
      <c r="I699" s="68" t="n"/>
    </row>
    <row r="700">
      <c r="A700" s="68">
        <f>IF($B700="","","BEGIN:VEVENT
DTSTAMP:"&amp;TEXT(NOW(),"yyyymmdd")&amp;"T000001Z
UID:evt699@ClaudeCoworkBaskin
DTSTART;TZID=Europe/Rome:"&amp;TEXT($C700,"yyyymmdd")&amp;"T"&amp;TEXT($D700,"hhmmss")&amp;"
DTEND;TZID=Europe/Rome:"&amp;TEXT($E700,"yyyymmdd")&amp;"T"&amp;TEXT($F700,"hhmmss")&amp;"
SUMMARY:"&amp;$B700&amp;"
LOCATION:"&amp;$G700&amp;"
DESCRIPTION:"&amp;$H700&amp;"
END:VEVENT")</f>
        <v/>
      </c>
      <c r="B700" s="68">
        <f>IF('Calendario D'!$B418="","",'Calendario D'!$B418&amp;" vs "&amp;'Calendario D'!$D418&amp;" "&amp;'Calendario D'!$AC418)</f>
        <v/>
      </c>
      <c r="C700" s="222">
        <f>IF($B700="","",DATE(YEAR('Calendario D'!$F418),MONTH('Calendario D'!$F418),DAY('Calendario D'!$F418)))</f>
        <v/>
      </c>
      <c r="D700" s="223">
        <f>IF($B700="","",TIME(HOUR('Calendario D'!$F418),MINUTE('Calendario D'!$F418),0))</f>
        <v/>
      </c>
      <c r="E700" s="222">
        <f>IF($B700="","",DATE(YEAR('Calendario D'!$F418),MONTH('Calendario D'!$F418),DAY('Calendario D'!$F418)))</f>
        <v/>
      </c>
      <c r="F700" s="223">
        <f>IF($B700="","",TIME(HOUR('Calendario D'!$F418)+2,MINUTE('Calendario D'!$F418),0))</f>
        <v/>
      </c>
      <c r="G700" s="68">
        <f>IF($B700="","",'Calendario D'!$B419)</f>
        <v/>
      </c>
      <c r="H700" s="68">
        <f>IF($B700="","",Campionato!$D$2&amp;" "&amp;Campionato!$D$6)</f>
        <v/>
      </c>
      <c r="I700" s="68" t="n"/>
    </row>
    <row r="701">
      <c r="A701" s="68">
        <f>IF($B701="","","BEGIN:VEVENT
DTSTAMP:"&amp;TEXT(NOW(),"yyyymmdd")&amp;"T000001Z
UID:evt700@ClaudeCoworkBaskin
DTSTART;TZID=Europe/Rome:"&amp;TEXT($C701,"yyyymmdd")&amp;"T"&amp;TEXT($D701,"hhmmss")&amp;"
DTEND;TZID=Europe/Rome:"&amp;TEXT($E701,"yyyymmdd")&amp;"T"&amp;TEXT($F701,"hhmmss")&amp;"
SUMMARY:"&amp;$B701&amp;"
LOCATION:"&amp;$G701&amp;"
DESCRIPTION:"&amp;$H701&amp;"
END:VEVENT")</f>
        <v/>
      </c>
      <c r="B701" s="68">
        <f>IF('Calendario D'!$B421="","",'Calendario D'!$B421&amp;" vs "&amp;'Calendario D'!$D421&amp;" "&amp;'Calendario D'!$AC421)</f>
        <v/>
      </c>
      <c r="C701" s="222">
        <f>IF($B701="","",DATE(YEAR('Calendario D'!$F421),MONTH('Calendario D'!$F421),DAY('Calendario D'!$F421)))</f>
        <v/>
      </c>
      <c r="D701" s="223">
        <f>IF($B701="","",TIME(HOUR('Calendario D'!$F421),MINUTE('Calendario D'!$F421),0))</f>
        <v/>
      </c>
      <c r="E701" s="222">
        <f>IF($B701="","",DATE(YEAR('Calendario D'!$F421),MONTH('Calendario D'!$F421),DAY('Calendario D'!$F421)))</f>
        <v/>
      </c>
      <c r="F701" s="223">
        <f>IF($B701="","",TIME(HOUR('Calendario D'!$F421)+2,MINUTE('Calendario D'!$F421),0))</f>
        <v/>
      </c>
      <c r="G701" s="68">
        <f>IF($B701="","",'Calendario D'!$B422)</f>
        <v/>
      </c>
      <c r="H701" s="68">
        <f>IF($B701="","",Campionato!$D$2&amp;" "&amp;Campionato!$D$6)</f>
        <v/>
      </c>
      <c r="I701" s="68" t="n"/>
    </row>
    <row r="702">
      <c r="A702" s="68">
        <f>IF($B702="","","BEGIN:VEVENT
DTSTAMP:"&amp;TEXT(NOW(),"yyyymmdd")&amp;"T000001Z
UID:evt701@ClaudeCoworkBaskin
DTSTART;TZID=Europe/Rome:"&amp;TEXT($C702,"yyyymmdd")&amp;"T"&amp;TEXT($D702,"hhmmss")&amp;"
DTEND;TZID=Europe/Rome:"&amp;TEXT($E702,"yyyymmdd")&amp;"T"&amp;TEXT($F702,"hhmmss")&amp;"
SUMMARY:"&amp;$B702&amp;"
LOCATION:"&amp;$G702&amp;"
DESCRIPTION:"&amp;$H702&amp;"
END:VEVENT")</f>
        <v/>
      </c>
      <c r="B702" s="68">
        <f>IF('Calendario D'!$B426="","",'Calendario D'!$B426&amp;" vs "&amp;'Calendario D'!$D426&amp;" "&amp;'Calendario D'!$AC426)</f>
        <v/>
      </c>
      <c r="C702" s="222">
        <f>IF($B702="","",DATE(YEAR('Calendario D'!$F426),MONTH('Calendario D'!$F426),DAY('Calendario D'!$F426)))</f>
        <v/>
      </c>
      <c r="D702" s="223">
        <f>IF($B702="","",TIME(HOUR('Calendario D'!$F426),MINUTE('Calendario D'!$F426),0))</f>
        <v/>
      </c>
      <c r="E702" s="222">
        <f>IF($B702="","",DATE(YEAR('Calendario D'!$F426),MONTH('Calendario D'!$F426),DAY('Calendario D'!$F426)))</f>
        <v/>
      </c>
      <c r="F702" s="223">
        <f>IF($B702="","",TIME(HOUR('Calendario D'!$F426)+2,MINUTE('Calendario D'!$F426),0))</f>
        <v/>
      </c>
      <c r="G702" s="68">
        <f>IF($B702="","",'Calendario D'!$B427)</f>
        <v/>
      </c>
      <c r="H702" s="68">
        <f>IF($B702="","",Campionato!$D$2&amp;" "&amp;Campionato!$D$6)</f>
        <v/>
      </c>
      <c r="I702" s="68" t="n"/>
    </row>
    <row r="703">
      <c r="A703" s="68">
        <f>IF($B703="","","BEGIN:VEVENT
DTSTAMP:"&amp;TEXT(NOW(),"yyyymmdd")&amp;"T000001Z
UID:evt702@ClaudeCoworkBaskin
DTSTART;TZID=Europe/Rome:"&amp;TEXT($C703,"yyyymmdd")&amp;"T"&amp;TEXT($D703,"hhmmss")&amp;"
DTEND;TZID=Europe/Rome:"&amp;TEXT($E703,"yyyymmdd")&amp;"T"&amp;TEXT($F703,"hhmmss")&amp;"
SUMMARY:"&amp;$B703&amp;"
LOCATION:"&amp;$G703&amp;"
DESCRIPTION:"&amp;$H703&amp;"
END:VEVENT")</f>
        <v/>
      </c>
      <c r="B703" s="68">
        <f>IF('Calendario D'!$B429="","",'Calendario D'!$B429&amp;" vs "&amp;'Calendario D'!$D429&amp;" "&amp;'Calendario D'!$AC429)</f>
        <v/>
      </c>
      <c r="C703" s="222">
        <f>IF($B703="","",DATE(YEAR('Calendario D'!$F429),MONTH('Calendario D'!$F429),DAY('Calendario D'!$F429)))</f>
        <v/>
      </c>
      <c r="D703" s="223">
        <f>IF($B703="","",TIME(HOUR('Calendario D'!$F429),MINUTE('Calendario D'!$F429),0))</f>
        <v/>
      </c>
      <c r="E703" s="222">
        <f>IF($B703="","",DATE(YEAR('Calendario D'!$F429),MONTH('Calendario D'!$F429),DAY('Calendario D'!$F429)))</f>
        <v/>
      </c>
      <c r="F703" s="223">
        <f>IF($B703="","",TIME(HOUR('Calendario D'!$F429)+2,MINUTE('Calendario D'!$F429),0))</f>
        <v/>
      </c>
      <c r="G703" s="68">
        <f>IF($B703="","",'Calendario D'!$B430)</f>
        <v/>
      </c>
      <c r="H703" s="68">
        <f>IF($B703="","",Campionato!$D$2&amp;" "&amp;Campionato!$D$6)</f>
        <v/>
      </c>
      <c r="I703" s="68" t="n"/>
    </row>
    <row r="704">
      <c r="A704" s="68">
        <f>IF($B704="","","BEGIN:VEVENT
DTSTAMP:"&amp;TEXT(NOW(),"yyyymmdd")&amp;"T000001Z
UID:evt703@ClaudeCoworkBaskin
DTSTART;TZID=Europe/Rome:"&amp;TEXT($C704,"yyyymmdd")&amp;"T"&amp;TEXT($D704,"hhmmss")&amp;"
DTEND;TZID=Europe/Rome:"&amp;TEXT($E704,"yyyymmdd")&amp;"T"&amp;TEXT($F704,"hhmmss")&amp;"
SUMMARY:"&amp;$B704&amp;"
LOCATION:"&amp;$G704&amp;"
DESCRIPTION:"&amp;$H704&amp;"
END:VEVENT")</f>
        <v/>
      </c>
      <c r="B704" s="68">
        <f>IF('Calendario D'!$B432="","",'Calendario D'!$B432&amp;" vs "&amp;'Calendario D'!$D432&amp;" "&amp;'Calendario D'!$AC432)</f>
        <v/>
      </c>
      <c r="C704" s="222">
        <f>IF($B704="","",DATE(YEAR('Calendario D'!$F432),MONTH('Calendario D'!$F432),DAY('Calendario D'!$F432)))</f>
        <v/>
      </c>
      <c r="D704" s="223">
        <f>IF($B704="","",TIME(HOUR('Calendario D'!$F432),MINUTE('Calendario D'!$F432),0))</f>
        <v/>
      </c>
      <c r="E704" s="222">
        <f>IF($B704="","",DATE(YEAR('Calendario D'!$F432),MONTH('Calendario D'!$F432),DAY('Calendario D'!$F432)))</f>
        <v/>
      </c>
      <c r="F704" s="223">
        <f>IF($B704="","",TIME(HOUR('Calendario D'!$F432)+2,MINUTE('Calendario D'!$F432),0))</f>
        <v/>
      </c>
      <c r="G704" s="68">
        <f>IF($B704="","",'Calendario D'!$B433)</f>
        <v/>
      </c>
      <c r="H704" s="68">
        <f>IF($B704="","",Campionato!$D$2&amp;" "&amp;Campionato!$D$6)</f>
        <v/>
      </c>
      <c r="I704" s="68" t="n"/>
    </row>
    <row r="705">
      <c r="A705" s="68">
        <f>IF($B705="","","BEGIN:VEVENT
DTSTAMP:"&amp;TEXT(NOW(),"yyyymmdd")&amp;"T000001Z
UID:evt704@ClaudeCoworkBaskin
DTSTART;TZID=Europe/Rome:"&amp;TEXT($C705,"yyyymmdd")&amp;"T"&amp;TEXT($D705,"hhmmss")&amp;"
DTEND;TZID=Europe/Rome:"&amp;TEXT($E705,"yyyymmdd")&amp;"T"&amp;TEXT($F705,"hhmmss")&amp;"
SUMMARY:"&amp;$B705&amp;"
LOCATION:"&amp;$G705&amp;"
DESCRIPTION:"&amp;$H705&amp;"
END:VEVENT")</f>
        <v/>
      </c>
      <c r="B705" s="68">
        <f>IF('Calendario D'!$B435="","",'Calendario D'!$B435&amp;" vs "&amp;'Calendario D'!$D435&amp;" "&amp;'Calendario D'!$AC435)</f>
        <v/>
      </c>
      <c r="C705" s="222">
        <f>IF($B705="","",DATE(YEAR('Calendario D'!$F435),MONTH('Calendario D'!$F435),DAY('Calendario D'!$F435)))</f>
        <v/>
      </c>
      <c r="D705" s="223">
        <f>IF($B705="","",TIME(HOUR('Calendario D'!$F435),MINUTE('Calendario D'!$F435),0))</f>
        <v/>
      </c>
      <c r="E705" s="222">
        <f>IF($B705="","",DATE(YEAR('Calendario D'!$F435),MONTH('Calendario D'!$F435),DAY('Calendario D'!$F435)))</f>
        <v/>
      </c>
      <c r="F705" s="223">
        <f>IF($B705="","",TIME(HOUR('Calendario D'!$F435)+2,MINUTE('Calendario D'!$F435),0))</f>
        <v/>
      </c>
      <c r="G705" s="68">
        <f>IF($B705="","",'Calendario D'!$B436)</f>
        <v/>
      </c>
      <c r="H705" s="68">
        <f>IF($B705="","",Campionato!$D$2&amp;" "&amp;Campionato!$D$6)</f>
        <v/>
      </c>
      <c r="I705" s="68" t="n"/>
    </row>
    <row r="706">
      <c r="A706" s="68">
        <f>IF($B706="","","BEGIN:VEVENT
DTSTAMP:"&amp;TEXT(NOW(),"yyyymmdd")&amp;"T000001Z
UID:evt705@ClaudeCoworkBaskin
DTSTART;TZID=Europe/Rome:"&amp;TEXT($C706,"yyyymmdd")&amp;"T"&amp;TEXT($D706,"hhmmss")&amp;"
DTEND;TZID=Europe/Rome:"&amp;TEXT($E706,"yyyymmdd")&amp;"T"&amp;TEXT($F706,"hhmmss")&amp;"
SUMMARY:"&amp;$B706&amp;"
LOCATION:"&amp;$G706&amp;"
DESCRIPTION:"&amp;$H706&amp;"
END:VEVENT")</f>
        <v/>
      </c>
      <c r="B706" s="68">
        <f>IF('Calendario D'!$B438="","",'Calendario D'!$B438&amp;" vs "&amp;'Calendario D'!$D438&amp;" "&amp;'Calendario D'!$AC438)</f>
        <v/>
      </c>
      <c r="C706" s="222">
        <f>IF($B706="","",DATE(YEAR('Calendario D'!$F438),MONTH('Calendario D'!$F438),DAY('Calendario D'!$F438)))</f>
        <v/>
      </c>
      <c r="D706" s="223">
        <f>IF($B706="","",TIME(HOUR('Calendario D'!$F438),MINUTE('Calendario D'!$F438),0))</f>
        <v/>
      </c>
      <c r="E706" s="222">
        <f>IF($B706="","",DATE(YEAR('Calendario D'!$F438),MONTH('Calendario D'!$F438),DAY('Calendario D'!$F438)))</f>
        <v/>
      </c>
      <c r="F706" s="223">
        <f>IF($B706="","",TIME(HOUR('Calendario D'!$F438)+2,MINUTE('Calendario D'!$F438),0))</f>
        <v/>
      </c>
      <c r="G706" s="68">
        <f>IF($B706="","",'Calendario D'!$B439)</f>
        <v/>
      </c>
      <c r="H706" s="68">
        <f>IF($B706="","",Campionato!$D$2&amp;" "&amp;Campionato!$D$6)</f>
        <v/>
      </c>
      <c r="I706" s="68" t="n"/>
    </row>
    <row r="707">
      <c r="A707" s="68">
        <f>IF($B707="","","BEGIN:VEVENT
DTSTAMP:"&amp;TEXT(NOW(),"yyyymmdd")&amp;"T000001Z
UID:evt706@ClaudeCoworkBaskin
DTSTART;TZID=Europe/Rome:"&amp;TEXT($C707,"yyyymmdd")&amp;"T"&amp;TEXT($D707,"hhmmss")&amp;"
DTEND;TZID=Europe/Rome:"&amp;TEXT($E707,"yyyymmdd")&amp;"T"&amp;TEXT($F707,"hhmmss")&amp;"
SUMMARY:"&amp;$B707&amp;"
LOCATION:"&amp;$G707&amp;"
DESCRIPTION:"&amp;$H707&amp;"
END:VEVENT")</f>
        <v/>
      </c>
      <c r="B707" s="68">
        <f>IF('Calendario D'!$B441="","",'Calendario D'!$B441&amp;" vs "&amp;'Calendario D'!$D441&amp;" "&amp;'Calendario D'!$AC441)</f>
        <v/>
      </c>
      <c r="C707" s="222">
        <f>IF($B707="","",DATE(YEAR('Calendario D'!$F441),MONTH('Calendario D'!$F441),DAY('Calendario D'!$F441)))</f>
        <v/>
      </c>
      <c r="D707" s="223">
        <f>IF($B707="","",TIME(HOUR('Calendario D'!$F441),MINUTE('Calendario D'!$F441),0))</f>
        <v/>
      </c>
      <c r="E707" s="222">
        <f>IF($B707="","",DATE(YEAR('Calendario D'!$F441),MONTH('Calendario D'!$F441),DAY('Calendario D'!$F441)))</f>
        <v/>
      </c>
      <c r="F707" s="223">
        <f>IF($B707="","",TIME(HOUR('Calendario D'!$F441)+2,MINUTE('Calendario D'!$F441),0))</f>
        <v/>
      </c>
      <c r="G707" s="68">
        <f>IF($B707="","",'Calendario D'!$B442)</f>
        <v/>
      </c>
      <c r="H707" s="68">
        <f>IF($B707="","",Campionato!$D$2&amp;" "&amp;Campionato!$D$6)</f>
        <v/>
      </c>
      <c r="I707" s="68" t="n"/>
    </row>
    <row r="708">
      <c r="A708" s="68">
        <f>IF($B708="","","BEGIN:VEVENT
DTSTAMP:"&amp;TEXT(NOW(),"yyyymmdd")&amp;"T000001Z
UID:evt707@ClaudeCoworkBaskin
DTSTART;TZID=Europe/Rome:"&amp;TEXT($C708,"yyyymmdd")&amp;"T"&amp;TEXT($D708,"hhmmss")&amp;"
DTEND;TZID=Europe/Rome:"&amp;TEXT($E708,"yyyymmdd")&amp;"T"&amp;TEXT($F708,"hhmmss")&amp;"
SUMMARY:"&amp;$B708&amp;"
LOCATION:"&amp;$G708&amp;"
DESCRIPTION:"&amp;$H708&amp;"
END:VEVENT")</f>
        <v/>
      </c>
      <c r="B708" s="68">
        <f>IF('Calendario D'!$B444="","",'Calendario D'!$B444&amp;" vs "&amp;'Calendario D'!$D444&amp;" "&amp;'Calendario D'!$AC444)</f>
        <v/>
      </c>
      <c r="C708" s="222">
        <f>IF($B708="","",DATE(YEAR('Calendario D'!$F444),MONTH('Calendario D'!$F444),DAY('Calendario D'!$F444)))</f>
        <v/>
      </c>
      <c r="D708" s="223">
        <f>IF($B708="","",TIME(HOUR('Calendario D'!$F444),MINUTE('Calendario D'!$F444),0))</f>
        <v/>
      </c>
      <c r="E708" s="222">
        <f>IF($B708="","",DATE(YEAR('Calendario D'!$F444),MONTH('Calendario D'!$F444),DAY('Calendario D'!$F444)))</f>
        <v/>
      </c>
      <c r="F708" s="223">
        <f>IF($B708="","",TIME(HOUR('Calendario D'!$F444)+2,MINUTE('Calendario D'!$F444),0))</f>
        <v/>
      </c>
      <c r="G708" s="68">
        <f>IF($B708="","",'Calendario D'!$B445)</f>
        <v/>
      </c>
      <c r="H708" s="68">
        <f>IF($B708="","",Campionato!$D$2&amp;" "&amp;Campionato!$D$6)</f>
        <v/>
      </c>
      <c r="I708" s="68" t="n"/>
    </row>
    <row r="709">
      <c r="A709" s="68">
        <f>IF($B709="","","BEGIN:VEVENT
DTSTAMP:"&amp;TEXT(NOW(),"yyyymmdd")&amp;"T000001Z
UID:evt708@ClaudeCoworkBaskin
DTSTART;TZID=Europe/Rome:"&amp;TEXT($C709,"yyyymmdd")&amp;"T"&amp;TEXT($D709,"hhmmss")&amp;"
DTEND;TZID=Europe/Rome:"&amp;TEXT($E709,"yyyymmdd")&amp;"T"&amp;TEXT($F709,"hhmmss")&amp;"
SUMMARY:"&amp;$B709&amp;"
LOCATION:"&amp;$G709&amp;"
DESCRIPTION:"&amp;$H709&amp;"
END:VEVENT")</f>
        <v/>
      </c>
      <c r="B709" s="68">
        <f>IF('Calendario D'!$B447="","",'Calendario D'!$B447&amp;" vs "&amp;'Calendario D'!$D447&amp;" "&amp;'Calendario D'!$AC447)</f>
        <v/>
      </c>
      <c r="C709" s="222">
        <f>IF($B709="","",DATE(YEAR('Calendario D'!$F447),MONTH('Calendario D'!$F447),DAY('Calendario D'!$F447)))</f>
        <v/>
      </c>
      <c r="D709" s="223">
        <f>IF($B709="","",TIME(HOUR('Calendario D'!$F447),MINUTE('Calendario D'!$F447),0))</f>
        <v/>
      </c>
      <c r="E709" s="222">
        <f>IF($B709="","",DATE(YEAR('Calendario D'!$F447),MONTH('Calendario D'!$F447),DAY('Calendario D'!$F447)))</f>
        <v/>
      </c>
      <c r="F709" s="223">
        <f>IF($B709="","",TIME(HOUR('Calendario D'!$F447)+2,MINUTE('Calendario D'!$F447),0))</f>
        <v/>
      </c>
      <c r="G709" s="68">
        <f>IF($B709="","",'Calendario D'!$B448)</f>
        <v/>
      </c>
      <c r="H709" s="68">
        <f>IF($B709="","",Campionato!$D$2&amp;" "&amp;Campionato!$D$6)</f>
        <v/>
      </c>
      <c r="I709" s="68" t="n"/>
    </row>
    <row r="710">
      <c r="A710" s="68">
        <f>IF($B710="","","BEGIN:VEVENT
DTSTAMP:"&amp;TEXT(NOW(),"yyyymmdd")&amp;"T000001Z
UID:evt709@ClaudeCoworkBaskin
DTSTART;TZID=Europe/Rome:"&amp;TEXT($C710,"yyyymmdd")&amp;"T"&amp;TEXT($D710,"hhmmss")&amp;"
DTEND;TZID=Europe/Rome:"&amp;TEXT($E710,"yyyymmdd")&amp;"T"&amp;TEXT($F710,"hhmmss")&amp;"
SUMMARY:"&amp;$B710&amp;"
LOCATION:"&amp;$G710&amp;"
DESCRIPTION:"&amp;$H710&amp;"
END:VEVENT")</f>
        <v/>
      </c>
      <c r="B710" s="68">
        <f>IF('Calendario D'!$B450="","",'Calendario D'!$B450&amp;" vs "&amp;'Calendario D'!$D450&amp;" "&amp;'Calendario D'!$AC450)</f>
        <v/>
      </c>
      <c r="C710" s="222">
        <f>IF($B710="","",DATE(YEAR('Calendario D'!$F450),MONTH('Calendario D'!$F450),DAY('Calendario D'!$F450)))</f>
        <v/>
      </c>
      <c r="D710" s="223">
        <f>IF($B710="","",TIME(HOUR('Calendario D'!$F450),MINUTE('Calendario D'!$F450),0))</f>
        <v/>
      </c>
      <c r="E710" s="222">
        <f>IF($B710="","",DATE(YEAR('Calendario D'!$F450),MONTH('Calendario D'!$F450),DAY('Calendario D'!$F450)))</f>
        <v/>
      </c>
      <c r="F710" s="223">
        <f>IF($B710="","",TIME(HOUR('Calendario D'!$F450)+2,MINUTE('Calendario D'!$F450),0))</f>
        <v/>
      </c>
      <c r="G710" s="68">
        <f>IF($B710="","",'Calendario D'!$B451)</f>
        <v/>
      </c>
      <c r="H710" s="68">
        <f>IF($B710="","",Campionato!$D$2&amp;" "&amp;Campionato!$D$6)</f>
        <v/>
      </c>
      <c r="I710" s="68" t="n"/>
    </row>
    <row r="711">
      <c r="A711" s="68">
        <f>IF($B711="","","BEGIN:VEVENT
DTSTAMP:"&amp;TEXT(NOW(),"yyyymmdd")&amp;"T000001Z
UID:evt710@ClaudeCoworkBaskin
DTSTART;TZID=Europe/Rome:"&amp;TEXT($C711,"yyyymmdd")&amp;"T"&amp;TEXT($D711,"hhmmss")&amp;"
DTEND;TZID=Europe/Rome:"&amp;TEXT($E711,"yyyymmdd")&amp;"T"&amp;TEXT($F711,"hhmmss")&amp;"
SUMMARY:"&amp;$B711&amp;"
LOCATION:"&amp;$G711&amp;"
DESCRIPTION:"&amp;$H711&amp;"
END:VEVENT")</f>
        <v/>
      </c>
      <c r="B711" s="68">
        <f>IF('Calendario D'!$B453="","",'Calendario D'!$B453&amp;" vs "&amp;'Calendario D'!$D453&amp;" "&amp;'Calendario D'!$AC453)</f>
        <v/>
      </c>
      <c r="C711" s="222">
        <f>IF($B711="","",DATE(YEAR('Calendario D'!$F453),MONTH('Calendario D'!$F453),DAY('Calendario D'!$F453)))</f>
        <v/>
      </c>
      <c r="D711" s="223">
        <f>IF($B711="","",TIME(HOUR('Calendario D'!$F453),MINUTE('Calendario D'!$F453),0))</f>
        <v/>
      </c>
      <c r="E711" s="222">
        <f>IF($B711="","",DATE(YEAR('Calendario D'!$F453),MONTH('Calendario D'!$F453),DAY('Calendario D'!$F453)))</f>
        <v/>
      </c>
      <c r="F711" s="223">
        <f>IF($B711="","",TIME(HOUR('Calendario D'!$F453)+2,MINUTE('Calendario D'!$F453),0))</f>
        <v/>
      </c>
      <c r="G711" s="68">
        <f>IF($B711="","",'Calendario D'!$B454)</f>
        <v/>
      </c>
      <c r="H711" s="68">
        <f>IF($B711="","",Campionato!$D$2&amp;" "&amp;Campionato!$D$6)</f>
        <v/>
      </c>
      <c r="I711" s="68" t="n"/>
    </row>
    <row r="712">
      <c r="A712" s="68">
        <f>IF($B712="","","BEGIN:VEVENT
DTSTAMP:"&amp;TEXT(NOW(),"yyyymmdd")&amp;"T000001Z
UID:evt711@ClaudeCoworkBaskin
DTSTART;TZID=Europe/Rome:"&amp;TEXT($C712,"yyyymmdd")&amp;"T"&amp;TEXT($D712,"hhmmss")&amp;"
DTEND;TZID=Europe/Rome:"&amp;TEXT($E712,"yyyymmdd")&amp;"T"&amp;TEXT($F712,"hhmmss")&amp;"
SUMMARY:"&amp;$B712&amp;"
LOCATION:"&amp;$G712&amp;"
DESCRIPTION:"&amp;$H712&amp;"
END:VEVENT")</f>
        <v/>
      </c>
      <c r="B712" s="68">
        <f>IF('Calendario D'!$B458="","",'Calendario D'!$B458&amp;" vs "&amp;'Calendario D'!$D458&amp;" "&amp;'Calendario D'!$AC458)</f>
        <v/>
      </c>
      <c r="C712" s="222">
        <f>IF($B712="","",DATE(YEAR('Calendario D'!$F458),MONTH('Calendario D'!$F458),DAY('Calendario D'!$F458)))</f>
        <v/>
      </c>
      <c r="D712" s="223">
        <f>IF($B712="","",TIME(HOUR('Calendario D'!$F458),MINUTE('Calendario D'!$F458),0))</f>
        <v/>
      </c>
      <c r="E712" s="222">
        <f>IF($B712="","",DATE(YEAR('Calendario D'!$F458),MONTH('Calendario D'!$F458),DAY('Calendario D'!$F458)))</f>
        <v/>
      </c>
      <c r="F712" s="223">
        <f>IF($B712="","",TIME(HOUR('Calendario D'!$F458)+2,MINUTE('Calendario D'!$F458),0))</f>
        <v/>
      </c>
      <c r="G712" s="68">
        <f>IF($B712="","",'Calendario D'!$B459)</f>
        <v/>
      </c>
      <c r="H712" s="68">
        <f>IF($B712="","",Campionato!$D$2&amp;" "&amp;Campionato!$D$6)</f>
        <v/>
      </c>
      <c r="I712" s="68" t="n"/>
    </row>
    <row r="713">
      <c r="A713" s="68">
        <f>IF($B713="","","BEGIN:VEVENT
DTSTAMP:"&amp;TEXT(NOW(),"yyyymmdd")&amp;"T000001Z
UID:evt712@ClaudeCoworkBaskin
DTSTART;TZID=Europe/Rome:"&amp;TEXT($C713,"yyyymmdd")&amp;"T"&amp;TEXT($D713,"hhmmss")&amp;"
DTEND;TZID=Europe/Rome:"&amp;TEXT($E713,"yyyymmdd")&amp;"T"&amp;TEXT($F713,"hhmmss")&amp;"
SUMMARY:"&amp;$B713&amp;"
LOCATION:"&amp;$G713&amp;"
DESCRIPTION:"&amp;$H713&amp;"
END:VEVENT")</f>
        <v/>
      </c>
      <c r="B713" s="68">
        <f>IF('Calendario D'!$B461="","",'Calendario D'!$B461&amp;" vs "&amp;'Calendario D'!$D461&amp;" "&amp;'Calendario D'!$AC461)</f>
        <v/>
      </c>
      <c r="C713" s="222">
        <f>IF($B713="","",DATE(YEAR('Calendario D'!$F461),MONTH('Calendario D'!$F461),DAY('Calendario D'!$F461)))</f>
        <v/>
      </c>
      <c r="D713" s="223">
        <f>IF($B713="","",TIME(HOUR('Calendario D'!$F461),MINUTE('Calendario D'!$F461),0))</f>
        <v/>
      </c>
      <c r="E713" s="222">
        <f>IF($B713="","",DATE(YEAR('Calendario D'!$F461),MONTH('Calendario D'!$F461),DAY('Calendario D'!$F461)))</f>
        <v/>
      </c>
      <c r="F713" s="223">
        <f>IF($B713="","",TIME(HOUR('Calendario D'!$F461)+2,MINUTE('Calendario D'!$F461),0))</f>
        <v/>
      </c>
      <c r="G713" s="68">
        <f>IF($B713="","",'Calendario D'!$B462)</f>
        <v/>
      </c>
      <c r="H713" s="68">
        <f>IF($B713="","",Campionato!$D$2&amp;" "&amp;Campionato!$D$6)</f>
        <v/>
      </c>
      <c r="I713" s="68" t="n"/>
    </row>
    <row r="714">
      <c r="A714" s="68">
        <f>IF($B714="","","BEGIN:VEVENT
DTSTAMP:"&amp;TEXT(NOW(),"yyyymmdd")&amp;"T000001Z
UID:evt713@ClaudeCoworkBaskin
DTSTART;TZID=Europe/Rome:"&amp;TEXT($C714,"yyyymmdd")&amp;"T"&amp;TEXT($D714,"hhmmss")&amp;"
DTEND;TZID=Europe/Rome:"&amp;TEXT($E714,"yyyymmdd")&amp;"T"&amp;TEXT($F714,"hhmmss")&amp;"
SUMMARY:"&amp;$B714&amp;"
LOCATION:"&amp;$G714&amp;"
DESCRIPTION:"&amp;$H714&amp;"
END:VEVENT")</f>
        <v/>
      </c>
      <c r="B714" s="68">
        <f>IF('Calendario D'!$B464="","",'Calendario D'!$B464&amp;" vs "&amp;'Calendario D'!$D464&amp;" "&amp;'Calendario D'!$AC464)</f>
        <v/>
      </c>
      <c r="C714" s="222">
        <f>IF($B714="","",DATE(YEAR('Calendario D'!$F464),MONTH('Calendario D'!$F464),DAY('Calendario D'!$F464)))</f>
        <v/>
      </c>
      <c r="D714" s="223">
        <f>IF($B714="","",TIME(HOUR('Calendario D'!$F464),MINUTE('Calendario D'!$F464),0))</f>
        <v/>
      </c>
      <c r="E714" s="222">
        <f>IF($B714="","",DATE(YEAR('Calendario D'!$F464),MONTH('Calendario D'!$F464),DAY('Calendario D'!$F464)))</f>
        <v/>
      </c>
      <c r="F714" s="223">
        <f>IF($B714="","",TIME(HOUR('Calendario D'!$F464)+2,MINUTE('Calendario D'!$F464),0))</f>
        <v/>
      </c>
      <c r="G714" s="68">
        <f>IF($B714="","",'Calendario D'!$B465)</f>
        <v/>
      </c>
      <c r="H714" s="68">
        <f>IF($B714="","",Campionato!$D$2&amp;" "&amp;Campionato!$D$6)</f>
        <v/>
      </c>
      <c r="I714" s="68" t="n"/>
    </row>
    <row r="715">
      <c r="A715" s="68">
        <f>IF($B715="","","BEGIN:VEVENT
DTSTAMP:"&amp;TEXT(NOW(),"yyyymmdd")&amp;"T000001Z
UID:evt714@ClaudeCoworkBaskin
DTSTART;TZID=Europe/Rome:"&amp;TEXT($C715,"yyyymmdd")&amp;"T"&amp;TEXT($D715,"hhmmss")&amp;"
DTEND;TZID=Europe/Rome:"&amp;TEXT($E715,"yyyymmdd")&amp;"T"&amp;TEXT($F715,"hhmmss")&amp;"
SUMMARY:"&amp;$B715&amp;"
LOCATION:"&amp;$G715&amp;"
DESCRIPTION:"&amp;$H715&amp;"
END:VEVENT")</f>
        <v/>
      </c>
      <c r="B715" s="68">
        <f>IF('Calendario D'!$B467="","",'Calendario D'!$B467&amp;" vs "&amp;'Calendario D'!$D467&amp;" "&amp;'Calendario D'!$AC467)</f>
        <v/>
      </c>
      <c r="C715" s="222">
        <f>IF($B715="","",DATE(YEAR('Calendario D'!$F467),MONTH('Calendario D'!$F467),DAY('Calendario D'!$F467)))</f>
        <v/>
      </c>
      <c r="D715" s="223">
        <f>IF($B715="","",TIME(HOUR('Calendario D'!$F467),MINUTE('Calendario D'!$F467),0))</f>
        <v/>
      </c>
      <c r="E715" s="222">
        <f>IF($B715="","",DATE(YEAR('Calendario D'!$F467),MONTH('Calendario D'!$F467),DAY('Calendario D'!$F467)))</f>
        <v/>
      </c>
      <c r="F715" s="223">
        <f>IF($B715="","",TIME(HOUR('Calendario D'!$F467)+2,MINUTE('Calendario D'!$F467),0))</f>
        <v/>
      </c>
      <c r="G715" s="68">
        <f>IF($B715="","",'Calendario D'!$B468)</f>
        <v/>
      </c>
      <c r="H715" s="68">
        <f>IF($B715="","",Campionato!$D$2&amp;" "&amp;Campionato!$D$6)</f>
        <v/>
      </c>
      <c r="I715" s="68" t="n"/>
    </row>
    <row r="716">
      <c r="A716" s="68">
        <f>IF($B716="","","BEGIN:VEVENT
DTSTAMP:"&amp;TEXT(NOW(),"yyyymmdd")&amp;"T000001Z
UID:evt715@ClaudeCoworkBaskin
DTSTART;TZID=Europe/Rome:"&amp;TEXT($C716,"yyyymmdd")&amp;"T"&amp;TEXT($D716,"hhmmss")&amp;"
DTEND;TZID=Europe/Rome:"&amp;TEXT($E716,"yyyymmdd")&amp;"T"&amp;TEXT($F716,"hhmmss")&amp;"
SUMMARY:"&amp;$B716&amp;"
LOCATION:"&amp;$G716&amp;"
DESCRIPTION:"&amp;$H716&amp;"
END:VEVENT")</f>
        <v/>
      </c>
      <c r="B716" s="68">
        <f>IF('Calendario D'!$B470="","",'Calendario D'!$B470&amp;" vs "&amp;'Calendario D'!$D470&amp;" "&amp;'Calendario D'!$AC470)</f>
        <v/>
      </c>
      <c r="C716" s="222">
        <f>IF($B716="","",DATE(YEAR('Calendario D'!$F470),MONTH('Calendario D'!$F470),DAY('Calendario D'!$F470)))</f>
        <v/>
      </c>
      <c r="D716" s="223">
        <f>IF($B716="","",TIME(HOUR('Calendario D'!$F470),MINUTE('Calendario D'!$F470),0))</f>
        <v/>
      </c>
      <c r="E716" s="222">
        <f>IF($B716="","",DATE(YEAR('Calendario D'!$F470),MONTH('Calendario D'!$F470),DAY('Calendario D'!$F470)))</f>
        <v/>
      </c>
      <c r="F716" s="223">
        <f>IF($B716="","",TIME(HOUR('Calendario D'!$F470)+2,MINUTE('Calendario D'!$F470),0))</f>
        <v/>
      </c>
      <c r="G716" s="68">
        <f>IF($B716="","",'Calendario D'!$B471)</f>
        <v/>
      </c>
      <c r="H716" s="68">
        <f>IF($B716="","",Campionato!$D$2&amp;" "&amp;Campionato!$D$6)</f>
        <v/>
      </c>
      <c r="I716" s="68" t="n"/>
    </row>
    <row r="717">
      <c r="A717" s="68">
        <f>IF($B717="","","BEGIN:VEVENT
DTSTAMP:"&amp;TEXT(NOW(),"yyyymmdd")&amp;"T000001Z
UID:evt716@ClaudeCoworkBaskin
DTSTART;TZID=Europe/Rome:"&amp;TEXT($C717,"yyyymmdd")&amp;"T"&amp;TEXT($D717,"hhmmss")&amp;"
DTEND;TZID=Europe/Rome:"&amp;TEXT($E717,"yyyymmdd")&amp;"T"&amp;TEXT($F717,"hhmmss")&amp;"
SUMMARY:"&amp;$B717&amp;"
LOCATION:"&amp;$G717&amp;"
DESCRIPTION:"&amp;$H717&amp;"
END:VEVENT")</f>
        <v/>
      </c>
      <c r="B717" s="68">
        <f>IF('Calendario D'!$B473="","",'Calendario D'!$B473&amp;" vs "&amp;'Calendario D'!$D473&amp;" "&amp;'Calendario D'!$AC473)</f>
        <v/>
      </c>
      <c r="C717" s="222">
        <f>IF($B717="","",DATE(YEAR('Calendario D'!$F473),MONTH('Calendario D'!$F473),DAY('Calendario D'!$F473)))</f>
        <v/>
      </c>
      <c r="D717" s="223">
        <f>IF($B717="","",TIME(HOUR('Calendario D'!$F473),MINUTE('Calendario D'!$F473),0))</f>
        <v/>
      </c>
      <c r="E717" s="222">
        <f>IF($B717="","",DATE(YEAR('Calendario D'!$F473),MONTH('Calendario D'!$F473),DAY('Calendario D'!$F473)))</f>
        <v/>
      </c>
      <c r="F717" s="223">
        <f>IF($B717="","",TIME(HOUR('Calendario D'!$F473)+2,MINUTE('Calendario D'!$F473),0))</f>
        <v/>
      </c>
      <c r="G717" s="68">
        <f>IF($B717="","",'Calendario D'!$B474)</f>
        <v/>
      </c>
      <c r="H717" s="68">
        <f>IF($B717="","",Campionato!$D$2&amp;" "&amp;Campionato!$D$6)</f>
        <v/>
      </c>
      <c r="I717" s="68" t="n"/>
    </row>
    <row r="718">
      <c r="A718" s="68">
        <f>IF($B718="","","BEGIN:VEVENT
DTSTAMP:"&amp;TEXT(NOW(),"yyyymmdd")&amp;"T000001Z
UID:evt717@ClaudeCoworkBaskin
DTSTART;TZID=Europe/Rome:"&amp;TEXT($C718,"yyyymmdd")&amp;"T"&amp;TEXT($D718,"hhmmss")&amp;"
DTEND;TZID=Europe/Rome:"&amp;TEXT($E718,"yyyymmdd")&amp;"T"&amp;TEXT($F718,"hhmmss")&amp;"
SUMMARY:"&amp;$B718&amp;"
LOCATION:"&amp;$G718&amp;"
DESCRIPTION:"&amp;$H718&amp;"
END:VEVENT")</f>
        <v/>
      </c>
      <c r="B718" s="68">
        <f>IF('Calendario D'!$B476="","",'Calendario D'!$B476&amp;" vs "&amp;'Calendario D'!$D476&amp;" "&amp;'Calendario D'!$AC476)</f>
        <v/>
      </c>
      <c r="C718" s="222">
        <f>IF($B718="","",DATE(YEAR('Calendario D'!$F476),MONTH('Calendario D'!$F476),DAY('Calendario D'!$F476)))</f>
        <v/>
      </c>
      <c r="D718" s="223">
        <f>IF($B718="","",TIME(HOUR('Calendario D'!$F476),MINUTE('Calendario D'!$F476),0))</f>
        <v/>
      </c>
      <c r="E718" s="222">
        <f>IF($B718="","",DATE(YEAR('Calendario D'!$F476),MONTH('Calendario D'!$F476),DAY('Calendario D'!$F476)))</f>
        <v/>
      </c>
      <c r="F718" s="223">
        <f>IF($B718="","",TIME(HOUR('Calendario D'!$F476)+2,MINUTE('Calendario D'!$F476),0))</f>
        <v/>
      </c>
      <c r="G718" s="68">
        <f>IF($B718="","",'Calendario D'!$B477)</f>
        <v/>
      </c>
      <c r="H718" s="68">
        <f>IF($B718="","",Campionato!$D$2&amp;" "&amp;Campionato!$D$6)</f>
        <v/>
      </c>
      <c r="I718" s="68" t="n"/>
    </row>
    <row r="719">
      <c r="A719" s="68">
        <f>IF($B719="","","BEGIN:VEVENT
DTSTAMP:"&amp;TEXT(NOW(),"yyyymmdd")&amp;"T000001Z
UID:evt718@ClaudeCoworkBaskin
DTSTART;TZID=Europe/Rome:"&amp;TEXT($C719,"yyyymmdd")&amp;"T"&amp;TEXT($D719,"hhmmss")&amp;"
DTEND;TZID=Europe/Rome:"&amp;TEXT($E719,"yyyymmdd")&amp;"T"&amp;TEXT($F719,"hhmmss")&amp;"
SUMMARY:"&amp;$B719&amp;"
LOCATION:"&amp;$G719&amp;"
DESCRIPTION:"&amp;$H719&amp;"
END:VEVENT")</f>
        <v/>
      </c>
      <c r="B719" s="68">
        <f>IF('Calendario D'!$B479="","",'Calendario D'!$B479&amp;" vs "&amp;'Calendario D'!$D479&amp;" "&amp;'Calendario D'!$AC479)</f>
        <v/>
      </c>
      <c r="C719" s="222">
        <f>IF($B719="","",DATE(YEAR('Calendario D'!$F479),MONTH('Calendario D'!$F479),DAY('Calendario D'!$F479)))</f>
        <v/>
      </c>
      <c r="D719" s="223">
        <f>IF($B719="","",TIME(HOUR('Calendario D'!$F479),MINUTE('Calendario D'!$F479),0))</f>
        <v/>
      </c>
      <c r="E719" s="222">
        <f>IF($B719="","",DATE(YEAR('Calendario D'!$F479),MONTH('Calendario D'!$F479),DAY('Calendario D'!$F479)))</f>
        <v/>
      </c>
      <c r="F719" s="223">
        <f>IF($B719="","",TIME(HOUR('Calendario D'!$F479)+2,MINUTE('Calendario D'!$F479),0))</f>
        <v/>
      </c>
      <c r="G719" s="68">
        <f>IF($B719="","",'Calendario D'!$B480)</f>
        <v/>
      </c>
      <c r="H719" s="68">
        <f>IF($B719="","",Campionato!$D$2&amp;" "&amp;Campionato!$D$6)</f>
        <v/>
      </c>
      <c r="I719" s="68" t="n"/>
    </row>
    <row r="720">
      <c r="A720" s="68">
        <f>IF($B720="","","BEGIN:VEVENT
DTSTAMP:"&amp;TEXT(NOW(),"yyyymmdd")&amp;"T000001Z
UID:evt719@ClaudeCoworkBaskin
DTSTART;TZID=Europe/Rome:"&amp;TEXT($C720,"yyyymmdd")&amp;"T"&amp;TEXT($D720,"hhmmss")&amp;"
DTEND;TZID=Europe/Rome:"&amp;TEXT($E720,"yyyymmdd")&amp;"T"&amp;TEXT($F720,"hhmmss")&amp;"
SUMMARY:"&amp;$B720&amp;"
LOCATION:"&amp;$G720&amp;"
DESCRIPTION:"&amp;$H720&amp;"
END:VEVENT")</f>
        <v/>
      </c>
      <c r="B720" s="68">
        <f>IF('Calendario D'!$B482="","",'Calendario D'!$B482&amp;" vs "&amp;'Calendario D'!$D482&amp;" "&amp;'Calendario D'!$AC482)</f>
        <v/>
      </c>
      <c r="C720" s="222">
        <f>IF($B720="","",DATE(YEAR('Calendario D'!$F482),MONTH('Calendario D'!$F482),DAY('Calendario D'!$F482)))</f>
        <v/>
      </c>
      <c r="D720" s="223">
        <f>IF($B720="","",TIME(HOUR('Calendario D'!$F482),MINUTE('Calendario D'!$F482),0))</f>
        <v/>
      </c>
      <c r="E720" s="222">
        <f>IF($B720="","",DATE(YEAR('Calendario D'!$F482),MONTH('Calendario D'!$F482),DAY('Calendario D'!$F482)))</f>
        <v/>
      </c>
      <c r="F720" s="223">
        <f>IF($B720="","",TIME(HOUR('Calendario D'!$F482)+2,MINUTE('Calendario D'!$F482),0))</f>
        <v/>
      </c>
      <c r="G720" s="68">
        <f>IF($B720="","",'Calendario D'!$B483)</f>
        <v/>
      </c>
      <c r="H720" s="68">
        <f>IF($B720="","",Campionato!$D$2&amp;" "&amp;Campionato!$D$6)</f>
        <v/>
      </c>
      <c r="I720" s="68" t="n"/>
    </row>
    <row r="721">
      <c r="A721" s="68">
        <f>IF($B721="","","BEGIN:VEVENT
DTSTAMP:"&amp;TEXT(NOW(),"yyyymmdd")&amp;"T000001Z
UID:evt720@ClaudeCoworkBaskin
DTSTART;TZID=Europe/Rome:"&amp;TEXT($C721,"yyyymmdd")&amp;"T"&amp;TEXT($D721,"hhmmss")&amp;"
DTEND;TZID=Europe/Rome:"&amp;TEXT($E721,"yyyymmdd")&amp;"T"&amp;TEXT($F721,"hhmmss")&amp;"
SUMMARY:"&amp;$B721&amp;"
LOCATION:"&amp;$G721&amp;"
DESCRIPTION:"&amp;$H721&amp;"
END:VEVENT")</f>
        <v/>
      </c>
      <c r="B721" s="68">
        <f>IF('Calendario D'!$B485="","",'Calendario D'!$B485&amp;" vs "&amp;'Calendario D'!$D485&amp;" "&amp;'Calendario D'!$AC485)</f>
        <v/>
      </c>
      <c r="C721" s="222">
        <f>IF($B721="","",DATE(YEAR('Calendario D'!$F485),MONTH('Calendario D'!$F485),DAY('Calendario D'!$F485)))</f>
        <v/>
      </c>
      <c r="D721" s="223">
        <f>IF($B721="","",TIME(HOUR('Calendario D'!$F485),MINUTE('Calendario D'!$F485),0))</f>
        <v/>
      </c>
      <c r="E721" s="222">
        <f>IF($B721="","",DATE(YEAR('Calendario D'!$F485),MONTH('Calendario D'!$F485),DAY('Calendario D'!$F485)))</f>
        <v/>
      </c>
      <c r="F721" s="223">
        <f>IF($B721="","",TIME(HOUR('Calendario D'!$F485)+2,MINUTE('Calendario D'!$F485),0))</f>
        <v/>
      </c>
      <c r="G721" s="68">
        <f>IF($B721="","",'Calendario D'!$B486)</f>
        <v/>
      </c>
      <c r="H721" s="68">
        <f>IF($B721="","",Campionato!$D$2&amp;" "&amp;Campionato!$D$6)</f>
        <v/>
      </c>
      <c r="I721" s="68" t="n"/>
    </row>
    <row r="722">
      <c r="A722" s="68">
        <f>IF($B722="","","BEGIN:VEVENT
DTSTAMP:"&amp;TEXT(NOW(),"yyyymmdd")&amp;"T000001Z
UID:evt721@ClaudeCoworkBaskin
DTSTART;TZID=Europe/Rome:"&amp;TEXT($C722,"yyyymmdd")&amp;"T"&amp;TEXT($D722,"hhmmss")&amp;"
DTEND;TZID=Europe/Rome:"&amp;TEXT($E722,"yyyymmdd")&amp;"T"&amp;TEXT($F722,"hhmmss")&amp;"
SUMMARY:"&amp;$B722&amp;"
LOCATION:"&amp;$G722&amp;"
DESCRIPTION:"&amp;$H722&amp;"
END:VEVENT")</f>
        <v/>
      </c>
      <c r="B722" s="68">
        <f>IF('Calendario D'!$B490="","",'Calendario D'!$B490&amp;" vs "&amp;'Calendario D'!$D490&amp;" "&amp;'Calendario D'!$AC490)</f>
        <v/>
      </c>
      <c r="C722" s="222">
        <f>IF($B722="","",DATE(YEAR('Calendario D'!$F490),MONTH('Calendario D'!$F490),DAY('Calendario D'!$F490)))</f>
        <v/>
      </c>
      <c r="D722" s="223">
        <f>IF($B722="","",TIME(HOUR('Calendario D'!$F490),MINUTE('Calendario D'!$F490),0))</f>
        <v/>
      </c>
      <c r="E722" s="222">
        <f>IF($B722="","",DATE(YEAR('Calendario D'!$F490),MONTH('Calendario D'!$F490),DAY('Calendario D'!$F490)))</f>
        <v/>
      </c>
      <c r="F722" s="223">
        <f>IF($B722="","",TIME(HOUR('Calendario D'!$F490)+2,MINUTE('Calendario D'!$F490),0))</f>
        <v/>
      </c>
      <c r="G722" s="68">
        <f>IF($B722="","",'Calendario D'!$B491)</f>
        <v/>
      </c>
      <c r="H722" s="68">
        <f>IF($B722="","",Campionato!$D$2&amp;" "&amp;Campionato!$D$6)</f>
        <v/>
      </c>
      <c r="I722" s="68" t="n"/>
    </row>
    <row r="723">
      <c r="A723" s="68">
        <f>IF($B723="","","BEGIN:VEVENT
DTSTAMP:"&amp;TEXT(NOW(),"yyyymmdd")&amp;"T000001Z
UID:evt722@ClaudeCoworkBaskin
DTSTART;TZID=Europe/Rome:"&amp;TEXT($C723,"yyyymmdd")&amp;"T"&amp;TEXT($D723,"hhmmss")&amp;"
DTEND;TZID=Europe/Rome:"&amp;TEXT($E723,"yyyymmdd")&amp;"T"&amp;TEXT($F723,"hhmmss")&amp;"
SUMMARY:"&amp;$B723&amp;"
LOCATION:"&amp;$G723&amp;"
DESCRIPTION:"&amp;$H723&amp;"
END:VEVENT")</f>
        <v/>
      </c>
      <c r="B723" s="68">
        <f>IF('Calendario D'!$B493="","",'Calendario D'!$B493&amp;" vs "&amp;'Calendario D'!$D493&amp;" "&amp;'Calendario D'!$AC493)</f>
        <v/>
      </c>
      <c r="C723" s="222">
        <f>IF($B723="","",DATE(YEAR('Calendario D'!$F493),MONTH('Calendario D'!$F493),DAY('Calendario D'!$F493)))</f>
        <v/>
      </c>
      <c r="D723" s="223">
        <f>IF($B723="","",TIME(HOUR('Calendario D'!$F493),MINUTE('Calendario D'!$F493),0))</f>
        <v/>
      </c>
      <c r="E723" s="222">
        <f>IF($B723="","",DATE(YEAR('Calendario D'!$F493),MONTH('Calendario D'!$F493),DAY('Calendario D'!$F493)))</f>
        <v/>
      </c>
      <c r="F723" s="223">
        <f>IF($B723="","",TIME(HOUR('Calendario D'!$F493)+2,MINUTE('Calendario D'!$F493),0))</f>
        <v/>
      </c>
      <c r="G723" s="68">
        <f>IF($B723="","",'Calendario D'!$B494)</f>
        <v/>
      </c>
      <c r="H723" s="68">
        <f>IF($B723="","",Campionato!$D$2&amp;" "&amp;Campionato!$D$6)</f>
        <v/>
      </c>
      <c r="I723" s="68" t="n"/>
    </row>
    <row r="724">
      <c r="A724" s="68">
        <f>IF($B724="","","BEGIN:VEVENT
DTSTAMP:"&amp;TEXT(NOW(),"yyyymmdd")&amp;"T000001Z
UID:evt723@ClaudeCoworkBaskin
DTSTART;TZID=Europe/Rome:"&amp;TEXT($C724,"yyyymmdd")&amp;"T"&amp;TEXT($D724,"hhmmss")&amp;"
DTEND;TZID=Europe/Rome:"&amp;TEXT($E724,"yyyymmdd")&amp;"T"&amp;TEXT($F724,"hhmmss")&amp;"
SUMMARY:"&amp;$B724&amp;"
LOCATION:"&amp;$G724&amp;"
DESCRIPTION:"&amp;$H724&amp;"
END:VEVENT")</f>
        <v/>
      </c>
      <c r="B724" s="68">
        <f>IF('Calendario D'!$B496="","",'Calendario D'!$B496&amp;" vs "&amp;'Calendario D'!$D496&amp;" "&amp;'Calendario D'!$AC496)</f>
        <v/>
      </c>
      <c r="C724" s="222">
        <f>IF($B724="","",DATE(YEAR('Calendario D'!$F496),MONTH('Calendario D'!$F496),DAY('Calendario D'!$F496)))</f>
        <v/>
      </c>
      <c r="D724" s="223">
        <f>IF($B724="","",TIME(HOUR('Calendario D'!$F496),MINUTE('Calendario D'!$F496),0))</f>
        <v/>
      </c>
      <c r="E724" s="222">
        <f>IF($B724="","",DATE(YEAR('Calendario D'!$F496),MONTH('Calendario D'!$F496),DAY('Calendario D'!$F496)))</f>
        <v/>
      </c>
      <c r="F724" s="223">
        <f>IF($B724="","",TIME(HOUR('Calendario D'!$F496)+2,MINUTE('Calendario D'!$F496),0))</f>
        <v/>
      </c>
      <c r="G724" s="68">
        <f>IF($B724="","",'Calendario D'!$B497)</f>
        <v/>
      </c>
      <c r="H724" s="68">
        <f>IF($B724="","",Campionato!$D$2&amp;" "&amp;Campionato!$D$6)</f>
        <v/>
      </c>
      <c r="I724" s="68" t="n"/>
    </row>
    <row r="725">
      <c r="A725" s="68">
        <f>IF($B725="","","BEGIN:VEVENT
DTSTAMP:"&amp;TEXT(NOW(),"yyyymmdd")&amp;"T000001Z
UID:evt724@ClaudeCoworkBaskin
DTSTART;TZID=Europe/Rome:"&amp;TEXT($C725,"yyyymmdd")&amp;"T"&amp;TEXT($D725,"hhmmss")&amp;"
DTEND;TZID=Europe/Rome:"&amp;TEXT($E725,"yyyymmdd")&amp;"T"&amp;TEXT($F725,"hhmmss")&amp;"
SUMMARY:"&amp;$B725&amp;"
LOCATION:"&amp;$G725&amp;"
DESCRIPTION:"&amp;$H725&amp;"
END:VEVENT")</f>
        <v/>
      </c>
      <c r="B725" s="68">
        <f>IF('Calendario D'!$B499="","",'Calendario D'!$B499&amp;" vs "&amp;'Calendario D'!$D499&amp;" "&amp;'Calendario D'!$AC499)</f>
        <v/>
      </c>
      <c r="C725" s="222">
        <f>IF($B725="","",DATE(YEAR('Calendario D'!$F499),MONTH('Calendario D'!$F499),DAY('Calendario D'!$F499)))</f>
        <v/>
      </c>
      <c r="D725" s="223">
        <f>IF($B725="","",TIME(HOUR('Calendario D'!$F499),MINUTE('Calendario D'!$F499),0))</f>
        <v/>
      </c>
      <c r="E725" s="222">
        <f>IF($B725="","",DATE(YEAR('Calendario D'!$F499),MONTH('Calendario D'!$F499),DAY('Calendario D'!$F499)))</f>
        <v/>
      </c>
      <c r="F725" s="223">
        <f>IF($B725="","",TIME(HOUR('Calendario D'!$F499)+2,MINUTE('Calendario D'!$F499),0))</f>
        <v/>
      </c>
      <c r="G725" s="68">
        <f>IF($B725="","",'Calendario D'!$B500)</f>
        <v/>
      </c>
      <c r="H725" s="68">
        <f>IF($B725="","",Campionato!$D$2&amp;" "&amp;Campionato!$D$6)</f>
        <v/>
      </c>
      <c r="I725" s="68" t="n"/>
    </row>
    <row r="726">
      <c r="A726" s="68">
        <f>IF($B726="","","BEGIN:VEVENT
DTSTAMP:"&amp;TEXT(NOW(),"yyyymmdd")&amp;"T000001Z
UID:evt725@ClaudeCoworkBaskin
DTSTART;TZID=Europe/Rome:"&amp;TEXT($C726,"yyyymmdd")&amp;"T"&amp;TEXT($D726,"hhmmss")&amp;"
DTEND;TZID=Europe/Rome:"&amp;TEXT($E726,"yyyymmdd")&amp;"T"&amp;TEXT($F726,"hhmmss")&amp;"
SUMMARY:"&amp;$B726&amp;"
LOCATION:"&amp;$G726&amp;"
DESCRIPTION:"&amp;$H726&amp;"
END:VEVENT")</f>
        <v/>
      </c>
      <c r="B726" s="68">
        <f>IF('Calendario D'!$B502="","",'Calendario D'!$B502&amp;" vs "&amp;'Calendario D'!$D502&amp;" "&amp;'Calendario D'!$AC502)</f>
        <v/>
      </c>
      <c r="C726" s="222">
        <f>IF($B726="","",DATE(YEAR('Calendario D'!$F502),MONTH('Calendario D'!$F502),DAY('Calendario D'!$F502)))</f>
        <v/>
      </c>
      <c r="D726" s="223">
        <f>IF($B726="","",TIME(HOUR('Calendario D'!$F502),MINUTE('Calendario D'!$F502),0))</f>
        <v/>
      </c>
      <c r="E726" s="222">
        <f>IF($B726="","",DATE(YEAR('Calendario D'!$F502),MONTH('Calendario D'!$F502),DAY('Calendario D'!$F502)))</f>
        <v/>
      </c>
      <c r="F726" s="223">
        <f>IF($B726="","",TIME(HOUR('Calendario D'!$F502)+2,MINUTE('Calendario D'!$F502),0))</f>
        <v/>
      </c>
      <c r="G726" s="68">
        <f>IF($B726="","",'Calendario D'!$B503)</f>
        <v/>
      </c>
      <c r="H726" s="68">
        <f>IF($B726="","",Campionato!$D$2&amp;" "&amp;Campionato!$D$6)</f>
        <v/>
      </c>
      <c r="I726" s="68" t="n"/>
    </row>
    <row r="727">
      <c r="A727" s="68">
        <f>IF($B727="","","BEGIN:VEVENT
DTSTAMP:"&amp;TEXT(NOW(),"yyyymmdd")&amp;"T000001Z
UID:evt726@ClaudeCoworkBaskin
DTSTART;TZID=Europe/Rome:"&amp;TEXT($C727,"yyyymmdd")&amp;"T"&amp;TEXT($D727,"hhmmss")&amp;"
DTEND;TZID=Europe/Rome:"&amp;TEXT($E727,"yyyymmdd")&amp;"T"&amp;TEXT($F727,"hhmmss")&amp;"
SUMMARY:"&amp;$B727&amp;"
LOCATION:"&amp;$G727&amp;"
DESCRIPTION:"&amp;$H727&amp;"
END:VEVENT")</f>
        <v/>
      </c>
      <c r="B727" s="68">
        <f>IF('Calendario D'!$B505="","",'Calendario D'!$B505&amp;" vs "&amp;'Calendario D'!$D505&amp;" "&amp;'Calendario D'!$AC505)</f>
        <v/>
      </c>
      <c r="C727" s="222">
        <f>IF($B727="","",DATE(YEAR('Calendario D'!$F505),MONTH('Calendario D'!$F505),DAY('Calendario D'!$F505)))</f>
        <v/>
      </c>
      <c r="D727" s="223">
        <f>IF($B727="","",TIME(HOUR('Calendario D'!$F505),MINUTE('Calendario D'!$F505),0))</f>
        <v/>
      </c>
      <c r="E727" s="222">
        <f>IF($B727="","",DATE(YEAR('Calendario D'!$F505),MONTH('Calendario D'!$F505),DAY('Calendario D'!$F505)))</f>
        <v/>
      </c>
      <c r="F727" s="223">
        <f>IF($B727="","",TIME(HOUR('Calendario D'!$F505)+2,MINUTE('Calendario D'!$F505),0))</f>
        <v/>
      </c>
      <c r="G727" s="68">
        <f>IF($B727="","",'Calendario D'!$B506)</f>
        <v/>
      </c>
      <c r="H727" s="68">
        <f>IF($B727="","",Campionato!$D$2&amp;" "&amp;Campionato!$D$6)</f>
        <v/>
      </c>
      <c r="I727" s="68" t="n"/>
    </row>
    <row r="728">
      <c r="A728" s="68">
        <f>IF($B728="","","BEGIN:VEVENT
DTSTAMP:"&amp;TEXT(NOW(),"yyyymmdd")&amp;"T000001Z
UID:evt727@ClaudeCoworkBaskin
DTSTART;TZID=Europe/Rome:"&amp;TEXT($C728,"yyyymmdd")&amp;"T"&amp;TEXT($D728,"hhmmss")&amp;"
DTEND;TZID=Europe/Rome:"&amp;TEXT($E728,"yyyymmdd")&amp;"T"&amp;TEXT($F728,"hhmmss")&amp;"
SUMMARY:"&amp;$B728&amp;"
LOCATION:"&amp;$G728&amp;"
DESCRIPTION:"&amp;$H728&amp;"
END:VEVENT")</f>
        <v/>
      </c>
      <c r="B728" s="68">
        <f>IF('Calendario D'!$B508="","",'Calendario D'!$B508&amp;" vs "&amp;'Calendario D'!$D508&amp;" "&amp;'Calendario D'!$AC508)</f>
        <v/>
      </c>
      <c r="C728" s="222">
        <f>IF($B728="","",DATE(YEAR('Calendario D'!$F508),MONTH('Calendario D'!$F508),DAY('Calendario D'!$F508)))</f>
        <v/>
      </c>
      <c r="D728" s="223">
        <f>IF($B728="","",TIME(HOUR('Calendario D'!$F508),MINUTE('Calendario D'!$F508),0))</f>
        <v/>
      </c>
      <c r="E728" s="222">
        <f>IF($B728="","",DATE(YEAR('Calendario D'!$F508),MONTH('Calendario D'!$F508),DAY('Calendario D'!$F508)))</f>
        <v/>
      </c>
      <c r="F728" s="223">
        <f>IF($B728="","",TIME(HOUR('Calendario D'!$F508)+2,MINUTE('Calendario D'!$F508),0))</f>
        <v/>
      </c>
      <c r="G728" s="68">
        <f>IF($B728="","",'Calendario D'!$B509)</f>
        <v/>
      </c>
      <c r="H728" s="68">
        <f>IF($B728="","",Campionato!$D$2&amp;" "&amp;Campionato!$D$6)</f>
        <v/>
      </c>
      <c r="I728" s="68" t="n"/>
    </row>
    <row r="729">
      <c r="A729" s="68">
        <f>IF($B729="","","BEGIN:VEVENT
DTSTAMP:"&amp;TEXT(NOW(),"yyyymmdd")&amp;"T000001Z
UID:evt728@ClaudeCoworkBaskin
DTSTART;TZID=Europe/Rome:"&amp;TEXT($C729,"yyyymmdd")&amp;"T"&amp;TEXT($D729,"hhmmss")&amp;"
DTEND;TZID=Europe/Rome:"&amp;TEXT($E729,"yyyymmdd")&amp;"T"&amp;TEXT($F729,"hhmmss")&amp;"
SUMMARY:"&amp;$B729&amp;"
LOCATION:"&amp;$G729&amp;"
DESCRIPTION:"&amp;$H729&amp;"
END:VEVENT")</f>
        <v/>
      </c>
      <c r="B729" s="68">
        <f>IF('Calendario D'!$B511="","",'Calendario D'!$B511&amp;" vs "&amp;'Calendario D'!$D511&amp;" "&amp;'Calendario D'!$AC511)</f>
        <v/>
      </c>
      <c r="C729" s="222">
        <f>IF($B729="","",DATE(YEAR('Calendario D'!$F511),MONTH('Calendario D'!$F511),DAY('Calendario D'!$F511)))</f>
        <v/>
      </c>
      <c r="D729" s="223">
        <f>IF($B729="","",TIME(HOUR('Calendario D'!$F511),MINUTE('Calendario D'!$F511),0))</f>
        <v/>
      </c>
      <c r="E729" s="222">
        <f>IF($B729="","",DATE(YEAR('Calendario D'!$F511),MONTH('Calendario D'!$F511),DAY('Calendario D'!$F511)))</f>
        <v/>
      </c>
      <c r="F729" s="223">
        <f>IF($B729="","",TIME(HOUR('Calendario D'!$F511)+2,MINUTE('Calendario D'!$F511),0))</f>
        <v/>
      </c>
      <c r="G729" s="68">
        <f>IF($B729="","",'Calendario D'!$B512)</f>
        <v/>
      </c>
      <c r="H729" s="68">
        <f>IF($B729="","",Campionato!$D$2&amp;" "&amp;Campionato!$D$6)</f>
        <v/>
      </c>
      <c r="I729" s="68" t="n"/>
    </row>
    <row r="730">
      <c r="A730" s="68">
        <f>IF($B730="","","BEGIN:VEVENT
DTSTAMP:"&amp;TEXT(NOW(),"yyyymmdd")&amp;"T000001Z
UID:evt729@ClaudeCoworkBaskin
DTSTART;TZID=Europe/Rome:"&amp;TEXT($C730,"yyyymmdd")&amp;"T"&amp;TEXT($D730,"hhmmss")&amp;"
DTEND;TZID=Europe/Rome:"&amp;TEXT($E730,"yyyymmdd")&amp;"T"&amp;TEXT($F730,"hhmmss")&amp;"
SUMMARY:"&amp;$B730&amp;"
LOCATION:"&amp;$G730&amp;"
DESCRIPTION:"&amp;$H730&amp;"
END:VEVENT")</f>
        <v/>
      </c>
      <c r="B730" s="68">
        <f>IF('Calendario D'!$B514="","",'Calendario D'!$B514&amp;" vs "&amp;'Calendario D'!$D514&amp;" "&amp;'Calendario D'!$AC514)</f>
        <v/>
      </c>
      <c r="C730" s="222">
        <f>IF($B730="","",DATE(YEAR('Calendario D'!$F514),MONTH('Calendario D'!$F514),DAY('Calendario D'!$F514)))</f>
        <v/>
      </c>
      <c r="D730" s="223">
        <f>IF($B730="","",TIME(HOUR('Calendario D'!$F514),MINUTE('Calendario D'!$F514),0))</f>
        <v/>
      </c>
      <c r="E730" s="222">
        <f>IF($B730="","",DATE(YEAR('Calendario D'!$F514),MONTH('Calendario D'!$F514),DAY('Calendario D'!$F514)))</f>
        <v/>
      </c>
      <c r="F730" s="223">
        <f>IF($B730="","",TIME(HOUR('Calendario D'!$F514)+2,MINUTE('Calendario D'!$F514),0))</f>
        <v/>
      </c>
      <c r="G730" s="68">
        <f>IF($B730="","",'Calendario D'!$B515)</f>
        <v/>
      </c>
      <c r="H730" s="68">
        <f>IF($B730="","",Campionato!$D$2&amp;" "&amp;Campionato!$D$6)</f>
        <v/>
      </c>
      <c r="I730" s="68" t="n"/>
    </row>
    <row r="731">
      <c r="A731" s="68">
        <f>IF($B731="","","BEGIN:VEVENT
DTSTAMP:"&amp;TEXT(NOW(),"yyyymmdd")&amp;"T000001Z
UID:evt730@ClaudeCoworkBaskin
DTSTART;TZID=Europe/Rome:"&amp;TEXT($C731,"yyyymmdd")&amp;"T"&amp;TEXT($D731,"hhmmss")&amp;"
DTEND;TZID=Europe/Rome:"&amp;TEXT($E731,"yyyymmdd")&amp;"T"&amp;TEXT($F731,"hhmmss")&amp;"
SUMMARY:"&amp;$B731&amp;"
LOCATION:"&amp;$G731&amp;"
DESCRIPTION:"&amp;$H731&amp;"
END:VEVENT")</f>
        <v/>
      </c>
      <c r="B731" s="68">
        <f>IF('Calendario D'!$B517="","",'Calendario D'!$B517&amp;" vs "&amp;'Calendario D'!$D517&amp;" "&amp;'Calendario D'!$AC517)</f>
        <v/>
      </c>
      <c r="C731" s="222">
        <f>IF($B731="","",DATE(YEAR('Calendario D'!$F517),MONTH('Calendario D'!$F517),DAY('Calendario D'!$F517)))</f>
        <v/>
      </c>
      <c r="D731" s="223">
        <f>IF($B731="","",TIME(HOUR('Calendario D'!$F517),MINUTE('Calendario D'!$F517),0))</f>
        <v/>
      </c>
      <c r="E731" s="222">
        <f>IF($B731="","",DATE(YEAR('Calendario D'!$F517),MONTH('Calendario D'!$F517),DAY('Calendario D'!$F517)))</f>
        <v/>
      </c>
      <c r="F731" s="223">
        <f>IF($B731="","",TIME(HOUR('Calendario D'!$F517)+2,MINUTE('Calendario D'!$F517),0))</f>
        <v/>
      </c>
      <c r="G731" s="68">
        <f>IF($B731="","",'Calendario D'!$B518)</f>
        <v/>
      </c>
      <c r="H731" s="68">
        <f>IF($B731="","",Campionato!$D$2&amp;" "&amp;Campionato!$D$6)</f>
        <v/>
      </c>
      <c r="I731" s="68" t="n"/>
    </row>
    <row r="732">
      <c r="A732" s="68">
        <f>IF($B732="","","BEGIN:VEVENT
DTSTAMP:"&amp;TEXT(NOW(),"yyyymmdd")&amp;"T000001Z
UID:evt731@ClaudeCoworkBaskin
DTSTART;TZID=Europe/Rome:"&amp;TEXT($C732,"yyyymmdd")&amp;"T"&amp;TEXT($D732,"hhmmss")&amp;"
DTEND;TZID=Europe/Rome:"&amp;TEXT($E732,"yyyymmdd")&amp;"T"&amp;TEXT($F732,"hhmmss")&amp;"
SUMMARY:"&amp;$B732&amp;"
LOCATION:"&amp;$G732&amp;"
DESCRIPTION:"&amp;$H732&amp;"
END:VEVENT")</f>
        <v/>
      </c>
      <c r="B732" s="68">
        <f>IF('Calendario D'!$B522="","",'Calendario D'!$B522&amp;" vs "&amp;'Calendario D'!$D522&amp;" "&amp;'Calendario D'!$AC522)</f>
        <v/>
      </c>
      <c r="C732" s="222">
        <f>IF($B732="","",DATE(YEAR('Calendario D'!$F522),MONTH('Calendario D'!$F522),DAY('Calendario D'!$F522)))</f>
        <v/>
      </c>
      <c r="D732" s="223">
        <f>IF($B732="","",TIME(HOUR('Calendario D'!$F522),MINUTE('Calendario D'!$F522),0))</f>
        <v/>
      </c>
      <c r="E732" s="222">
        <f>IF($B732="","",DATE(YEAR('Calendario D'!$F522),MONTH('Calendario D'!$F522),DAY('Calendario D'!$F522)))</f>
        <v/>
      </c>
      <c r="F732" s="223">
        <f>IF($B732="","",TIME(HOUR('Calendario D'!$F522)+2,MINUTE('Calendario D'!$F522),0))</f>
        <v/>
      </c>
      <c r="G732" s="68">
        <f>IF($B732="","",'Calendario D'!$B523)</f>
        <v/>
      </c>
      <c r="H732" s="68">
        <f>IF($B732="","",Campionato!$D$2&amp;" "&amp;Campionato!$D$6)</f>
        <v/>
      </c>
      <c r="I732" s="68" t="n"/>
    </row>
    <row r="733">
      <c r="A733" s="68">
        <f>IF($B733="","","BEGIN:VEVENT
DTSTAMP:"&amp;TEXT(NOW(),"yyyymmdd")&amp;"T000001Z
UID:evt732@ClaudeCoworkBaskin
DTSTART;TZID=Europe/Rome:"&amp;TEXT($C733,"yyyymmdd")&amp;"T"&amp;TEXT($D733,"hhmmss")&amp;"
DTEND;TZID=Europe/Rome:"&amp;TEXT($E733,"yyyymmdd")&amp;"T"&amp;TEXT($F733,"hhmmss")&amp;"
SUMMARY:"&amp;$B733&amp;"
LOCATION:"&amp;$G733&amp;"
DESCRIPTION:"&amp;$H733&amp;"
END:VEVENT")</f>
        <v/>
      </c>
      <c r="B733" s="68">
        <f>IF('Calendario D'!$B525="","",'Calendario D'!$B525&amp;" vs "&amp;'Calendario D'!$D525&amp;" "&amp;'Calendario D'!$AC525)</f>
        <v/>
      </c>
      <c r="C733" s="222">
        <f>IF($B733="","",DATE(YEAR('Calendario D'!$F525),MONTH('Calendario D'!$F525),DAY('Calendario D'!$F525)))</f>
        <v/>
      </c>
      <c r="D733" s="223">
        <f>IF($B733="","",TIME(HOUR('Calendario D'!$F525),MINUTE('Calendario D'!$F525),0))</f>
        <v/>
      </c>
      <c r="E733" s="222">
        <f>IF($B733="","",DATE(YEAR('Calendario D'!$F525),MONTH('Calendario D'!$F525),DAY('Calendario D'!$F525)))</f>
        <v/>
      </c>
      <c r="F733" s="223">
        <f>IF($B733="","",TIME(HOUR('Calendario D'!$F525)+2,MINUTE('Calendario D'!$F525),0))</f>
        <v/>
      </c>
      <c r="G733" s="68">
        <f>IF($B733="","",'Calendario D'!$B526)</f>
        <v/>
      </c>
      <c r="H733" s="68">
        <f>IF($B733="","",Campionato!$D$2&amp;" "&amp;Campionato!$D$6)</f>
        <v/>
      </c>
      <c r="I733" s="68" t="n"/>
    </row>
    <row r="734">
      <c r="A734" s="68">
        <f>IF($B734="","","BEGIN:VEVENT
DTSTAMP:"&amp;TEXT(NOW(),"yyyymmdd")&amp;"T000001Z
UID:evt733@ClaudeCoworkBaskin
DTSTART;TZID=Europe/Rome:"&amp;TEXT($C734,"yyyymmdd")&amp;"T"&amp;TEXT($D734,"hhmmss")&amp;"
DTEND;TZID=Europe/Rome:"&amp;TEXT($E734,"yyyymmdd")&amp;"T"&amp;TEXT($F734,"hhmmss")&amp;"
SUMMARY:"&amp;$B734&amp;"
LOCATION:"&amp;$G734&amp;"
DESCRIPTION:"&amp;$H734&amp;"
END:VEVENT")</f>
        <v/>
      </c>
      <c r="B734" s="68">
        <f>IF('Calendario D'!$B528="","",'Calendario D'!$B528&amp;" vs "&amp;'Calendario D'!$D528&amp;" "&amp;'Calendario D'!$AC528)</f>
        <v/>
      </c>
      <c r="C734" s="222">
        <f>IF($B734="","",DATE(YEAR('Calendario D'!$F528),MONTH('Calendario D'!$F528),DAY('Calendario D'!$F528)))</f>
        <v/>
      </c>
      <c r="D734" s="223">
        <f>IF($B734="","",TIME(HOUR('Calendario D'!$F528),MINUTE('Calendario D'!$F528),0))</f>
        <v/>
      </c>
      <c r="E734" s="222">
        <f>IF($B734="","",DATE(YEAR('Calendario D'!$F528),MONTH('Calendario D'!$F528),DAY('Calendario D'!$F528)))</f>
        <v/>
      </c>
      <c r="F734" s="223">
        <f>IF($B734="","",TIME(HOUR('Calendario D'!$F528)+2,MINUTE('Calendario D'!$F528),0))</f>
        <v/>
      </c>
      <c r="G734" s="68">
        <f>IF($B734="","",'Calendario D'!$B529)</f>
        <v/>
      </c>
      <c r="H734" s="68">
        <f>IF($B734="","",Campionato!$D$2&amp;" "&amp;Campionato!$D$6)</f>
        <v/>
      </c>
      <c r="I734" s="68" t="n"/>
    </row>
    <row r="735">
      <c r="A735" s="68">
        <f>IF($B735="","","BEGIN:VEVENT
DTSTAMP:"&amp;TEXT(NOW(),"yyyymmdd")&amp;"T000001Z
UID:evt734@ClaudeCoworkBaskin
DTSTART;TZID=Europe/Rome:"&amp;TEXT($C735,"yyyymmdd")&amp;"T"&amp;TEXT($D735,"hhmmss")&amp;"
DTEND;TZID=Europe/Rome:"&amp;TEXT($E735,"yyyymmdd")&amp;"T"&amp;TEXT($F735,"hhmmss")&amp;"
SUMMARY:"&amp;$B735&amp;"
LOCATION:"&amp;$G735&amp;"
DESCRIPTION:"&amp;$H735&amp;"
END:VEVENT")</f>
        <v/>
      </c>
      <c r="B735" s="68">
        <f>IF('Calendario D'!$B531="","",'Calendario D'!$B531&amp;" vs "&amp;'Calendario D'!$D531&amp;" "&amp;'Calendario D'!$AC531)</f>
        <v/>
      </c>
      <c r="C735" s="222">
        <f>IF($B735="","",DATE(YEAR('Calendario D'!$F531),MONTH('Calendario D'!$F531),DAY('Calendario D'!$F531)))</f>
        <v/>
      </c>
      <c r="D735" s="223">
        <f>IF($B735="","",TIME(HOUR('Calendario D'!$F531),MINUTE('Calendario D'!$F531),0))</f>
        <v/>
      </c>
      <c r="E735" s="222">
        <f>IF($B735="","",DATE(YEAR('Calendario D'!$F531),MONTH('Calendario D'!$F531),DAY('Calendario D'!$F531)))</f>
        <v/>
      </c>
      <c r="F735" s="223">
        <f>IF($B735="","",TIME(HOUR('Calendario D'!$F531)+2,MINUTE('Calendario D'!$F531),0))</f>
        <v/>
      </c>
      <c r="G735" s="68">
        <f>IF($B735="","",'Calendario D'!$B532)</f>
        <v/>
      </c>
      <c r="H735" s="68">
        <f>IF($B735="","",Campionato!$D$2&amp;" "&amp;Campionato!$D$6)</f>
        <v/>
      </c>
      <c r="I735" s="68" t="n"/>
    </row>
    <row r="736">
      <c r="A736" s="68">
        <f>IF($B736="","","BEGIN:VEVENT
DTSTAMP:"&amp;TEXT(NOW(),"yyyymmdd")&amp;"T000001Z
UID:evt735@ClaudeCoworkBaskin
DTSTART;TZID=Europe/Rome:"&amp;TEXT($C736,"yyyymmdd")&amp;"T"&amp;TEXT($D736,"hhmmss")&amp;"
DTEND;TZID=Europe/Rome:"&amp;TEXT($E736,"yyyymmdd")&amp;"T"&amp;TEXT($F736,"hhmmss")&amp;"
SUMMARY:"&amp;$B736&amp;"
LOCATION:"&amp;$G736&amp;"
DESCRIPTION:"&amp;$H736&amp;"
END:VEVENT")</f>
        <v/>
      </c>
      <c r="B736" s="68">
        <f>IF('Calendario D'!$B534="","",'Calendario D'!$B534&amp;" vs "&amp;'Calendario D'!$D534&amp;" "&amp;'Calendario D'!$AC534)</f>
        <v/>
      </c>
      <c r="C736" s="222">
        <f>IF($B736="","",DATE(YEAR('Calendario D'!$F534),MONTH('Calendario D'!$F534),DAY('Calendario D'!$F534)))</f>
        <v/>
      </c>
      <c r="D736" s="223">
        <f>IF($B736="","",TIME(HOUR('Calendario D'!$F534),MINUTE('Calendario D'!$F534),0))</f>
        <v/>
      </c>
      <c r="E736" s="222">
        <f>IF($B736="","",DATE(YEAR('Calendario D'!$F534),MONTH('Calendario D'!$F534),DAY('Calendario D'!$F534)))</f>
        <v/>
      </c>
      <c r="F736" s="223">
        <f>IF($B736="","",TIME(HOUR('Calendario D'!$F534)+2,MINUTE('Calendario D'!$F534),0))</f>
        <v/>
      </c>
      <c r="G736" s="68">
        <f>IF($B736="","",'Calendario D'!$B535)</f>
        <v/>
      </c>
      <c r="H736" s="68">
        <f>IF($B736="","",Campionato!$D$2&amp;" "&amp;Campionato!$D$6)</f>
        <v/>
      </c>
      <c r="I736" s="68" t="n"/>
    </row>
    <row r="737">
      <c r="A737" s="68">
        <f>IF($B737="","","BEGIN:VEVENT
DTSTAMP:"&amp;TEXT(NOW(),"yyyymmdd")&amp;"T000001Z
UID:evt736@ClaudeCoworkBaskin
DTSTART;TZID=Europe/Rome:"&amp;TEXT($C737,"yyyymmdd")&amp;"T"&amp;TEXT($D737,"hhmmss")&amp;"
DTEND;TZID=Europe/Rome:"&amp;TEXT($E737,"yyyymmdd")&amp;"T"&amp;TEXT($F737,"hhmmss")&amp;"
SUMMARY:"&amp;$B737&amp;"
LOCATION:"&amp;$G737&amp;"
DESCRIPTION:"&amp;$H737&amp;"
END:VEVENT")</f>
        <v/>
      </c>
      <c r="B737" s="68">
        <f>IF('Calendario D'!$B537="","",'Calendario D'!$B537&amp;" vs "&amp;'Calendario D'!$D537&amp;" "&amp;'Calendario D'!$AC537)</f>
        <v/>
      </c>
      <c r="C737" s="222">
        <f>IF($B737="","",DATE(YEAR('Calendario D'!$F537),MONTH('Calendario D'!$F537),DAY('Calendario D'!$F537)))</f>
        <v/>
      </c>
      <c r="D737" s="223">
        <f>IF($B737="","",TIME(HOUR('Calendario D'!$F537),MINUTE('Calendario D'!$F537),0))</f>
        <v/>
      </c>
      <c r="E737" s="222">
        <f>IF($B737="","",DATE(YEAR('Calendario D'!$F537),MONTH('Calendario D'!$F537),DAY('Calendario D'!$F537)))</f>
        <v/>
      </c>
      <c r="F737" s="223">
        <f>IF($B737="","",TIME(HOUR('Calendario D'!$F537)+2,MINUTE('Calendario D'!$F537),0))</f>
        <v/>
      </c>
      <c r="G737" s="68">
        <f>IF($B737="","",'Calendario D'!$B538)</f>
        <v/>
      </c>
      <c r="H737" s="68">
        <f>IF($B737="","",Campionato!$D$2&amp;" "&amp;Campionato!$D$6)</f>
        <v/>
      </c>
      <c r="I737" s="68" t="n"/>
    </row>
    <row r="738">
      <c r="A738" s="68">
        <f>IF($B738="","","BEGIN:VEVENT
DTSTAMP:"&amp;TEXT(NOW(),"yyyymmdd")&amp;"T000001Z
UID:evt737@ClaudeCoworkBaskin
DTSTART;TZID=Europe/Rome:"&amp;TEXT($C738,"yyyymmdd")&amp;"T"&amp;TEXT($D738,"hhmmss")&amp;"
DTEND;TZID=Europe/Rome:"&amp;TEXT($E738,"yyyymmdd")&amp;"T"&amp;TEXT($F738,"hhmmss")&amp;"
SUMMARY:"&amp;$B738&amp;"
LOCATION:"&amp;$G738&amp;"
DESCRIPTION:"&amp;$H738&amp;"
END:VEVENT")</f>
        <v/>
      </c>
      <c r="B738" s="68">
        <f>IF('Calendario D'!$B540="","",'Calendario D'!$B540&amp;" vs "&amp;'Calendario D'!$D540&amp;" "&amp;'Calendario D'!$AC540)</f>
        <v/>
      </c>
      <c r="C738" s="222">
        <f>IF($B738="","",DATE(YEAR('Calendario D'!$F540),MONTH('Calendario D'!$F540),DAY('Calendario D'!$F540)))</f>
        <v/>
      </c>
      <c r="D738" s="223">
        <f>IF($B738="","",TIME(HOUR('Calendario D'!$F540),MINUTE('Calendario D'!$F540),0))</f>
        <v/>
      </c>
      <c r="E738" s="222">
        <f>IF($B738="","",DATE(YEAR('Calendario D'!$F540),MONTH('Calendario D'!$F540),DAY('Calendario D'!$F540)))</f>
        <v/>
      </c>
      <c r="F738" s="223">
        <f>IF($B738="","",TIME(HOUR('Calendario D'!$F540)+2,MINUTE('Calendario D'!$F540),0))</f>
        <v/>
      </c>
      <c r="G738" s="68">
        <f>IF($B738="","",'Calendario D'!$B541)</f>
        <v/>
      </c>
      <c r="H738" s="68">
        <f>IF($B738="","",Campionato!$D$2&amp;" "&amp;Campionato!$D$6)</f>
        <v/>
      </c>
      <c r="I738" s="68" t="n"/>
    </row>
    <row r="739">
      <c r="A739" s="68">
        <f>IF($B739="","","BEGIN:VEVENT
DTSTAMP:"&amp;TEXT(NOW(),"yyyymmdd")&amp;"T000001Z
UID:evt738@ClaudeCoworkBaskin
DTSTART;TZID=Europe/Rome:"&amp;TEXT($C739,"yyyymmdd")&amp;"T"&amp;TEXT($D739,"hhmmss")&amp;"
DTEND;TZID=Europe/Rome:"&amp;TEXT($E739,"yyyymmdd")&amp;"T"&amp;TEXT($F739,"hhmmss")&amp;"
SUMMARY:"&amp;$B739&amp;"
LOCATION:"&amp;$G739&amp;"
DESCRIPTION:"&amp;$H739&amp;"
END:VEVENT")</f>
        <v/>
      </c>
      <c r="B739" s="68">
        <f>IF('Calendario D'!$B543="","",'Calendario D'!$B543&amp;" vs "&amp;'Calendario D'!$D543&amp;" "&amp;'Calendario D'!$AC543)</f>
        <v/>
      </c>
      <c r="C739" s="222">
        <f>IF($B739="","",DATE(YEAR('Calendario D'!$F543),MONTH('Calendario D'!$F543),DAY('Calendario D'!$F543)))</f>
        <v/>
      </c>
      <c r="D739" s="223">
        <f>IF($B739="","",TIME(HOUR('Calendario D'!$F543),MINUTE('Calendario D'!$F543),0))</f>
        <v/>
      </c>
      <c r="E739" s="222">
        <f>IF($B739="","",DATE(YEAR('Calendario D'!$F543),MONTH('Calendario D'!$F543),DAY('Calendario D'!$F543)))</f>
        <v/>
      </c>
      <c r="F739" s="223">
        <f>IF($B739="","",TIME(HOUR('Calendario D'!$F543)+2,MINUTE('Calendario D'!$F543),0))</f>
        <v/>
      </c>
      <c r="G739" s="68">
        <f>IF($B739="","",'Calendario D'!$B544)</f>
        <v/>
      </c>
      <c r="H739" s="68">
        <f>IF($B739="","",Campionato!$D$2&amp;" "&amp;Campionato!$D$6)</f>
        <v/>
      </c>
      <c r="I739" s="68" t="n"/>
    </row>
    <row r="740">
      <c r="A740" s="68">
        <f>IF($B740="","","BEGIN:VEVENT
DTSTAMP:"&amp;TEXT(NOW(),"yyyymmdd")&amp;"T000001Z
UID:evt739@ClaudeCoworkBaskin
DTSTART;TZID=Europe/Rome:"&amp;TEXT($C740,"yyyymmdd")&amp;"T"&amp;TEXT($D740,"hhmmss")&amp;"
DTEND;TZID=Europe/Rome:"&amp;TEXT($E740,"yyyymmdd")&amp;"T"&amp;TEXT($F740,"hhmmss")&amp;"
SUMMARY:"&amp;$B740&amp;"
LOCATION:"&amp;$G740&amp;"
DESCRIPTION:"&amp;$H740&amp;"
END:VEVENT")</f>
        <v/>
      </c>
      <c r="B740" s="68">
        <f>IF('Calendario D'!$B546="","",'Calendario D'!$B546&amp;" vs "&amp;'Calendario D'!$D546&amp;" "&amp;'Calendario D'!$AC546)</f>
        <v/>
      </c>
      <c r="C740" s="222">
        <f>IF($B740="","",DATE(YEAR('Calendario D'!$F546),MONTH('Calendario D'!$F546),DAY('Calendario D'!$F546)))</f>
        <v/>
      </c>
      <c r="D740" s="223">
        <f>IF($B740="","",TIME(HOUR('Calendario D'!$F546),MINUTE('Calendario D'!$F546),0))</f>
        <v/>
      </c>
      <c r="E740" s="222">
        <f>IF($B740="","",DATE(YEAR('Calendario D'!$F546),MONTH('Calendario D'!$F546),DAY('Calendario D'!$F546)))</f>
        <v/>
      </c>
      <c r="F740" s="223">
        <f>IF($B740="","",TIME(HOUR('Calendario D'!$F546)+2,MINUTE('Calendario D'!$F546),0))</f>
        <v/>
      </c>
      <c r="G740" s="68">
        <f>IF($B740="","",'Calendario D'!$B547)</f>
        <v/>
      </c>
      <c r="H740" s="68">
        <f>IF($B740="","",Campionato!$D$2&amp;" "&amp;Campionato!$D$6)</f>
        <v/>
      </c>
      <c r="I740" s="68" t="n"/>
    </row>
    <row r="741">
      <c r="A741" s="68">
        <f>IF($B741="","","BEGIN:VEVENT
DTSTAMP:"&amp;TEXT(NOW(),"yyyymmdd")&amp;"T000001Z
UID:evt740@ClaudeCoworkBaskin
DTSTART;TZID=Europe/Rome:"&amp;TEXT($C741,"yyyymmdd")&amp;"T"&amp;TEXT($D741,"hhmmss")&amp;"
DTEND;TZID=Europe/Rome:"&amp;TEXT($E741,"yyyymmdd")&amp;"T"&amp;TEXT($F741,"hhmmss")&amp;"
SUMMARY:"&amp;$B741&amp;"
LOCATION:"&amp;$G741&amp;"
DESCRIPTION:"&amp;$H741&amp;"
END:VEVENT")</f>
        <v/>
      </c>
      <c r="B741" s="68">
        <f>IF('Calendario D'!$B549="","",'Calendario D'!$B549&amp;" vs "&amp;'Calendario D'!$D549&amp;" "&amp;'Calendario D'!$AC549)</f>
        <v/>
      </c>
      <c r="C741" s="222">
        <f>IF($B741="","",DATE(YEAR('Calendario D'!$F549),MONTH('Calendario D'!$F549),DAY('Calendario D'!$F549)))</f>
        <v/>
      </c>
      <c r="D741" s="223">
        <f>IF($B741="","",TIME(HOUR('Calendario D'!$F549),MINUTE('Calendario D'!$F549),0))</f>
        <v/>
      </c>
      <c r="E741" s="222">
        <f>IF($B741="","",DATE(YEAR('Calendario D'!$F549),MONTH('Calendario D'!$F549),DAY('Calendario D'!$F549)))</f>
        <v/>
      </c>
      <c r="F741" s="223">
        <f>IF($B741="","",TIME(HOUR('Calendario D'!$F549)+2,MINUTE('Calendario D'!$F549),0))</f>
        <v/>
      </c>
      <c r="G741" s="68">
        <f>IF($B741="","",'Calendario D'!$B550)</f>
        <v/>
      </c>
      <c r="H741" s="68">
        <f>IF($B741="","",Campionato!$D$2&amp;" "&amp;Campionato!$D$6)</f>
        <v/>
      </c>
      <c r="I741" s="68" t="n"/>
    </row>
    <row r="742">
      <c r="A742" s="68">
        <f>IF($B742="","","BEGIN:VEVENT
DTSTAMP:"&amp;TEXT(NOW(),"yyyymmdd")&amp;"T000001Z
UID:evt741@ClaudeCoworkBaskin
DTSTART;TZID=Europe/Rome:"&amp;TEXT($C742,"yyyymmdd")&amp;"T"&amp;TEXT($D742,"hhmmss")&amp;"
DTEND;TZID=Europe/Rome:"&amp;TEXT($E742,"yyyymmdd")&amp;"T"&amp;TEXT($F742,"hhmmss")&amp;"
SUMMARY:"&amp;$B742&amp;"
LOCATION:"&amp;$G742&amp;"
DESCRIPTION:"&amp;$H742&amp;"
END:VEVENT")</f>
        <v/>
      </c>
      <c r="B742" s="68">
        <f>IF('Calendario D'!$B554="","",'Calendario D'!$B554&amp;" vs "&amp;'Calendario D'!$D554&amp;" "&amp;'Calendario D'!$AC554)</f>
        <v/>
      </c>
      <c r="C742" s="222">
        <f>IF($B742="","",DATE(YEAR('Calendario D'!$F554),MONTH('Calendario D'!$F554),DAY('Calendario D'!$F554)))</f>
        <v/>
      </c>
      <c r="D742" s="223">
        <f>IF($B742="","",TIME(HOUR('Calendario D'!$F554),MINUTE('Calendario D'!$F554),0))</f>
        <v/>
      </c>
      <c r="E742" s="222">
        <f>IF($B742="","",DATE(YEAR('Calendario D'!$F554),MONTH('Calendario D'!$F554),DAY('Calendario D'!$F554)))</f>
        <v/>
      </c>
      <c r="F742" s="223">
        <f>IF($B742="","",TIME(HOUR('Calendario D'!$F554)+2,MINUTE('Calendario D'!$F554),0))</f>
        <v/>
      </c>
      <c r="G742" s="68">
        <f>IF($B742="","",'Calendario D'!$B555)</f>
        <v/>
      </c>
      <c r="H742" s="68">
        <f>IF($B742="","",Campionato!$D$2&amp;" "&amp;Campionato!$D$6)</f>
        <v/>
      </c>
      <c r="I742" s="68" t="n"/>
    </row>
    <row r="743">
      <c r="A743" s="68">
        <f>IF($B743="","","BEGIN:VEVENT
DTSTAMP:"&amp;TEXT(NOW(),"yyyymmdd")&amp;"T000001Z
UID:evt742@ClaudeCoworkBaskin
DTSTART;TZID=Europe/Rome:"&amp;TEXT($C743,"yyyymmdd")&amp;"T"&amp;TEXT($D743,"hhmmss")&amp;"
DTEND;TZID=Europe/Rome:"&amp;TEXT($E743,"yyyymmdd")&amp;"T"&amp;TEXT($F743,"hhmmss")&amp;"
SUMMARY:"&amp;$B743&amp;"
LOCATION:"&amp;$G743&amp;"
DESCRIPTION:"&amp;$H743&amp;"
END:VEVENT")</f>
        <v/>
      </c>
      <c r="B743" s="68">
        <f>IF('Calendario D'!$B557="","",'Calendario D'!$B557&amp;" vs "&amp;'Calendario D'!$D557&amp;" "&amp;'Calendario D'!$AC557)</f>
        <v/>
      </c>
      <c r="C743" s="222">
        <f>IF($B743="","",DATE(YEAR('Calendario D'!$F557),MONTH('Calendario D'!$F557),DAY('Calendario D'!$F557)))</f>
        <v/>
      </c>
      <c r="D743" s="223">
        <f>IF($B743="","",TIME(HOUR('Calendario D'!$F557),MINUTE('Calendario D'!$F557),0))</f>
        <v/>
      </c>
      <c r="E743" s="222">
        <f>IF($B743="","",DATE(YEAR('Calendario D'!$F557),MONTH('Calendario D'!$F557),DAY('Calendario D'!$F557)))</f>
        <v/>
      </c>
      <c r="F743" s="223">
        <f>IF($B743="","",TIME(HOUR('Calendario D'!$F557)+2,MINUTE('Calendario D'!$F557),0))</f>
        <v/>
      </c>
      <c r="G743" s="68">
        <f>IF($B743="","",'Calendario D'!$B558)</f>
        <v/>
      </c>
      <c r="H743" s="68">
        <f>IF($B743="","",Campionato!$D$2&amp;" "&amp;Campionato!$D$6)</f>
        <v/>
      </c>
      <c r="I743" s="68" t="n"/>
    </row>
    <row r="744">
      <c r="A744" s="68">
        <f>IF($B744="","","BEGIN:VEVENT
DTSTAMP:"&amp;TEXT(NOW(),"yyyymmdd")&amp;"T000001Z
UID:evt743@ClaudeCoworkBaskin
DTSTART;TZID=Europe/Rome:"&amp;TEXT($C744,"yyyymmdd")&amp;"T"&amp;TEXT($D744,"hhmmss")&amp;"
DTEND;TZID=Europe/Rome:"&amp;TEXT($E744,"yyyymmdd")&amp;"T"&amp;TEXT($F744,"hhmmss")&amp;"
SUMMARY:"&amp;$B744&amp;"
LOCATION:"&amp;$G744&amp;"
DESCRIPTION:"&amp;$H744&amp;"
END:VEVENT")</f>
        <v/>
      </c>
      <c r="B744" s="68">
        <f>IF('Calendario D'!$B560="","",'Calendario D'!$B560&amp;" vs "&amp;'Calendario D'!$D560&amp;" "&amp;'Calendario D'!$AC560)</f>
        <v/>
      </c>
      <c r="C744" s="222">
        <f>IF($B744="","",DATE(YEAR('Calendario D'!$F560),MONTH('Calendario D'!$F560),DAY('Calendario D'!$F560)))</f>
        <v/>
      </c>
      <c r="D744" s="223">
        <f>IF($B744="","",TIME(HOUR('Calendario D'!$F560),MINUTE('Calendario D'!$F560),0))</f>
        <v/>
      </c>
      <c r="E744" s="222">
        <f>IF($B744="","",DATE(YEAR('Calendario D'!$F560),MONTH('Calendario D'!$F560),DAY('Calendario D'!$F560)))</f>
        <v/>
      </c>
      <c r="F744" s="223">
        <f>IF($B744="","",TIME(HOUR('Calendario D'!$F560)+2,MINUTE('Calendario D'!$F560),0))</f>
        <v/>
      </c>
      <c r="G744" s="68">
        <f>IF($B744="","",'Calendario D'!$B561)</f>
        <v/>
      </c>
      <c r="H744" s="68">
        <f>IF($B744="","",Campionato!$D$2&amp;" "&amp;Campionato!$D$6)</f>
        <v/>
      </c>
      <c r="I744" s="68" t="n"/>
    </row>
    <row r="745">
      <c r="A745" s="68">
        <f>IF($B745="","","BEGIN:VEVENT
DTSTAMP:"&amp;TEXT(NOW(),"yyyymmdd")&amp;"T000001Z
UID:evt744@ClaudeCoworkBaskin
DTSTART;TZID=Europe/Rome:"&amp;TEXT($C745,"yyyymmdd")&amp;"T"&amp;TEXT($D745,"hhmmss")&amp;"
DTEND;TZID=Europe/Rome:"&amp;TEXT($E745,"yyyymmdd")&amp;"T"&amp;TEXT($F745,"hhmmss")&amp;"
SUMMARY:"&amp;$B745&amp;"
LOCATION:"&amp;$G745&amp;"
DESCRIPTION:"&amp;$H745&amp;"
END:VEVENT")</f>
        <v/>
      </c>
      <c r="B745" s="68">
        <f>IF('Calendario D'!$B563="","",'Calendario D'!$B563&amp;" vs "&amp;'Calendario D'!$D563&amp;" "&amp;'Calendario D'!$AC563)</f>
        <v/>
      </c>
      <c r="C745" s="222">
        <f>IF($B745="","",DATE(YEAR('Calendario D'!$F563),MONTH('Calendario D'!$F563),DAY('Calendario D'!$F563)))</f>
        <v/>
      </c>
      <c r="D745" s="223">
        <f>IF($B745="","",TIME(HOUR('Calendario D'!$F563),MINUTE('Calendario D'!$F563),0))</f>
        <v/>
      </c>
      <c r="E745" s="222">
        <f>IF($B745="","",DATE(YEAR('Calendario D'!$F563),MONTH('Calendario D'!$F563),DAY('Calendario D'!$F563)))</f>
        <v/>
      </c>
      <c r="F745" s="223">
        <f>IF($B745="","",TIME(HOUR('Calendario D'!$F563)+2,MINUTE('Calendario D'!$F563),0))</f>
        <v/>
      </c>
      <c r="G745" s="68">
        <f>IF($B745="","",'Calendario D'!$B564)</f>
        <v/>
      </c>
      <c r="H745" s="68">
        <f>IF($B745="","",Campionato!$D$2&amp;" "&amp;Campionato!$D$6)</f>
        <v/>
      </c>
      <c r="I745" s="68" t="n"/>
    </row>
    <row r="746">
      <c r="A746" s="68">
        <f>IF($B746="","","BEGIN:VEVENT
DTSTAMP:"&amp;TEXT(NOW(),"yyyymmdd")&amp;"T000001Z
UID:evt745@ClaudeCoworkBaskin
DTSTART;TZID=Europe/Rome:"&amp;TEXT($C746,"yyyymmdd")&amp;"T"&amp;TEXT($D746,"hhmmss")&amp;"
DTEND;TZID=Europe/Rome:"&amp;TEXT($E746,"yyyymmdd")&amp;"T"&amp;TEXT($F746,"hhmmss")&amp;"
SUMMARY:"&amp;$B746&amp;"
LOCATION:"&amp;$G746&amp;"
DESCRIPTION:"&amp;$H746&amp;"
END:VEVENT")</f>
        <v/>
      </c>
      <c r="B746" s="68">
        <f>IF('Calendario D'!$B566="","",'Calendario D'!$B566&amp;" vs "&amp;'Calendario D'!$D566&amp;" "&amp;'Calendario D'!$AC566)</f>
        <v/>
      </c>
      <c r="C746" s="222">
        <f>IF($B746="","",DATE(YEAR('Calendario D'!$F566),MONTH('Calendario D'!$F566),DAY('Calendario D'!$F566)))</f>
        <v/>
      </c>
      <c r="D746" s="223">
        <f>IF($B746="","",TIME(HOUR('Calendario D'!$F566),MINUTE('Calendario D'!$F566),0))</f>
        <v/>
      </c>
      <c r="E746" s="222">
        <f>IF($B746="","",DATE(YEAR('Calendario D'!$F566),MONTH('Calendario D'!$F566),DAY('Calendario D'!$F566)))</f>
        <v/>
      </c>
      <c r="F746" s="223">
        <f>IF($B746="","",TIME(HOUR('Calendario D'!$F566)+2,MINUTE('Calendario D'!$F566),0))</f>
        <v/>
      </c>
      <c r="G746" s="68">
        <f>IF($B746="","",'Calendario D'!$B567)</f>
        <v/>
      </c>
      <c r="H746" s="68">
        <f>IF($B746="","",Campionato!$D$2&amp;" "&amp;Campionato!$D$6)</f>
        <v/>
      </c>
      <c r="I746" s="68" t="n"/>
    </row>
    <row r="747">
      <c r="A747" s="68">
        <f>IF($B747="","","BEGIN:VEVENT
DTSTAMP:"&amp;TEXT(NOW(),"yyyymmdd")&amp;"T000001Z
UID:evt746@ClaudeCoworkBaskin
DTSTART;TZID=Europe/Rome:"&amp;TEXT($C747,"yyyymmdd")&amp;"T"&amp;TEXT($D747,"hhmmss")&amp;"
DTEND;TZID=Europe/Rome:"&amp;TEXT($E747,"yyyymmdd")&amp;"T"&amp;TEXT($F747,"hhmmss")&amp;"
SUMMARY:"&amp;$B747&amp;"
LOCATION:"&amp;$G747&amp;"
DESCRIPTION:"&amp;$H747&amp;"
END:VEVENT")</f>
        <v/>
      </c>
      <c r="B747" s="68">
        <f>IF('Calendario D'!$B569="","",'Calendario D'!$B569&amp;" vs "&amp;'Calendario D'!$D569&amp;" "&amp;'Calendario D'!$AC569)</f>
        <v/>
      </c>
      <c r="C747" s="222">
        <f>IF($B747="","",DATE(YEAR('Calendario D'!$F569),MONTH('Calendario D'!$F569),DAY('Calendario D'!$F569)))</f>
        <v/>
      </c>
      <c r="D747" s="223">
        <f>IF($B747="","",TIME(HOUR('Calendario D'!$F569),MINUTE('Calendario D'!$F569),0))</f>
        <v/>
      </c>
      <c r="E747" s="222">
        <f>IF($B747="","",DATE(YEAR('Calendario D'!$F569),MONTH('Calendario D'!$F569),DAY('Calendario D'!$F569)))</f>
        <v/>
      </c>
      <c r="F747" s="223">
        <f>IF($B747="","",TIME(HOUR('Calendario D'!$F569)+2,MINUTE('Calendario D'!$F569),0))</f>
        <v/>
      </c>
      <c r="G747" s="68">
        <f>IF($B747="","",'Calendario D'!$B570)</f>
        <v/>
      </c>
      <c r="H747" s="68">
        <f>IF($B747="","",Campionato!$D$2&amp;" "&amp;Campionato!$D$6)</f>
        <v/>
      </c>
      <c r="I747" s="68" t="n"/>
    </row>
    <row r="748">
      <c r="A748" s="68">
        <f>IF($B748="","","BEGIN:VEVENT
DTSTAMP:"&amp;TEXT(NOW(),"yyyymmdd")&amp;"T000001Z
UID:evt747@ClaudeCoworkBaskin
DTSTART;TZID=Europe/Rome:"&amp;TEXT($C748,"yyyymmdd")&amp;"T"&amp;TEXT($D748,"hhmmss")&amp;"
DTEND;TZID=Europe/Rome:"&amp;TEXT($E748,"yyyymmdd")&amp;"T"&amp;TEXT($F748,"hhmmss")&amp;"
SUMMARY:"&amp;$B748&amp;"
LOCATION:"&amp;$G748&amp;"
DESCRIPTION:"&amp;$H748&amp;"
END:VEVENT")</f>
        <v/>
      </c>
      <c r="B748" s="68">
        <f>IF('Calendario D'!$B572="","",'Calendario D'!$B572&amp;" vs "&amp;'Calendario D'!$D572&amp;" "&amp;'Calendario D'!$AC572)</f>
        <v/>
      </c>
      <c r="C748" s="222">
        <f>IF($B748="","",DATE(YEAR('Calendario D'!$F572),MONTH('Calendario D'!$F572),DAY('Calendario D'!$F572)))</f>
        <v/>
      </c>
      <c r="D748" s="223">
        <f>IF($B748="","",TIME(HOUR('Calendario D'!$F572),MINUTE('Calendario D'!$F572),0))</f>
        <v/>
      </c>
      <c r="E748" s="222">
        <f>IF($B748="","",DATE(YEAR('Calendario D'!$F572),MONTH('Calendario D'!$F572),DAY('Calendario D'!$F572)))</f>
        <v/>
      </c>
      <c r="F748" s="223">
        <f>IF($B748="","",TIME(HOUR('Calendario D'!$F572)+2,MINUTE('Calendario D'!$F572),0))</f>
        <v/>
      </c>
      <c r="G748" s="68">
        <f>IF($B748="","",'Calendario D'!$B573)</f>
        <v/>
      </c>
      <c r="H748" s="68">
        <f>IF($B748="","",Campionato!$D$2&amp;" "&amp;Campionato!$D$6)</f>
        <v/>
      </c>
      <c r="I748" s="68" t="n"/>
    </row>
    <row r="749">
      <c r="A749" s="68">
        <f>IF($B749="","","BEGIN:VEVENT
DTSTAMP:"&amp;TEXT(NOW(),"yyyymmdd")&amp;"T000001Z
UID:evt748@ClaudeCoworkBaskin
DTSTART;TZID=Europe/Rome:"&amp;TEXT($C749,"yyyymmdd")&amp;"T"&amp;TEXT($D749,"hhmmss")&amp;"
DTEND;TZID=Europe/Rome:"&amp;TEXT($E749,"yyyymmdd")&amp;"T"&amp;TEXT($F749,"hhmmss")&amp;"
SUMMARY:"&amp;$B749&amp;"
LOCATION:"&amp;$G749&amp;"
DESCRIPTION:"&amp;$H749&amp;"
END:VEVENT")</f>
        <v/>
      </c>
      <c r="B749" s="68">
        <f>IF('Calendario D'!$B575="","",'Calendario D'!$B575&amp;" vs "&amp;'Calendario D'!$D575&amp;" "&amp;'Calendario D'!$AC575)</f>
        <v/>
      </c>
      <c r="C749" s="222">
        <f>IF($B749="","",DATE(YEAR('Calendario D'!$F575),MONTH('Calendario D'!$F575),DAY('Calendario D'!$F575)))</f>
        <v/>
      </c>
      <c r="D749" s="223">
        <f>IF($B749="","",TIME(HOUR('Calendario D'!$F575),MINUTE('Calendario D'!$F575),0))</f>
        <v/>
      </c>
      <c r="E749" s="222">
        <f>IF($B749="","",DATE(YEAR('Calendario D'!$F575),MONTH('Calendario D'!$F575),DAY('Calendario D'!$F575)))</f>
        <v/>
      </c>
      <c r="F749" s="223">
        <f>IF($B749="","",TIME(HOUR('Calendario D'!$F575)+2,MINUTE('Calendario D'!$F575),0))</f>
        <v/>
      </c>
      <c r="G749" s="68">
        <f>IF($B749="","",'Calendario D'!$B576)</f>
        <v/>
      </c>
      <c r="H749" s="68">
        <f>IF($B749="","",Campionato!$D$2&amp;" "&amp;Campionato!$D$6)</f>
        <v/>
      </c>
      <c r="I749" s="68" t="n"/>
    </row>
    <row r="750">
      <c r="A750" s="68">
        <f>IF($B750="","","BEGIN:VEVENT
DTSTAMP:"&amp;TEXT(NOW(),"yyyymmdd")&amp;"T000001Z
UID:evt749@ClaudeCoworkBaskin
DTSTART;TZID=Europe/Rome:"&amp;TEXT($C750,"yyyymmdd")&amp;"T"&amp;TEXT($D750,"hhmmss")&amp;"
DTEND;TZID=Europe/Rome:"&amp;TEXT($E750,"yyyymmdd")&amp;"T"&amp;TEXT($F750,"hhmmss")&amp;"
SUMMARY:"&amp;$B750&amp;"
LOCATION:"&amp;$G750&amp;"
DESCRIPTION:"&amp;$H750&amp;"
END:VEVENT")</f>
        <v/>
      </c>
      <c r="B750" s="68">
        <f>IF('Calendario D'!$B578="","",'Calendario D'!$B578&amp;" vs "&amp;'Calendario D'!$D578&amp;" "&amp;'Calendario D'!$AC578)</f>
        <v/>
      </c>
      <c r="C750" s="222">
        <f>IF($B750="","",DATE(YEAR('Calendario D'!$F578),MONTH('Calendario D'!$F578),DAY('Calendario D'!$F578)))</f>
        <v/>
      </c>
      <c r="D750" s="223">
        <f>IF($B750="","",TIME(HOUR('Calendario D'!$F578),MINUTE('Calendario D'!$F578),0))</f>
        <v/>
      </c>
      <c r="E750" s="222">
        <f>IF($B750="","",DATE(YEAR('Calendario D'!$F578),MONTH('Calendario D'!$F578),DAY('Calendario D'!$F578)))</f>
        <v/>
      </c>
      <c r="F750" s="223">
        <f>IF($B750="","",TIME(HOUR('Calendario D'!$F578)+2,MINUTE('Calendario D'!$F578),0))</f>
        <v/>
      </c>
      <c r="G750" s="68">
        <f>IF($B750="","",'Calendario D'!$B579)</f>
        <v/>
      </c>
      <c r="H750" s="68">
        <f>IF($B750="","",Campionato!$D$2&amp;" "&amp;Campionato!$D$6)</f>
        <v/>
      </c>
      <c r="I750" s="68" t="n"/>
    </row>
    <row r="751">
      <c r="A751" s="68">
        <f>IF($B751="","","BEGIN:VEVENT
DTSTAMP:"&amp;TEXT(NOW(),"yyyymmdd")&amp;"T000001Z
UID:evt750@ClaudeCoworkBaskin
DTSTART;TZID=Europe/Rome:"&amp;TEXT($C751,"yyyymmdd")&amp;"T"&amp;TEXT($D751,"hhmmss")&amp;"
DTEND;TZID=Europe/Rome:"&amp;TEXT($E751,"yyyymmdd")&amp;"T"&amp;TEXT($F751,"hhmmss")&amp;"
SUMMARY:"&amp;$B751&amp;"
LOCATION:"&amp;$G751&amp;"
DESCRIPTION:"&amp;$H751&amp;"
END:VEVENT")</f>
        <v/>
      </c>
      <c r="B751" s="68">
        <f>IF('Calendario D'!$B581="","",'Calendario D'!$B581&amp;" vs "&amp;'Calendario D'!$D581&amp;" "&amp;'Calendario D'!$AC581)</f>
        <v/>
      </c>
      <c r="C751" s="222">
        <f>IF($B751="","",DATE(YEAR('Calendario D'!$F581),MONTH('Calendario D'!$F581),DAY('Calendario D'!$F581)))</f>
        <v/>
      </c>
      <c r="D751" s="223">
        <f>IF($B751="","",TIME(HOUR('Calendario D'!$F581),MINUTE('Calendario D'!$F581),0))</f>
        <v/>
      </c>
      <c r="E751" s="222">
        <f>IF($B751="","",DATE(YEAR('Calendario D'!$F581),MONTH('Calendario D'!$F581),DAY('Calendario D'!$F581)))</f>
        <v/>
      </c>
      <c r="F751" s="223">
        <f>IF($B751="","",TIME(HOUR('Calendario D'!$F581)+2,MINUTE('Calendario D'!$F581),0))</f>
        <v/>
      </c>
      <c r="G751" s="68">
        <f>IF($B751="","",'Calendario D'!$B582)</f>
        <v/>
      </c>
      <c r="H751" s="68">
        <f>IF($B751="","",Campionato!$D$2&amp;" "&amp;Campionato!$D$6)</f>
        <v/>
      </c>
      <c r="I751" s="68" t="n"/>
    </row>
    <row r="752">
      <c r="A752" s="68">
        <f>IF($B752="","","BEGIN:VEVENT
DTSTAMP:"&amp;TEXT(NOW(),"yyyymmdd")&amp;"T000001Z
UID:evt751@ClaudeCoworkBaskin
DTSTART;TZID=Europe/Rome:"&amp;TEXT($C752,"yyyymmdd")&amp;"T"&amp;TEXT($D752,"hhmmss")&amp;"
DTEND;TZID=Europe/Rome:"&amp;TEXT($E752,"yyyymmdd")&amp;"T"&amp;TEXT($F752,"hhmmss")&amp;"
SUMMARY:"&amp;$B752&amp;"
LOCATION:"&amp;$G752&amp;"
DESCRIPTION:"&amp;$H752&amp;"
END:VEVENT")</f>
        <v/>
      </c>
      <c r="B752" s="68">
        <f>IF('Calendario D'!$B586="","",'Calendario D'!$B586&amp;" vs "&amp;'Calendario D'!$D586&amp;" "&amp;'Calendario D'!$AC586)</f>
        <v/>
      </c>
      <c r="C752" s="222">
        <f>IF($B752="","",DATE(YEAR('Calendario D'!$F586),MONTH('Calendario D'!$F586),DAY('Calendario D'!$F586)))</f>
        <v/>
      </c>
      <c r="D752" s="223">
        <f>IF($B752="","",TIME(HOUR('Calendario D'!$F586),MINUTE('Calendario D'!$F586),0))</f>
        <v/>
      </c>
      <c r="E752" s="222">
        <f>IF($B752="","",DATE(YEAR('Calendario D'!$F586),MONTH('Calendario D'!$F586),DAY('Calendario D'!$F586)))</f>
        <v/>
      </c>
      <c r="F752" s="223">
        <f>IF($B752="","",TIME(HOUR('Calendario D'!$F586)+2,MINUTE('Calendario D'!$F586),0))</f>
        <v/>
      </c>
      <c r="G752" s="68">
        <f>IF($B752="","",'Calendario D'!$B587)</f>
        <v/>
      </c>
      <c r="H752" s="68">
        <f>IF($B752="","",Campionato!$D$2&amp;" "&amp;Campionato!$D$6)</f>
        <v/>
      </c>
      <c r="I752" s="68" t="n"/>
    </row>
    <row r="753">
      <c r="A753" s="68">
        <f>IF($B753="","","BEGIN:VEVENT
DTSTAMP:"&amp;TEXT(NOW(),"yyyymmdd")&amp;"T000001Z
UID:evt752@ClaudeCoworkBaskin
DTSTART;TZID=Europe/Rome:"&amp;TEXT($C753,"yyyymmdd")&amp;"T"&amp;TEXT($D753,"hhmmss")&amp;"
DTEND;TZID=Europe/Rome:"&amp;TEXT($E753,"yyyymmdd")&amp;"T"&amp;TEXT($F753,"hhmmss")&amp;"
SUMMARY:"&amp;$B753&amp;"
LOCATION:"&amp;$G753&amp;"
DESCRIPTION:"&amp;$H753&amp;"
END:VEVENT")</f>
        <v/>
      </c>
      <c r="B753" s="68">
        <f>IF('Calendario D'!$B589="","",'Calendario D'!$B589&amp;" vs "&amp;'Calendario D'!$D589&amp;" "&amp;'Calendario D'!$AC589)</f>
        <v/>
      </c>
      <c r="C753" s="222">
        <f>IF($B753="","",DATE(YEAR('Calendario D'!$F589),MONTH('Calendario D'!$F589),DAY('Calendario D'!$F589)))</f>
        <v/>
      </c>
      <c r="D753" s="223">
        <f>IF($B753="","",TIME(HOUR('Calendario D'!$F589),MINUTE('Calendario D'!$F589),0))</f>
        <v/>
      </c>
      <c r="E753" s="222">
        <f>IF($B753="","",DATE(YEAR('Calendario D'!$F589),MONTH('Calendario D'!$F589),DAY('Calendario D'!$F589)))</f>
        <v/>
      </c>
      <c r="F753" s="223">
        <f>IF($B753="","",TIME(HOUR('Calendario D'!$F589)+2,MINUTE('Calendario D'!$F589),0))</f>
        <v/>
      </c>
      <c r="G753" s="68">
        <f>IF($B753="","",'Calendario D'!$B590)</f>
        <v/>
      </c>
      <c r="H753" s="68">
        <f>IF($B753="","",Campionato!$D$2&amp;" "&amp;Campionato!$D$6)</f>
        <v/>
      </c>
      <c r="I753" s="68" t="n"/>
    </row>
    <row r="754">
      <c r="A754" s="68">
        <f>IF($B754="","","BEGIN:VEVENT
DTSTAMP:"&amp;TEXT(NOW(),"yyyymmdd")&amp;"T000001Z
UID:evt753@ClaudeCoworkBaskin
DTSTART;TZID=Europe/Rome:"&amp;TEXT($C754,"yyyymmdd")&amp;"T"&amp;TEXT($D754,"hhmmss")&amp;"
DTEND;TZID=Europe/Rome:"&amp;TEXT($E754,"yyyymmdd")&amp;"T"&amp;TEXT($F754,"hhmmss")&amp;"
SUMMARY:"&amp;$B754&amp;"
LOCATION:"&amp;$G754&amp;"
DESCRIPTION:"&amp;$H754&amp;"
END:VEVENT")</f>
        <v/>
      </c>
      <c r="B754" s="68">
        <f>IF('Calendario D'!$B592="","",'Calendario D'!$B592&amp;" vs "&amp;'Calendario D'!$D592&amp;" "&amp;'Calendario D'!$AC592)</f>
        <v/>
      </c>
      <c r="C754" s="222">
        <f>IF($B754="","",DATE(YEAR('Calendario D'!$F592),MONTH('Calendario D'!$F592),DAY('Calendario D'!$F592)))</f>
        <v/>
      </c>
      <c r="D754" s="223">
        <f>IF($B754="","",TIME(HOUR('Calendario D'!$F592),MINUTE('Calendario D'!$F592),0))</f>
        <v/>
      </c>
      <c r="E754" s="222">
        <f>IF($B754="","",DATE(YEAR('Calendario D'!$F592),MONTH('Calendario D'!$F592),DAY('Calendario D'!$F592)))</f>
        <v/>
      </c>
      <c r="F754" s="223">
        <f>IF($B754="","",TIME(HOUR('Calendario D'!$F592)+2,MINUTE('Calendario D'!$F592),0))</f>
        <v/>
      </c>
      <c r="G754" s="68">
        <f>IF($B754="","",'Calendario D'!$B593)</f>
        <v/>
      </c>
      <c r="H754" s="68">
        <f>IF($B754="","",Campionato!$D$2&amp;" "&amp;Campionato!$D$6)</f>
        <v/>
      </c>
      <c r="I754" s="68" t="n"/>
    </row>
    <row r="755">
      <c r="A755" s="68">
        <f>IF($B755="","","BEGIN:VEVENT
DTSTAMP:"&amp;TEXT(NOW(),"yyyymmdd")&amp;"T000001Z
UID:evt754@ClaudeCoworkBaskin
DTSTART;TZID=Europe/Rome:"&amp;TEXT($C755,"yyyymmdd")&amp;"T"&amp;TEXT($D755,"hhmmss")&amp;"
DTEND;TZID=Europe/Rome:"&amp;TEXT($E755,"yyyymmdd")&amp;"T"&amp;TEXT($F755,"hhmmss")&amp;"
SUMMARY:"&amp;$B755&amp;"
LOCATION:"&amp;$G755&amp;"
DESCRIPTION:"&amp;$H755&amp;"
END:VEVENT")</f>
        <v/>
      </c>
      <c r="B755" s="68">
        <f>IF('Calendario D'!$B595="","",'Calendario D'!$B595&amp;" vs "&amp;'Calendario D'!$D595&amp;" "&amp;'Calendario D'!$AC595)</f>
        <v/>
      </c>
      <c r="C755" s="222">
        <f>IF($B755="","",DATE(YEAR('Calendario D'!$F595),MONTH('Calendario D'!$F595),DAY('Calendario D'!$F595)))</f>
        <v/>
      </c>
      <c r="D755" s="223">
        <f>IF($B755="","",TIME(HOUR('Calendario D'!$F595),MINUTE('Calendario D'!$F595),0))</f>
        <v/>
      </c>
      <c r="E755" s="222">
        <f>IF($B755="","",DATE(YEAR('Calendario D'!$F595),MONTH('Calendario D'!$F595),DAY('Calendario D'!$F595)))</f>
        <v/>
      </c>
      <c r="F755" s="223">
        <f>IF($B755="","",TIME(HOUR('Calendario D'!$F595)+2,MINUTE('Calendario D'!$F595),0))</f>
        <v/>
      </c>
      <c r="G755" s="68">
        <f>IF($B755="","",'Calendario D'!$B596)</f>
        <v/>
      </c>
      <c r="H755" s="68">
        <f>IF($B755="","",Campionato!$D$2&amp;" "&amp;Campionato!$D$6)</f>
        <v/>
      </c>
      <c r="I755" s="68" t="n"/>
    </row>
    <row r="756">
      <c r="A756" s="68">
        <f>IF($B756="","","BEGIN:VEVENT
DTSTAMP:"&amp;TEXT(NOW(),"yyyymmdd")&amp;"T000001Z
UID:evt755@ClaudeCoworkBaskin
DTSTART;TZID=Europe/Rome:"&amp;TEXT($C756,"yyyymmdd")&amp;"T"&amp;TEXT($D756,"hhmmss")&amp;"
DTEND;TZID=Europe/Rome:"&amp;TEXT($E756,"yyyymmdd")&amp;"T"&amp;TEXT($F756,"hhmmss")&amp;"
SUMMARY:"&amp;$B756&amp;"
LOCATION:"&amp;$G756&amp;"
DESCRIPTION:"&amp;$H756&amp;"
END:VEVENT")</f>
        <v/>
      </c>
      <c r="B756" s="68">
        <f>IF('Calendario D'!$B598="","",'Calendario D'!$B598&amp;" vs "&amp;'Calendario D'!$D598&amp;" "&amp;'Calendario D'!$AC598)</f>
        <v/>
      </c>
      <c r="C756" s="222">
        <f>IF($B756="","",DATE(YEAR('Calendario D'!$F598),MONTH('Calendario D'!$F598),DAY('Calendario D'!$F598)))</f>
        <v/>
      </c>
      <c r="D756" s="223">
        <f>IF($B756="","",TIME(HOUR('Calendario D'!$F598),MINUTE('Calendario D'!$F598),0))</f>
        <v/>
      </c>
      <c r="E756" s="222">
        <f>IF($B756="","",DATE(YEAR('Calendario D'!$F598),MONTH('Calendario D'!$F598),DAY('Calendario D'!$F598)))</f>
        <v/>
      </c>
      <c r="F756" s="223">
        <f>IF($B756="","",TIME(HOUR('Calendario D'!$F598)+2,MINUTE('Calendario D'!$F598),0))</f>
        <v/>
      </c>
      <c r="G756" s="68">
        <f>IF($B756="","",'Calendario D'!$B599)</f>
        <v/>
      </c>
      <c r="H756" s="68">
        <f>IF($B756="","",Campionato!$D$2&amp;" "&amp;Campionato!$D$6)</f>
        <v/>
      </c>
      <c r="I756" s="68" t="n"/>
    </row>
    <row r="757">
      <c r="A757" s="68">
        <f>IF($B757="","","BEGIN:VEVENT
DTSTAMP:"&amp;TEXT(NOW(),"yyyymmdd")&amp;"T000001Z
UID:evt756@ClaudeCoworkBaskin
DTSTART;TZID=Europe/Rome:"&amp;TEXT($C757,"yyyymmdd")&amp;"T"&amp;TEXT($D757,"hhmmss")&amp;"
DTEND;TZID=Europe/Rome:"&amp;TEXT($E757,"yyyymmdd")&amp;"T"&amp;TEXT($F757,"hhmmss")&amp;"
SUMMARY:"&amp;$B757&amp;"
LOCATION:"&amp;$G757&amp;"
DESCRIPTION:"&amp;$H757&amp;"
END:VEVENT")</f>
        <v/>
      </c>
      <c r="B757" s="68">
        <f>IF('Calendario D'!$B601="","",'Calendario D'!$B601&amp;" vs "&amp;'Calendario D'!$D601&amp;" "&amp;'Calendario D'!$AC601)</f>
        <v/>
      </c>
      <c r="C757" s="222">
        <f>IF($B757="","",DATE(YEAR('Calendario D'!$F601),MONTH('Calendario D'!$F601),DAY('Calendario D'!$F601)))</f>
        <v/>
      </c>
      <c r="D757" s="223">
        <f>IF($B757="","",TIME(HOUR('Calendario D'!$F601),MINUTE('Calendario D'!$F601),0))</f>
        <v/>
      </c>
      <c r="E757" s="222">
        <f>IF($B757="","",DATE(YEAR('Calendario D'!$F601),MONTH('Calendario D'!$F601),DAY('Calendario D'!$F601)))</f>
        <v/>
      </c>
      <c r="F757" s="223">
        <f>IF($B757="","",TIME(HOUR('Calendario D'!$F601)+2,MINUTE('Calendario D'!$F601),0))</f>
        <v/>
      </c>
      <c r="G757" s="68">
        <f>IF($B757="","",'Calendario D'!$B602)</f>
        <v/>
      </c>
      <c r="H757" s="68">
        <f>IF($B757="","",Campionato!$D$2&amp;" "&amp;Campionato!$D$6)</f>
        <v/>
      </c>
      <c r="I757" s="68" t="n"/>
    </row>
    <row r="758">
      <c r="A758" s="68">
        <f>IF($B758="","","BEGIN:VEVENT
DTSTAMP:"&amp;TEXT(NOW(),"yyyymmdd")&amp;"T000001Z
UID:evt757@ClaudeCoworkBaskin
DTSTART;TZID=Europe/Rome:"&amp;TEXT($C758,"yyyymmdd")&amp;"T"&amp;TEXT($D758,"hhmmss")&amp;"
DTEND;TZID=Europe/Rome:"&amp;TEXT($E758,"yyyymmdd")&amp;"T"&amp;TEXT($F758,"hhmmss")&amp;"
SUMMARY:"&amp;$B758&amp;"
LOCATION:"&amp;$G758&amp;"
DESCRIPTION:"&amp;$H758&amp;"
END:VEVENT")</f>
        <v/>
      </c>
      <c r="B758" s="68">
        <f>IF('Calendario D'!$B604="","",'Calendario D'!$B604&amp;" vs "&amp;'Calendario D'!$D604&amp;" "&amp;'Calendario D'!$AC604)</f>
        <v/>
      </c>
      <c r="C758" s="222">
        <f>IF($B758="","",DATE(YEAR('Calendario D'!$F604),MONTH('Calendario D'!$F604),DAY('Calendario D'!$F604)))</f>
        <v/>
      </c>
      <c r="D758" s="223">
        <f>IF($B758="","",TIME(HOUR('Calendario D'!$F604),MINUTE('Calendario D'!$F604),0))</f>
        <v/>
      </c>
      <c r="E758" s="222">
        <f>IF($B758="","",DATE(YEAR('Calendario D'!$F604),MONTH('Calendario D'!$F604),DAY('Calendario D'!$F604)))</f>
        <v/>
      </c>
      <c r="F758" s="223">
        <f>IF($B758="","",TIME(HOUR('Calendario D'!$F604)+2,MINUTE('Calendario D'!$F604),0))</f>
        <v/>
      </c>
      <c r="G758" s="68">
        <f>IF($B758="","",'Calendario D'!$B605)</f>
        <v/>
      </c>
      <c r="H758" s="68">
        <f>IF($B758="","",Campionato!$D$2&amp;" "&amp;Campionato!$D$6)</f>
        <v/>
      </c>
      <c r="I758" s="68" t="n"/>
    </row>
    <row r="759">
      <c r="A759" s="68">
        <f>IF($B759="","","BEGIN:VEVENT
DTSTAMP:"&amp;TEXT(NOW(),"yyyymmdd")&amp;"T000001Z
UID:evt758@ClaudeCoworkBaskin
DTSTART;TZID=Europe/Rome:"&amp;TEXT($C759,"yyyymmdd")&amp;"T"&amp;TEXT($D759,"hhmmss")&amp;"
DTEND;TZID=Europe/Rome:"&amp;TEXT($E759,"yyyymmdd")&amp;"T"&amp;TEXT($F759,"hhmmss")&amp;"
SUMMARY:"&amp;$B759&amp;"
LOCATION:"&amp;$G759&amp;"
DESCRIPTION:"&amp;$H759&amp;"
END:VEVENT")</f>
        <v/>
      </c>
      <c r="B759" s="68">
        <f>IF('Calendario D'!$B607="","",'Calendario D'!$B607&amp;" vs "&amp;'Calendario D'!$D607&amp;" "&amp;'Calendario D'!$AC607)</f>
        <v/>
      </c>
      <c r="C759" s="222">
        <f>IF($B759="","",DATE(YEAR('Calendario D'!$F607),MONTH('Calendario D'!$F607),DAY('Calendario D'!$F607)))</f>
        <v/>
      </c>
      <c r="D759" s="223">
        <f>IF($B759="","",TIME(HOUR('Calendario D'!$F607),MINUTE('Calendario D'!$F607),0))</f>
        <v/>
      </c>
      <c r="E759" s="222">
        <f>IF($B759="","",DATE(YEAR('Calendario D'!$F607),MONTH('Calendario D'!$F607),DAY('Calendario D'!$F607)))</f>
        <v/>
      </c>
      <c r="F759" s="223">
        <f>IF($B759="","",TIME(HOUR('Calendario D'!$F607)+2,MINUTE('Calendario D'!$F607),0))</f>
        <v/>
      </c>
      <c r="G759" s="68">
        <f>IF($B759="","",'Calendario D'!$B608)</f>
        <v/>
      </c>
      <c r="H759" s="68">
        <f>IF($B759="","",Campionato!$D$2&amp;" "&amp;Campionato!$D$6)</f>
        <v/>
      </c>
      <c r="I759" s="68" t="n"/>
    </row>
    <row r="760">
      <c r="A760" s="68">
        <f>IF($B760="","","BEGIN:VEVENT
DTSTAMP:"&amp;TEXT(NOW(),"yyyymmdd")&amp;"T000001Z
UID:evt759@ClaudeCoworkBaskin
DTSTART;TZID=Europe/Rome:"&amp;TEXT($C760,"yyyymmdd")&amp;"T"&amp;TEXT($D760,"hhmmss")&amp;"
DTEND;TZID=Europe/Rome:"&amp;TEXT($E760,"yyyymmdd")&amp;"T"&amp;TEXT($F760,"hhmmss")&amp;"
SUMMARY:"&amp;$B760&amp;"
LOCATION:"&amp;$G760&amp;"
DESCRIPTION:"&amp;$H760&amp;"
END:VEVENT")</f>
        <v/>
      </c>
      <c r="B760" s="68">
        <f>IF('Calendario D'!$B610="","",'Calendario D'!$B610&amp;" vs "&amp;'Calendario D'!$D610&amp;" "&amp;'Calendario D'!$AC610)</f>
        <v/>
      </c>
      <c r="C760" s="222">
        <f>IF($B760="","",DATE(YEAR('Calendario D'!$F610),MONTH('Calendario D'!$F610),DAY('Calendario D'!$F610)))</f>
        <v/>
      </c>
      <c r="D760" s="223">
        <f>IF($B760="","",TIME(HOUR('Calendario D'!$F610),MINUTE('Calendario D'!$F610),0))</f>
        <v/>
      </c>
      <c r="E760" s="222">
        <f>IF($B760="","",DATE(YEAR('Calendario D'!$F610),MONTH('Calendario D'!$F610),DAY('Calendario D'!$F610)))</f>
        <v/>
      </c>
      <c r="F760" s="223">
        <f>IF($B760="","",TIME(HOUR('Calendario D'!$F610)+2,MINUTE('Calendario D'!$F610),0))</f>
        <v/>
      </c>
      <c r="G760" s="68">
        <f>IF($B760="","",'Calendario D'!$B611)</f>
        <v/>
      </c>
      <c r="H760" s="68">
        <f>IF($B760="","",Campionato!$D$2&amp;" "&amp;Campionato!$D$6)</f>
        <v/>
      </c>
      <c r="I760" s="68" t="n"/>
    </row>
    <row r="761">
      <c r="A761" s="68">
        <f>IF($B761="","","BEGIN:VEVENT
DTSTAMP:"&amp;TEXT(NOW(),"yyyymmdd")&amp;"T000001Z
UID:evt760@ClaudeCoworkBaskin
DTSTART;TZID=Europe/Rome:"&amp;TEXT($C761,"yyyymmdd")&amp;"T"&amp;TEXT($D761,"hhmmss")&amp;"
DTEND;TZID=Europe/Rome:"&amp;TEXT($E761,"yyyymmdd")&amp;"T"&amp;TEXT($F761,"hhmmss")&amp;"
SUMMARY:"&amp;$B761&amp;"
LOCATION:"&amp;$G761&amp;"
DESCRIPTION:"&amp;$H761&amp;"
END:VEVENT")</f>
        <v/>
      </c>
      <c r="B761" s="68">
        <f>IF('Calendario D'!$B613="","",'Calendario D'!$B613&amp;" vs "&amp;'Calendario D'!$D613&amp;" "&amp;'Calendario D'!$AC613)</f>
        <v/>
      </c>
      <c r="C761" s="222">
        <f>IF($B761="","",DATE(YEAR('Calendario D'!$F613),MONTH('Calendario D'!$F613),DAY('Calendario D'!$F613)))</f>
        <v/>
      </c>
      <c r="D761" s="223">
        <f>IF($B761="","",TIME(HOUR('Calendario D'!$F613),MINUTE('Calendario D'!$F613),0))</f>
        <v/>
      </c>
      <c r="E761" s="222">
        <f>IF($B761="","",DATE(YEAR('Calendario D'!$F613),MONTH('Calendario D'!$F613),DAY('Calendario D'!$F613)))</f>
        <v/>
      </c>
      <c r="F761" s="223">
        <f>IF($B761="","",TIME(HOUR('Calendario D'!$F613)+2,MINUTE('Calendario D'!$F613),0))</f>
        <v/>
      </c>
      <c r="G761" s="68">
        <f>IF($B761="","",'Calendario D'!$B614)</f>
        <v/>
      </c>
      <c r="H761" s="68">
        <f>IF($B761="","",Campionato!$D$2&amp;" "&amp;Campionato!$D$6)</f>
        <v/>
      </c>
      <c r="I761" s="68" t="n"/>
    </row>
    <row r="762">
      <c r="A762" s="68">
        <f>IF($B762="","","BEGIN:VEVENT
DTSTAMP:"&amp;TEXT(NOW(),"yyyymmdd")&amp;"T000001Z
UID:evt761@ClaudeCoworkBaskin
DTSTART;TZID=Europe/Rome:"&amp;TEXT($C762,"yyyymmdd")&amp;"T"&amp;TEXT($D762,"hhmmss")&amp;"
DTEND;TZID=Europe/Rome:"&amp;TEXT($E762,"yyyymmdd")&amp;"T"&amp;TEXT($F762,"hhmmss")&amp;"
SUMMARY:"&amp;$B762&amp;"
LOCATION:"&amp;$G762&amp;"
DESCRIPTION:"&amp;$H762&amp;"
END:VEVENT")</f>
        <v/>
      </c>
      <c r="B762" s="68">
        <f>IF('Playoff'!$B10="","",'Playoff'!$B10&amp;" vs "&amp;'Playoff'!$D10&amp;" "&amp;'Playoff'!$AC10)</f>
        <v/>
      </c>
      <c r="C762" s="222">
        <f>IF($B762="","",DATE(YEAR('Playoff'!$F10),MONTH('Playoff'!$F10),DAY('Playoff'!$F10)))</f>
        <v/>
      </c>
      <c r="D762" s="223">
        <f>IF($B762="","",TIME(HOUR('Playoff'!$F10),MINUTE('Playoff'!$F10),0))</f>
        <v/>
      </c>
      <c r="E762" s="222">
        <f>IF($B762="","",DATE(YEAR('Playoff'!$F10),MONTH('Playoff'!$F10),DAY('Playoff'!$F10)))</f>
        <v/>
      </c>
      <c r="F762" s="223">
        <f>IF($B762="","",TIME(HOUR('Playoff'!$F10)+2,MINUTE('Playoff'!$F10),0))</f>
        <v/>
      </c>
      <c r="G762" s="68">
        <f>IF($B762="","",'Playoff'!$B11)</f>
        <v/>
      </c>
      <c r="H762" s="68">
        <f>IF($B762="","",Campionato!$D$2&amp;" "&amp;Campionato!$D$6)</f>
        <v/>
      </c>
      <c r="I762" s="68" t="n"/>
    </row>
    <row r="763">
      <c r="A763" s="68">
        <f>IF($B763="","","BEGIN:VEVENT
DTSTAMP:"&amp;TEXT(NOW(),"yyyymmdd")&amp;"T000001Z
UID:evt762@ClaudeCoworkBaskin
DTSTART;TZID=Europe/Rome:"&amp;TEXT($C763,"yyyymmdd")&amp;"T"&amp;TEXT($D763,"hhmmss")&amp;"
DTEND;TZID=Europe/Rome:"&amp;TEXT($E763,"yyyymmdd")&amp;"T"&amp;TEXT($F763,"hhmmss")&amp;"
SUMMARY:"&amp;$B763&amp;"
LOCATION:"&amp;$G763&amp;"
DESCRIPTION:"&amp;$H763&amp;"
END:VEVENT")</f>
        <v/>
      </c>
      <c r="B763" s="68">
        <f>IF('Playoff'!$B13="","",'Playoff'!$B13&amp;" vs "&amp;'Playoff'!$D13&amp;" "&amp;'Playoff'!$AC13)</f>
        <v/>
      </c>
      <c r="C763" s="222">
        <f>IF($B763="","",DATE(YEAR('Playoff'!$F13),MONTH('Playoff'!$F13),DAY('Playoff'!$F13)))</f>
        <v/>
      </c>
      <c r="D763" s="223">
        <f>IF($B763="","",TIME(HOUR('Playoff'!$F13),MINUTE('Playoff'!$F13),0))</f>
        <v/>
      </c>
      <c r="E763" s="222">
        <f>IF($B763="","",DATE(YEAR('Playoff'!$F13),MONTH('Playoff'!$F13),DAY('Playoff'!$F13)))</f>
        <v/>
      </c>
      <c r="F763" s="223">
        <f>IF($B763="","",TIME(HOUR('Playoff'!$F13)+2,MINUTE('Playoff'!$F13),0))</f>
        <v/>
      </c>
      <c r="G763" s="68">
        <f>IF($B763="","",'Playoff'!$B14)</f>
        <v/>
      </c>
      <c r="H763" s="68">
        <f>IF($B763="","",Campionato!$D$2&amp;" "&amp;Campionato!$D$6)</f>
        <v/>
      </c>
      <c r="I763" s="68" t="n"/>
    </row>
    <row r="764">
      <c r="A764" s="68">
        <f>IF($B764="","","BEGIN:VEVENT
DTSTAMP:"&amp;TEXT(NOW(),"yyyymmdd")&amp;"T000001Z
UID:evt763@ClaudeCoworkBaskin
DTSTART;TZID=Europe/Rome:"&amp;TEXT($C764,"yyyymmdd")&amp;"T"&amp;TEXT($D764,"hhmmss")&amp;"
DTEND;TZID=Europe/Rome:"&amp;TEXT($E764,"yyyymmdd")&amp;"T"&amp;TEXT($F764,"hhmmss")&amp;"
SUMMARY:"&amp;$B764&amp;"
LOCATION:"&amp;$G764&amp;"
DESCRIPTION:"&amp;$H764&amp;"
END:VEVENT")</f>
        <v/>
      </c>
      <c r="B764" s="68">
        <f>IF('Playoff'!$B16="","",'Playoff'!$B16&amp;" vs "&amp;'Playoff'!$D16&amp;" "&amp;'Playoff'!$AC16)</f>
        <v/>
      </c>
      <c r="C764" s="222">
        <f>IF($B764="","",DATE(YEAR('Playoff'!$F16),MONTH('Playoff'!$F16),DAY('Playoff'!$F16)))</f>
        <v/>
      </c>
      <c r="D764" s="223">
        <f>IF($B764="","",TIME(HOUR('Playoff'!$F16),MINUTE('Playoff'!$F16),0))</f>
        <v/>
      </c>
      <c r="E764" s="222">
        <f>IF($B764="","",DATE(YEAR('Playoff'!$F16),MONTH('Playoff'!$F16),DAY('Playoff'!$F16)))</f>
        <v/>
      </c>
      <c r="F764" s="223">
        <f>IF($B764="","",TIME(HOUR('Playoff'!$F16)+2,MINUTE('Playoff'!$F16),0))</f>
        <v/>
      </c>
      <c r="G764" s="68">
        <f>IF($B764="","",'Playoff'!$B17)</f>
        <v/>
      </c>
      <c r="H764" s="68">
        <f>IF($B764="","",Campionato!$D$2&amp;" "&amp;Campionato!$D$6)</f>
        <v/>
      </c>
      <c r="I764" s="68" t="n"/>
    </row>
    <row r="765">
      <c r="A765" s="68">
        <f>IF($B765="","","BEGIN:VEVENT
DTSTAMP:"&amp;TEXT(NOW(),"yyyymmdd")&amp;"T000001Z
UID:evt764@ClaudeCoworkBaskin
DTSTART;TZID=Europe/Rome:"&amp;TEXT($C765,"yyyymmdd")&amp;"T"&amp;TEXT($D765,"hhmmss")&amp;"
DTEND;TZID=Europe/Rome:"&amp;TEXT($E765,"yyyymmdd")&amp;"T"&amp;TEXT($F765,"hhmmss")&amp;"
SUMMARY:"&amp;$B765&amp;"
LOCATION:"&amp;$G765&amp;"
DESCRIPTION:"&amp;$H765&amp;"
END:VEVENT")</f>
        <v/>
      </c>
      <c r="B765" s="68">
        <f>IF('Playoff'!$B19="","",'Playoff'!$B19&amp;" vs "&amp;'Playoff'!$D19&amp;" "&amp;'Playoff'!$AC19)</f>
        <v/>
      </c>
      <c r="C765" s="222">
        <f>IF($B765="","",DATE(YEAR('Playoff'!$F19),MONTH('Playoff'!$F19),DAY('Playoff'!$F19)))</f>
        <v/>
      </c>
      <c r="D765" s="223">
        <f>IF($B765="","",TIME(HOUR('Playoff'!$F19),MINUTE('Playoff'!$F19),0))</f>
        <v/>
      </c>
      <c r="E765" s="222">
        <f>IF($B765="","",DATE(YEAR('Playoff'!$F19),MONTH('Playoff'!$F19),DAY('Playoff'!$F19)))</f>
        <v/>
      </c>
      <c r="F765" s="223">
        <f>IF($B765="","",TIME(HOUR('Playoff'!$F19)+2,MINUTE('Playoff'!$F19),0))</f>
        <v/>
      </c>
      <c r="G765" s="68">
        <f>IF($B765="","",'Playoff'!$B20)</f>
        <v/>
      </c>
      <c r="H765" s="68">
        <f>IF($B765="","",Campionato!$D$2&amp;" "&amp;Campionato!$D$6)</f>
        <v/>
      </c>
      <c r="I765" s="68" t="n"/>
    </row>
    <row r="766">
      <c r="A766" s="68">
        <f>IF($B766="","","BEGIN:VEVENT
DTSTAMP:"&amp;TEXT(NOW(),"yyyymmdd")&amp;"T000001Z
UID:evt765@ClaudeCoworkBaskin
DTSTART;TZID=Europe/Rome:"&amp;TEXT($C766,"yyyymmdd")&amp;"T"&amp;TEXT($D766,"hhmmss")&amp;"
DTEND;TZID=Europe/Rome:"&amp;TEXT($E766,"yyyymmdd")&amp;"T"&amp;TEXT($F766,"hhmmss")&amp;"
SUMMARY:"&amp;$B766&amp;"
LOCATION:"&amp;$G766&amp;"
DESCRIPTION:"&amp;$H766&amp;"
END:VEVENT")</f>
        <v/>
      </c>
      <c r="B766" s="68">
        <f>IF('Playoff'!$B22="","",'Playoff'!$B22&amp;" vs "&amp;'Playoff'!$D22&amp;" "&amp;'Playoff'!$AC22)</f>
        <v/>
      </c>
      <c r="C766" s="222">
        <f>IF($B766="","",DATE(YEAR('Playoff'!$F22),MONTH('Playoff'!$F22),DAY('Playoff'!$F22)))</f>
        <v/>
      </c>
      <c r="D766" s="223">
        <f>IF($B766="","",TIME(HOUR('Playoff'!$F22),MINUTE('Playoff'!$F22),0))</f>
        <v/>
      </c>
      <c r="E766" s="222">
        <f>IF($B766="","",DATE(YEAR('Playoff'!$F22),MONTH('Playoff'!$F22),DAY('Playoff'!$F22)))</f>
        <v/>
      </c>
      <c r="F766" s="223">
        <f>IF($B766="","",TIME(HOUR('Playoff'!$F22)+2,MINUTE('Playoff'!$F22),0))</f>
        <v/>
      </c>
      <c r="G766" s="68">
        <f>IF($B766="","",'Playoff'!$B23)</f>
        <v/>
      </c>
      <c r="H766" s="68">
        <f>IF($B766="","",Campionato!$D$2&amp;" "&amp;Campionato!$D$6)</f>
        <v/>
      </c>
      <c r="I766" s="68" t="n"/>
    </row>
    <row r="767">
      <c r="A767" s="68">
        <f>IF($B767="","","BEGIN:VEVENT
DTSTAMP:"&amp;TEXT(NOW(),"yyyymmdd")&amp;"T000001Z
UID:evt766@ClaudeCoworkBaskin
DTSTART;TZID=Europe/Rome:"&amp;TEXT($C767,"yyyymmdd")&amp;"T"&amp;TEXT($D767,"hhmmss")&amp;"
DTEND;TZID=Europe/Rome:"&amp;TEXT($E767,"yyyymmdd")&amp;"T"&amp;TEXT($F767,"hhmmss")&amp;"
SUMMARY:"&amp;$B767&amp;"
LOCATION:"&amp;$G767&amp;"
DESCRIPTION:"&amp;$H767&amp;"
END:VEVENT")</f>
        <v/>
      </c>
      <c r="B767" s="68">
        <f>IF('Playoff'!$B25="","",'Playoff'!$B25&amp;" vs "&amp;'Playoff'!$D25&amp;" "&amp;'Playoff'!$AC25)</f>
        <v/>
      </c>
      <c r="C767" s="222">
        <f>IF($B767="","",DATE(YEAR('Playoff'!$F25),MONTH('Playoff'!$F25),DAY('Playoff'!$F25)))</f>
        <v/>
      </c>
      <c r="D767" s="223">
        <f>IF($B767="","",TIME(HOUR('Playoff'!$F25),MINUTE('Playoff'!$F25),0))</f>
        <v/>
      </c>
      <c r="E767" s="222">
        <f>IF($B767="","",DATE(YEAR('Playoff'!$F25),MONTH('Playoff'!$F25),DAY('Playoff'!$F25)))</f>
        <v/>
      </c>
      <c r="F767" s="223">
        <f>IF($B767="","",TIME(HOUR('Playoff'!$F25)+2,MINUTE('Playoff'!$F25),0))</f>
        <v/>
      </c>
      <c r="G767" s="68">
        <f>IF($B767="","",'Playoff'!$B26)</f>
        <v/>
      </c>
      <c r="H767" s="68">
        <f>IF($B767="","",Campionato!$D$2&amp;" "&amp;Campionato!$D$6)</f>
        <v/>
      </c>
      <c r="I767" s="68" t="n"/>
    </row>
    <row r="768">
      <c r="A768" s="68">
        <f>IF($B768="","","BEGIN:VEVENT
DTSTAMP:"&amp;TEXT(NOW(),"yyyymmdd")&amp;"T000001Z
UID:evt767@ClaudeCoworkBaskin
DTSTART;TZID=Europe/Rome:"&amp;TEXT($C768,"yyyymmdd")&amp;"T"&amp;TEXT($D768,"hhmmss")&amp;"
DTEND;TZID=Europe/Rome:"&amp;TEXT($E768,"yyyymmdd")&amp;"T"&amp;TEXT($F768,"hhmmss")&amp;"
SUMMARY:"&amp;$B768&amp;"
LOCATION:"&amp;$G768&amp;"
DESCRIPTION:"&amp;$H768&amp;"
END:VEVENT")</f>
        <v/>
      </c>
      <c r="B768" s="68">
        <f>IF('Playoff'!$B28="","",'Playoff'!$B28&amp;" vs "&amp;'Playoff'!$D28&amp;" "&amp;'Playoff'!$AC28)</f>
        <v/>
      </c>
      <c r="C768" s="222">
        <f>IF($B768="","",DATE(YEAR('Playoff'!$F28),MONTH('Playoff'!$F28),DAY('Playoff'!$F28)))</f>
        <v/>
      </c>
      <c r="D768" s="223">
        <f>IF($B768="","",TIME(HOUR('Playoff'!$F28),MINUTE('Playoff'!$F28),0))</f>
        <v/>
      </c>
      <c r="E768" s="222">
        <f>IF($B768="","",DATE(YEAR('Playoff'!$F28),MONTH('Playoff'!$F28),DAY('Playoff'!$F28)))</f>
        <v/>
      </c>
      <c r="F768" s="223">
        <f>IF($B768="","",TIME(HOUR('Playoff'!$F28)+2,MINUTE('Playoff'!$F28),0))</f>
        <v/>
      </c>
      <c r="G768" s="68">
        <f>IF($B768="","",'Playoff'!$B29)</f>
        <v/>
      </c>
      <c r="H768" s="68">
        <f>IF($B768="","",Campionato!$D$2&amp;" "&amp;Campionato!$D$6)</f>
        <v/>
      </c>
      <c r="I768" s="68" t="n"/>
    </row>
    <row r="769">
      <c r="A769" s="68">
        <f>IF($B769="","","BEGIN:VEVENT
DTSTAMP:"&amp;TEXT(NOW(),"yyyymmdd")&amp;"T000001Z
UID:evt768@ClaudeCoworkBaskin
DTSTART;TZID=Europe/Rome:"&amp;TEXT($C769,"yyyymmdd")&amp;"T"&amp;TEXT($D769,"hhmmss")&amp;"
DTEND;TZID=Europe/Rome:"&amp;TEXT($E769,"yyyymmdd")&amp;"T"&amp;TEXT($F769,"hhmmss")&amp;"
SUMMARY:"&amp;$B769&amp;"
LOCATION:"&amp;$G769&amp;"
DESCRIPTION:"&amp;$H769&amp;"
END:VEVENT")</f>
        <v/>
      </c>
      <c r="B769" s="68">
        <f>IF('Playoff'!$B31="","",'Playoff'!$B31&amp;" vs "&amp;'Playoff'!$D31&amp;" "&amp;'Playoff'!$AC31)</f>
        <v/>
      </c>
      <c r="C769" s="222">
        <f>IF($B769="","",DATE(YEAR('Playoff'!$F31),MONTH('Playoff'!$F31),DAY('Playoff'!$F31)))</f>
        <v/>
      </c>
      <c r="D769" s="223">
        <f>IF($B769="","",TIME(HOUR('Playoff'!$F31),MINUTE('Playoff'!$F31),0))</f>
        <v/>
      </c>
      <c r="E769" s="222">
        <f>IF($B769="","",DATE(YEAR('Playoff'!$F31),MONTH('Playoff'!$F31),DAY('Playoff'!$F31)))</f>
        <v/>
      </c>
      <c r="F769" s="223">
        <f>IF($B769="","",TIME(HOUR('Playoff'!$F31)+2,MINUTE('Playoff'!$F31),0))</f>
        <v/>
      </c>
      <c r="G769" s="68">
        <f>IF($B769="","",'Playoff'!$B32)</f>
        <v/>
      </c>
      <c r="H769" s="68">
        <f>IF($B769="","",Campionato!$D$2&amp;" "&amp;Campionato!$D$6)</f>
        <v/>
      </c>
      <c r="I769" s="68" t="n"/>
    </row>
    <row r="770">
      <c r="A770" s="68">
        <f>IF($B770="","","BEGIN:VEVENT
DTSTAMP:"&amp;TEXT(NOW(),"yyyymmdd")&amp;"T000001Z
UID:evt769@ClaudeCoworkBaskin
DTSTART;TZID=Europe/Rome:"&amp;TEXT($C770,"yyyymmdd")&amp;"T"&amp;TEXT($D770,"hhmmss")&amp;"
DTEND;TZID=Europe/Rome:"&amp;TEXT($E770,"yyyymmdd")&amp;"T"&amp;TEXT($F770,"hhmmss")&amp;"
SUMMARY:"&amp;$B770&amp;"
LOCATION:"&amp;$G770&amp;"
DESCRIPTION:"&amp;$H770&amp;"
END:VEVENT")</f>
        <v/>
      </c>
      <c r="B770" s="68">
        <f>IF('Playoff'!$B36="","",'Playoff'!$B36&amp;" vs "&amp;'Playoff'!$D36&amp;" "&amp;'Playoff'!$AC36)</f>
        <v/>
      </c>
      <c r="C770" s="222">
        <f>IF($B770="","",DATE(YEAR('Playoff'!$F36),MONTH('Playoff'!$F36),DAY('Playoff'!$F36)))</f>
        <v/>
      </c>
      <c r="D770" s="223">
        <f>IF($B770="","",TIME(HOUR('Playoff'!$F36),MINUTE('Playoff'!$F36),0))</f>
        <v/>
      </c>
      <c r="E770" s="222">
        <f>IF($B770="","",DATE(YEAR('Playoff'!$F36),MONTH('Playoff'!$F36),DAY('Playoff'!$F36)))</f>
        <v/>
      </c>
      <c r="F770" s="223">
        <f>IF($B770="","",TIME(HOUR('Playoff'!$F36)+2,MINUTE('Playoff'!$F36),0))</f>
        <v/>
      </c>
      <c r="G770" s="68">
        <f>IF($B770="","",'Playoff'!$B37)</f>
        <v/>
      </c>
      <c r="H770" s="68">
        <f>IF($B770="","",Campionato!$D$2&amp;" "&amp;Campionato!$D$6)</f>
        <v/>
      </c>
      <c r="I770" s="68" t="n"/>
    </row>
    <row r="771">
      <c r="A771" s="68">
        <f>IF($B771="","","BEGIN:VEVENT
DTSTAMP:"&amp;TEXT(NOW(),"yyyymmdd")&amp;"T000001Z
UID:evt770@ClaudeCoworkBaskin
DTSTART;TZID=Europe/Rome:"&amp;TEXT($C771,"yyyymmdd")&amp;"T"&amp;TEXT($D771,"hhmmss")&amp;"
DTEND;TZID=Europe/Rome:"&amp;TEXT($E771,"yyyymmdd")&amp;"T"&amp;TEXT($F771,"hhmmss")&amp;"
SUMMARY:"&amp;$B771&amp;"
LOCATION:"&amp;$G771&amp;"
DESCRIPTION:"&amp;$H771&amp;"
END:VEVENT")</f>
        <v/>
      </c>
      <c r="B771" s="68">
        <f>IF('Playoff'!$B39="","",'Playoff'!$B39&amp;" vs "&amp;'Playoff'!$D39&amp;" "&amp;'Playoff'!$AC39)</f>
        <v/>
      </c>
      <c r="C771" s="222">
        <f>IF($B771="","",DATE(YEAR('Playoff'!$F39),MONTH('Playoff'!$F39),DAY('Playoff'!$F39)))</f>
        <v/>
      </c>
      <c r="D771" s="223">
        <f>IF($B771="","",TIME(HOUR('Playoff'!$F39),MINUTE('Playoff'!$F39),0))</f>
        <v/>
      </c>
      <c r="E771" s="222">
        <f>IF($B771="","",DATE(YEAR('Playoff'!$F39),MONTH('Playoff'!$F39),DAY('Playoff'!$F39)))</f>
        <v/>
      </c>
      <c r="F771" s="223">
        <f>IF($B771="","",TIME(HOUR('Playoff'!$F39)+2,MINUTE('Playoff'!$F39),0))</f>
        <v/>
      </c>
      <c r="G771" s="68">
        <f>IF($B771="","",'Playoff'!$B40)</f>
        <v/>
      </c>
      <c r="H771" s="68">
        <f>IF($B771="","",Campionato!$D$2&amp;" "&amp;Campionato!$D$6)</f>
        <v/>
      </c>
      <c r="I771" s="68" t="n"/>
    </row>
    <row r="772">
      <c r="A772" s="68">
        <f>IF($B772="","","BEGIN:VEVENT
DTSTAMP:"&amp;TEXT(NOW(),"yyyymmdd")&amp;"T000001Z
UID:evt771@ClaudeCoworkBaskin
DTSTART;TZID=Europe/Rome:"&amp;TEXT($C772,"yyyymmdd")&amp;"T"&amp;TEXT($D772,"hhmmss")&amp;"
DTEND;TZID=Europe/Rome:"&amp;TEXT($E772,"yyyymmdd")&amp;"T"&amp;TEXT($F772,"hhmmss")&amp;"
SUMMARY:"&amp;$B772&amp;"
LOCATION:"&amp;$G772&amp;"
DESCRIPTION:"&amp;$H772&amp;"
END:VEVENT")</f>
        <v/>
      </c>
      <c r="B772" s="68">
        <f>IF('Playoff'!$B42="","",'Playoff'!$B42&amp;" vs "&amp;'Playoff'!$D42&amp;" "&amp;'Playoff'!$AC42)</f>
        <v/>
      </c>
      <c r="C772" s="222">
        <f>IF($B772="","",DATE(YEAR('Playoff'!$F42),MONTH('Playoff'!$F42),DAY('Playoff'!$F42)))</f>
        <v/>
      </c>
      <c r="D772" s="223">
        <f>IF($B772="","",TIME(HOUR('Playoff'!$F42),MINUTE('Playoff'!$F42),0))</f>
        <v/>
      </c>
      <c r="E772" s="222">
        <f>IF($B772="","",DATE(YEAR('Playoff'!$F42),MONTH('Playoff'!$F42),DAY('Playoff'!$F42)))</f>
        <v/>
      </c>
      <c r="F772" s="223">
        <f>IF($B772="","",TIME(HOUR('Playoff'!$F42)+2,MINUTE('Playoff'!$F42),0))</f>
        <v/>
      </c>
      <c r="G772" s="68">
        <f>IF($B772="","",'Playoff'!$B43)</f>
        <v/>
      </c>
      <c r="H772" s="68">
        <f>IF($B772="","",Campionato!$D$2&amp;" "&amp;Campionato!$D$6)</f>
        <v/>
      </c>
      <c r="I772" s="68" t="n"/>
    </row>
    <row r="773">
      <c r="A773" s="68">
        <f>IF($B773="","","BEGIN:VEVENT
DTSTAMP:"&amp;TEXT(NOW(),"yyyymmdd")&amp;"T000001Z
UID:evt772@ClaudeCoworkBaskin
DTSTART;TZID=Europe/Rome:"&amp;TEXT($C773,"yyyymmdd")&amp;"T"&amp;TEXT($D773,"hhmmss")&amp;"
DTEND;TZID=Europe/Rome:"&amp;TEXT($E773,"yyyymmdd")&amp;"T"&amp;TEXT($F773,"hhmmss")&amp;"
SUMMARY:"&amp;$B773&amp;"
LOCATION:"&amp;$G773&amp;"
DESCRIPTION:"&amp;$H773&amp;"
END:VEVENT")</f>
        <v/>
      </c>
      <c r="B773" s="68">
        <f>IF('Playoff'!$B45="","",'Playoff'!$B45&amp;" vs "&amp;'Playoff'!$D45&amp;" "&amp;'Playoff'!$AC45)</f>
        <v/>
      </c>
      <c r="C773" s="222">
        <f>IF($B773="","",DATE(YEAR('Playoff'!$F45),MONTH('Playoff'!$F45),DAY('Playoff'!$F45)))</f>
        <v/>
      </c>
      <c r="D773" s="223">
        <f>IF($B773="","",TIME(HOUR('Playoff'!$F45),MINUTE('Playoff'!$F45),0))</f>
        <v/>
      </c>
      <c r="E773" s="222">
        <f>IF($B773="","",DATE(YEAR('Playoff'!$F45),MONTH('Playoff'!$F45),DAY('Playoff'!$F45)))</f>
        <v/>
      </c>
      <c r="F773" s="223">
        <f>IF($B773="","",TIME(HOUR('Playoff'!$F45)+2,MINUTE('Playoff'!$F45),0))</f>
        <v/>
      </c>
      <c r="G773" s="68">
        <f>IF($B773="","",'Playoff'!$B46)</f>
        <v/>
      </c>
      <c r="H773" s="68">
        <f>IF($B773="","",Campionato!$D$2&amp;" "&amp;Campionato!$D$6)</f>
        <v/>
      </c>
      <c r="I773" s="68" t="n"/>
    </row>
    <row r="774">
      <c r="A774" s="68">
        <f>IF($B774="","","BEGIN:VEVENT
DTSTAMP:"&amp;TEXT(NOW(),"yyyymmdd")&amp;"T000001Z
UID:evt773@ClaudeCoworkBaskin
DTSTART;TZID=Europe/Rome:"&amp;TEXT($C774,"yyyymmdd")&amp;"T"&amp;TEXT($D774,"hhmmss")&amp;"
DTEND;TZID=Europe/Rome:"&amp;TEXT($E774,"yyyymmdd")&amp;"T"&amp;TEXT($F774,"hhmmss")&amp;"
SUMMARY:"&amp;$B774&amp;"
LOCATION:"&amp;$G774&amp;"
DESCRIPTION:"&amp;$H774&amp;"
END:VEVENT")</f>
        <v/>
      </c>
      <c r="B774" s="68">
        <f>IF('Playoff'!$B50="","",'Playoff'!$B50&amp;" vs "&amp;'Playoff'!$D50&amp;" "&amp;'Playoff'!$AC50)</f>
        <v/>
      </c>
      <c r="C774" s="222">
        <f>IF($B774="","",DATE(YEAR('Playoff'!$F50),MONTH('Playoff'!$F50),DAY('Playoff'!$F50)))</f>
        <v/>
      </c>
      <c r="D774" s="223">
        <f>IF($B774="","",TIME(HOUR('Playoff'!$F50),MINUTE('Playoff'!$F50),0))</f>
        <v/>
      </c>
      <c r="E774" s="222">
        <f>IF($B774="","",DATE(YEAR('Playoff'!$F50),MONTH('Playoff'!$F50),DAY('Playoff'!$F50)))</f>
        <v/>
      </c>
      <c r="F774" s="223">
        <f>IF($B774="","",TIME(HOUR('Playoff'!$F50)+2,MINUTE('Playoff'!$F50),0))</f>
        <v/>
      </c>
      <c r="G774" s="68">
        <f>IF($B774="","",'Playoff'!$B51)</f>
        <v/>
      </c>
      <c r="H774" s="68">
        <f>IF($B774="","",Campionato!$D$2&amp;" "&amp;Campionato!$D$6)</f>
        <v/>
      </c>
      <c r="I774" s="68" t="n"/>
    </row>
    <row r="775">
      <c r="A775" s="68">
        <f>IF($B775="","","BEGIN:VEVENT
DTSTAMP:"&amp;TEXT(NOW(),"yyyymmdd")&amp;"T000001Z
UID:evt774@ClaudeCoworkBaskin
DTSTART;TZID=Europe/Rome:"&amp;TEXT($C775,"yyyymmdd")&amp;"T"&amp;TEXT($D775,"hhmmss")&amp;"
DTEND;TZID=Europe/Rome:"&amp;TEXT($E775,"yyyymmdd")&amp;"T"&amp;TEXT($F775,"hhmmss")&amp;"
SUMMARY:"&amp;$B775&amp;"
LOCATION:"&amp;$G775&amp;"
DESCRIPTION:"&amp;$H775&amp;"
END:VEVENT")</f>
        <v/>
      </c>
      <c r="B775" s="68">
        <f>IF('Playoff'!$B53="","",'Playoff'!$B53&amp;" vs "&amp;'Playoff'!$D53&amp;" "&amp;'Playoff'!$AC53)</f>
        <v/>
      </c>
      <c r="C775" s="222">
        <f>IF($B775="","",DATE(YEAR('Playoff'!$F53),MONTH('Playoff'!$F53),DAY('Playoff'!$F53)))</f>
        <v/>
      </c>
      <c r="D775" s="223">
        <f>IF($B775="","",TIME(HOUR('Playoff'!$F53),MINUTE('Playoff'!$F53),0))</f>
        <v/>
      </c>
      <c r="E775" s="222">
        <f>IF($B775="","",DATE(YEAR('Playoff'!$F53),MONTH('Playoff'!$F53),DAY('Playoff'!$F53)))</f>
        <v/>
      </c>
      <c r="F775" s="223">
        <f>IF($B775="","",TIME(HOUR('Playoff'!$F53)+2,MINUTE('Playoff'!$F53),0))</f>
        <v/>
      </c>
      <c r="G775" s="68">
        <f>IF($B775="","",'Playoff'!$B54)</f>
        <v/>
      </c>
      <c r="H775" s="68">
        <f>IF($B775="","",Campionato!$D$2&amp;" "&amp;Campionato!$D$6)</f>
        <v/>
      </c>
      <c r="I775" s="68" t="n"/>
    </row>
    <row r="776">
      <c r="A776" s="68">
        <f>IF($B776="","","BEGIN:VEVENT
DTSTAMP:"&amp;TEXT(NOW(),"yyyymmdd")&amp;"T000001Z
UID:evt775@ClaudeCoworkBaskin
DTSTART;TZID=Europe/Rome:"&amp;TEXT($C776,"yyyymmdd")&amp;"T"&amp;TEXT($D776,"hhmmss")&amp;"
DTEND;TZID=Europe/Rome:"&amp;TEXT($E776,"yyyymmdd")&amp;"T"&amp;TEXT($F776,"hhmmss")&amp;"
SUMMARY:"&amp;$B776&amp;"
LOCATION:"&amp;$G776&amp;"
DESCRIPTION:"&amp;$H776&amp;"
END:VEVENT")</f>
        <v/>
      </c>
      <c r="B776" s="68">
        <f>IF('Playoff'!$B58="","",'Playoff'!$B58&amp;" vs "&amp;'Playoff'!$D58&amp;" "&amp;'Playoff'!$AC58)</f>
        <v/>
      </c>
      <c r="C776" s="222">
        <f>IF($B776="","",DATE(YEAR('Playoff'!$F58),MONTH('Playoff'!$F58),DAY('Playoff'!$F58)))</f>
        <v/>
      </c>
      <c r="D776" s="223">
        <f>IF($B776="","",TIME(HOUR('Playoff'!$F58),MINUTE('Playoff'!$F58),0))</f>
        <v/>
      </c>
      <c r="E776" s="222">
        <f>IF($B776="","",DATE(YEAR('Playoff'!$F58),MONTH('Playoff'!$F58),DAY('Playoff'!$F58)))</f>
        <v/>
      </c>
      <c r="F776" s="223">
        <f>IF($B776="","",TIME(HOUR('Playoff'!$F58)+2,MINUTE('Playoff'!$F58),0))</f>
        <v/>
      </c>
      <c r="G776" s="68">
        <f>IF($B776="","",'Playoff'!$B59)</f>
        <v/>
      </c>
      <c r="H776" s="68">
        <f>IF($B776="","",Campionato!$D$2&amp;" "&amp;Campionato!$D$6)</f>
        <v/>
      </c>
      <c r="I776" s="68" t="n"/>
    </row>
    <row r="777">
      <c r="A777" s="68">
        <f>IF($B777="","","BEGIN:VEVENT
DTSTAMP:"&amp;TEXT(NOW(),"yyyymmdd")&amp;"T000001Z
UID:evt776@ClaudeCoworkBaskin
DTSTART;TZID=Europe/Rome:"&amp;TEXT($C777,"yyyymmdd")&amp;"T"&amp;TEXT($D777,"hhmmss")&amp;"
DTEND;TZID=Europe/Rome:"&amp;TEXT($E777,"yyyymmdd")&amp;"T"&amp;TEXT($F777,"hhmmss")&amp;"
SUMMARY:"&amp;$B777&amp;"
LOCATION:"&amp;$G777&amp;"
DESCRIPTION:"&amp;$H777&amp;"
END:VEVENT")</f>
        <v/>
      </c>
      <c r="B777" s="68">
        <f>IF('Playoff'!$B61="","",'Playoff'!$B61&amp;" vs "&amp;'Playoff'!$D61&amp;" "&amp;'Playoff'!$AC61)</f>
        <v/>
      </c>
      <c r="C777" s="222">
        <f>IF($B777="","",DATE(YEAR('Playoff'!$F61),MONTH('Playoff'!$F61),DAY('Playoff'!$F61)))</f>
        <v/>
      </c>
      <c r="D777" s="223">
        <f>IF($B777="","",TIME(HOUR('Playoff'!$F61),MINUTE('Playoff'!$F61),0))</f>
        <v/>
      </c>
      <c r="E777" s="222">
        <f>IF($B777="","",DATE(YEAR('Playoff'!$F61),MONTH('Playoff'!$F61),DAY('Playoff'!$F61)))</f>
        <v/>
      </c>
      <c r="F777" s="223">
        <f>IF($B777="","",TIME(HOUR('Playoff'!$F61)+2,MINUTE('Playoff'!$F61),0))</f>
        <v/>
      </c>
      <c r="G777" s="68">
        <f>IF($B777="","",'Playoff'!$B62)</f>
        <v/>
      </c>
      <c r="H777" s="68">
        <f>IF($B777="","",Campionato!$D$2&amp;" "&amp;Campionato!$D$6)</f>
        <v/>
      </c>
      <c r="I777" s="68" t="n"/>
    </row>
    <row r="779">
      <c r="A779" s="68">
        <f>"END:VCALENDAR"</f>
        <v/>
      </c>
    </row>
  </sheetData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6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A-D: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  <row r="382">
      <c r="A382" s="68">
        <f>'Calendario C'!M10</f>
        <v/>
      </c>
      <c r="B382" s="68">
        <f>'Calendario C'!N10</f>
        <v/>
      </c>
      <c r="C382" s="68">
        <f>'Calendario C'!O10</f>
        <v/>
      </c>
      <c r="D382" s="68">
        <f>'Calendario C'!P10</f>
        <v/>
      </c>
      <c r="E382" s="68">
        <f>'Calendario C'!Q10</f>
        <v/>
      </c>
      <c r="F382" s="68">
        <f>'Calendario C'!R10</f>
        <v/>
      </c>
      <c r="G382" s="68">
        <f>'Calendario C'!S10</f>
        <v/>
      </c>
      <c r="H382" s="68">
        <f>'Calendario C'!T10</f>
        <v/>
      </c>
      <c r="I382" s="68">
        <f>'Calendario C'!U10</f>
        <v/>
      </c>
      <c r="J382" s="68">
        <f>'Calendario C'!V10</f>
        <v/>
      </c>
      <c r="K382" s="68">
        <f>'Calendario C'!W10</f>
        <v/>
      </c>
      <c r="L382" s="68">
        <f>'Calendario C'!X10</f>
        <v/>
      </c>
      <c r="M382" s="68">
        <f>'Calendario C'!Y10</f>
        <v/>
      </c>
      <c r="N382" s="68">
        <f>'Calendario C'!Z10</f>
        <v/>
      </c>
    </row>
    <row r="383">
      <c r="A383" s="68">
        <f>'Calendario C'!M13</f>
        <v/>
      </c>
      <c r="B383" s="68">
        <f>'Calendario C'!N13</f>
        <v/>
      </c>
      <c r="C383" s="68">
        <f>'Calendario C'!O13</f>
        <v/>
      </c>
      <c r="D383" s="68">
        <f>'Calendario C'!P13</f>
        <v/>
      </c>
      <c r="E383" s="68">
        <f>'Calendario C'!Q13</f>
        <v/>
      </c>
      <c r="F383" s="68">
        <f>'Calendario C'!R13</f>
        <v/>
      </c>
      <c r="G383" s="68">
        <f>'Calendario C'!S13</f>
        <v/>
      </c>
      <c r="H383" s="68">
        <f>'Calendario C'!T13</f>
        <v/>
      </c>
      <c r="I383" s="68">
        <f>'Calendario C'!U13</f>
        <v/>
      </c>
      <c r="J383" s="68">
        <f>'Calendario C'!V13</f>
        <v/>
      </c>
      <c r="K383" s="68">
        <f>'Calendario C'!W13</f>
        <v/>
      </c>
      <c r="L383" s="68">
        <f>'Calendario C'!X13</f>
        <v/>
      </c>
      <c r="M383" s="68">
        <f>'Calendario C'!Y13</f>
        <v/>
      </c>
      <c r="N383" s="68">
        <f>'Calendario C'!Z13</f>
        <v/>
      </c>
    </row>
    <row r="384">
      <c r="A384" s="68">
        <f>'Calendario C'!M16</f>
        <v/>
      </c>
      <c r="B384" s="68">
        <f>'Calendario C'!N16</f>
        <v/>
      </c>
      <c r="C384" s="68">
        <f>'Calendario C'!O16</f>
        <v/>
      </c>
      <c r="D384" s="68">
        <f>'Calendario C'!P16</f>
        <v/>
      </c>
      <c r="E384" s="68">
        <f>'Calendario C'!Q16</f>
        <v/>
      </c>
      <c r="F384" s="68">
        <f>'Calendario C'!R16</f>
        <v/>
      </c>
      <c r="G384" s="68">
        <f>'Calendario C'!S16</f>
        <v/>
      </c>
      <c r="H384" s="68">
        <f>'Calendario C'!T16</f>
        <v/>
      </c>
      <c r="I384" s="68">
        <f>'Calendario C'!U16</f>
        <v/>
      </c>
      <c r="J384" s="68">
        <f>'Calendario C'!V16</f>
        <v/>
      </c>
      <c r="K384" s="68">
        <f>'Calendario C'!W16</f>
        <v/>
      </c>
      <c r="L384" s="68">
        <f>'Calendario C'!X16</f>
        <v/>
      </c>
      <c r="M384" s="68">
        <f>'Calendario C'!Y16</f>
        <v/>
      </c>
      <c r="N384" s="68">
        <f>'Calendario C'!Z16</f>
        <v/>
      </c>
    </row>
    <row r="385">
      <c r="A385" s="68">
        <f>'Calendario C'!M19</f>
        <v/>
      </c>
      <c r="B385" s="68">
        <f>'Calendario C'!N19</f>
        <v/>
      </c>
      <c r="C385" s="68">
        <f>'Calendario C'!O19</f>
        <v/>
      </c>
      <c r="D385" s="68">
        <f>'Calendario C'!P19</f>
        <v/>
      </c>
      <c r="E385" s="68">
        <f>'Calendario C'!Q19</f>
        <v/>
      </c>
      <c r="F385" s="68">
        <f>'Calendario C'!R19</f>
        <v/>
      </c>
      <c r="G385" s="68">
        <f>'Calendario C'!S19</f>
        <v/>
      </c>
      <c r="H385" s="68">
        <f>'Calendario C'!T19</f>
        <v/>
      </c>
      <c r="I385" s="68">
        <f>'Calendario C'!U19</f>
        <v/>
      </c>
      <c r="J385" s="68">
        <f>'Calendario C'!V19</f>
        <v/>
      </c>
      <c r="K385" s="68">
        <f>'Calendario C'!W19</f>
        <v/>
      </c>
      <c r="L385" s="68">
        <f>'Calendario C'!X19</f>
        <v/>
      </c>
      <c r="M385" s="68">
        <f>'Calendario C'!Y19</f>
        <v/>
      </c>
      <c r="N385" s="68">
        <f>'Calendario C'!Z19</f>
        <v/>
      </c>
    </row>
    <row r="386">
      <c r="A386" s="68">
        <f>'Calendario C'!M22</f>
        <v/>
      </c>
      <c r="B386" s="68">
        <f>'Calendario C'!N22</f>
        <v/>
      </c>
      <c r="C386" s="68">
        <f>'Calendario C'!O22</f>
        <v/>
      </c>
      <c r="D386" s="68">
        <f>'Calendario C'!P22</f>
        <v/>
      </c>
      <c r="E386" s="68">
        <f>'Calendario C'!Q22</f>
        <v/>
      </c>
      <c r="F386" s="68">
        <f>'Calendario C'!R22</f>
        <v/>
      </c>
      <c r="G386" s="68">
        <f>'Calendario C'!S22</f>
        <v/>
      </c>
      <c r="H386" s="68">
        <f>'Calendario C'!T22</f>
        <v/>
      </c>
      <c r="I386" s="68">
        <f>'Calendario C'!U22</f>
        <v/>
      </c>
      <c r="J386" s="68">
        <f>'Calendario C'!V22</f>
        <v/>
      </c>
      <c r="K386" s="68">
        <f>'Calendario C'!W22</f>
        <v/>
      </c>
      <c r="L386" s="68">
        <f>'Calendario C'!X22</f>
        <v/>
      </c>
      <c r="M386" s="68">
        <f>'Calendario C'!Y22</f>
        <v/>
      </c>
      <c r="N386" s="68">
        <f>'Calendario C'!Z22</f>
        <v/>
      </c>
    </row>
    <row r="387">
      <c r="A387" s="68">
        <f>'Calendario C'!M25</f>
        <v/>
      </c>
      <c r="B387" s="68">
        <f>'Calendario C'!N25</f>
        <v/>
      </c>
      <c r="C387" s="68">
        <f>'Calendario C'!O25</f>
        <v/>
      </c>
      <c r="D387" s="68">
        <f>'Calendario C'!P25</f>
        <v/>
      </c>
      <c r="E387" s="68">
        <f>'Calendario C'!Q25</f>
        <v/>
      </c>
      <c r="F387" s="68">
        <f>'Calendario C'!R25</f>
        <v/>
      </c>
      <c r="G387" s="68">
        <f>'Calendario C'!S25</f>
        <v/>
      </c>
      <c r="H387" s="68">
        <f>'Calendario C'!T25</f>
        <v/>
      </c>
      <c r="I387" s="68">
        <f>'Calendario C'!U25</f>
        <v/>
      </c>
      <c r="J387" s="68">
        <f>'Calendario C'!V25</f>
        <v/>
      </c>
      <c r="K387" s="68">
        <f>'Calendario C'!W25</f>
        <v/>
      </c>
      <c r="L387" s="68">
        <f>'Calendario C'!X25</f>
        <v/>
      </c>
      <c r="M387" s="68">
        <f>'Calendario C'!Y25</f>
        <v/>
      </c>
      <c r="N387" s="68">
        <f>'Calendario C'!Z25</f>
        <v/>
      </c>
    </row>
    <row r="388">
      <c r="A388" s="68">
        <f>'Calendario C'!M28</f>
        <v/>
      </c>
      <c r="B388" s="68">
        <f>'Calendario C'!N28</f>
        <v/>
      </c>
      <c r="C388" s="68">
        <f>'Calendario C'!O28</f>
        <v/>
      </c>
      <c r="D388" s="68">
        <f>'Calendario C'!P28</f>
        <v/>
      </c>
      <c r="E388" s="68">
        <f>'Calendario C'!Q28</f>
        <v/>
      </c>
      <c r="F388" s="68">
        <f>'Calendario C'!R28</f>
        <v/>
      </c>
      <c r="G388" s="68">
        <f>'Calendario C'!S28</f>
        <v/>
      </c>
      <c r="H388" s="68">
        <f>'Calendario C'!T28</f>
        <v/>
      </c>
      <c r="I388" s="68">
        <f>'Calendario C'!U28</f>
        <v/>
      </c>
      <c r="J388" s="68">
        <f>'Calendario C'!V28</f>
        <v/>
      </c>
      <c r="K388" s="68">
        <f>'Calendario C'!W28</f>
        <v/>
      </c>
      <c r="L388" s="68">
        <f>'Calendario C'!X28</f>
        <v/>
      </c>
      <c r="M388" s="68">
        <f>'Calendario C'!Y28</f>
        <v/>
      </c>
      <c r="N388" s="68">
        <f>'Calendario C'!Z28</f>
        <v/>
      </c>
    </row>
    <row r="389">
      <c r="A389" s="68">
        <f>'Calendario C'!M31</f>
        <v/>
      </c>
      <c r="B389" s="68">
        <f>'Calendario C'!N31</f>
        <v/>
      </c>
      <c r="C389" s="68">
        <f>'Calendario C'!O31</f>
        <v/>
      </c>
      <c r="D389" s="68">
        <f>'Calendario C'!P31</f>
        <v/>
      </c>
      <c r="E389" s="68">
        <f>'Calendario C'!Q31</f>
        <v/>
      </c>
      <c r="F389" s="68">
        <f>'Calendario C'!R31</f>
        <v/>
      </c>
      <c r="G389" s="68">
        <f>'Calendario C'!S31</f>
        <v/>
      </c>
      <c r="H389" s="68">
        <f>'Calendario C'!T31</f>
        <v/>
      </c>
      <c r="I389" s="68">
        <f>'Calendario C'!U31</f>
        <v/>
      </c>
      <c r="J389" s="68">
        <f>'Calendario C'!V31</f>
        <v/>
      </c>
      <c r="K389" s="68">
        <f>'Calendario C'!W31</f>
        <v/>
      </c>
      <c r="L389" s="68">
        <f>'Calendario C'!X31</f>
        <v/>
      </c>
      <c r="M389" s="68">
        <f>'Calendario C'!Y31</f>
        <v/>
      </c>
      <c r="N389" s="68">
        <f>'Calendario C'!Z31</f>
        <v/>
      </c>
    </row>
    <row r="390">
      <c r="A390" s="68">
        <f>'Calendario C'!M34</f>
        <v/>
      </c>
      <c r="B390" s="68">
        <f>'Calendario C'!N34</f>
        <v/>
      </c>
      <c r="C390" s="68">
        <f>'Calendario C'!O34</f>
        <v/>
      </c>
      <c r="D390" s="68">
        <f>'Calendario C'!P34</f>
        <v/>
      </c>
      <c r="E390" s="68">
        <f>'Calendario C'!Q34</f>
        <v/>
      </c>
      <c r="F390" s="68">
        <f>'Calendario C'!R34</f>
        <v/>
      </c>
      <c r="G390" s="68">
        <f>'Calendario C'!S34</f>
        <v/>
      </c>
      <c r="H390" s="68">
        <f>'Calendario C'!T34</f>
        <v/>
      </c>
      <c r="I390" s="68">
        <f>'Calendario C'!U34</f>
        <v/>
      </c>
      <c r="J390" s="68">
        <f>'Calendario C'!V34</f>
        <v/>
      </c>
      <c r="K390" s="68">
        <f>'Calendario C'!W34</f>
        <v/>
      </c>
      <c r="L390" s="68">
        <f>'Calendario C'!X34</f>
        <v/>
      </c>
      <c r="M390" s="68">
        <f>'Calendario C'!Y34</f>
        <v/>
      </c>
      <c r="N390" s="68">
        <f>'Calendario C'!Z34</f>
        <v/>
      </c>
    </row>
    <row r="391">
      <c r="A391" s="68">
        <f>'Calendario C'!M37</f>
        <v/>
      </c>
      <c r="B391" s="68">
        <f>'Calendario C'!N37</f>
        <v/>
      </c>
      <c r="C391" s="68">
        <f>'Calendario C'!O37</f>
        <v/>
      </c>
      <c r="D391" s="68">
        <f>'Calendario C'!P37</f>
        <v/>
      </c>
      <c r="E391" s="68">
        <f>'Calendario C'!Q37</f>
        <v/>
      </c>
      <c r="F391" s="68">
        <f>'Calendario C'!R37</f>
        <v/>
      </c>
      <c r="G391" s="68">
        <f>'Calendario C'!S37</f>
        <v/>
      </c>
      <c r="H391" s="68">
        <f>'Calendario C'!T37</f>
        <v/>
      </c>
      <c r="I391" s="68">
        <f>'Calendario C'!U37</f>
        <v/>
      </c>
      <c r="J391" s="68">
        <f>'Calendario C'!V37</f>
        <v/>
      </c>
      <c r="K391" s="68">
        <f>'Calendario C'!W37</f>
        <v/>
      </c>
      <c r="L391" s="68">
        <f>'Calendario C'!X37</f>
        <v/>
      </c>
      <c r="M391" s="68">
        <f>'Calendario C'!Y37</f>
        <v/>
      </c>
      <c r="N391" s="68">
        <f>'Calendario C'!Z37</f>
        <v/>
      </c>
    </row>
    <row r="392">
      <c r="A392" s="68">
        <f>'Calendario C'!M42</f>
        <v/>
      </c>
      <c r="B392" s="68">
        <f>'Calendario C'!N42</f>
        <v/>
      </c>
      <c r="C392" s="68">
        <f>'Calendario C'!O42</f>
        <v/>
      </c>
      <c r="D392" s="68">
        <f>'Calendario C'!P42</f>
        <v/>
      </c>
      <c r="E392" s="68">
        <f>'Calendario C'!Q42</f>
        <v/>
      </c>
      <c r="F392" s="68">
        <f>'Calendario C'!R42</f>
        <v/>
      </c>
      <c r="G392" s="68">
        <f>'Calendario C'!S42</f>
        <v/>
      </c>
      <c r="H392" s="68">
        <f>'Calendario C'!T42</f>
        <v/>
      </c>
      <c r="I392" s="68">
        <f>'Calendario C'!U42</f>
        <v/>
      </c>
      <c r="J392" s="68">
        <f>'Calendario C'!V42</f>
        <v/>
      </c>
      <c r="K392" s="68">
        <f>'Calendario C'!W42</f>
        <v/>
      </c>
      <c r="L392" s="68">
        <f>'Calendario C'!X42</f>
        <v/>
      </c>
      <c r="M392" s="68">
        <f>'Calendario C'!Y42</f>
        <v/>
      </c>
      <c r="N392" s="68">
        <f>'Calendario C'!Z42</f>
        <v/>
      </c>
    </row>
    <row r="393">
      <c r="A393" s="68">
        <f>'Calendario C'!M45</f>
        <v/>
      </c>
      <c r="B393" s="68">
        <f>'Calendario C'!N45</f>
        <v/>
      </c>
      <c r="C393" s="68">
        <f>'Calendario C'!O45</f>
        <v/>
      </c>
      <c r="D393" s="68">
        <f>'Calendario C'!P45</f>
        <v/>
      </c>
      <c r="E393" s="68">
        <f>'Calendario C'!Q45</f>
        <v/>
      </c>
      <c r="F393" s="68">
        <f>'Calendario C'!R45</f>
        <v/>
      </c>
      <c r="G393" s="68">
        <f>'Calendario C'!S45</f>
        <v/>
      </c>
      <c r="H393" s="68">
        <f>'Calendario C'!T45</f>
        <v/>
      </c>
      <c r="I393" s="68">
        <f>'Calendario C'!U45</f>
        <v/>
      </c>
      <c r="J393" s="68">
        <f>'Calendario C'!V45</f>
        <v/>
      </c>
      <c r="K393" s="68">
        <f>'Calendario C'!W45</f>
        <v/>
      </c>
      <c r="L393" s="68">
        <f>'Calendario C'!X45</f>
        <v/>
      </c>
      <c r="M393" s="68">
        <f>'Calendario C'!Y45</f>
        <v/>
      </c>
      <c r="N393" s="68">
        <f>'Calendario C'!Z45</f>
        <v/>
      </c>
    </row>
    <row r="394">
      <c r="A394" s="68">
        <f>'Calendario C'!M48</f>
        <v/>
      </c>
      <c r="B394" s="68">
        <f>'Calendario C'!N48</f>
        <v/>
      </c>
      <c r="C394" s="68">
        <f>'Calendario C'!O48</f>
        <v/>
      </c>
      <c r="D394" s="68">
        <f>'Calendario C'!P48</f>
        <v/>
      </c>
      <c r="E394" s="68">
        <f>'Calendario C'!Q48</f>
        <v/>
      </c>
      <c r="F394" s="68">
        <f>'Calendario C'!R48</f>
        <v/>
      </c>
      <c r="G394" s="68">
        <f>'Calendario C'!S48</f>
        <v/>
      </c>
      <c r="H394" s="68">
        <f>'Calendario C'!T48</f>
        <v/>
      </c>
      <c r="I394" s="68">
        <f>'Calendario C'!U48</f>
        <v/>
      </c>
      <c r="J394" s="68">
        <f>'Calendario C'!V48</f>
        <v/>
      </c>
      <c r="K394" s="68">
        <f>'Calendario C'!W48</f>
        <v/>
      </c>
      <c r="L394" s="68">
        <f>'Calendario C'!X48</f>
        <v/>
      </c>
      <c r="M394" s="68">
        <f>'Calendario C'!Y48</f>
        <v/>
      </c>
      <c r="N394" s="68">
        <f>'Calendario C'!Z48</f>
        <v/>
      </c>
    </row>
    <row r="395">
      <c r="A395" s="68">
        <f>'Calendario C'!M51</f>
        <v/>
      </c>
      <c r="B395" s="68">
        <f>'Calendario C'!N51</f>
        <v/>
      </c>
      <c r="C395" s="68">
        <f>'Calendario C'!O51</f>
        <v/>
      </c>
      <c r="D395" s="68">
        <f>'Calendario C'!P51</f>
        <v/>
      </c>
      <c r="E395" s="68">
        <f>'Calendario C'!Q51</f>
        <v/>
      </c>
      <c r="F395" s="68">
        <f>'Calendario C'!R51</f>
        <v/>
      </c>
      <c r="G395" s="68">
        <f>'Calendario C'!S51</f>
        <v/>
      </c>
      <c r="H395" s="68">
        <f>'Calendario C'!T51</f>
        <v/>
      </c>
      <c r="I395" s="68">
        <f>'Calendario C'!U51</f>
        <v/>
      </c>
      <c r="J395" s="68">
        <f>'Calendario C'!V51</f>
        <v/>
      </c>
      <c r="K395" s="68">
        <f>'Calendario C'!W51</f>
        <v/>
      </c>
      <c r="L395" s="68">
        <f>'Calendario C'!X51</f>
        <v/>
      </c>
      <c r="M395" s="68">
        <f>'Calendario C'!Y51</f>
        <v/>
      </c>
      <c r="N395" s="68">
        <f>'Calendario C'!Z51</f>
        <v/>
      </c>
    </row>
    <row r="396">
      <c r="A396" s="68">
        <f>'Calendario C'!M54</f>
        <v/>
      </c>
      <c r="B396" s="68">
        <f>'Calendario C'!N54</f>
        <v/>
      </c>
      <c r="C396" s="68">
        <f>'Calendario C'!O54</f>
        <v/>
      </c>
      <c r="D396" s="68">
        <f>'Calendario C'!P54</f>
        <v/>
      </c>
      <c r="E396" s="68">
        <f>'Calendario C'!Q54</f>
        <v/>
      </c>
      <c r="F396" s="68">
        <f>'Calendario C'!R54</f>
        <v/>
      </c>
      <c r="G396" s="68">
        <f>'Calendario C'!S54</f>
        <v/>
      </c>
      <c r="H396" s="68">
        <f>'Calendario C'!T54</f>
        <v/>
      </c>
      <c r="I396" s="68">
        <f>'Calendario C'!U54</f>
        <v/>
      </c>
      <c r="J396" s="68">
        <f>'Calendario C'!V54</f>
        <v/>
      </c>
      <c r="K396" s="68">
        <f>'Calendario C'!W54</f>
        <v/>
      </c>
      <c r="L396" s="68">
        <f>'Calendario C'!X54</f>
        <v/>
      </c>
      <c r="M396" s="68">
        <f>'Calendario C'!Y54</f>
        <v/>
      </c>
      <c r="N396" s="68">
        <f>'Calendario C'!Z54</f>
        <v/>
      </c>
    </row>
    <row r="397">
      <c r="A397" s="68">
        <f>'Calendario C'!M57</f>
        <v/>
      </c>
      <c r="B397" s="68">
        <f>'Calendario C'!N57</f>
        <v/>
      </c>
      <c r="C397" s="68">
        <f>'Calendario C'!O57</f>
        <v/>
      </c>
      <c r="D397" s="68">
        <f>'Calendario C'!P57</f>
        <v/>
      </c>
      <c r="E397" s="68">
        <f>'Calendario C'!Q57</f>
        <v/>
      </c>
      <c r="F397" s="68">
        <f>'Calendario C'!R57</f>
        <v/>
      </c>
      <c r="G397" s="68">
        <f>'Calendario C'!S57</f>
        <v/>
      </c>
      <c r="H397" s="68">
        <f>'Calendario C'!T57</f>
        <v/>
      </c>
      <c r="I397" s="68">
        <f>'Calendario C'!U57</f>
        <v/>
      </c>
      <c r="J397" s="68">
        <f>'Calendario C'!V57</f>
        <v/>
      </c>
      <c r="K397" s="68">
        <f>'Calendario C'!W57</f>
        <v/>
      </c>
      <c r="L397" s="68">
        <f>'Calendario C'!X57</f>
        <v/>
      </c>
      <c r="M397" s="68">
        <f>'Calendario C'!Y57</f>
        <v/>
      </c>
      <c r="N397" s="68">
        <f>'Calendario C'!Z57</f>
        <v/>
      </c>
    </row>
    <row r="398">
      <c r="A398" s="68">
        <f>'Calendario C'!M60</f>
        <v/>
      </c>
      <c r="B398" s="68">
        <f>'Calendario C'!N60</f>
        <v/>
      </c>
      <c r="C398" s="68">
        <f>'Calendario C'!O60</f>
        <v/>
      </c>
      <c r="D398" s="68">
        <f>'Calendario C'!P60</f>
        <v/>
      </c>
      <c r="E398" s="68">
        <f>'Calendario C'!Q60</f>
        <v/>
      </c>
      <c r="F398" s="68">
        <f>'Calendario C'!R60</f>
        <v/>
      </c>
      <c r="G398" s="68">
        <f>'Calendario C'!S60</f>
        <v/>
      </c>
      <c r="H398" s="68">
        <f>'Calendario C'!T60</f>
        <v/>
      </c>
      <c r="I398" s="68">
        <f>'Calendario C'!U60</f>
        <v/>
      </c>
      <c r="J398" s="68">
        <f>'Calendario C'!V60</f>
        <v/>
      </c>
      <c r="K398" s="68">
        <f>'Calendario C'!W60</f>
        <v/>
      </c>
      <c r="L398" s="68">
        <f>'Calendario C'!X60</f>
        <v/>
      </c>
      <c r="M398" s="68">
        <f>'Calendario C'!Y60</f>
        <v/>
      </c>
      <c r="N398" s="68">
        <f>'Calendario C'!Z60</f>
        <v/>
      </c>
    </row>
    <row r="399">
      <c r="A399" s="68">
        <f>'Calendario C'!M63</f>
        <v/>
      </c>
      <c r="B399" s="68">
        <f>'Calendario C'!N63</f>
        <v/>
      </c>
      <c r="C399" s="68">
        <f>'Calendario C'!O63</f>
        <v/>
      </c>
      <c r="D399" s="68">
        <f>'Calendario C'!P63</f>
        <v/>
      </c>
      <c r="E399" s="68">
        <f>'Calendario C'!Q63</f>
        <v/>
      </c>
      <c r="F399" s="68">
        <f>'Calendario C'!R63</f>
        <v/>
      </c>
      <c r="G399" s="68">
        <f>'Calendario C'!S63</f>
        <v/>
      </c>
      <c r="H399" s="68">
        <f>'Calendario C'!T63</f>
        <v/>
      </c>
      <c r="I399" s="68">
        <f>'Calendario C'!U63</f>
        <v/>
      </c>
      <c r="J399" s="68">
        <f>'Calendario C'!V63</f>
        <v/>
      </c>
      <c r="K399" s="68">
        <f>'Calendario C'!W63</f>
        <v/>
      </c>
      <c r="L399" s="68">
        <f>'Calendario C'!X63</f>
        <v/>
      </c>
      <c r="M399" s="68">
        <f>'Calendario C'!Y63</f>
        <v/>
      </c>
      <c r="N399" s="68">
        <f>'Calendario C'!Z63</f>
        <v/>
      </c>
    </row>
    <row r="400">
      <c r="A400" s="68">
        <f>'Calendario C'!M66</f>
        <v/>
      </c>
      <c r="B400" s="68">
        <f>'Calendario C'!N66</f>
        <v/>
      </c>
      <c r="C400" s="68">
        <f>'Calendario C'!O66</f>
        <v/>
      </c>
      <c r="D400" s="68">
        <f>'Calendario C'!P66</f>
        <v/>
      </c>
      <c r="E400" s="68">
        <f>'Calendario C'!Q66</f>
        <v/>
      </c>
      <c r="F400" s="68">
        <f>'Calendario C'!R66</f>
        <v/>
      </c>
      <c r="G400" s="68">
        <f>'Calendario C'!S66</f>
        <v/>
      </c>
      <c r="H400" s="68">
        <f>'Calendario C'!T66</f>
        <v/>
      </c>
      <c r="I400" s="68">
        <f>'Calendario C'!U66</f>
        <v/>
      </c>
      <c r="J400" s="68">
        <f>'Calendario C'!V66</f>
        <v/>
      </c>
      <c r="K400" s="68">
        <f>'Calendario C'!W66</f>
        <v/>
      </c>
      <c r="L400" s="68">
        <f>'Calendario C'!X66</f>
        <v/>
      </c>
      <c r="M400" s="68">
        <f>'Calendario C'!Y66</f>
        <v/>
      </c>
      <c r="N400" s="68">
        <f>'Calendario C'!Z66</f>
        <v/>
      </c>
    </row>
    <row r="401">
      <c r="A401" s="68">
        <f>'Calendario C'!M69</f>
        <v/>
      </c>
      <c r="B401" s="68">
        <f>'Calendario C'!N69</f>
        <v/>
      </c>
      <c r="C401" s="68">
        <f>'Calendario C'!O69</f>
        <v/>
      </c>
      <c r="D401" s="68">
        <f>'Calendario C'!P69</f>
        <v/>
      </c>
      <c r="E401" s="68">
        <f>'Calendario C'!Q69</f>
        <v/>
      </c>
      <c r="F401" s="68">
        <f>'Calendario C'!R69</f>
        <v/>
      </c>
      <c r="G401" s="68">
        <f>'Calendario C'!S69</f>
        <v/>
      </c>
      <c r="H401" s="68">
        <f>'Calendario C'!T69</f>
        <v/>
      </c>
      <c r="I401" s="68">
        <f>'Calendario C'!U69</f>
        <v/>
      </c>
      <c r="J401" s="68">
        <f>'Calendario C'!V69</f>
        <v/>
      </c>
      <c r="K401" s="68">
        <f>'Calendario C'!W69</f>
        <v/>
      </c>
      <c r="L401" s="68">
        <f>'Calendario C'!X69</f>
        <v/>
      </c>
      <c r="M401" s="68">
        <f>'Calendario C'!Y69</f>
        <v/>
      </c>
      <c r="N401" s="68">
        <f>'Calendario C'!Z69</f>
        <v/>
      </c>
    </row>
    <row r="402">
      <c r="A402" s="68">
        <f>'Calendario C'!M74</f>
        <v/>
      </c>
      <c r="B402" s="68">
        <f>'Calendario C'!N74</f>
        <v/>
      </c>
      <c r="C402" s="68">
        <f>'Calendario C'!O74</f>
        <v/>
      </c>
      <c r="D402" s="68">
        <f>'Calendario C'!P74</f>
        <v/>
      </c>
      <c r="E402" s="68">
        <f>'Calendario C'!Q74</f>
        <v/>
      </c>
      <c r="F402" s="68">
        <f>'Calendario C'!R74</f>
        <v/>
      </c>
      <c r="G402" s="68">
        <f>'Calendario C'!S74</f>
        <v/>
      </c>
      <c r="H402" s="68">
        <f>'Calendario C'!T74</f>
        <v/>
      </c>
      <c r="I402" s="68">
        <f>'Calendario C'!U74</f>
        <v/>
      </c>
      <c r="J402" s="68">
        <f>'Calendario C'!V74</f>
        <v/>
      </c>
      <c r="K402" s="68">
        <f>'Calendario C'!W74</f>
        <v/>
      </c>
      <c r="L402" s="68">
        <f>'Calendario C'!X74</f>
        <v/>
      </c>
      <c r="M402" s="68">
        <f>'Calendario C'!Y74</f>
        <v/>
      </c>
      <c r="N402" s="68">
        <f>'Calendario C'!Z74</f>
        <v/>
      </c>
    </row>
    <row r="403">
      <c r="A403" s="68">
        <f>'Calendario C'!M77</f>
        <v/>
      </c>
      <c r="B403" s="68">
        <f>'Calendario C'!N77</f>
        <v/>
      </c>
      <c r="C403" s="68">
        <f>'Calendario C'!O77</f>
        <v/>
      </c>
      <c r="D403" s="68">
        <f>'Calendario C'!P77</f>
        <v/>
      </c>
      <c r="E403" s="68">
        <f>'Calendario C'!Q77</f>
        <v/>
      </c>
      <c r="F403" s="68">
        <f>'Calendario C'!R77</f>
        <v/>
      </c>
      <c r="G403" s="68">
        <f>'Calendario C'!S77</f>
        <v/>
      </c>
      <c r="H403" s="68">
        <f>'Calendario C'!T77</f>
        <v/>
      </c>
      <c r="I403" s="68">
        <f>'Calendario C'!U77</f>
        <v/>
      </c>
      <c r="J403" s="68">
        <f>'Calendario C'!V77</f>
        <v/>
      </c>
      <c r="K403" s="68">
        <f>'Calendario C'!W77</f>
        <v/>
      </c>
      <c r="L403" s="68">
        <f>'Calendario C'!X77</f>
        <v/>
      </c>
      <c r="M403" s="68">
        <f>'Calendario C'!Y77</f>
        <v/>
      </c>
      <c r="N403" s="68">
        <f>'Calendario C'!Z77</f>
        <v/>
      </c>
    </row>
    <row r="404">
      <c r="A404" s="68">
        <f>'Calendario C'!M80</f>
        <v/>
      </c>
      <c r="B404" s="68">
        <f>'Calendario C'!N80</f>
        <v/>
      </c>
      <c r="C404" s="68">
        <f>'Calendario C'!O80</f>
        <v/>
      </c>
      <c r="D404" s="68">
        <f>'Calendario C'!P80</f>
        <v/>
      </c>
      <c r="E404" s="68">
        <f>'Calendario C'!Q80</f>
        <v/>
      </c>
      <c r="F404" s="68">
        <f>'Calendario C'!R80</f>
        <v/>
      </c>
      <c r="G404" s="68">
        <f>'Calendario C'!S80</f>
        <v/>
      </c>
      <c r="H404" s="68">
        <f>'Calendario C'!T80</f>
        <v/>
      </c>
      <c r="I404" s="68">
        <f>'Calendario C'!U80</f>
        <v/>
      </c>
      <c r="J404" s="68">
        <f>'Calendario C'!V80</f>
        <v/>
      </c>
      <c r="K404" s="68">
        <f>'Calendario C'!W80</f>
        <v/>
      </c>
      <c r="L404" s="68">
        <f>'Calendario C'!X80</f>
        <v/>
      </c>
      <c r="M404" s="68">
        <f>'Calendario C'!Y80</f>
        <v/>
      </c>
      <c r="N404" s="68">
        <f>'Calendario C'!Z80</f>
        <v/>
      </c>
    </row>
    <row r="405">
      <c r="A405" s="68">
        <f>'Calendario C'!M83</f>
        <v/>
      </c>
      <c r="B405" s="68">
        <f>'Calendario C'!N83</f>
        <v/>
      </c>
      <c r="C405" s="68">
        <f>'Calendario C'!O83</f>
        <v/>
      </c>
      <c r="D405" s="68">
        <f>'Calendario C'!P83</f>
        <v/>
      </c>
      <c r="E405" s="68">
        <f>'Calendario C'!Q83</f>
        <v/>
      </c>
      <c r="F405" s="68">
        <f>'Calendario C'!R83</f>
        <v/>
      </c>
      <c r="G405" s="68">
        <f>'Calendario C'!S83</f>
        <v/>
      </c>
      <c r="H405" s="68">
        <f>'Calendario C'!T83</f>
        <v/>
      </c>
      <c r="I405" s="68">
        <f>'Calendario C'!U83</f>
        <v/>
      </c>
      <c r="J405" s="68">
        <f>'Calendario C'!V83</f>
        <v/>
      </c>
      <c r="K405" s="68">
        <f>'Calendario C'!W83</f>
        <v/>
      </c>
      <c r="L405" s="68">
        <f>'Calendario C'!X83</f>
        <v/>
      </c>
      <c r="M405" s="68">
        <f>'Calendario C'!Y83</f>
        <v/>
      </c>
      <c r="N405" s="68">
        <f>'Calendario C'!Z83</f>
        <v/>
      </c>
    </row>
    <row r="406">
      <c r="A406" s="68">
        <f>'Calendario C'!M86</f>
        <v/>
      </c>
      <c r="B406" s="68">
        <f>'Calendario C'!N86</f>
        <v/>
      </c>
      <c r="C406" s="68">
        <f>'Calendario C'!O86</f>
        <v/>
      </c>
      <c r="D406" s="68">
        <f>'Calendario C'!P86</f>
        <v/>
      </c>
      <c r="E406" s="68">
        <f>'Calendario C'!Q86</f>
        <v/>
      </c>
      <c r="F406" s="68">
        <f>'Calendario C'!R86</f>
        <v/>
      </c>
      <c r="G406" s="68">
        <f>'Calendario C'!S86</f>
        <v/>
      </c>
      <c r="H406" s="68">
        <f>'Calendario C'!T86</f>
        <v/>
      </c>
      <c r="I406" s="68">
        <f>'Calendario C'!U86</f>
        <v/>
      </c>
      <c r="J406" s="68">
        <f>'Calendario C'!V86</f>
        <v/>
      </c>
      <c r="K406" s="68">
        <f>'Calendario C'!W86</f>
        <v/>
      </c>
      <c r="L406" s="68">
        <f>'Calendario C'!X86</f>
        <v/>
      </c>
      <c r="M406" s="68">
        <f>'Calendario C'!Y86</f>
        <v/>
      </c>
      <c r="N406" s="68">
        <f>'Calendario C'!Z86</f>
        <v/>
      </c>
    </row>
    <row r="407">
      <c r="A407" s="68">
        <f>'Calendario C'!M89</f>
        <v/>
      </c>
      <c r="B407" s="68">
        <f>'Calendario C'!N89</f>
        <v/>
      </c>
      <c r="C407" s="68">
        <f>'Calendario C'!O89</f>
        <v/>
      </c>
      <c r="D407" s="68">
        <f>'Calendario C'!P89</f>
        <v/>
      </c>
      <c r="E407" s="68">
        <f>'Calendario C'!Q89</f>
        <v/>
      </c>
      <c r="F407" s="68">
        <f>'Calendario C'!R89</f>
        <v/>
      </c>
      <c r="G407" s="68">
        <f>'Calendario C'!S89</f>
        <v/>
      </c>
      <c r="H407" s="68">
        <f>'Calendario C'!T89</f>
        <v/>
      </c>
      <c r="I407" s="68">
        <f>'Calendario C'!U89</f>
        <v/>
      </c>
      <c r="J407" s="68">
        <f>'Calendario C'!V89</f>
        <v/>
      </c>
      <c r="K407" s="68">
        <f>'Calendario C'!W89</f>
        <v/>
      </c>
      <c r="L407" s="68">
        <f>'Calendario C'!X89</f>
        <v/>
      </c>
      <c r="M407" s="68">
        <f>'Calendario C'!Y89</f>
        <v/>
      </c>
      <c r="N407" s="68">
        <f>'Calendario C'!Z89</f>
        <v/>
      </c>
    </row>
    <row r="408">
      <c r="A408" s="68">
        <f>'Calendario C'!M92</f>
        <v/>
      </c>
      <c r="B408" s="68">
        <f>'Calendario C'!N92</f>
        <v/>
      </c>
      <c r="C408" s="68">
        <f>'Calendario C'!O92</f>
        <v/>
      </c>
      <c r="D408" s="68">
        <f>'Calendario C'!P92</f>
        <v/>
      </c>
      <c r="E408" s="68">
        <f>'Calendario C'!Q92</f>
        <v/>
      </c>
      <c r="F408" s="68">
        <f>'Calendario C'!R92</f>
        <v/>
      </c>
      <c r="G408" s="68">
        <f>'Calendario C'!S92</f>
        <v/>
      </c>
      <c r="H408" s="68">
        <f>'Calendario C'!T92</f>
        <v/>
      </c>
      <c r="I408" s="68">
        <f>'Calendario C'!U92</f>
        <v/>
      </c>
      <c r="J408" s="68">
        <f>'Calendario C'!V92</f>
        <v/>
      </c>
      <c r="K408" s="68">
        <f>'Calendario C'!W92</f>
        <v/>
      </c>
      <c r="L408" s="68">
        <f>'Calendario C'!X92</f>
        <v/>
      </c>
      <c r="M408" s="68">
        <f>'Calendario C'!Y92</f>
        <v/>
      </c>
      <c r="N408" s="68">
        <f>'Calendario C'!Z92</f>
        <v/>
      </c>
    </row>
    <row r="409">
      <c r="A409" s="68">
        <f>'Calendario C'!M95</f>
        <v/>
      </c>
      <c r="B409" s="68">
        <f>'Calendario C'!N95</f>
        <v/>
      </c>
      <c r="C409" s="68">
        <f>'Calendario C'!O95</f>
        <v/>
      </c>
      <c r="D409" s="68">
        <f>'Calendario C'!P95</f>
        <v/>
      </c>
      <c r="E409" s="68">
        <f>'Calendario C'!Q95</f>
        <v/>
      </c>
      <c r="F409" s="68">
        <f>'Calendario C'!R95</f>
        <v/>
      </c>
      <c r="G409" s="68">
        <f>'Calendario C'!S95</f>
        <v/>
      </c>
      <c r="H409" s="68">
        <f>'Calendario C'!T95</f>
        <v/>
      </c>
      <c r="I409" s="68">
        <f>'Calendario C'!U95</f>
        <v/>
      </c>
      <c r="J409" s="68">
        <f>'Calendario C'!V95</f>
        <v/>
      </c>
      <c r="K409" s="68">
        <f>'Calendario C'!W95</f>
        <v/>
      </c>
      <c r="L409" s="68">
        <f>'Calendario C'!X95</f>
        <v/>
      </c>
      <c r="M409" s="68">
        <f>'Calendario C'!Y95</f>
        <v/>
      </c>
      <c r="N409" s="68">
        <f>'Calendario C'!Z95</f>
        <v/>
      </c>
    </row>
    <row r="410">
      <c r="A410" s="68">
        <f>'Calendario C'!M98</f>
        <v/>
      </c>
      <c r="B410" s="68">
        <f>'Calendario C'!N98</f>
        <v/>
      </c>
      <c r="C410" s="68">
        <f>'Calendario C'!O98</f>
        <v/>
      </c>
      <c r="D410" s="68">
        <f>'Calendario C'!P98</f>
        <v/>
      </c>
      <c r="E410" s="68">
        <f>'Calendario C'!Q98</f>
        <v/>
      </c>
      <c r="F410" s="68">
        <f>'Calendario C'!R98</f>
        <v/>
      </c>
      <c r="G410" s="68">
        <f>'Calendario C'!S98</f>
        <v/>
      </c>
      <c r="H410" s="68">
        <f>'Calendario C'!T98</f>
        <v/>
      </c>
      <c r="I410" s="68">
        <f>'Calendario C'!U98</f>
        <v/>
      </c>
      <c r="J410" s="68">
        <f>'Calendario C'!V98</f>
        <v/>
      </c>
      <c r="K410" s="68">
        <f>'Calendario C'!W98</f>
        <v/>
      </c>
      <c r="L410" s="68">
        <f>'Calendario C'!X98</f>
        <v/>
      </c>
      <c r="M410" s="68">
        <f>'Calendario C'!Y98</f>
        <v/>
      </c>
      <c r="N410" s="68">
        <f>'Calendario C'!Z98</f>
        <v/>
      </c>
    </row>
    <row r="411">
      <c r="A411" s="68">
        <f>'Calendario C'!M101</f>
        <v/>
      </c>
      <c r="B411" s="68">
        <f>'Calendario C'!N101</f>
        <v/>
      </c>
      <c r="C411" s="68">
        <f>'Calendario C'!O101</f>
        <v/>
      </c>
      <c r="D411" s="68">
        <f>'Calendario C'!P101</f>
        <v/>
      </c>
      <c r="E411" s="68">
        <f>'Calendario C'!Q101</f>
        <v/>
      </c>
      <c r="F411" s="68">
        <f>'Calendario C'!R101</f>
        <v/>
      </c>
      <c r="G411" s="68">
        <f>'Calendario C'!S101</f>
        <v/>
      </c>
      <c r="H411" s="68">
        <f>'Calendario C'!T101</f>
        <v/>
      </c>
      <c r="I411" s="68">
        <f>'Calendario C'!U101</f>
        <v/>
      </c>
      <c r="J411" s="68">
        <f>'Calendario C'!V101</f>
        <v/>
      </c>
      <c r="K411" s="68">
        <f>'Calendario C'!W101</f>
        <v/>
      </c>
      <c r="L411" s="68">
        <f>'Calendario C'!X101</f>
        <v/>
      </c>
      <c r="M411" s="68">
        <f>'Calendario C'!Y101</f>
        <v/>
      </c>
      <c r="N411" s="68">
        <f>'Calendario C'!Z101</f>
        <v/>
      </c>
    </row>
    <row r="412">
      <c r="A412" s="68">
        <f>'Calendario C'!M106</f>
        <v/>
      </c>
      <c r="B412" s="68">
        <f>'Calendario C'!N106</f>
        <v/>
      </c>
      <c r="C412" s="68">
        <f>'Calendario C'!O106</f>
        <v/>
      </c>
      <c r="D412" s="68">
        <f>'Calendario C'!P106</f>
        <v/>
      </c>
      <c r="E412" s="68">
        <f>'Calendario C'!Q106</f>
        <v/>
      </c>
      <c r="F412" s="68">
        <f>'Calendario C'!R106</f>
        <v/>
      </c>
      <c r="G412" s="68">
        <f>'Calendario C'!S106</f>
        <v/>
      </c>
      <c r="H412" s="68">
        <f>'Calendario C'!T106</f>
        <v/>
      </c>
      <c r="I412" s="68">
        <f>'Calendario C'!U106</f>
        <v/>
      </c>
      <c r="J412" s="68">
        <f>'Calendario C'!V106</f>
        <v/>
      </c>
      <c r="K412" s="68">
        <f>'Calendario C'!W106</f>
        <v/>
      </c>
      <c r="L412" s="68">
        <f>'Calendario C'!X106</f>
        <v/>
      </c>
      <c r="M412" s="68">
        <f>'Calendario C'!Y106</f>
        <v/>
      </c>
      <c r="N412" s="68">
        <f>'Calendario C'!Z106</f>
        <v/>
      </c>
    </row>
    <row r="413">
      <c r="A413" s="68">
        <f>'Calendario C'!M109</f>
        <v/>
      </c>
      <c r="B413" s="68">
        <f>'Calendario C'!N109</f>
        <v/>
      </c>
      <c r="C413" s="68">
        <f>'Calendario C'!O109</f>
        <v/>
      </c>
      <c r="D413" s="68">
        <f>'Calendario C'!P109</f>
        <v/>
      </c>
      <c r="E413" s="68">
        <f>'Calendario C'!Q109</f>
        <v/>
      </c>
      <c r="F413" s="68">
        <f>'Calendario C'!R109</f>
        <v/>
      </c>
      <c r="G413" s="68">
        <f>'Calendario C'!S109</f>
        <v/>
      </c>
      <c r="H413" s="68">
        <f>'Calendario C'!T109</f>
        <v/>
      </c>
      <c r="I413" s="68">
        <f>'Calendario C'!U109</f>
        <v/>
      </c>
      <c r="J413" s="68">
        <f>'Calendario C'!V109</f>
        <v/>
      </c>
      <c r="K413" s="68">
        <f>'Calendario C'!W109</f>
        <v/>
      </c>
      <c r="L413" s="68">
        <f>'Calendario C'!X109</f>
        <v/>
      </c>
      <c r="M413" s="68">
        <f>'Calendario C'!Y109</f>
        <v/>
      </c>
      <c r="N413" s="68">
        <f>'Calendario C'!Z109</f>
        <v/>
      </c>
    </row>
    <row r="414">
      <c r="A414" s="68">
        <f>'Calendario C'!M112</f>
        <v/>
      </c>
      <c r="B414" s="68">
        <f>'Calendario C'!N112</f>
        <v/>
      </c>
      <c r="C414" s="68">
        <f>'Calendario C'!O112</f>
        <v/>
      </c>
      <c r="D414" s="68">
        <f>'Calendario C'!P112</f>
        <v/>
      </c>
      <c r="E414" s="68">
        <f>'Calendario C'!Q112</f>
        <v/>
      </c>
      <c r="F414" s="68">
        <f>'Calendario C'!R112</f>
        <v/>
      </c>
      <c r="G414" s="68">
        <f>'Calendario C'!S112</f>
        <v/>
      </c>
      <c r="H414" s="68">
        <f>'Calendario C'!T112</f>
        <v/>
      </c>
      <c r="I414" s="68">
        <f>'Calendario C'!U112</f>
        <v/>
      </c>
      <c r="J414" s="68">
        <f>'Calendario C'!V112</f>
        <v/>
      </c>
      <c r="K414" s="68">
        <f>'Calendario C'!W112</f>
        <v/>
      </c>
      <c r="L414" s="68">
        <f>'Calendario C'!X112</f>
        <v/>
      </c>
      <c r="M414" s="68">
        <f>'Calendario C'!Y112</f>
        <v/>
      </c>
      <c r="N414" s="68">
        <f>'Calendario C'!Z112</f>
        <v/>
      </c>
    </row>
    <row r="415">
      <c r="A415" s="68">
        <f>'Calendario C'!M115</f>
        <v/>
      </c>
      <c r="B415" s="68">
        <f>'Calendario C'!N115</f>
        <v/>
      </c>
      <c r="C415" s="68">
        <f>'Calendario C'!O115</f>
        <v/>
      </c>
      <c r="D415" s="68">
        <f>'Calendario C'!P115</f>
        <v/>
      </c>
      <c r="E415" s="68">
        <f>'Calendario C'!Q115</f>
        <v/>
      </c>
      <c r="F415" s="68">
        <f>'Calendario C'!R115</f>
        <v/>
      </c>
      <c r="G415" s="68">
        <f>'Calendario C'!S115</f>
        <v/>
      </c>
      <c r="H415" s="68">
        <f>'Calendario C'!T115</f>
        <v/>
      </c>
      <c r="I415" s="68">
        <f>'Calendario C'!U115</f>
        <v/>
      </c>
      <c r="J415" s="68">
        <f>'Calendario C'!V115</f>
        <v/>
      </c>
      <c r="K415" s="68">
        <f>'Calendario C'!W115</f>
        <v/>
      </c>
      <c r="L415" s="68">
        <f>'Calendario C'!X115</f>
        <v/>
      </c>
      <c r="M415" s="68">
        <f>'Calendario C'!Y115</f>
        <v/>
      </c>
      <c r="N415" s="68">
        <f>'Calendario C'!Z115</f>
        <v/>
      </c>
    </row>
    <row r="416">
      <c r="A416" s="68">
        <f>'Calendario C'!M118</f>
        <v/>
      </c>
      <c r="B416" s="68">
        <f>'Calendario C'!N118</f>
        <v/>
      </c>
      <c r="C416" s="68">
        <f>'Calendario C'!O118</f>
        <v/>
      </c>
      <c r="D416" s="68">
        <f>'Calendario C'!P118</f>
        <v/>
      </c>
      <c r="E416" s="68">
        <f>'Calendario C'!Q118</f>
        <v/>
      </c>
      <c r="F416" s="68">
        <f>'Calendario C'!R118</f>
        <v/>
      </c>
      <c r="G416" s="68">
        <f>'Calendario C'!S118</f>
        <v/>
      </c>
      <c r="H416" s="68">
        <f>'Calendario C'!T118</f>
        <v/>
      </c>
      <c r="I416" s="68">
        <f>'Calendario C'!U118</f>
        <v/>
      </c>
      <c r="J416" s="68">
        <f>'Calendario C'!V118</f>
        <v/>
      </c>
      <c r="K416" s="68">
        <f>'Calendario C'!W118</f>
        <v/>
      </c>
      <c r="L416" s="68">
        <f>'Calendario C'!X118</f>
        <v/>
      </c>
      <c r="M416" s="68">
        <f>'Calendario C'!Y118</f>
        <v/>
      </c>
      <c r="N416" s="68">
        <f>'Calendario C'!Z118</f>
        <v/>
      </c>
    </row>
    <row r="417">
      <c r="A417" s="68">
        <f>'Calendario C'!M121</f>
        <v/>
      </c>
      <c r="B417" s="68">
        <f>'Calendario C'!N121</f>
        <v/>
      </c>
      <c r="C417" s="68">
        <f>'Calendario C'!O121</f>
        <v/>
      </c>
      <c r="D417" s="68">
        <f>'Calendario C'!P121</f>
        <v/>
      </c>
      <c r="E417" s="68">
        <f>'Calendario C'!Q121</f>
        <v/>
      </c>
      <c r="F417" s="68">
        <f>'Calendario C'!R121</f>
        <v/>
      </c>
      <c r="G417" s="68">
        <f>'Calendario C'!S121</f>
        <v/>
      </c>
      <c r="H417" s="68">
        <f>'Calendario C'!T121</f>
        <v/>
      </c>
      <c r="I417" s="68">
        <f>'Calendario C'!U121</f>
        <v/>
      </c>
      <c r="J417" s="68">
        <f>'Calendario C'!V121</f>
        <v/>
      </c>
      <c r="K417" s="68">
        <f>'Calendario C'!W121</f>
        <v/>
      </c>
      <c r="L417" s="68">
        <f>'Calendario C'!X121</f>
        <v/>
      </c>
      <c r="M417" s="68">
        <f>'Calendario C'!Y121</f>
        <v/>
      </c>
      <c r="N417" s="68">
        <f>'Calendario C'!Z121</f>
        <v/>
      </c>
    </row>
    <row r="418">
      <c r="A418" s="68">
        <f>'Calendario C'!M124</f>
        <v/>
      </c>
      <c r="B418" s="68">
        <f>'Calendario C'!N124</f>
        <v/>
      </c>
      <c r="C418" s="68">
        <f>'Calendario C'!O124</f>
        <v/>
      </c>
      <c r="D418" s="68">
        <f>'Calendario C'!P124</f>
        <v/>
      </c>
      <c r="E418" s="68">
        <f>'Calendario C'!Q124</f>
        <v/>
      </c>
      <c r="F418" s="68">
        <f>'Calendario C'!R124</f>
        <v/>
      </c>
      <c r="G418" s="68">
        <f>'Calendario C'!S124</f>
        <v/>
      </c>
      <c r="H418" s="68">
        <f>'Calendario C'!T124</f>
        <v/>
      </c>
      <c r="I418" s="68">
        <f>'Calendario C'!U124</f>
        <v/>
      </c>
      <c r="J418" s="68">
        <f>'Calendario C'!V124</f>
        <v/>
      </c>
      <c r="K418" s="68">
        <f>'Calendario C'!W124</f>
        <v/>
      </c>
      <c r="L418" s="68">
        <f>'Calendario C'!X124</f>
        <v/>
      </c>
      <c r="M418" s="68">
        <f>'Calendario C'!Y124</f>
        <v/>
      </c>
      <c r="N418" s="68">
        <f>'Calendario C'!Z124</f>
        <v/>
      </c>
    </row>
    <row r="419">
      <c r="A419" s="68">
        <f>'Calendario C'!M127</f>
        <v/>
      </c>
      <c r="B419" s="68">
        <f>'Calendario C'!N127</f>
        <v/>
      </c>
      <c r="C419" s="68">
        <f>'Calendario C'!O127</f>
        <v/>
      </c>
      <c r="D419" s="68">
        <f>'Calendario C'!P127</f>
        <v/>
      </c>
      <c r="E419" s="68">
        <f>'Calendario C'!Q127</f>
        <v/>
      </c>
      <c r="F419" s="68">
        <f>'Calendario C'!R127</f>
        <v/>
      </c>
      <c r="G419" s="68">
        <f>'Calendario C'!S127</f>
        <v/>
      </c>
      <c r="H419" s="68">
        <f>'Calendario C'!T127</f>
        <v/>
      </c>
      <c r="I419" s="68">
        <f>'Calendario C'!U127</f>
        <v/>
      </c>
      <c r="J419" s="68">
        <f>'Calendario C'!V127</f>
        <v/>
      </c>
      <c r="K419" s="68">
        <f>'Calendario C'!W127</f>
        <v/>
      </c>
      <c r="L419" s="68">
        <f>'Calendario C'!X127</f>
        <v/>
      </c>
      <c r="M419" s="68">
        <f>'Calendario C'!Y127</f>
        <v/>
      </c>
      <c r="N419" s="68">
        <f>'Calendario C'!Z127</f>
        <v/>
      </c>
    </row>
    <row r="420">
      <c r="A420" s="68">
        <f>'Calendario C'!M130</f>
        <v/>
      </c>
      <c r="B420" s="68">
        <f>'Calendario C'!N130</f>
        <v/>
      </c>
      <c r="C420" s="68">
        <f>'Calendario C'!O130</f>
        <v/>
      </c>
      <c r="D420" s="68">
        <f>'Calendario C'!P130</f>
        <v/>
      </c>
      <c r="E420" s="68">
        <f>'Calendario C'!Q130</f>
        <v/>
      </c>
      <c r="F420" s="68">
        <f>'Calendario C'!R130</f>
        <v/>
      </c>
      <c r="G420" s="68">
        <f>'Calendario C'!S130</f>
        <v/>
      </c>
      <c r="H420" s="68">
        <f>'Calendario C'!T130</f>
        <v/>
      </c>
      <c r="I420" s="68">
        <f>'Calendario C'!U130</f>
        <v/>
      </c>
      <c r="J420" s="68">
        <f>'Calendario C'!V130</f>
        <v/>
      </c>
      <c r="K420" s="68">
        <f>'Calendario C'!W130</f>
        <v/>
      </c>
      <c r="L420" s="68">
        <f>'Calendario C'!X130</f>
        <v/>
      </c>
      <c r="M420" s="68">
        <f>'Calendario C'!Y130</f>
        <v/>
      </c>
      <c r="N420" s="68">
        <f>'Calendario C'!Z130</f>
        <v/>
      </c>
    </row>
    <row r="421">
      <c r="A421" s="68">
        <f>'Calendario C'!M133</f>
        <v/>
      </c>
      <c r="B421" s="68">
        <f>'Calendario C'!N133</f>
        <v/>
      </c>
      <c r="C421" s="68">
        <f>'Calendario C'!O133</f>
        <v/>
      </c>
      <c r="D421" s="68">
        <f>'Calendario C'!P133</f>
        <v/>
      </c>
      <c r="E421" s="68">
        <f>'Calendario C'!Q133</f>
        <v/>
      </c>
      <c r="F421" s="68">
        <f>'Calendario C'!R133</f>
        <v/>
      </c>
      <c r="G421" s="68">
        <f>'Calendario C'!S133</f>
        <v/>
      </c>
      <c r="H421" s="68">
        <f>'Calendario C'!T133</f>
        <v/>
      </c>
      <c r="I421" s="68">
        <f>'Calendario C'!U133</f>
        <v/>
      </c>
      <c r="J421" s="68">
        <f>'Calendario C'!V133</f>
        <v/>
      </c>
      <c r="K421" s="68">
        <f>'Calendario C'!W133</f>
        <v/>
      </c>
      <c r="L421" s="68">
        <f>'Calendario C'!X133</f>
        <v/>
      </c>
      <c r="M421" s="68">
        <f>'Calendario C'!Y133</f>
        <v/>
      </c>
      <c r="N421" s="68">
        <f>'Calendario C'!Z133</f>
        <v/>
      </c>
    </row>
    <row r="422">
      <c r="A422" s="68">
        <f>'Calendario C'!M138</f>
        <v/>
      </c>
      <c r="B422" s="68">
        <f>'Calendario C'!N138</f>
        <v/>
      </c>
      <c r="C422" s="68">
        <f>'Calendario C'!O138</f>
        <v/>
      </c>
      <c r="D422" s="68">
        <f>'Calendario C'!P138</f>
        <v/>
      </c>
      <c r="E422" s="68">
        <f>'Calendario C'!Q138</f>
        <v/>
      </c>
      <c r="F422" s="68">
        <f>'Calendario C'!R138</f>
        <v/>
      </c>
      <c r="G422" s="68">
        <f>'Calendario C'!S138</f>
        <v/>
      </c>
      <c r="H422" s="68">
        <f>'Calendario C'!T138</f>
        <v/>
      </c>
      <c r="I422" s="68">
        <f>'Calendario C'!U138</f>
        <v/>
      </c>
      <c r="J422" s="68">
        <f>'Calendario C'!V138</f>
        <v/>
      </c>
      <c r="K422" s="68">
        <f>'Calendario C'!W138</f>
        <v/>
      </c>
      <c r="L422" s="68">
        <f>'Calendario C'!X138</f>
        <v/>
      </c>
      <c r="M422" s="68">
        <f>'Calendario C'!Y138</f>
        <v/>
      </c>
      <c r="N422" s="68">
        <f>'Calendario C'!Z138</f>
        <v/>
      </c>
    </row>
    <row r="423">
      <c r="A423" s="68">
        <f>'Calendario C'!M141</f>
        <v/>
      </c>
      <c r="B423" s="68">
        <f>'Calendario C'!N141</f>
        <v/>
      </c>
      <c r="C423" s="68">
        <f>'Calendario C'!O141</f>
        <v/>
      </c>
      <c r="D423" s="68">
        <f>'Calendario C'!P141</f>
        <v/>
      </c>
      <c r="E423" s="68">
        <f>'Calendario C'!Q141</f>
        <v/>
      </c>
      <c r="F423" s="68">
        <f>'Calendario C'!R141</f>
        <v/>
      </c>
      <c r="G423" s="68">
        <f>'Calendario C'!S141</f>
        <v/>
      </c>
      <c r="H423" s="68">
        <f>'Calendario C'!T141</f>
        <v/>
      </c>
      <c r="I423" s="68">
        <f>'Calendario C'!U141</f>
        <v/>
      </c>
      <c r="J423" s="68">
        <f>'Calendario C'!V141</f>
        <v/>
      </c>
      <c r="K423" s="68">
        <f>'Calendario C'!W141</f>
        <v/>
      </c>
      <c r="L423" s="68">
        <f>'Calendario C'!X141</f>
        <v/>
      </c>
      <c r="M423" s="68">
        <f>'Calendario C'!Y141</f>
        <v/>
      </c>
      <c r="N423" s="68">
        <f>'Calendario C'!Z141</f>
        <v/>
      </c>
    </row>
    <row r="424">
      <c r="A424" s="68">
        <f>'Calendario C'!M144</f>
        <v/>
      </c>
      <c r="B424" s="68">
        <f>'Calendario C'!N144</f>
        <v/>
      </c>
      <c r="C424" s="68">
        <f>'Calendario C'!O144</f>
        <v/>
      </c>
      <c r="D424" s="68">
        <f>'Calendario C'!P144</f>
        <v/>
      </c>
      <c r="E424" s="68">
        <f>'Calendario C'!Q144</f>
        <v/>
      </c>
      <c r="F424" s="68">
        <f>'Calendario C'!R144</f>
        <v/>
      </c>
      <c r="G424" s="68">
        <f>'Calendario C'!S144</f>
        <v/>
      </c>
      <c r="H424" s="68">
        <f>'Calendario C'!T144</f>
        <v/>
      </c>
      <c r="I424" s="68">
        <f>'Calendario C'!U144</f>
        <v/>
      </c>
      <c r="J424" s="68">
        <f>'Calendario C'!V144</f>
        <v/>
      </c>
      <c r="K424" s="68">
        <f>'Calendario C'!W144</f>
        <v/>
      </c>
      <c r="L424" s="68">
        <f>'Calendario C'!X144</f>
        <v/>
      </c>
      <c r="M424" s="68">
        <f>'Calendario C'!Y144</f>
        <v/>
      </c>
      <c r="N424" s="68">
        <f>'Calendario C'!Z144</f>
        <v/>
      </c>
    </row>
    <row r="425">
      <c r="A425" s="68">
        <f>'Calendario C'!M147</f>
        <v/>
      </c>
      <c r="B425" s="68">
        <f>'Calendario C'!N147</f>
        <v/>
      </c>
      <c r="C425" s="68">
        <f>'Calendario C'!O147</f>
        <v/>
      </c>
      <c r="D425" s="68">
        <f>'Calendario C'!P147</f>
        <v/>
      </c>
      <c r="E425" s="68">
        <f>'Calendario C'!Q147</f>
        <v/>
      </c>
      <c r="F425" s="68">
        <f>'Calendario C'!R147</f>
        <v/>
      </c>
      <c r="G425" s="68">
        <f>'Calendario C'!S147</f>
        <v/>
      </c>
      <c r="H425" s="68">
        <f>'Calendario C'!T147</f>
        <v/>
      </c>
      <c r="I425" s="68">
        <f>'Calendario C'!U147</f>
        <v/>
      </c>
      <c r="J425" s="68">
        <f>'Calendario C'!V147</f>
        <v/>
      </c>
      <c r="K425" s="68">
        <f>'Calendario C'!W147</f>
        <v/>
      </c>
      <c r="L425" s="68">
        <f>'Calendario C'!X147</f>
        <v/>
      </c>
      <c r="M425" s="68">
        <f>'Calendario C'!Y147</f>
        <v/>
      </c>
      <c r="N425" s="68">
        <f>'Calendario C'!Z147</f>
        <v/>
      </c>
    </row>
    <row r="426">
      <c r="A426" s="68">
        <f>'Calendario C'!M150</f>
        <v/>
      </c>
      <c r="B426" s="68">
        <f>'Calendario C'!N150</f>
        <v/>
      </c>
      <c r="C426" s="68">
        <f>'Calendario C'!O150</f>
        <v/>
      </c>
      <c r="D426" s="68">
        <f>'Calendario C'!P150</f>
        <v/>
      </c>
      <c r="E426" s="68">
        <f>'Calendario C'!Q150</f>
        <v/>
      </c>
      <c r="F426" s="68">
        <f>'Calendario C'!R150</f>
        <v/>
      </c>
      <c r="G426" s="68">
        <f>'Calendario C'!S150</f>
        <v/>
      </c>
      <c r="H426" s="68">
        <f>'Calendario C'!T150</f>
        <v/>
      </c>
      <c r="I426" s="68">
        <f>'Calendario C'!U150</f>
        <v/>
      </c>
      <c r="J426" s="68">
        <f>'Calendario C'!V150</f>
        <v/>
      </c>
      <c r="K426" s="68">
        <f>'Calendario C'!W150</f>
        <v/>
      </c>
      <c r="L426" s="68">
        <f>'Calendario C'!X150</f>
        <v/>
      </c>
      <c r="M426" s="68">
        <f>'Calendario C'!Y150</f>
        <v/>
      </c>
      <c r="N426" s="68">
        <f>'Calendario C'!Z150</f>
        <v/>
      </c>
    </row>
    <row r="427">
      <c r="A427" s="68">
        <f>'Calendario C'!M153</f>
        <v/>
      </c>
      <c r="B427" s="68">
        <f>'Calendario C'!N153</f>
        <v/>
      </c>
      <c r="C427" s="68">
        <f>'Calendario C'!O153</f>
        <v/>
      </c>
      <c r="D427" s="68">
        <f>'Calendario C'!P153</f>
        <v/>
      </c>
      <c r="E427" s="68">
        <f>'Calendario C'!Q153</f>
        <v/>
      </c>
      <c r="F427" s="68">
        <f>'Calendario C'!R153</f>
        <v/>
      </c>
      <c r="G427" s="68">
        <f>'Calendario C'!S153</f>
        <v/>
      </c>
      <c r="H427" s="68">
        <f>'Calendario C'!T153</f>
        <v/>
      </c>
      <c r="I427" s="68">
        <f>'Calendario C'!U153</f>
        <v/>
      </c>
      <c r="J427" s="68">
        <f>'Calendario C'!V153</f>
        <v/>
      </c>
      <c r="K427" s="68">
        <f>'Calendario C'!W153</f>
        <v/>
      </c>
      <c r="L427" s="68">
        <f>'Calendario C'!X153</f>
        <v/>
      </c>
      <c r="M427" s="68">
        <f>'Calendario C'!Y153</f>
        <v/>
      </c>
      <c r="N427" s="68">
        <f>'Calendario C'!Z153</f>
        <v/>
      </c>
    </row>
    <row r="428">
      <c r="A428" s="68">
        <f>'Calendario C'!M156</f>
        <v/>
      </c>
      <c r="B428" s="68">
        <f>'Calendario C'!N156</f>
        <v/>
      </c>
      <c r="C428" s="68">
        <f>'Calendario C'!O156</f>
        <v/>
      </c>
      <c r="D428" s="68">
        <f>'Calendario C'!P156</f>
        <v/>
      </c>
      <c r="E428" s="68">
        <f>'Calendario C'!Q156</f>
        <v/>
      </c>
      <c r="F428" s="68">
        <f>'Calendario C'!R156</f>
        <v/>
      </c>
      <c r="G428" s="68">
        <f>'Calendario C'!S156</f>
        <v/>
      </c>
      <c r="H428" s="68">
        <f>'Calendario C'!T156</f>
        <v/>
      </c>
      <c r="I428" s="68">
        <f>'Calendario C'!U156</f>
        <v/>
      </c>
      <c r="J428" s="68">
        <f>'Calendario C'!V156</f>
        <v/>
      </c>
      <c r="K428" s="68">
        <f>'Calendario C'!W156</f>
        <v/>
      </c>
      <c r="L428" s="68">
        <f>'Calendario C'!X156</f>
        <v/>
      </c>
      <c r="M428" s="68">
        <f>'Calendario C'!Y156</f>
        <v/>
      </c>
      <c r="N428" s="68">
        <f>'Calendario C'!Z156</f>
        <v/>
      </c>
    </row>
    <row r="429">
      <c r="A429" s="68">
        <f>'Calendario C'!M159</f>
        <v/>
      </c>
      <c r="B429" s="68">
        <f>'Calendario C'!N159</f>
        <v/>
      </c>
      <c r="C429" s="68">
        <f>'Calendario C'!O159</f>
        <v/>
      </c>
      <c r="D429" s="68">
        <f>'Calendario C'!P159</f>
        <v/>
      </c>
      <c r="E429" s="68">
        <f>'Calendario C'!Q159</f>
        <v/>
      </c>
      <c r="F429" s="68">
        <f>'Calendario C'!R159</f>
        <v/>
      </c>
      <c r="G429" s="68">
        <f>'Calendario C'!S159</f>
        <v/>
      </c>
      <c r="H429" s="68">
        <f>'Calendario C'!T159</f>
        <v/>
      </c>
      <c r="I429" s="68">
        <f>'Calendario C'!U159</f>
        <v/>
      </c>
      <c r="J429" s="68">
        <f>'Calendario C'!V159</f>
        <v/>
      </c>
      <c r="K429" s="68">
        <f>'Calendario C'!W159</f>
        <v/>
      </c>
      <c r="L429" s="68">
        <f>'Calendario C'!X159</f>
        <v/>
      </c>
      <c r="M429" s="68">
        <f>'Calendario C'!Y159</f>
        <v/>
      </c>
      <c r="N429" s="68">
        <f>'Calendario C'!Z159</f>
        <v/>
      </c>
    </row>
    <row r="430">
      <c r="A430" s="68">
        <f>'Calendario C'!M162</f>
        <v/>
      </c>
      <c r="B430" s="68">
        <f>'Calendario C'!N162</f>
        <v/>
      </c>
      <c r="C430" s="68">
        <f>'Calendario C'!O162</f>
        <v/>
      </c>
      <c r="D430" s="68">
        <f>'Calendario C'!P162</f>
        <v/>
      </c>
      <c r="E430" s="68">
        <f>'Calendario C'!Q162</f>
        <v/>
      </c>
      <c r="F430" s="68">
        <f>'Calendario C'!R162</f>
        <v/>
      </c>
      <c r="G430" s="68">
        <f>'Calendario C'!S162</f>
        <v/>
      </c>
      <c r="H430" s="68">
        <f>'Calendario C'!T162</f>
        <v/>
      </c>
      <c r="I430" s="68">
        <f>'Calendario C'!U162</f>
        <v/>
      </c>
      <c r="J430" s="68">
        <f>'Calendario C'!V162</f>
        <v/>
      </c>
      <c r="K430" s="68">
        <f>'Calendario C'!W162</f>
        <v/>
      </c>
      <c r="L430" s="68">
        <f>'Calendario C'!X162</f>
        <v/>
      </c>
      <c r="M430" s="68">
        <f>'Calendario C'!Y162</f>
        <v/>
      </c>
      <c r="N430" s="68">
        <f>'Calendario C'!Z162</f>
        <v/>
      </c>
    </row>
    <row r="431">
      <c r="A431" s="68">
        <f>'Calendario C'!M165</f>
        <v/>
      </c>
      <c r="B431" s="68">
        <f>'Calendario C'!N165</f>
        <v/>
      </c>
      <c r="C431" s="68">
        <f>'Calendario C'!O165</f>
        <v/>
      </c>
      <c r="D431" s="68">
        <f>'Calendario C'!P165</f>
        <v/>
      </c>
      <c r="E431" s="68">
        <f>'Calendario C'!Q165</f>
        <v/>
      </c>
      <c r="F431" s="68">
        <f>'Calendario C'!R165</f>
        <v/>
      </c>
      <c r="G431" s="68">
        <f>'Calendario C'!S165</f>
        <v/>
      </c>
      <c r="H431" s="68">
        <f>'Calendario C'!T165</f>
        <v/>
      </c>
      <c r="I431" s="68">
        <f>'Calendario C'!U165</f>
        <v/>
      </c>
      <c r="J431" s="68">
        <f>'Calendario C'!V165</f>
        <v/>
      </c>
      <c r="K431" s="68">
        <f>'Calendario C'!W165</f>
        <v/>
      </c>
      <c r="L431" s="68">
        <f>'Calendario C'!X165</f>
        <v/>
      </c>
      <c r="M431" s="68">
        <f>'Calendario C'!Y165</f>
        <v/>
      </c>
      <c r="N431" s="68">
        <f>'Calendario C'!Z165</f>
        <v/>
      </c>
    </row>
    <row r="432">
      <c r="A432" s="68">
        <f>'Calendario C'!M170</f>
        <v/>
      </c>
      <c r="B432" s="68">
        <f>'Calendario C'!N170</f>
        <v/>
      </c>
      <c r="C432" s="68">
        <f>'Calendario C'!O170</f>
        <v/>
      </c>
      <c r="D432" s="68">
        <f>'Calendario C'!P170</f>
        <v/>
      </c>
      <c r="E432" s="68">
        <f>'Calendario C'!Q170</f>
        <v/>
      </c>
      <c r="F432" s="68">
        <f>'Calendario C'!R170</f>
        <v/>
      </c>
      <c r="G432" s="68">
        <f>'Calendario C'!S170</f>
        <v/>
      </c>
      <c r="H432" s="68">
        <f>'Calendario C'!T170</f>
        <v/>
      </c>
      <c r="I432" s="68">
        <f>'Calendario C'!U170</f>
        <v/>
      </c>
      <c r="J432" s="68">
        <f>'Calendario C'!V170</f>
        <v/>
      </c>
      <c r="K432" s="68">
        <f>'Calendario C'!W170</f>
        <v/>
      </c>
      <c r="L432" s="68">
        <f>'Calendario C'!X170</f>
        <v/>
      </c>
      <c r="M432" s="68">
        <f>'Calendario C'!Y170</f>
        <v/>
      </c>
      <c r="N432" s="68">
        <f>'Calendario C'!Z170</f>
        <v/>
      </c>
    </row>
    <row r="433">
      <c r="A433" s="68">
        <f>'Calendario C'!M173</f>
        <v/>
      </c>
      <c r="B433" s="68">
        <f>'Calendario C'!N173</f>
        <v/>
      </c>
      <c r="C433" s="68">
        <f>'Calendario C'!O173</f>
        <v/>
      </c>
      <c r="D433" s="68">
        <f>'Calendario C'!P173</f>
        <v/>
      </c>
      <c r="E433" s="68">
        <f>'Calendario C'!Q173</f>
        <v/>
      </c>
      <c r="F433" s="68">
        <f>'Calendario C'!R173</f>
        <v/>
      </c>
      <c r="G433" s="68">
        <f>'Calendario C'!S173</f>
        <v/>
      </c>
      <c r="H433" s="68">
        <f>'Calendario C'!T173</f>
        <v/>
      </c>
      <c r="I433" s="68">
        <f>'Calendario C'!U173</f>
        <v/>
      </c>
      <c r="J433" s="68">
        <f>'Calendario C'!V173</f>
        <v/>
      </c>
      <c r="K433" s="68">
        <f>'Calendario C'!W173</f>
        <v/>
      </c>
      <c r="L433" s="68">
        <f>'Calendario C'!X173</f>
        <v/>
      </c>
      <c r="M433" s="68">
        <f>'Calendario C'!Y173</f>
        <v/>
      </c>
      <c r="N433" s="68">
        <f>'Calendario C'!Z173</f>
        <v/>
      </c>
    </row>
    <row r="434">
      <c r="A434" s="68">
        <f>'Calendario C'!M176</f>
        <v/>
      </c>
      <c r="B434" s="68">
        <f>'Calendario C'!N176</f>
        <v/>
      </c>
      <c r="C434" s="68">
        <f>'Calendario C'!O176</f>
        <v/>
      </c>
      <c r="D434" s="68">
        <f>'Calendario C'!P176</f>
        <v/>
      </c>
      <c r="E434" s="68">
        <f>'Calendario C'!Q176</f>
        <v/>
      </c>
      <c r="F434" s="68">
        <f>'Calendario C'!R176</f>
        <v/>
      </c>
      <c r="G434" s="68">
        <f>'Calendario C'!S176</f>
        <v/>
      </c>
      <c r="H434" s="68">
        <f>'Calendario C'!T176</f>
        <v/>
      </c>
      <c r="I434" s="68">
        <f>'Calendario C'!U176</f>
        <v/>
      </c>
      <c r="J434" s="68">
        <f>'Calendario C'!V176</f>
        <v/>
      </c>
      <c r="K434" s="68">
        <f>'Calendario C'!W176</f>
        <v/>
      </c>
      <c r="L434" s="68">
        <f>'Calendario C'!X176</f>
        <v/>
      </c>
      <c r="M434" s="68">
        <f>'Calendario C'!Y176</f>
        <v/>
      </c>
      <c r="N434" s="68">
        <f>'Calendario C'!Z176</f>
        <v/>
      </c>
    </row>
    <row r="435">
      <c r="A435" s="68">
        <f>'Calendario C'!M179</f>
        <v/>
      </c>
      <c r="B435" s="68">
        <f>'Calendario C'!N179</f>
        <v/>
      </c>
      <c r="C435" s="68">
        <f>'Calendario C'!O179</f>
        <v/>
      </c>
      <c r="D435" s="68">
        <f>'Calendario C'!P179</f>
        <v/>
      </c>
      <c r="E435" s="68">
        <f>'Calendario C'!Q179</f>
        <v/>
      </c>
      <c r="F435" s="68">
        <f>'Calendario C'!R179</f>
        <v/>
      </c>
      <c r="G435" s="68">
        <f>'Calendario C'!S179</f>
        <v/>
      </c>
      <c r="H435" s="68">
        <f>'Calendario C'!T179</f>
        <v/>
      </c>
      <c r="I435" s="68">
        <f>'Calendario C'!U179</f>
        <v/>
      </c>
      <c r="J435" s="68">
        <f>'Calendario C'!V179</f>
        <v/>
      </c>
      <c r="K435" s="68">
        <f>'Calendario C'!W179</f>
        <v/>
      </c>
      <c r="L435" s="68">
        <f>'Calendario C'!X179</f>
        <v/>
      </c>
      <c r="M435" s="68">
        <f>'Calendario C'!Y179</f>
        <v/>
      </c>
      <c r="N435" s="68">
        <f>'Calendario C'!Z179</f>
        <v/>
      </c>
    </row>
    <row r="436">
      <c r="A436" s="68">
        <f>'Calendario C'!M182</f>
        <v/>
      </c>
      <c r="B436" s="68">
        <f>'Calendario C'!N182</f>
        <v/>
      </c>
      <c r="C436" s="68">
        <f>'Calendario C'!O182</f>
        <v/>
      </c>
      <c r="D436" s="68">
        <f>'Calendario C'!P182</f>
        <v/>
      </c>
      <c r="E436" s="68">
        <f>'Calendario C'!Q182</f>
        <v/>
      </c>
      <c r="F436" s="68">
        <f>'Calendario C'!R182</f>
        <v/>
      </c>
      <c r="G436" s="68">
        <f>'Calendario C'!S182</f>
        <v/>
      </c>
      <c r="H436" s="68">
        <f>'Calendario C'!T182</f>
        <v/>
      </c>
      <c r="I436" s="68">
        <f>'Calendario C'!U182</f>
        <v/>
      </c>
      <c r="J436" s="68">
        <f>'Calendario C'!V182</f>
        <v/>
      </c>
      <c r="K436" s="68">
        <f>'Calendario C'!W182</f>
        <v/>
      </c>
      <c r="L436" s="68">
        <f>'Calendario C'!X182</f>
        <v/>
      </c>
      <c r="M436" s="68">
        <f>'Calendario C'!Y182</f>
        <v/>
      </c>
      <c r="N436" s="68">
        <f>'Calendario C'!Z182</f>
        <v/>
      </c>
    </row>
    <row r="437">
      <c r="A437" s="68">
        <f>'Calendario C'!M185</f>
        <v/>
      </c>
      <c r="B437" s="68">
        <f>'Calendario C'!N185</f>
        <v/>
      </c>
      <c r="C437" s="68">
        <f>'Calendario C'!O185</f>
        <v/>
      </c>
      <c r="D437" s="68">
        <f>'Calendario C'!P185</f>
        <v/>
      </c>
      <c r="E437" s="68">
        <f>'Calendario C'!Q185</f>
        <v/>
      </c>
      <c r="F437" s="68">
        <f>'Calendario C'!R185</f>
        <v/>
      </c>
      <c r="G437" s="68">
        <f>'Calendario C'!S185</f>
        <v/>
      </c>
      <c r="H437" s="68">
        <f>'Calendario C'!T185</f>
        <v/>
      </c>
      <c r="I437" s="68">
        <f>'Calendario C'!U185</f>
        <v/>
      </c>
      <c r="J437" s="68">
        <f>'Calendario C'!V185</f>
        <v/>
      </c>
      <c r="K437" s="68">
        <f>'Calendario C'!W185</f>
        <v/>
      </c>
      <c r="L437" s="68">
        <f>'Calendario C'!X185</f>
        <v/>
      </c>
      <c r="M437" s="68">
        <f>'Calendario C'!Y185</f>
        <v/>
      </c>
      <c r="N437" s="68">
        <f>'Calendario C'!Z185</f>
        <v/>
      </c>
    </row>
    <row r="438">
      <c r="A438" s="68">
        <f>'Calendario C'!M188</f>
        <v/>
      </c>
      <c r="B438" s="68">
        <f>'Calendario C'!N188</f>
        <v/>
      </c>
      <c r="C438" s="68">
        <f>'Calendario C'!O188</f>
        <v/>
      </c>
      <c r="D438" s="68">
        <f>'Calendario C'!P188</f>
        <v/>
      </c>
      <c r="E438" s="68">
        <f>'Calendario C'!Q188</f>
        <v/>
      </c>
      <c r="F438" s="68">
        <f>'Calendario C'!R188</f>
        <v/>
      </c>
      <c r="G438" s="68">
        <f>'Calendario C'!S188</f>
        <v/>
      </c>
      <c r="H438" s="68">
        <f>'Calendario C'!T188</f>
        <v/>
      </c>
      <c r="I438" s="68">
        <f>'Calendario C'!U188</f>
        <v/>
      </c>
      <c r="J438" s="68">
        <f>'Calendario C'!V188</f>
        <v/>
      </c>
      <c r="K438" s="68">
        <f>'Calendario C'!W188</f>
        <v/>
      </c>
      <c r="L438" s="68">
        <f>'Calendario C'!X188</f>
        <v/>
      </c>
      <c r="M438" s="68">
        <f>'Calendario C'!Y188</f>
        <v/>
      </c>
      <c r="N438" s="68">
        <f>'Calendario C'!Z188</f>
        <v/>
      </c>
    </row>
    <row r="439">
      <c r="A439" s="68">
        <f>'Calendario C'!M191</f>
        <v/>
      </c>
      <c r="B439" s="68">
        <f>'Calendario C'!N191</f>
        <v/>
      </c>
      <c r="C439" s="68">
        <f>'Calendario C'!O191</f>
        <v/>
      </c>
      <c r="D439" s="68">
        <f>'Calendario C'!P191</f>
        <v/>
      </c>
      <c r="E439" s="68">
        <f>'Calendario C'!Q191</f>
        <v/>
      </c>
      <c r="F439" s="68">
        <f>'Calendario C'!R191</f>
        <v/>
      </c>
      <c r="G439" s="68">
        <f>'Calendario C'!S191</f>
        <v/>
      </c>
      <c r="H439" s="68">
        <f>'Calendario C'!T191</f>
        <v/>
      </c>
      <c r="I439" s="68">
        <f>'Calendario C'!U191</f>
        <v/>
      </c>
      <c r="J439" s="68">
        <f>'Calendario C'!V191</f>
        <v/>
      </c>
      <c r="K439" s="68">
        <f>'Calendario C'!W191</f>
        <v/>
      </c>
      <c r="L439" s="68">
        <f>'Calendario C'!X191</f>
        <v/>
      </c>
      <c r="M439" s="68">
        <f>'Calendario C'!Y191</f>
        <v/>
      </c>
      <c r="N439" s="68">
        <f>'Calendario C'!Z191</f>
        <v/>
      </c>
    </row>
    <row r="440">
      <c r="A440" s="68">
        <f>'Calendario C'!M194</f>
        <v/>
      </c>
      <c r="B440" s="68">
        <f>'Calendario C'!N194</f>
        <v/>
      </c>
      <c r="C440" s="68">
        <f>'Calendario C'!O194</f>
        <v/>
      </c>
      <c r="D440" s="68">
        <f>'Calendario C'!P194</f>
        <v/>
      </c>
      <c r="E440" s="68">
        <f>'Calendario C'!Q194</f>
        <v/>
      </c>
      <c r="F440" s="68">
        <f>'Calendario C'!R194</f>
        <v/>
      </c>
      <c r="G440" s="68">
        <f>'Calendario C'!S194</f>
        <v/>
      </c>
      <c r="H440" s="68">
        <f>'Calendario C'!T194</f>
        <v/>
      </c>
      <c r="I440" s="68">
        <f>'Calendario C'!U194</f>
        <v/>
      </c>
      <c r="J440" s="68">
        <f>'Calendario C'!V194</f>
        <v/>
      </c>
      <c r="K440" s="68">
        <f>'Calendario C'!W194</f>
        <v/>
      </c>
      <c r="L440" s="68">
        <f>'Calendario C'!X194</f>
        <v/>
      </c>
      <c r="M440" s="68">
        <f>'Calendario C'!Y194</f>
        <v/>
      </c>
      <c r="N440" s="68">
        <f>'Calendario C'!Z194</f>
        <v/>
      </c>
    </row>
    <row r="441">
      <c r="A441" s="68">
        <f>'Calendario C'!M197</f>
        <v/>
      </c>
      <c r="B441" s="68">
        <f>'Calendario C'!N197</f>
        <v/>
      </c>
      <c r="C441" s="68">
        <f>'Calendario C'!O197</f>
        <v/>
      </c>
      <c r="D441" s="68">
        <f>'Calendario C'!P197</f>
        <v/>
      </c>
      <c r="E441" s="68">
        <f>'Calendario C'!Q197</f>
        <v/>
      </c>
      <c r="F441" s="68">
        <f>'Calendario C'!R197</f>
        <v/>
      </c>
      <c r="G441" s="68">
        <f>'Calendario C'!S197</f>
        <v/>
      </c>
      <c r="H441" s="68">
        <f>'Calendario C'!T197</f>
        <v/>
      </c>
      <c r="I441" s="68">
        <f>'Calendario C'!U197</f>
        <v/>
      </c>
      <c r="J441" s="68">
        <f>'Calendario C'!V197</f>
        <v/>
      </c>
      <c r="K441" s="68">
        <f>'Calendario C'!W197</f>
        <v/>
      </c>
      <c r="L441" s="68">
        <f>'Calendario C'!X197</f>
        <v/>
      </c>
      <c r="M441" s="68">
        <f>'Calendario C'!Y197</f>
        <v/>
      </c>
      <c r="N441" s="68">
        <f>'Calendario C'!Z197</f>
        <v/>
      </c>
    </row>
    <row r="442">
      <c r="A442" s="68">
        <f>'Calendario C'!M202</f>
        <v/>
      </c>
      <c r="B442" s="68">
        <f>'Calendario C'!N202</f>
        <v/>
      </c>
      <c r="C442" s="68">
        <f>'Calendario C'!O202</f>
        <v/>
      </c>
      <c r="D442" s="68">
        <f>'Calendario C'!P202</f>
        <v/>
      </c>
      <c r="E442" s="68">
        <f>'Calendario C'!Q202</f>
        <v/>
      </c>
      <c r="F442" s="68">
        <f>'Calendario C'!R202</f>
        <v/>
      </c>
      <c r="G442" s="68">
        <f>'Calendario C'!S202</f>
        <v/>
      </c>
      <c r="H442" s="68">
        <f>'Calendario C'!T202</f>
        <v/>
      </c>
      <c r="I442" s="68">
        <f>'Calendario C'!U202</f>
        <v/>
      </c>
      <c r="J442" s="68">
        <f>'Calendario C'!V202</f>
        <v/>
      </c>
      <c r="K442" s="68">
        <f>'Calendario C'!W202</f>
        <v/>
      </c>
      <c r="L442" s="68">
        <f>'Calendario C'!X202</f>
        <v/>
      </c>
      <c r="M442" s="68">
        <f>'Calendario C'!Y202</f>
        <v/>
      </c>
      <c r="N442" s="68">
        <f>'Calendario C'!Z202</f>
        <v/>
      </c>
    </row>
    <row r="443">
      <c r="A443" s="68">
        <f>'Calendario C'!M205</f>
        <v/>
      </c>
      <c r="B443" s="68">
        <f>'Calendario C'!N205</f>
        <v/>
      </c>
      <c r="C443" s="68">
        <f>'Calendario C'!O205</f>
        <v/>
      </c>
      <c r="D443" s="68">
        <f>'Calendario C'!P205</f>
        <v/>
      </c>
      <c r="E443" s="68">
        <f>'Calendario C'!Q205</f>
        <v/>
      </c>
      <c r="F443" s="68">
        <f>'Calendario C'!R205</f>
        <v/>
      </c>
      <c r="G443" s="68">
        <f>'Calendario C'!S205</f>
        <v/>
      </c>
      <c r="H443" s="68">
        <f>'Calendario C'!T205</f>
        <v/>
      </c>
      <c r="I443" s="68">
        <f>'Calendario C'!U205</f>
        <v/>
      </c>
      <c r="J443" s="68">
        <f>'Calendario C'!V205</f>
        <v/>
      </c>
      <c r="K443" s="68">
        <f>'Calendario C'!W205</f>
        <v/>
      </c>
      <c r="L443" s="68">
        <f>'Calendario C'!X205</f>
        <v/>
      </c>
      <c r="M443" s="68">
        <f>'Calendario C'!Y205</f>
        <v/>
      </c>
      <c r="N443" s="68">
        <f>'Calendario C'!Z205</f>
        <v/>
      </c>
    </row>
    <row r="444">
      <c r="A444" s="68">
        <f>'Calendario C'!M208</f>
        <v/>
      </c>
      <c r="B444" s="68">
        <f>'Calendario C'!N208</f>
        <v/>
      </c>
      <c r="C444" s="68">
        <f>'Calendario C'!O208</f>
        <v/>
      </c>
      <c r="D444" s="68">
        <f>'Calendario C'!P208</f>
        <v/>
      </c>
      <c r="E444" s="68">
        <f>'Calendario C'!Q208</f>
        <v/>
      </c>
      <c r="F444" s="68">
        <f>'Calendario C'!R208</f>
        <v/>
      </c>
      <c r="G444" s="68">
        <f>'Calendario C'!S208</f>
        <v/>
      </c>
      <c r="H444" s="68">
        <f>'Calendario C'!T208</f>
        <v/>
      </c>
      <c r="I444" s="68">
        <f>'Calendario C'!U208</f>
        <v/>
      </c>
      <c r="J444" s="68">
        <f>'Calendario C'!V208</f>
        <v/>
      </c>
      <c r="K444" s="68">
        <f>'Calendario C'!W208</f>
        <v/>
      </c>
      <c r="L444" s="68">
        <f>'Calendario C'!X208</f>
        <v/>
      </c>
      <c r="M444" s="68">
        <f>'Calendario C'!Y208</f>
        <v/>
      </c>
      <c r="N444" s="68">
        <f>'Calendario C'!Z208</f>
        <v/>
      </c>
    </row>
    <row r="445">
      <c r="A445" s="68">
        <f>'Calendario C'!M211</f>
        <v/>
      </c>
      <c r="B445" s="68">
        <f>'Calendario C'!N211</f>
        <v/>
      </c>
      <c r="C445" s="68">
        <f>'Calendario C'!O211</f>
        <v/>
      </c>
      <c r="D445" s="68">
        <f>'Calendario C'!P211</f>
        <v/>
      </c>
      <c r="E445" s="68">
        <f>'Calendario C'!Q211</f>
        <v/>
      </c>
      <c r="F445" s="68">
        <f>'Calendario C'!R211</f>
        <v/>
      </c>
      <c r="G445" s="68">
        <f>'Calendario C'!S211</f>
        <v/>
      </c>
      <c r="H445" s="68">
        <f>'Calendario C'!T211</f>
        <v/>
      </c>
      <c r="I445" s="68">
        <f>'Calendario C'!U211</f>
        <v/>
      </c>
      <c r="J445" s="68">
        <f>'Calendario C'!V211</f>
        <v/>
      </c>
      <c r="K445" s="68">
        <f>'Calendario C'!W211</f>
        <v/>
      </c>
      <c r="L445" s="68">
        <f>'Calendario C'!X211</f>
        <v/>
      </c>
      <c r="M445" s="68">
        <f>'Calendario C'!Y211</f>
        <v/>
      </c>
      <c r="N445" s="68">
        <f>'Calendario C'!Z211</f>
        <v/>
      </c>
    </row>
    <row r="446">
      <c r="A446" s="68">
        <f>'Calendario C'!M214</f>
        <v/>
      </c>
      <c r="B446" s="68">
        <f>'Calendario C'!N214</f>
        <v/>
      </c>
      <c r="C446" s="68">
        <f>'Calendario C'!O214</f>
        <v/>
      </c>
      <c r="D446" s="68">
        <f>'Calendario C'!P214</f>
        <v/>
      </c>
      <c r="E446" s="68">
        <f>'Calendario C'!Q214</f>
        <v/>
      </c>
      <c r="F446" s="68">
        <f>'Calendario C'!R214</f>
        <v/>
      </c>
      <c r="G446" s="68">
        <f>'Calendario C'!S214</f>
        <v/>
      </c>
      <c r="H446" s="68">
        <f>'Calendario C'!T214</f>
        <v/>
      </c>
      <c r="I446" s="68">
        <f>'Calendario C'!U214</f>
        <v/>
      </c>
      <c r="J446" s="68">
        <f>'Calendario C'!V214</f>
        <v/>
      </c>
      <c r="K446" s="68">
        <f>'Calendario C'!W214</f>
        <v/>
      </c>
      <c r="L446" s="68">
        <f>'Calendario C'!X214</f>
        <v/>
      </c>
      <c r="M446" s="68">
        <f>'Calendario C'!Y214</f>
        <v/>
      </c>
      <c r="N446" s="68">
        <f>'Calendario C'!Z214</f>
        <v/>
      </c>
    </row>
    <row r="447">
      <c r="A447" s="68">
        <f>'Calendario C'!M217</f>
        <v/>
      </c>
      <c r="B447" s="68">
        <f>'Calendario C'!N217</f>
        <v/>
      </c>
      <c r="C447" s="68">
        <f>'Calendario C'!O217</f>
        <v/>
      </c>
      <c r="D447" s="68">
        <f>'Calendario C'!P217</f>
        <v/>
      </c>
      <c r="E447" s="68">
        <f>'Calendario C'!Q217</f>
        <v/>
      </c>
      <c r="F447" s="68">
        <f>'Calendario C'!R217</f>
        <v/>
      </c>
      <c r="G447" s="68">
        <f>'Calendario C'!S217</f>
        <v/>
      </c>
      <c r="H447" s="68">
        <f>'Calendario C'!T217</f>
        <v/>
      </c>
      <c r="I447" s="68">
        <f>'Calendario C'!U217</f>
        <v/>
      </c>
      <c r="J447" s="68">
        <f>'Calendario C'!V217</f>
        <v/>
      </c>
      <c r="K447" s="68">
        <f>'Calendario C'!W217</f>
        <v/>
      </c>
      <c r="L447" s="68">
        <f>'Calendario C'!X217</f>
        <v/>
      </c>
      <c r="M447" s="68">
        <f>'Calendario C'!Y217</f>
        <v/>
      </c>
      <c r="N447" s="68">
        <f>'Calendario C'!Z217</f>
        <v/>
      </c>
    </row>
    <row r="448">
      <c r="A448" s="68">
        <f>'Calendario C'!M220</f>
        <v/>
      </c>
      <c r="B448" s="68">
        <f>'Calendario C'!N220</f>
        <v/>
      </c>
      <c r="C448" s="68">
        <f>'Calendario C'!O220</f>
        <v/>
      </c>
      <c r="D448" s="68">
        <f>'Calendario C'!P220</f>
        <v/>
      </c>
      <c r="E448" s="68">
        <f>'Calendario C'!Q220</f>
        <v/>
      </c>
      <c r="F448" s="68">
        <f>'Calendario C'!R220</f>
        <v/>
      </c>
      <c r="G448" s="68">
        <f>'Calendario C'!S220</f>
        <v/>
      </c>
      <c r="H448" s="68">
        <f>'Calendario C'!T220</f>
        <v/>
      </c>
      <c r="I448" s="68">
        <f>'Calendario C'!U220</f>
        <v/>
      </c>
      <c r="J448" s="68">
        <f>'Calendario C'!V220</f>
        <v/>
      </c>
      <c r="K448" s="68">
        <f>'Calendario C'!W220</f>
        <v/>
      </c>
      <c r="L448" s="68">
        <f>'Calendario C'!X220</f>
        <v/>
      </c>
      <c r="M448" s="68">
        <f>'Calendario C'!Y220</f>
        <v/>
      </c>
      <c r="N448" s="68">
        <f>'Calendario C'!Z220</f>
        <v/>
      </c>
    </row>
    <row r="449">
      <c r="A449" s="68">
        <f>'Calendario C'!M223</f>
        <v/>
      </c>
      <c r="B449" s="68">
        <f>'Calendario C'!N223</f>
        <v/>
      </c>
      <c r="C449" s="68">
        <f>'Calendario C'!O223</f>
        <v/>
      </c>
      <c r="D449" s="68">
        <f>'Calendario C'!P223</f>
        <v/>
      </c>
      <c r="E449" s="68">
        <f>'Calendario C'!Q223</f>
        <v/>
      </c>
      <c r="F449" s="68">
        <f>'Calendario C'!R223</f>
        <v/>
      </c>
      <c r="G449" s="68">
        <f>'Calendario C'!S223</f>
        <v/>
      </c>
      <c r="H449" s="68">
        <f>'Calendario C'!T223</f>
        <v/>
      </c>
      <c r="I449" s="68">
        <f>'Calendario C'!U223</f>
        <v/>
      </c>
      <c r="J449" s="68">
        <f>'Calendario C'!V223</f>
        <v/>
      </c>
      <c r="K449" s="68">
        <f>'Calendario C'!W223</f>
        <v/>
      </c>
      <c r="L449" s="68">
        <f>'Calendario C'!X223</f>
        <v/>
      </c>
      <c r="M449" s="68">
        <f>'Calendario C'!Y223</f>
        <v/>
      </c>
      <c r="N449" s="68">
        <f>'Calendario C'!Z223</f>
        <v/>
      </c>
    </row>
    <row r="450">
      <c r="A450" s="68">
        <f>'Calendario C'!M226</f>
        <v/>
      </c>
      <c r="B450" s="68">
        <f>'Calendario C'!N226</f>
        <v/>
      </c>
      <c r="C450" s="68">
        <f>'Calendario C'!O226</f>
        <v/>
      </c>
      <c r="D450" s="68">
        <f>'Calendario C'!P226</f>
        <v/>
      </c>
      <c r="E450" s="68">
        <f>'Calendario C'!Q226</f>
        <v/>
      </c>
      <c r="F450" s="68">
        <f>'Calendario C'!R226</f>
        <v/>
      </c>
      <c r="G450" s="68">
        <f>'Calendario C'!S226</f>
        <v/>
      </c>
      <c r="H450" s="68">
        <f>'Calendario C'!T226</f>
        <v/>
      </c>
      <c r="I450" s="68">
        <f>'Calendario C'!U226</f>
        <v/>
      </c>
      <c r="J450" s="68">
        <f>'Calendario C'!V226</f>
        <v/>
      </c>
      <c r="K450" s="68">
        <f>'Calendario C'!W226</f>
        <v/>
      </c>
      <c r="L450" s="68">
        <f>'Calendario C'!X226</f>
        <v/>
      </c>
      <c r="M450" s="68">
        <f>'Calendario C'!Y226</f>
        <v/>
      </c>
      <c r="N450" s="68">
        <f>'Calendario C'!Z226</f>
        <v/>
      </c>
    </row>
    <row r="451">
      <c r="A451" s="68">
        <f>'Calendario C'!M229</f>
        <v/>
      </c>
      <c r="B451" s="68">
        <f>'Calendario C'!N229</f>
        <v/>
      </c>
      <c r="C451" s="68">
        <f>'Calendario C'!O229</f>
        <v/>
      </c>
      <c r="D451" s="68">
        <f>'Calendario C'!P229</f>
        <v/>
      </c>
      <c r="E451" s="68">
        <f>'Calendario C'!Q229</f>
        <v/>
      </c>
      <c r="F451" s="68">
        <f>'Calendario C'!R229</f>
        <v/>
      </c>
      <c r="G451" s="68">
        <f>'Calendario C'!S229</f>
        <v/>
      </c>
      <c r="H451" s="68">
        <f>'Calendario C'!T229</f>
        <v/>
      </c>
      <c r="I451" s="68">
        <f>'Calendario C'!U229</f>
        <v/>
      </c>
      <c r="J451" s="68">
        <f>'Calendario C'!V229</f>
        <v/>
      </c>
      <c r="K451" s="68">
        <f>'Calendario C'!W229</f>
        <v/>
      </c>
      <c r="L451" s="68">
        <f>'Calendario C'!X229</f>
        <v/>
      </c>
      <c r="M451" s="68">
        <f>'Calendario C'!Y229</f>
        <v/>
      </c>
      <c r="N451" s="68">
        <f>'Calendario C'!Z229</f>
        <v/>
      </c>
    </row>
    <row r="452">
      <c r="A452" s="68">
        <f>'Calendario C'!M234</f>
        <v/>
      </c>
      <c r="B452" s="68">
        <f>'Calendario C'!N234</f>
        <v/>
      </c>
      <c r="C452" s="68">
        <f>'Calendario C'!O234</f>
        <v/>
      </c>
      <c r="D452" s="68">
        <f>'Calendario C'!P234</f>
        <v/>
      </c>
      <c r="E452" s="68">
        <f>'Calendario C'!Q234</f>
        <v/>
      </c>
      <c r="F452" s="68">
        <f>'Calendario C'!R234</f>
        <v/>
      </c>
      <c r="G452" s="68">
        <f>'Calendario C'!S234</f>
        <v/>
      </c>
      <c r="H452" s="68">
        <f>'Calendario C'!T234</f>
        <v/>
      </c>
      <c r="I452" s="68">
        <f>'Calendario C'!U234</f>
        <v/>
      </c>
      <c r="J452" s="68">
        <f>'Calendario C'!V234</f>
        <v/>
      </c>
      <c r="K452" s="68">
        <f>'Calendario C'!W234</f>
        <v/>
      </c>
      <c r="L452" s="68">
        <f>'Calendario C'!X234</f>
        <v/>
      </c>
      <c r="M452" s="68">
        <f>'Calendario C'!Y234</f>
        <v/>
      </c>
      <c r="N452" s="68">
        <f>'Calendario C'!Z234</f>
        <v/>
      </c>
    </row>
    <row r="453">
      <c r="A453" s="68">
        <f>'Calendario C'!M237</f>
        <v/>
      </c>
      <c r="B453" s="68">
        <f>'Calendario C'!N237</f>
        <v/>
      </c>
      <c r="C453" s="68">
        <f>'Calendario C'!O237</f>
        <v/>
      </c>
      <c r="D453" s="68">
        <f>'Calendario C'!P237</f>
        <v/>
      </c>
      <c r="E453" s="68">
        <f>'Calendario C'!Q237</f>
        <v/>
      </c>
      <c r="F453" s="68">
        <f>'Calendario C'!R237</f>
        <v/>
      </c>
      <c r="G453" s="68">
        <f>'Calendario C'!S237</f>
        <v/>
      </c>
      <c r="H453" s="68">
        <f>'Calendario C'!T237</f>
        <v/>
      </c>
      <c r="I453" s="68">
        <f>'Calendario C'!U237</f>
        <v/>
      </c>
      <c r="J453" s="68">
        <f>'Calendario C'!V237</f>
        <v/>
      </c>
      <c r="K453" s="68">
        <f>'Calendario C'!W237</f>
        <v/>
      </c>
      <c r="L453" s="68">
        <f>'Calendario C'!X237</f>
        <v/>
      </c>
      <c r="M453" s="68">
        <f>'Calendario C'!Y237</f>
        <v/>
      </c>
      <c r="N453" s="68">
        <f>'Calendario C'!Z237</f>
        <v/>
      </c>
    </row>
    <row r="454">
      <c r="A454" s="68">
        <f>'Calendario C'!M240</f>
        <v/>
      </c>
      <c r="B454" s="68">
        <f>'Calendario C'!N240</f>
        <v/>
      </c>
      <c r="C454" s="68">
        <f>'Calendario C'!O240</f>
        <v/>
      </c>
      <c r="D454" s="68">
        <f>'Calendario C'!P240</f>
        <v/>
      </c>
      <c r="E454" s="68">
        <f>'Calendario C'!Q240</f>
        <v/>
      </c>
      <c r="F454" s="68">
        <f>'Calendario C'!R240</f>
        <v/>
      </c>
      <c r="G454" s="68">
        <f>'Calendario C'!S240</f>
        <v/>
      </c>
      <c r="H454" s="68">
        <f>'Calendario C'!T240</f>
        <v/>
      </c>
      <c r="I454" s="68">
        <f>'Calendario C'!U240</f>
        <v/>
      </c>
      <c r="J454" s="68">
        <f>'Calendario C'!V240</f>
        <v/>
      </c>
      <c r="K454" s="68">
        <f>'Calendario C'!W240</f>
        <v/>
      </c>
      <c r="L454" s="68">
        <f>'Calendario C'!X240</f>
        <v/>
      </c>
      <c r="M454" s="68">
        <f>'Calendario C'!Y240</f>
        <v/>
      </c>
      <c r="N454" s="68">
        <f>'Calendario C'!Z240</f>
        <v/>
      </c>
    </row>
    <row r="455">
      <c r="A455" s="68">
        <f>'Calendario C'!M243</f>
        <v/>
      </c>
      <c r="B455" s="68">
        <f>'Calendario C'!N243</f>
        <v/>
      </c>
      <c r="C455" s="68">
        <f>'Calendario C'!O243</f>
        <v/>
      </c>
      <c r="D455" s="68">
        <f>'Calendario C'!P243</f>
        <v/>
      </c>
      <c r="E455" s="68">
        <f>'Calendario C'!Q243</f>
        <v/>
      </c>
      <c r="F455" s="68">
        <f>'Calendario C'!R243</f>
        <v/>
      </c>
      <c r="G455" s="68">
        <f>'Calendario C'!S243</f>
        <v/>
      </c>
      <c r="H455" s="68">
        <f>'Calendario C'!T243</f>
        <v/>
      </c>
      <c r="I455" s="68">
        <f>'Calendario C'!U243</f>
        <v/>
      </c>
      <c r="J455" s="68">
        <f>'Calendario C'!V243</f>
        <v/>
      </c>
      <c r="K455" s="68">
        <f>'Calendario C'!W243</f>
        <v/>
      </c>
      <c r="L455" s="68">
        <f>'Calendario C'!X243</f>
        <v/>
      </c>
      <c r="M455" s="68">
        <f>'Calendario C'!Y243</f>
        <v/>
      </c>
      <c r="N455" s="68">
        <f>'Calendario C'!Z243</f>
        <v/>
      </c>
    </row>
    <row r="456">
      <c r="A456" s="68">
        <f>'Calendario C'!M246</f>
        <v/>
      </c>
      <c r="B456" s="68">
        <f>'Calendario C'!N246</f>
        <v/>
      </c>
      <c r="C456" s="68">
        <f>'Calendario C'!O246</f>
        <v/>
      </c>
      <c r="D456" s="68">
        <f>'Calendario C'!P246</f>
        <v/>
      </c>
      <c r="E456" s="68">
        <f>'Calendario C'!Q246</f>
        <v/>
      </c>
      <c r="F456" s="68">
        <f>'Calendario C'!R246</f>
        <v/>
      </c>
      <c r="G456" s="68">
        <f>'Calendario C'!S246</f>
        <v/>
      </c>
      <c r="H456" s="68">
        <f>'Calendario C'!T246</f>
        <v/>
      </c>
      <c r="I456" s="68">
        <f>'Calendario C'!U246</f>
        <v/>
      </c>
      <c r="J456" s="68">
        <f>'Calendario C'!V246</f>
        <v/>
      </c>
      <c r="K456" s="68">
        <f>'Calendario C'!W246</f>
        <v/>
      </c>
      <c r="L456" s="68">
        <f>'Calendario C'!X246</f>
        <v/>
      </c>
      <c r="M456" s="68">
        <f>'Calendario C'!Y246</f>
        <v/>
      </c>
      <c r="N456" s="68">
        <f>'Calendario C'!Z246</f>
        <v/>
      </c>
    </row>
    <row r="457">
      <c r="A457" s="68">
        <f>'Calendario C'!M249</f>
        <v/>
      </c>
      <c r="B457" s="68">
        <f>'Calendario C'!N249</f>
        <v/>
      </c>
      <c r="C457" s="68">
        <f>'Calendario C'!O249</f>
        <v/>
      </c>
      <c r="D457" s="68">
        <f>'Calendario C'!P249</f>
        <v/>
      </c>
      <c r="E457" s="68">
        <f>'Calendario C'!Q249</f>
        <v/>
      </c>
      <c r="F457" s="68">
        <f>'Calendario C'!R249</f>
        <v/>
      </c>
      <c r="G457" s="68">
        <f>'Calendario C'!S249</f>
        <v/>
      </c>
      <c r="H457" s="68">
        <f>'Calendario C'!T249</f>
        <v/>
      </c>
      <c r="I457" s="68">
        <f>'Calendario C'!U249</f>
        <v/>
      </c>
      <c r="J457" s="68">
        <f>'Calendario C'!V249</f>
        <v/>
      </c>
      <c r="K457" s="68">
        <f>'Calendario C'!W249</f>
        <v/>
      </c>
      <c r="L457" s="68">
        <f>'Calendario C'!X249</f>
        <v/>
      </c>
      <c r="M457" s="68">
        <f>'Calendario C'!Y249</f>
        <v/>
      </c>
      <c r="N457" s="68">
        <f>'Calendario C'!Z249</f>
        <v/>
      </c>
    </row>
    <row r="458">
      <c r="A458" s="68">
        <f>'Calendario C'!M252</f>
        <v/>
      </c>
      <c r="B458" s="68">
        <f>'Calendario C'!N252</f>
        <v/>
      </c>
      <c r="C458" s="68">
        <f>'Calendario C'!O252</f>
        <v/>
      </c>
      <c r="D458" s="68">
        <f>'Calendario C'!P252</f>
        <v/>
      </c>
      <c r="E458" s="68">
        <f>'Calendario C'!Q252</f>
        <v/>
      </c>
      <c r="F458" s="68">
        <f>'Calendario C'!R252</f>
        <v/>
      </c>
      <c r="G458" s="68">
        <f>'Calendario C'!S252</f>
        <v/>
      </c>
      <c r="H458" s="68">
        <f>'Calendario C'!T252</f>
        <v/>
      </c>
      <c r="I458" s="68">
        <f>'Calendario C'!U252</f>
        <v/>
      </c>
      <c r="J458" s="68">
        <f>'Calendario C'!V252</f>
        <v/>
      </c>
      <c r="K458" s="68">
        <f>'Calendario C'!W252</f>
        <v/>
      </c>
      <c r="L458" s="68">
        <f>'Calendario C'!X252</f>
        <v/>
      </c>
      <c r="M458" s="68">
        <f>'Calendario C'!Y252</f>
        <v/>
      </c>
      <c r="N458" s="68">
        <f>'Calendario C'!Z252</f>
        <v/>
      </c>
    </row>
    <row r="459">
      <c r="A459" s="68">
        <f>'Calendario C'!M255</f>
        <v/>
      </c>
      <c r="B459" s="68">
        <f>'Calendario C'!N255</f>
        <v/>
      </c>
      <c r="C459" s="68">
        <f>'Calendario C'!O255</f>
        <v/>
      </c>
      <c r="D459" s="68">
        <f>'Calendario C'!P255</f>
        <v/>
      </c>
      <c r="E459" s="68">
        <f>'Calendario C'!Q255</f>
        <v/>
      </c>
      <c r="F459" s="68">
        <f>'Calendario C'!R255</f>
        <v/>
      </c>
      <c r="G459" s="68">
        <f>'Calendario C'!S255</f>
        <v/>
      </c>
      <c r="H459" s="68">
        <f>'Calendario C'!T255</f>
        <v/>
      </c>
      <c r="I459" s="68">
        <f>'Calendario C'!U255</f>
        <v/>
      </c>
      <c r="J459" s="68">
        <f>'Calendario C'!V255</f>
        <v/>
      </c>
      <c r="K459" s="68">
        <f>'Calendario C'!W255</f>
        <v/>
      </c>
      <c r="L459" s="68">
        <f>'Calendario C'!X255</f>
        <v/>
      </c>
      <c r="M459" s="68">
        <f>'Calendario C'!Y255</f>
        <v/>
      </c>
      <c r="N459" s="68">
        <f>'Calendario C'!Z255</f>
        <v/>
      </c>
    </row>
    <row r="460">
      <c r="A460" s="68">
        <f>'Calendario C'!M258</f>
        <v/>
      </c>
      <c r="B460" s="68">
        <f>'Calendario C'!N258</f>
        <v/>
      </c>
      <c r="C460" s="68">
        <f>'Calendario C'!O258</f>
        <v/>
      </c>
      <c r="D460" s="68">
        <f>'Calendario C'!P258</f>
        <v/>
      </c>
      <c r="E460" s="68">
        <f>'Calendario C'!Q258</f>
        <v/>
      </c>
      <c r="F460" s="68">
        <f>'Calendario C'!R258</f>
        <v/>
      </c>
      <c r="G460" s="68">
        <f>'Calendario C'!S258</f>
        <v/>
      </c>
      <c r="H460" s="68">
        <f>'Calendario C'!T258</f>
        <v/>
      </c>
      <c r="I460" s="68">
        <f>'Calendario C'!U258</f>
        <v/>
      </c>
      <c r="J460" s="68">
        <f>'Calendario C'!V258</f>
        <v/>
      </c>
      <c r="K460" s="68">
        <f>'Calendario C'!W258</f>
        <v/>
      </c>
      <c r="L460" s="68">
        <f>'Calendario C'!X258</f>
        <v/>
      </c>
      <c r="M460" s="68">
        <f>'Calendario C'!Y258</f>
        <v/>
      </c>
      <c r="N460" s="68">
        <f>'Calendario C'!Z258</f>
        <v/>
      </c>
    </row>
    <row r="461">
      <c r="A461" s="68">
        <f>'Calendario C'!M261</f>
        <v/>
      </c>
      <c r="B461" s="68">
        <f>'Calendario C'!N261</f>
        <v/>
      </c>
      <c r="C461" s="68">
        <f>'Calendario C'!O261</f>
        <v/>
      </c>
      <c r="D461" s="68">
        <f>'Calendario C'!P261</f>
        <v/>
      </c>
      <c r="E461" s="68">
        <f>'Calendario C'!Q261</f>
        <v/>
      </c>
      <c r="F461" s="68">
        <f>'Calendario C'!R261</f>
        <v/>
      </c>
      <c r="G461" s="68">
        <f>'Calendario C'!S261</f>
        <v/>
      </c>
      <c r="H461" s="68">
        <f>'Calendario C'!T261</f>
        <v/>
      </c>
      <c r="I461" s="68">
        <f>'Calendario C'!U261</f>
        <v/>
      </c>
      <c r="J461" s="68">
        <f>'Calendario C'!V261</f>
        <v/>
      </c>
      <c r="K461" s="68">
        <f>'Calendario C'!W261</f>
        <v/>
      </c>
      <c r="L461" s="68">
        <f>'Calendario C'!X261</f>
        <v/>
      </c>
      <c r="M461" s="68">
        <f>'Calendario C'!Y261</f>
        <v/>
      </c>
      <c r="N461" s="68">
        <f>'Calendario C'!Z261</f>
        <v/>
      </c>
    </row>
    <row r="462">
      <c r="A462" s="68">
        <f>'Calendario C'!M266</f>
        <v/>
      </c>
      <c r="B462" s="68">
        <f>'Calendario C'!N266</f>
        <v/>
      </c>
      <c r="C462" s="68">
        <f>'Calendario C'!O266</f>
        <v/>
      </c>
      <c r="D462" s="68">
        <f>'Calendario C'!P266</f>
        <v/>
      </c>
      <c r="E462" s="68">
        <f>'Calendario C'!Q266</f>
        <v/>
      </c>
      <c r="F462" s="68">
        <f>'Calendario C'!R266</f>
        <v/>
      </c>
      <c r="G462" s="68">
        <f>'Calendario C'!S266</f>
        <v/>
      </c>
      <c r="H462" s="68">
        <f>'Calendario C'!T266</f>
        <v/>
      </c>
      <c r="I462" s="68">
        <f>'Calendario C'!U266</f>
        <v/>
      </c>
      <c r="J462" s="68">
        <f>'Calendario C'!V266</f>
        <v/>
      </c>
      <c r="K462" s="68">
        <f>'Calendario C'!W266</f>
        <v/>
      </c>
      <c r="L462" s="68">
        <f>'Calendario C'!X266</f>
        <v/>
      </c>
      <c r="M462" s="68">
        <f>'Calendario C'!Y266</f>
        <v/>
      </c>
      <c r="N462" s="68">
        <f>'Calendario C'!Z266</f>
        <v/>
      </c>
    </row>
    <row r="463">
      <c r="A463" s="68">
        <f>'Calendario C'!M269</f>
        <v/>
      </c>
      <c r="B463" s="68">
        <f>'Calendario C'!N269</f>
        <v/>
      </c>
      <c r="C463" s="68">
        <f>'Calendario C'!O269</f>
        <v/>
      </c>
      <c r="D463" s="68">
        <f>'Calendario C'!P269</f>
        <v/>
      </c>
      <c r="E463" s="68">
        <f>'Calendario C'!Q269</f>
        <v/>
      </c>
      <c r="F463" s="68">
        <f>'Calendario C'!R269</f>
        <v/>
      </c>
      <c r="G463" s="68">
        <f>'Calendario C'!S269</f>
        <v/>
      </c>
      <c r="H463" s="68">
        <f>'Calendario C'!T269</f>
        <v/>
      </c>
      <c r="I463" s="68">
        <f>'Calendario C'!U269</f>
        <v/>
      </c>
      <c r="J463" s="68">
        <f>'Calendario C'!V269</f>
        <v/>
      </c>
      <c r="K463" s="68">
        <f>'Calendario C'!W269</f>
        <v/>
      </c>
      <c r="L463" s="68">
        <f>'Calendario C'!X269</f>
        <v/>
      </c>
      <c r="M463" s="68">
        <f>'Calendario C'!Y269</f>
        <v/>
      </c>
      <c r="N463" s="68">
        <f>'Calendario C'!Z269</f>
        <v/>
      </c>
    </row>
    <row r="464">
      <c r="A464" s="68">
        <f>'Calendario C'!M272</f>
        <v/>
      </c>
      <c r="B464" s="68">
        <f>'Calendario C'!N272</f>
        <v/>
      </c>
      <c r="C464" s="68">
        <f>'Calendario C'!O272</f>
        <v/>
      </c>
      <c r="D464" s="68">
        <f>'Calendario C'!P272</f>
        <v/>
      </c>
      <c r="E464" s="68">
        <f>'Calendario C'!Q272</f>
        <v/>
      </c>
      <c r="F464" s="68">
        <f>'Calendario C'!R272</f>
        <v/>
      </c>
      <c r="G464" s="68">
        <f>'Calendario C'!S272</f>
        <v/>
      </c>
      <c r="H464" s="68">
        <f>'Calendario C'!T272</f>
        <v/>
      </c>
      <c r="I464" s="68">
        <f>'Calendario C'!U272</f>
        <v/>
      </c>
      <c r="J464" s="68">
        <f>'Calendario C'!V272</f>
        <v/>
      </c>
      <c r="K464" s="68">
        <f>'Calendario C'!W272</f>
        <v/>
      </c>
      <c r="L464" s="68">
        <f>'Calendario C'!X272</f>
        <v/>
      </c>
      <c r="M464" s="68">
        <f>'Calendario C'!Y272</f>
        <v/>
      </c>
      <c r="N464" s="68">
        <f>'Calendario C'!Z272</f>
        <v/>
      </c>
    </row>
    <row r="465">
      <c r="A465" s="68">
        <f>'Calendario C'!M275</f>
        <v/>
      </c>
      <c r="B465" s="68">
        <f>'Calendario C'!N275</f>
        <v/>
      </c>
      <c r="C465" s="68">
        <f>'Calendario C'!O275</f>
        <v/>
      </c>
      <c r="D465" s="68">
        <f>'Calendario C'!P275</f>
        <v/>
      </c>
      <c r="E465" s="68">
        <f>'Calendario C'!Q275</f>
        <v/>
      </c>
      <c r="F465" s="68">
        <f>'Calendario C'!R275</f>
        <v/>
      </c>
      <c r="G465" s="68">
        <f>'Calendario C'!S275</f>
        <v/>
      </c>
      <c r="H465" s="68">
        <f>'Calendario C'!T275</f>
        <v/>
      </c>
      <c r="I465" s="68">
        <f>'Calendario C'!U275</f>
        <v/>
      </c>
      <c r="J465" s="68">
        <f>'Calendario C'!V275</f>
        <v/>
      </c>
      <c r="K465" s="68">
        <f>'Calendario C'!W275</f>
        <v/>
      </c>
      <c r="L465" s="68">
        <f>'Calendario C'!X275</f>
        <v/>
      </c>
      <c r="M465" s="68">
        <f>'Calendario C'!Y275</f>
        <v/>
      </c>
      <c r="N465" s="68">
        <f>'Calendario C'!Z275</f>
        <v/>
      </c>
    </row>
    <row r="466">
      <c r="A466" s="68">
        <f>'Calendario C'!M278</f>
        <v/>
      </c>
      <c r="B466" s="68">
        <f>'Calendario C'!N278</f>
        <v/>
      </c>
      <c r="C466" s="68">
        <f>'Calendario C'!O278</f>
        <v/>
      </c>
      <c r="D466" s="68">
        <f>'Calendario C'!P278</f>
        <v/>
      </c>
      <c r="E466" s="68">
        <f>'Calendario C'!Q278</f>
        <v/>
      </c>
      <c r="F466" s="68">
        <f>'Calendario C'!R278</f>
        <v/>
      </c>
      <c r="G466" s="68">
        <f>'Calendario C'!S278</f>
        <v/>
      </c>
      <c r="H466" s="68">
        <f>'Calendario C'!T278</f>
        <v/>
      </c>
      <c r="I466" s="68">
        <f>'Calendario C'!U278</f>
        <v/>
      </c>
      <c r="J466" s="68">
        <f>'Calendario C'!V278</f>
        <v/>
      </c>
      <c r="K466" s="68">
        <f>'Calendario C'!W278</f>
        <v/>
      </c>
      <c r="L466" s="68">
        <f>'Calendario C'!X278</f>
        <v/>
      </c>
      <c r="M466" s="68">
        <f>'Calendario C'!Y278</f>
        <v/>
      </c>
      <c r="N466" s="68">
        <f>'Calendario C'!Z278</f>
        <v/>
      </c>
    </row>
    <row r="467">
      <c r="A467" s="68">
        <f>'Calendario C'!M281</f>
        <v/>
      </c>
      <c r="B467" s="68">
        <f>'Calendario C'!N281</f>
        <v/>
      </c>
      <c r="C467" s="68">
        <f>'Calendario C'!O281</f>
        <v/>
      </c>
      <c r="D467" s="68">
        <f>'Calendario C'!P281</f>
        <v/>
      </c>
      <c r="E467" s="68">
        <f>'Calendario C'!Q281</f>
        <v/>
      </c>
      <c r="F467" s="68">
        <f>'Calendario C'!R281</f>
        <v/>
      </c>
      <c r="G467" s="68">
        <f>'Calendario C'!S281</f>
        <v/>
      </c>
      <c r="H467" s="68">
        <f>'Calendario C'!T281</f>
        <v/>
      </c>
      <c r="I467" s="68">
        <f>'Calendario C'!U281</f>
        <v/>
      </c>
      <c r="J467" s="68">
        <f>'Calendario C'!V281</f>
        <v/>
      </c>
      <c r="K467" s="68">
        <f>'Calendario C'!W281</f>
        <v/>
      </c>
      <c r="L467" s="68">
        <f>'Calendario C'!X281</f>
        <v/>
      </c>
      <c r="M467" s="68">
        <f>'Calendario C'!Y281</f>
        <v/>
      </c>
      <c r="N467" s="68">
        <f>'Calendario C'!Z281</f>
        <v/>
      </c>
    </row>
    <row r="468">
      <c r="A468" s="68">
        <f>'Calendario C'!M284</f>
        <v/>
      </c>
      <c r="B468" s="68">
        <f>'Calendario C'!N284</f>
        <v/>
      </c>
      <c r="C468" s="68">
        <f>'Calendario C'!O284</f>
        <v/>
      </c>
      <c r="D468" s="68">
        <f>'Calendario C'!P284</f>
        <v/>
      </c>
      <c r="E468" s="68">
        <f>'Calendario C'!Q284</f>
        <v/>
      </c>
      <c r="F468" s="68">
        <f>'Calendario C'!R284</f>
        <v/>
      </c>
      <c r="G468" s="68">
        <f>'Calendario C'!S284</f>
        <v/>
      </c>
      <c r="H468" s="68">
        <f>'Calendario C'!T284</f>
        <v/>
      </c>
      <c r="I468" s="68">
        <f>'Calendario C'!U284</f>
        <v/>
      </c>
      <c r="J468" s="68">
        <f>'Calendario C'!V284</f>
        <v/>
      </c>
      <c r="K468" s="68">
        <f>'Calendario C'!W284</f>
        <v/>
      </c>
      <c r="L468" s="68">
        <f>'Calendario C'!X284</f>
        <v/>
      </c>
      <c r="M468" s="68">
        <f>'Calendario C'!Y284</f>
        <v/>
      </c>
      <c r="N468" s="68">
        <f>'Calendario C'!Z284</f>
        <v/>
      </c>
    </row>
    <row r="469">
      <c r="A469" s="68">
        <f>'Calendario C'!M287</f>
        <v/>
      </c>
      <c r="B469" s="68">
        <f>'Calendario C'!N287</f>
        <v/>
      </c>
      <c r="C469" s="68">
        <f>'Calendario C'!O287</f>
        <v/>
      </c>
      <c r="D469" s="68">
        <f>'Calendario C'!P287</f>
        <v/>
      </c>
      <c r="E469" s="68">
        <f>'Calendario C'!Q287</f>
        <v/>
      </c>
      <c r="F469" s="68">
        <f>'Calendario C'!R287</f>
        <v/>
      </c>
      <c r="G469" s="68">
        <f>'Calendario C'!S287</f>
        <v/>
      </c>
      <c r="H469" s="68">
        <f>'Calendario C'!T287</f>
        <v/>
      </c>
      <c r="I469" s="68">
        <f>'Calendario C'!U287</f>
        <v/>
      </c>
      <c r="J469" s="68">
        <f>'Calendario C'!V287</f>
        <v/>
      </c>
      <c r="K469" s="68">
        <f>'Calendario C'!W287</f>
        <v/>
      </c>
      <c r="L469" s="68">
        <f>'Calendario C'!X287</f>
        <v/>
      </c>
      <c r="M469" s="68">
        <f>'Calendario C'!Y287</f>
        <v/>
      </c>
      <c r="N469" s="68">
        <f>'Calendario C'!Z287</f>
        <v/>
      </c>
    </row>
    <row r="470">
      <c r="A470" s="68">
        <f>'Calendario C'!M290</f>
        <v/>
      </c>
      <c r="B470" s="68">
        <f>'Calendario C'!N290</f>
        <v/>
      </c>
      <c r="C470" s="68">
        <f>'Calendario C'!O290</f>
        <v/>
      </c>
      <c r="D470" s="68">
        <f>'Calendario C'!P290</f>
        <v/>
      </c>
      <c r="E470" s="68">
        <f>'Calendario C'!Q290</f>
        <v/>
      </c>
      <c r="F470" s="68">
        <f>'Calendario C'!R290</f>
        <v/>
      </c>
      <c r="G470" s="68">
        <f>'Calendario C'!S290</f>
        <v/>
      </c>
      <c r="H470" s="68">
        <f>'Calendario C'!T290</f>
        <v/>
      </c>
      <c r="I470" s="68">
        <f>'Calendario C'!U290</f>
        <v/>
      </c>
      <c r="J470" s="68">
        <f>'Calendario C'!V290</f>
        <v/>
      </c>
      <c r="K470" s="68">
        <f>'Calendario C'!W290</f>
        <v/>
      </c>
      <c r="L470" s="68">
        <f>'Calendario C'!X290</f>
        <v/>
      </c>
      <c r="M470" s="68">
        <f>'Calendario C'!Y290</f>
        <v/>
      </c>
      <c r="N470" s="68">
        <f>'Calendario C'!Z290</f>
        <v/>
      </c>
    </row>
    <row r="471">
      <c r="A471" s="68">
        <f>'Calendario C'!M293</f>
        <v/>
      </c>
      <c r="B471" s="68">
        <f>'Calendario C'!N293</f>
        <v/>
      </c>
      <c r="C471" s="68">
        <f>'Calendario C'!O293</f>
        <v/>
      </c>
      <c r="D471" s="68">
        <f>'Calendario C'!P293</f>
        <v/>
      </c>
      <c r="E471" s="68">
        <f>'Calendario C'!Q293</f>
        <v/>
      </c>
      <c r="F471" s="68">
        <f>'Calendario C'!R293</f>
        <v/>
      </c>
      <c r="G471" s="68">
        <f>'Calendario C'!S293</f>
        <v/>
      </c>
      <c r="H471" s="68">
        <f>'Calendario C'!T293</f>
        <v/>
      </c>
      <c r="I471" s="68">
        <f>'Calendario C'!U293</f>
        <v/>
      </c>
      <c r="J471" s="68">
        <f>'Calendario C'!V293</f>
        <v/>
      </c>
      <c r="K471" s="68">
        <f>'Calendario C'!W293</f>
        <v/>
      </c>
      <c r="L471" s="68">
        <f>'Calendario C'!X293</f>
        <v/>
      </c>
      <c r="M471" s="68">
        <f>'Calendario C'!Y293</f>
        <v/>
      </c>
      <c r="N471" s="68">
        <f>'Calendario C'!Z293</f>
        <v/>
      </c>
    </row>
    <row r="472">
      <c r="A472" s="68">
        <f>'Calendario C'!M298</f>
        <v/>
      </c>
      <c r="B472" s="68">
        <f>'Calendario C'!N298</f>
        <v/>
      </c>
      <c r="C472" s="68">
        <f>'Calendario C'!O298</f>
        <v/>
      </c>
      <c r="D472" s="68">
        <f>'Calendario C'!P298</f>
        <v/>
      </c>
      <c r="E472" s="68">
        <f>'Calendario C'!Q298</f>
        <v/>
      </c>
      <c r="F472" s="68">
        <f>'Calendario C'!R298</f>
        <v/>
      </c>
      <c r="G472" s="68">
        <f>'Calendario C'!S298</f>
        <v/>
      </c>
      <c r="H472" s="68">
        <f>'Calendario C'!T298</f>
        <v/>
      </c>
      <c r="I472" s="68">
        <f>'Calendario C'!U298</f>
        <v/>
      </c>
      <c r="J472" s="68">
        <f>'Calendario C'!V298</f>
        <v/>
      </c>
      <c r="K472" s="68">
        <f>'Calendario C'!W298</f>
        <v/>
      </c>
      <c r="L472" s="68">
        <f>'Calendario C'!X298</f>
        <v/>
      </c>
      <c r="M472" s="68">
        <f>'Calendario C'!Y298</f>
        <v/>
      </c>
      <c r="N472" s="68">
        <f>'Calendario C'!Z298</f>
        <v/>
      </c>
    </row>
    <row r="473">
      <c r="A473" s="68">
        <f>'Calendario C'!M301</f>
        <v/>
      </c>
      <c r="B473" s="68">
        <f>'Calendario C'!N301</f>
        <v/>
      </c>
      <c r="C473" s="68">
        <f>'Calendario C'!O301</f>
        <v/>
      </c>
      <c r="D473" s="68">
        <f>'Calendario C'!P301</f>
        <v/>
      </c>
      <c r="E473" s="68">
        <f>'Calendario C'!Q301</f>
        <v/>
      </c>
      <c r="F473" s="68">
        <f>'Calendario C'!R301</f>
        <v/>
      </c>
      <c r="G473" s="68">
        <f>'Calendario C'!S301</f>
        <v/>
      </c>
      <c r="H473" s="68">
        <f>'Calendario C'!T301</f>
        <v/>
      </c>
      <c r="I473" s="68">
        <f>'Calendario C'!U301</f>
        <v/>
      </c>
      <c r="J473" s="68">
        <f>'Calendario C'!V301</f>
        <v/>
      </c>
      <c r="K473" s="68">
        <f>'Calendario C'!W301</f>
        <v/>
      </c>
      <c r="L473" s="68">
        <f>'Calendario C'!X301</f>
        <v/>
      </c>
      <c r="M473" s="68">
        <f>'Calendario C'!Y301</f>
        <v/>
      </c>
      <c r="N473" s="68">
        <f>'Calendario C'!Z301</f>
        <v/>
      </c>
    </row>
    <row r="474">
      <c r="A474" s="68">
        <f>'Calendario C'!M304</f>
        <v/>
      </c>
      <c r="B474" s="68">
        <f>'Calendario C'!N304</f>
        <v/>
      </c>
      <c r="C474" s="68">
        <f>'Calendario C'!O304</f>
        <v/>
      </c>
      <c r="D474" s="68">
        <f>'Calendario C'!P304</f>
        <v/>
      </c>
      <c r="E474" s="68">
        <f>'Calendario C'!Q304</f>
        <v/>
      </c>
      <c r="F474" s="68">
        <f>'Calendario C'!R304</f>
        <v/>
      </c>
      <c r="G474" s="68">
        <f>'Calendario C'!S304</f>
        <v/>
      </c>
      <c r="H474" s="68">
        <f>'Calendario C'!T304</f>
        <v/>
      </c>
      <c r="I474" s="68">
        <f>'Calendario C'!U304</f>
        <v/>
      </c>
      <c r="J474" s="68">
        <f>'Calendario C'!V304</f>
        <v/>
      </c>
      <c r="K474" s="68">
        <f>'Calendario C'!W304</f>
        <v/>
      </c>
      <c r="L474" s="68">
        <f>'Calendario C'!X304</f>
        <v/>
      </c>
      <c r="M474" s="68">
        <f>'Calendario C'!Y304</f>
        <v/>
      </c>
      <c r="N474" s="68">
        <f>'Calendario C'!Z304</f>
        <v/>
      </c>
    </row>
    <row r="475">
      <c r="A475" s="68">
        <f>'Calendario C'!M307</f>
        <v/>
      </c>
      <c r="B475" s="68">
        <f>'Calendario C'!N307</f>
        <v/>
      </c>
      <c r="C475" s="68">
        <f>'Calendario C'!O307</f>
        <v/>
      </c>
      <c r="D475" s="68">
        <f>'Calendario C'!P307</f>
        <v/>
      </c>
      <c r="E475" s="68">
        <f>'Calendario C'!Q307</f>
        <v/>
      </c>
      <c r="F475" s="68">
        <f>'Calendario C'!R307</f>
        <v/>
      </c>
      <c r="G475" s="68">
        <f>'Calendario C'!S307</f>
        <v/>
      </c>
      <c r="H475" s="68">
        <f>'Calendario C'!T307</f>
        <v/>
      </c>
      <c r="I475" s="68">
        <f>'Calendario C'!U307</f>
        <v/>
      </c>
      <c r="J475" s="68">
        <f>'Calendario C'!V307</f>
        <v/>
      </c>
      <c r="K475" s="68">
        <f>'Calendario C'!W307</f>
        <v/>
      </c>
      <c r="L475" s="68">
        <f>'Calendario C'!X307</f>
        <v/>
      </c>
      <c r="M475" s="68">
        <f>'Calendario C'!Y307</f>
        <v/>
      </c>
      <c r="N475" s="68">
        <f>'Calendario C'!Z307</f>
        <v/>
      </c>
    </row>
    <row r="476">
      <c r="A476" s="68">
        <f>'Calendario C'!M310</f>
        <v/>
      </c>
      <c r="B476" s="68">
        <f>'Calendario C'!N310</f>
        <v/>
      </c>
      <c r="C476" s="68">
        <f>'Calendario C'!O310</f>
        <v/>
      </c>
      <c r="D476" s="68">
        <f>'Calendario C'!P310</f>
        <v/>
      </c>
      <c r="E476" s="68">
        <f>'Calendario C'!Q310</f>
        <v/>
      </c>
      <c r="F476" s="68">
        <f>'Calendario C'!R310</f>
        <v/>
      </c>
      <c r="G476" s="68">
        <f>'Calendario C'!S310</f>
        <v/>
      </c>
      <c r="H476" s="68">
        <f>'Calendario C'!T310</f>
        <v/>
      </c>
      <c r="I476" s="68">
        <f>'Calendario C'!U310</f>
        <v/>
      </c>
      <c r="J476" s="68">
        <f>'Calendario C'!V310</f>
        <v/>
      </c>
      <c r="K476" s="68">
        <f>'Calendario C'!W310</f>
        <v/>
      </c>
      <c r="L476" s="68">
        <f>'Calendario C'!X310</f>
        <v/>
      </c>
      <c r="M476" s="68">
        <f>'Calendario C'!Y310</f>
        <v/>
      </c>
      <c r="N476" s="68">
        <f>'Calendario C'!Z310</f>
        <v/>
      </c>
    </row>
    <row r="477">
      <c r="A477" s="68">
        <f>'Calendario C'!M313</f>
        <v/>
      </c>
      <c r="B477" s="68">
        <f>'Calendario C'!N313</f>
        <v/>
      </c>
      <c r="C477" s="68">
        <f>'Calendario C'!O313</f>
        <v/>
      </c>
      <c r="D477" s="68">
        <f>'Calendario C'!P313</f>
        <v/>
      </c>
      <c r="E477" s="68">
        <f>'Calendario C'!Q313</f>
        <v/>
      </c>
      <c r="F477" s="68">
        <f>'Calendario C'!R313</f>
        <v/>
      </c>
      <c r="G477" s="68">
        <f>'Calendario C'!S313</f>
        <v/>
      </c>
      <c r="H477" s="68">
        <f>'Calendario C'!T313</f>
        <v/>
      </c>
      <c r="I477" s="68">
        <f>'Calendario C'!U313</f>
        <v/>
      </c>
      <c r="J477" s="68">
        <f>'Calendario C'!V313</f>
        <v/>
      </c>
      <c r="K477" s="68">
        <f>'Calendario C'!W313</f>
        <v/>
      </c>
      <c r="L477" s="68">
        <f>'Calendario C'!X313</f>
        <v/>
      </c>
      <c r="M477" s="68">
        <f>'Calendario C'!Y313</f>
        <v/>
      </c>
      <c r="N477" s="68">
        <f>'Calendario C'!Z313</f>
        <v/>
      </c>
    </row>
    <row r="478">
      <c r="A478" s="68">
        <f>'Calendario C'!M316</f>
        <v/>
      </c>
      <c r="B478" s="68">
        <f>'Calendario C'!N316</f>
        <v/>
      </c>
      <c r="C478" s="68">
        <f>'Calendario C'!O316</f>
        <v/>
      </c>
      <c r="D478" s="68">
        <f>'Calendario C'!P316</f>
        <v/>
      </c>
      <c r="E478" s="68">
        <f>'Calendario C'!Q316</f>
        <v/>
      </c>
      <c r="F478" s="68">
        <f>'Calendario C'!R316</f>
        <v/>
      </c>
      <c r="G478" s="68">
        <f>'Calendario C'!S316</f>
        <v/>
      </c>
      <c r="H478" s="68">
        <f>'Calendario C'!T316</f>
        <v/>
      </c>
      <c r="I478" s="68">
        <f>'Calendario C'!U316</f>
        <v/>
      </c>
      <c r="J478" s="68">
        <f>'Calendario C'!V316</f>
        <v/>
      </c>
      <c r="K478" s="68">
        <f>'Calendario C'!W316</f>
        <v/>
      </c>
      <c r="L478" s="68">
        <f>'Calendario C'!X316</f>
        <v/>
      </c>
      <c r="M478" s="68">
        <f>'Calendario C'!Y316</f>
        <v/>
      </c>
      <c r="N478" s="68">
        <f>'Calendario C'!Z316</f>
        <v/>
      </c>
    </row>
    <row r="479">
      <c r="A479" s="68">
        <f>'Calendario C'!M319</f>
        <v/>
      </c>
      <c r="B479" s="68">
        <f>'Calendario C'!N319</f>
        <v/>
      </c>
      <c r="C479" s="68">
        <f>'Calendario C'!O319</f>
        <v/>
      </c>
      <c r="D479" s="68">
        <f>'Calendario C'!P319</f>
        <v/>
      </c>
      <c r="E479" s="68">
        <f>'Calendario C'!Q319</f>
        <v/>
      </c>
      <c r="F479" s="68">
        <f>'Calendario C'!R319</f>
        <v/>
      </c>
      <c r="G479" s="68">
        <f>'Calendario C'!S319</f>
        <v/>
      </c>
      <c r="H479" s="68">
        <f>'Calendario C'!T319</f>
        <v/>
      </c>
      <c r="I479" s="68">
        <f>'Calendario C'!U319</f>
        <v/>
      </c>
      <c r="J479" s="68">
        <f>'Calendario C'!V319</f>
        <v/>
      </c>
      <c r="K479" s="68">
        <f>'Calendario C'!W319</f>
        <v/>
      </c>
      <c r="L479" s="68">
        <f>'Calendario C'!X319</f>
        <v/>
      </c>
      <c r="M479" s="68">
        <f>'Calendario C'!Y319</f>
        <v/>
      </c>
      <c r="N479" s="68">
        <f>'Calendario C'!Z319</f>
        <v/>
      </c>
    </row>
    <row r="480">
      <c r="A480" s="68">
        <f>'Calendario C'!M322</f>
        <v/>
      </c>
      <c r="B480" s="68">
        <f>'Calendario C'!N322</f>
        <v/>
      </c>
      <c r="C480" s="68">
        <f>'Calendario C'!O322</f>
        <v/>
      </c>
      <c r="D480" s="68">
        <f>'Calendario C'!P322</f>
        <v/>
      </c>
      <c r="E480" s="68">
        <f>'Calendario C'!Q322</f>
        <v/>
      </c>
      <c r="F480" s="68">
        <f>'Calendario C'!R322</f>
        <v/>
      </c>
      <c r="G480" s="68">
        <f>'Calendario C'!S322</f>
        <v/>
      </c>
      <c r="H480" s="68">
        <f>'Calendario C'!T322</f>
        <v/>
      </c>
      <c r="I480" s="68">
        <f>'Calendario C'!U322</f>
        <v/>
      </c>
      <c r="J480" s="68">
        <f>'Calendario C'!V322</f>
        <v/>
      </c>
      <c r="K480" s="68">
        <f>'Calendario C'!W322</f>
        <v/>
      </c>
      <c r="L480" s="68">
        <f>'Calendario C'!X322</f>
        <v/>
      </c>
      <c r="M480" s="68">
        <f>'Calendario C'!Y322</f>
        <v/>
      </c>
      <c r="N480" s="68">
        <f>'Calendario C'!Z322</f>
        <v/>
      </c>
    </row>
    <row r="481">
      <c r="A481" s="68">
        <f>'Calendario C'!M325</f>
        <v/>
      </c>
      <c r="B481" s="68">
        <f>'Calendario C'!N325</f>
        <v/>
      </c>
      <c r="C481" s="68">
        <f>'Calendario C'!O325</f>
        <v/>
      </c>
      <c r="D481" s="68">
        <f>'Calendario C'!P325</f>
        <v/>
      </c>
      <c r="E481" s="68">
        <f>'Calendario C'!Q325</f>
        <v/>
      </c>
      <c r="F481" s="68">
        <f>'Calendario C'!R325</f>
        <v/>
      </c>
      <c r="G481" s="68">
        <f>'Calendario C'!S325</f>
        <v/>
      </c>
      <c r="H481" s="68">
        <f>'Calendario C'!T325</f>
        <v/>
      </c>
      <c r="I481" s="68">
        <f>'Calendario C'!U325</f>
        <v/>
      </c>
      <c r="J481" s="68">
        <f>'Calendario C'!V325</f>
        <v/>
      </c>
      <c r="K481" s="68">
        <f>'Calendario C'!W325</f>
        <v/>
      </c>
      <c r="L481" s="68">
        <f>'Calendario C'!X325</f>
        <v/>
      </c>
      <c r="M481" s="68">
        <f>'Calendario C'!Y325</f>
        <v/>
      </c>
      <c r="N481" s="68">
        <f>'Calendario C'!Z325</f>
        <v/>
      </c>
    </row>
    <row r="482">
      <c r="A482" s="68">
        <f>'Calendario C'!M330</f>
        <v/>
      </c>
      <c r="B482" s="68">
        <f>'Calendario C'!N330</f>
        <v/>
      </c>
      <c r="C482" s="68">
        <f>'Calendario C'!O330</f>
        <v/>
      </c>
      <c r="D482" s="68">
        <f>'Calendario C'!P330</f>
        <v/>
      </c>
      <c r="E482" s="68">
        <f>'Calendario C'!Q330</f>
        <v/>
      </c>
      <c r="F482" s="68">
        <f>'Calendario C'!R330</f>
        <v/>
      </c>
      <c r="G482" s="68">
        <f>'Calendario C'!S330</f>
        <v/>
      </c>
      <c r="H482" s="68">
        <f>'Calendario C'!T330</f>
        <v/>
      </c>
      <c r="I482" s="68">
        <f>'Calendario C'!U330</f>
        <v/>
      </c>
      <c r="J482" s="68">
        <f>'Calendario C'!V330</f>
        <v/>
      </c>
      <c r="K482" s="68">
        <f>'Calendario C'!W330</f>
        <v/>
      </c>
      <c r="L482" s="68">
        <f>'Calendario C'!X330</f>
        <v/>
      </c>
      <c r="M482" s="68">
        <f>'Calendario C'!Y330</f>
        <v/>
      </c>
      <c r="N482" s="68">
        <f>'Calendario C'!Z330</f>
        <v/>
      </c>
    </row>
    <row r="483">
      <c r="A483" s="68">
        <f>'Calendario C'!M333</f>
        <v/>
      </c>
      <c r="B483" s="68">
        <f>'Calendario C'!N333</f>
        <v/>
      </c>
      <c r="C483" s="68">
        <f>'Calendario C'!O333</f>
        <v/>
      </c>
      <c r="D483" s="68">
        <f>'Calendario C'!P333</f>
        <v/>
      </c>
      <c r="E483" s="68">
        <f>'Calendario C'!Q333</f>
        <v/>
      </c>
      <c r="F483" s="68">
        <f>'Calendario C'!R333</f>
        <v/>
      </c>
      <c r="G483" s="68">
        <f>'Calendario C'!S333</f>
        <v/>
      </c>
      <c r="H483" s="68">
        <f>'Calendario C'!T333</f>
        <v/>
      </c>
      <c r="I483" s="68">
        <f>'Calendario C'!U333</f>
        <v/>
      </c>
      <c r="J483" s="68">
        <f>'Calendario C'!V333</f>
        <v/>
      </c>
      <c r="K483" s="68">
        <f>'Calendario C'!W333</f>
        <v/>
      </c>
      <c r="L483" s="68">
        <f>'Calendario C'!X333</f>
        <v/>
      </c>
      <c r="M483" s="68">
        <f>'Calendario C'!Y333</f>
        <v/>
      </c>
      <c r="N483" s="68">
        <f>'Calendario C'!Z333</f>
        <v/>
      </c>
    </row>
    <row r="484">
      <c r="A484" s="68">
        <f>'Calendario C'!M336</f>
        <v/>
      </c>
      <c r="B484" s="68">
        <f>'Calendario C'!N336</f>
        <v/>
      </c>
      <c r="C484" s="68">
        <f>'Calendario C'!O336</f>
        <v/>
      </c>
      <c r="D484" s="68">
        <f>'Calendario C'!P336</f>
        <v/>
      </c>
      <c r="E484" s="68">
        <f>'Calendario C'!Q336</f>
        <v/>
      </c>
      <c r="F484" s="68">
        <f>'Calendario C'!R336</f>
        <v/>
      </c>
      <c r="G484" s="68">
        <f>'Calendario C'!S336</f>
        <v/>
      </c>
      <c r="H484" s="68">
        <f>'Calendario C'!T336</f>
        <v/>
      </c>
      <c r="I484" s="68">
        <f>'Calendario C'!U336</f>
        <v/>
      </c>
      <c r="J484" s="68">
        <f>'Calendario C'!V336</f>
        <v/>
      </c>
      <c r="K484" s="68">
        <f>'Calendario C'!W336</f>
        <v/>
      </c>
      <c r="L484" s="68">
        <f>'Calendario C'!X336</f>
        <v/>
      </c>
      <c r="M484" s="68">
        <f>'Calendario C'!Y336</f>
        <v/>
      </c>
      <c r="N484" s="68">
        <f>'Calendario C'!Z336</f>
        <v/>
      </c>
    </row>
    <row r="485">
      <c r="A485" s="68">
        <f>'Calendario C'!M339</f>
        <v/>
      </c>
      <c r="B485" s="68">
        <f>'Calendario C'!N339</f>
        <v/>
      </c>
      <c r="C485" s="68">
        <f>'Calendario C'!O339</f>
        <v/>
      </c>
      <c r="D485" s="68">
        <f>'Calendario C'!P339</f>
        <v/>
      </c>
      <c r="E485" s="68">
        <f>'Calendario C'!Q339</f>
        <v/>
      </c>
      <c r="F485" s="68">
        <f>'Calendario C'!R339</f>
        <v/>
      </c>
      <c r="G485" s="68">
        <f>'Calendario C'!S339</f>
        <v/>
      </c>
      <c r="H485" s="68">
        <f>'Calendario C'!T339</f>
        <v/>
      </c>
      <c r="I485" s="68">
        <f>'Calendario C'!U339</f>
        <v/>
      </c>
      <c r="J485" s="68">
        <f>'Calendario C'!V339</f>
        <v/>
      </c>
      <c r="K485" s="68">
        <f>'Calendario C'!W339</f>
        <v/>
      </c>
      <c r="L485" s="68">
        <f>'Calendario C'!X339</f>
        <v/>
      </c>
      <c r="M485" s="68">
        <f>'Calendario C'!Y339</f>
        <v/>
      </c>
      <c r="N485" s="68">
        <f>'Calendario C'!Z339</f>
        <v/>
      </c>
    </row>
    <row r="486">
      <c r="A486" s="68">
        <f>'Calendario C'!M342</f>
        <v/>
      </c>
      <c r="B486" s="68">
        <f>'Calendario C'!N342</f>
        <v/>
      </c>
      <c r="C486" s="68">
        <f>'Calendario C'!O342</f>
        <v/>
      </c>
      <c r="D486" s="68">
        <f>'Calendario C'!P342</f>
        <v/>
      </c>
      <c r="E486" s="68">
        <f>'Calendario C'!Q342</f>
        <v/>
      </c>
      <c r="F486" s="68">
        <f>'Calendario C'!R342</f>
        <v/>
      </c>
      <c r="G486" s="68">
        <f>'Calendario C'!S342</f>
        <v/>
      </c>
      <c r="H486" s="68">
        <f>'Calendario C'!T342</f>
        <v/>
      </c>
      <c r="I486" s="68">
        <f>'Calendario C'!U342</f>
        <v/>
      </c>
      <c r="J486" s="68">
        <f>'Calendario C'!V342</f>
        <v/>
      </c>
      <c r="K486" s="68">
        <f>'Calendario C'!W342</f>
        <v/>
      </c>
      <c r="L486" s="68">
        <f>'Calendario C'!X342</f>
        <v/>
      </c>
      <c r="M486" s="68">
        <f>'Calendario C'!Y342</f>
        <v/>
      </c>
      <c r="N486" s="68">
        <f>'Calendario C'!Z342</f>
        <v/>
      </c>
    </row>
    <row r="487">
      <c r="A487" s="68">
        <f>'Calendario C'!M345</f>
        <v/>
      </c>
      <c r="B487" s="68">
        <f>'Calendario C'!N345</f>
        <v/>
      </c>
      <c r="C487" s="68">
        <f>'Calendario C'!O345</f>
        <v/>
      </c>
      <c r="D487" s="68">
        <f>'Calendario C'!P345</f>
        <v/>
      </c>
      <c r="E487" s="68">
        <f>'Calendario C'!Q345</f>
        <v/>
      </c>
      <c r="F487" s="68">
        <f>'Calendario C'!R345</f>
        <v/>
      </c>
      <c r="G487" s="68">
        <f>'Calendario C'!S345</f>
        <v/>
      </c>
      <c r="H487" s="68">
        <f>'Calendario C'!T345</f>
        <v/>
      </c>
      <c r="I487" s="68">
        <f>'Calendario C'!U345</f>
        <v/>
      </c>
      <c r="J487" s="68">
        <f>'Calendario C'!V345</f>
        <v/>
      </c>
      <c r="K487" s="68">
        <f>'Calendario C'!W345</f>
        <v/>
      </c>
      <c r="L487" s="68">
        <f>'Calendario C'!X345</f>
        <v/>
      </c>
      <c r="M487" s="68">
        <f>'Calendario C'!Y345</f>
        <v/>
      </c>
      <c r="N487" s="68">
        <f>'Calendario C'!Z345</f>
        <v/>
      </c>
    </row>
    <row r="488">
      <c r="A488" s="68">
        <f>'Calendario C'!M348</f>
        <v/>
      </c>
      <c r="B488" s="68">
        <f>'Calendario C'!N348</f>
        <v/>
      </c>
      <c r="C488" s="68">
        <f>'Calendario C'!O348</f>
        <v/>
      </c>
      <c r="D488" s="68">
        <f>'Calendario C'!P348</f>
        <v/>
      </c>
      <c r="E488" s="68">
        <f>'Calendario C'!Q348</f>
        <v/>
      </c>
      <c r="F488" s="68">
        <f>'Calendario C'!R348</f>
        <v/>
      </c>
      <c r="G488" s="68">
        <f>'Calendario C'!S348</f>
        <v/>
      </c>
      <c r="H488" s="68">
        <f>'Calendario C'!T348</f>
        <v/>
      </c>
      <c r="I488" s="68">
        <f>'Calendario C'!U348</f>
        <v/>
      </c>
      <c r="J488" s="68">
        <f>'Calendario C'!V348</f>
        <v/>
      </c>
      <c r="K488" s="68">
        <f>'Calendario C'!W348</f>
        <v/>
      </c>
      <c r="L488" s="68">
        <f>'Calendario C'!X348</f>
        <v/>
      </c>
      <c r="M488" s="68">
        <f>'Calendario C'!Y348</f>
        <v/>
      </c>
      <c r="N488" s="68">
        <f>'Calendario C'!Z348</f>
        <v/>
      </c>
    </row>
    <row r="489">
      <c r="A489" s="68">
        <f>'Calendario C'!M351</f>
        <v/>
      </c>
      <c r="B489" s="68">
        <f>'Calendario C'!N351</f>
        <v/>
      </c>
      <c r="C489" s="68">
        <f>'Calendario C'!O351</f>
        <v/>
      </c>
      <c r="D489" s="68">
        <f>'Calendario C'!P351</f>
        <v/>
      </c>
      <c r="E489" s="68">
        <f>'Calendario C'!Q351</f>
        <v/>
      </c>
      <c r="F489" s="68">
        <f>'Calendario C'!R351</f>
        <v/>
      </c>
      <c r="G489" s="68">
        <f>'Calendario C'!S351</f>
        <v/>
      </c>
      <c r="H489" s="68">
        <f>'Calendario C'!T351</f>
        <v/>
      </c>
      <c r="I489" s="68">
        <f>'Calendario C'!U351</f>
        <v/>
      </c>
      <c r="J489" s="68">
        <f>'Calendario C'!V351</f>
        <v/>
      </c>
      <c r="K489" s="68">
        <f>'Calendario C'!W351</f>
        <v/>
      </c>
      <c r="L489" s="68">
        <f>'Calendario C'!X351</f>
        <v/>
      </c>
      <c r="M489" s="68">
        <f>'Calendario C'!Y351</f>
        <v/>
      </c>
      <c r="N489" s="68">
        <f>'Calendario C'!Z351</f>
        <v/>
      </c>
    </row>
    <row r="490">
      <c r="A490" s="68">
        <f>'Calendario C'!M354</f>
        <v/>
      </c>
      <c r="B490" s="68">
        <f>'Calendario C'!N354</f>
        <v/>
      </c>
      <c r="C490" s="68">
        <f>'Calendario C'!O354</f>
        <v/>
      </c>
      <c r="D490" s="68">
        <f>'Calendario C'!P354</f>
        <v/>
      </c>
      <c r="E490" s="68">
        <f>'Calendario C'!Q354</f>
        <v/>
      </c>
      <c r="F490" s="68">
        <f>'Calendario C'!R354</f>
        <v/>
      </c>
      <c r="G490" s="68">
        <f>'Calendario C'!S354</f>
        <v/>
      </c>
      <c r="H490" s="68">
        <f>'Calendario C'!T354</f>
        <v/>
      </c>
      <c r="I490" s="68">
        <f>'Calendario C'!U354</f>
        <v/>
      </c>
      <c r="J490" s="68">
        <f>'Calendario C'!V354</f>
        <v/>
      </c>
      <c r="K490" s="68">
        <f>'Calendario C'!W354</f>
        <v/>
      </c>
      <c r="L490" s="68">
        <f>'Calendario C'!X354</f>
        <v/>
      </c>
      <c r="M490" s="68">
        <f>'Calendario C'!Y354</f>
        <v/>
      </c>
      <c r="N490" s="68">
        <f>'Calendario C'!Z354</f>
        <v/>
      </c>
    </row>
    <row r="491">
      <c r="A491" s="68">
        <f>'Calendario C'!M357</f>
        <v/>
      </c>
      <c r="B491" s="68">
        <f>'Calendario C'!N357</f>
        <v/>
      </c>
      <c r="C491" s="68">
        <f>'Calendario C'!O357</f>
        <v/>
      </c>
      <c r="D491" s="68">
        <f>'Calendario C'!P357</f>
        <v/>
      </c>
      <c r="E491" s="68">
        <f>'Calendario C'!Q357</f>
        <v/>
      </c>
      <c r="F491" s="68">
        <f>'Calendario C'!R357</f>
        <v/>
      </c>
      <c r="G491" s="68">
        <f>'Calendario C'!S357</f>
        <v/>
      </c>
      <c r="H491" s="68">
        <f>'Calendario C'!T357</f>
        <v/>
      </c>
      <c r="I491" s="68">
        <f>'Calendario C'!U357</f>
        <v/>
      </c>
      <c r="J491" s="68">
        <f>'Calendario C'!V357</f>
        <v/>
      </c>
      <c r="K491" s="68">
        <f>'Calendario C'!W357</f>
        <v/>
      </c>
      <c r="L491" s="68">
        <f>'Calendario C'!X357</f>
        <v/>
      </c>
      <c r="M491" s="68">
        <f>'Calendario C'!Y357</f>
        <v/>
      </c>
      <c r="N491" s="68">
        <f>'Calendario C'!Z357</f>
        <v/>
      </c>
    </row>
    <row r="492">
      <c r="A492" s="68">
        <f>'Calendario C'!M362</f>
        <v/>
      </c>
      <c r="B492" s="68">
        <f>'Calendario C'!N362</f>
        <v/>
      </c>
      <c r="C492" s="68">
        <f>'Calendario C'!O362</f>
        <v/>
      </c>
      <c r="D492" s="68">
        <f>'Calendario C'!P362</f>
        <v/>
      </c>
      <c r="E492" s="68">
        <f>'Calendario C'!Q362</f>
        <v/>
      </c>
      <c r="F492" s="68">
        <f>'Calendario C'!R362</f>
        <v/>
      </c>
      <c r="G492" s="68">
        <f>'Calendario C'!S362</f>
        <v/>
      </c>
      <c r="H492" s="68">
        <f>'Calendario C'!T362</f>
        <v/>
      </c>
      <c r="I492" s="68">
        <f>'Calendario C'!U362</f>
        <v/>
      </c>
      <c r="J492" s="68">
        <f>'Calendario C'!V362</f>
        <v/>
      </c>
      <c r="K492" s="68">
        <f>'Calendario C'!W362</f>
        <v/>
      </c>
      <c r="L492" s="68">
        <f>'Calendario C'!X362</f>
        <v/>
      </c>
      <c r="M492" s="68">
        <f>'Calendario C'!Y362</f>
        <v/>
      </c>
      <c r="N492" s="68">
        <f>'Calendario C'!Z362</f>
        <v/>
      </c>
    </row>
    <row r="493">
      <c r="A493" s="68">
        <f>'Calendario C'!M365</f>
        <v/>
      </c>
      <c r="B493" s="68">
        <f>'Calendario C'!N365</f>
        <v/>
      </c>
      <c r="C493" s="68">
        <f>'Calendario C'!O365</f>
        <v/>
      </c>
      <c r="D493" s="68">
        <f>'Calendario C'!P365</f>
        <v/>
      </c>
      <c r="E493" s="68">
        <f>'Calendario C'!Q365</f>
        <v/>
      </c>
      <c r="F493" s="68">
        <f>'Calendario C'!R365</f>
        <v/>
      </c>
      <c r="G493" s="68">
        <f>'Calendario C'!S365</f>
        <v/>
      </c>
      <c r="H493" s="68">
        <f>'Calendario C'!T365</f>
        <v/>
      </c>
      <c r="I493" s="68">
        <f>'Calendario C'!U365</f>
        <v/>
      </c>
      <c r="J493" s="68">
        <f>'Calendario C'!V365</f>
        <v/>
      </c>
      <c r="K493" s="68">
        <f>'Calendario C'!W365</f>
        <v/>
      </c>
      <c r="L493" s="68">
        <f>'Calendario C'!X365</f>
        <v/>
      </c>
      <c r="M493" s="68">
        <f>'Calendario C'!Y365</f>
        <v/>
      </c>
      <c r="N493" s="68">
        <f>'Calendario C'!Z365</f>
        <v/>
      </c>
    </row>
    <row r="494">
      <c r="A494" s="68">
        <f>'Calendario C'!M368</f>
        <v/>
      </c>
      <c r="B494" s="68">
        <f>'Calendario C'!N368</f>
        <v/>
      </c>
      <c r="C494" s="68">
        <f>'Calendario C'!O368</f>
        <v/>
      </c>
      <c r="D494" s="68">
        <f>'Calendario C'!P368</f>
        <v/>
      </c>
      <c r="E494" s="68">
        <f>'Calendario C'!Q368</f>
        <v/>
      </c>
      <c r="F494" s="68">
        <f>'Calendario C'!R368</f>
        <v/>
      </c>
      <c r="G494" s="68">
        <f>'Calendario C'!S368</f>
        <v/>
      </c>
      <c r="H494" s="68">
        <f>'Calendario C'!T368</f>
        <v/>
      </c>
      <c r="I494" s="68">
        <f>'Calendario C'!U368</f>
        <v/>
      </c>
      <c r="J494" s="68">
        <f>'Calendario C'!V368</f>
        <v/>
      </c>
      <c r="K494" s="68">
        <f>'Calendario C'!W368</f>
        <v/>
      </c>
      <c r="L494" s="68">
        <f>'Calendario C'!X368</f>
        <v/>
      </c>
      <c r="M494" s="68">
        <f>'Calendario C'!Y368</f>
        <v/>
      </c>
      <c r="N494" s="68">
        <f>'Calendario C'!Z368</f>
        <v/>
      </c>
    </row>
    <row r="495">
      <c r="A495" s="68">
        <f>'Calendario C'!M371</f>
        <v/>
      </c>
      <c r="B495" s="68">
        <f>'Calendario C'!N371</f>
        <v/>
      </c>
      <c r="C495" s="68">
        <f>'Calendario C'!O371</f>
        <v/>
      </c>
      <c r="D495" s="68">
        <f>'Calendario C'!P371</f>
        <v/>
      </c>
      <c r="E495" s="68">
        <f>'Calendario C'!Q371</f>
        <v/>
      </c>
      <c r="F495" s="68">
        <f>'Calendario C'!R371</f>
        <v/>
      </c>
      <c r="G495" s="68">
        <f>'Calendario C'!S371</f>
        <v/>
      </c>
      <c r="H495" s="68">
        <f>'Calendario C'!T371</f>
        <v/>
      </c>
      <c r="I495" s="68">
        <f>'Calendario C'!U371</f>
        <v/>
      </c>
      <c r="J495" s="68">
        <f>'Calendario C'!V371</f>
        <v/>
      </c>
      <c r="K495" s="68">
        <f>'Calendario C'!W371</f>
        <v/>
      </c>
      <c r="L495" s="68">
        <f>'Calendario C'!X371</f>
        <v/>
      </c>
      <c r="M495" s="68">
        <f>'Calendario C'!Y371</f>
        <v/>
      </c>
      <c r="N495" s="68">
        <f>'Calendario C'!Z371</f>
        <v/>
      </c>
    </row>
    <row r="496">
      <c r="A496" s="68">
        <f>'Calendario C'!M374</f>
        <v/>
      </c>
      <c r="B496" s="68">
        <f>'Calendario C'!N374</f>
        <v/>
      </c>
      <c r="C496" s="68">
        <f>'Calendario C'!O374</f>
        <v/>
      </c>
      <c r="D496" s="68">
        <f>'Calendario C'!P374</f>
        <v/>
      </c>
      <c r="E496" s="68">
        <f>'Calendario C'!Q374</f>
        <v/>
      </c>
      <c r="F496" s="68">
        <f>'Calendario C'!R374</f>
        <v/>
      </c>
      <c r="G496" s="68">
        <f>'Calendario C'!S374</f>
        <v/>
      </c>
      <c r="H496" s="68">
        <f>'Calendario C'!T374</f>
        <v/>
      </c>
      <c r="I496" s="68">
        <f>'Calendario C'!U374</f>
        <v/>
      </c>
      <c r="J496" s="68">
        <f>'Calendario C'!V374</f>
        <v/>
      </c>
      <c r="K496" s="68">
        <f>'Calendario C'!W374</f>
        <v/>
      </c>
      <c r="L496" s="68">
        <f>'Calendario C'!X374</f>
        <v/>
      </c>
      <c r="M496" s="68">
        <f>'Calendario C'!Y374</f>
        <v/>
      </c>
      <c r="N496" s="68">
        <f>'Calendario C'!Z374</f>
        <v/>
      </c>
    </row>
    <row r="497">
      <c r="A497" s="68">
        <f>'Calendario C'!M377</f>
        <v/>
      </c>
      <c r="B497" s="68">
        <f>'Calendario C'!N377</f>
        <v/>
      </c>
      <c r="C497" s="68">
        <f>'Calendario C'!O377</f>
        <v/>
      </c>
      <c r="D497" s="68">
        <f>'Calendario C'!P377</f>
        <v/>
      </c>
      <c r="E497" s="68">
        <f>'Calendario C'!Q377</f>
        <v/>
      </c>
      <c r="F497" s="68">
        <f>'Calendario C'!R377</f>
        <v/>
      </c>
      <c r="G497" s="68">
        <f>'Calendario C'!S377</f>
        <v/>
      </c>
      <c r="H497" s="68">
        <f>'Calendario C'!T377</f>
        <v/>
      </c>
      <c r="I497" s="68">
        <f>'Calendario C'!U377</f>
        <v/>
      </c>
      <c r="J497" s="68">
        <f>'Calendario C'!V377</f>
        <v/>
      </c>
      <c r="K497" s="68">
        <f>'Calendario C'!W377</f>
        <v/>
      </c>
      <c r="L497" s="68">
        <f>'Calendario C'!X377</f>
        <v/>
      </c>
      <c r="M497" s="68">
        <f>'Calendario C'!Y377</f>
        <v/>
      </c>
      <c r="N497" s="68">
        <f>'Calendario C'!Z377</f>
        <v/>
      </c>
    </row>
    <row r="498">
      <c r="A498" s="68">
        <f>'Calendario C'!M380</f>
        <v/>
      </c>
      <c r="B498" s="68">
        <f>'Calendario C'!N380</f>
        <v/>
      </c>
      <c r="C498" s="68">
        <f>'Calendario C'!O380</f>
        <v/>
      </c>
      <c r="D498" s="68">
        <f>'Calendario C'!P380</f>
        <v/>
      </c>
      <c r="E498" s="68">
        <f>'Calendario C'!Q380</f>
        <v/>
      </c>
      <c r="F498" s="68">
        <f>'Calendario C'!R380</f>
        <v/>
      </c>
      <c r="G498" s="68">
        <f>'Calendario C'!S380</f>
        <v/>
      </c>
      <c r="H498" s="68">
        <f>'Calendario C'!T380</f>
        <v/>
      </c>
      <c r="I498" s="68">
        <f>'Calendario C'!U380</f>
        <v/>
      </c>
      <c r="J498" s="68">
        <f>'Calendario C'!V380</f>
        <v/>
      </c>
      <c r="K498" s="68">
        <f>'Calendario C'!W380</f>
        <v/>
      </c>
      <c r="L498" s="68">
        <f>'Calendario C'!X380</f>
        <v/>
      </c>
      <c r="M498" s="68">
        <f>'Calendario C'!Y380</f>
        <v/>
      </c>
      <c r="N498" s="68">
        <f>'Calendario C'!Z380</f>
        <v/>
      </c>
    </row>
    <row r="499">
      <c r="A499" s="68">
        <f>'Calendario C'!M383</f>
        <v/>
      </c>
      <c r="B499" s="68">
        <f>'Calendario C'!N383</f>
        <v/>
      </c>
      <c r="C499" s="68">
        <f>'Calendario C'!O383</f>
        <v/>
      </c>
      <c r="D499" s="68">
        <f>'Calendario C'!P383</f>
        <v/>
      </c>
      <c r="E499" s="68">
        <f>'Calendario C'!Q383</f>
        <v/>
      </c>
      <c r="F499" s="68">
        <f>'Calendario C'!R383</f>
        <v/>
      </c>
      <c r="G499" s="68">
        <f>'Calendario C'!S383</f>
        <v/>
      </c>
      <c r="H499" s="68">
        <f>'Calendario C'!T383</f>
        <v/>
      </c>
      <c r="I499" s="68">
        <f>'Calendario C'!U383</f>
        <v/>
      </c>
      <c r="J499" s="68">
        <f>'Calendario C'!V383</f>
        <v/>
      </c>
      <c r="K499" s="68">
        <f>'Calendario C'!W383</f>
        <v/>
      </c>
      <c r="L499" s="68">
        <f>'Calendario C'!X383</f>
        <v/>
      </c>
      <c r="M499" s="68">
        <f>'Calendario C'!Y383</f>
        <v/>
      </c>
      <c r="N499" s="68">
        <f>'Calendario C'!Z383</f>
        <v/>
      </c>
    </row>
    <row r="500">
      <c r="A500" s="68">
        <f>'Calendario C'!M386</f>
        <v/>
      </c>
      <c r="B500" s="68">
        <f>'Calendario C'!N386</f>
        <v/>
      </c>
      <c r="C500" s="68">
        <f>'Calendario C'!O386</f>
        <v/>
      </c>
      <c r="D500" s="68">
        <f>'Calendario C'!P386</f>
        <v/>
      </c>
      <c r="E500" s="68">
        <f>'Calendario C'!Q386</f>
        <v/>
      </c>
      <c r="F500" s="68">
        <f>'Calendario C'!R386</f>
        <v/>
      </c>
      <c r="G500" s="68">
        <f>'Calendario C'!S386</f>
        <v/>
      </c>
      <c r="H500" s="68">
        <f>'Calendario C'!T386</f>
        <v/>
      </c>
      <c r="I500" s="68">
        <f>'Calendario C'!U386</f>
        <v/>
      </c>
      <c r="J500" s="68">
        <f>'Calendario C'!V386</f>
        <v/>
      </c>
      <c r="K500" s="68">
        <f>'Calendario C'!W386</f>
        <v/>
      </c>
      <c r="L500" s="68">
        <f>'Calendario C'!X386</f>
        <v/>
      </c>
      <c r="M500" s="68">
        <f>'Calendario C'!Y386</f>
        <v/>
      </c>
      <c r="N500" s="68">
        <f>'Calendario C'!Z386</f>
        <v/>
      </c>
    </row>
    <row r="501">
      <c r="A501" s="68">
        <f>'Calendario C'!M389</f>
        <v/>
      </c>
      <c r="B501" s="68">
        <f>'Calendario C'!N389</f>
        <v/>
      </c>
      <c r="C501" s="68">
        <f>'Calendario C'!O389</f>
        <v/>
      </c>
      <c r="D501" s="68">
        <f>'Calendario C'!P389</f>
        <v/>
      </c>
      <c r="E501" s="68">
        <f>'Calendario C'!Q389</f>
        <v/>
      </c>
      <c r="F501" s="68">
        <f>'Calendario C'!R389</f>
        <v/>
      </c>
      <c r="G501" s="68">
        <f>'Calendario C'!S389</f>
        <v/>
      </c>
      <c r="H501" s="68">
        <f>'Calendario C'!T389</f>
        <v/>
      </c>
      <c r="I501" s="68">
        <f>'Calendario C'!U389</f>
        <v/>
      </c>
      <c r="J501" s="68">
        <f>'Calendario C'!V389</f>
        <v/>
      </c>
      <c r="K501" s="68">
        <f>'Calendario C'!W389</f>
        <v/>
      </c>
      <c r="L501" s="68">
        <f>'Calendario C'!X389</f>
        <v/>
      </c>
      <c r="M501" s="68">
        <f>'Calendario C'!Y389</f>
        <v/>
      </c>
      <c r="N501" s="68">
        <f>'Calendario C'!Z389</f>
        <v/>
      </c>
    </row>
    <row r="502">
      <c r="A502" s="68">
        <f>'Calendario C'!M394</f>
        <v/>
      </c>
      <c r="B502" s="68">
        <f>'Calendario C'!N394</f>
        <v/>
      </c>
      <c r="C502" s="68">
        <f>'Calendario C'!O394</f>
        <v/>
      </c>
      <c r="D502" s="68">
        <f>'Calendario C'!P394</f>
        <v/>
      </c>
      <c r="E502" s="68">
        <f>'Calendario C'!Q394</f>
        <v/>
      </c>
      <c r="F502" s="68">
        <f>'Calendario C'!R394</f>
        <v/>
      </c>
      <c r="G502" s="68">
        <f>'Calendario C'!S394</f>
        <v/>
      </c>
      <c r="H502" s="68">
        <f>'Calendario C'!T394</f>
        <v/>
      </c>
      <c r="I502" s="68">
        <f>'Calendario C'!U394</f>
        <v/>
      </c>
      <c r="J502" s="68">
        <f>'Calendario C'!V394</f>
        <v/>
      </c>
      <c r="K502" s="68">
        <f>'Calendario C'!W394</f>
        <v/>
      </c>
      <c r="L502" s="68">
        <f>'Calendario C'!X394</f>
        <v/>
      </c>
      <c r="M502" s="68">
        <f>'Calendario C'!Y394</f>
        <v/>
      </c>
      <c r="N502" s="68">
        <f>'Calendario C'!Z394</f>
        <v/>
      </c>
    </row>
    <row r="503">
      <c r="A503" s="68">
        <f>'Calendario C'!M397</f>
        <v/>
      </c>
      <c r="B503" s="68">
        <f>'Calendario C'!N397</f>
        <v/>
      </c>
      <c r="C503" s="68">
        <f>'Calendario C'!O397</f>
        <v/>
      </c>
      <c r="D503" s="68">
        <f>'Calendario C'!P397</f>
        <v/>
      </c>
      <c r="E503" s="68">
        <f>'Calendario C'!Q397</f>
        <v/>
      </c>
      <c r="F503" s="68">
        <f>'Calendario C'!R397</f>
        <v/>
      </c>
      <c r="G503" s="68">
        <f>'Calendario C'!S397</f>
        <v/>
      </c>
      <c r="H503" s="68">
        <f>'Calendario C'!T397</f>
        <v/>
      </c>
      <c r="I503" s="68">
        <f>'Calendario C'!U397</f>
        <v/>
      </c>
      <c r="J503" s="68">
        <f>'Calendario C'!V397</f>
        <v/>
      </c>
      <c r="K503" s="68">
        <f>'Calendario C'!W397</f>
        <v/>
      </c>
      <c r="L503" s="68">
        <f>'Calendario C'!X397</f>
        <v/>
      </c>
      <c r="M503" s="68">
        <f>'Calendario C'!Y397</f>
        <v/>
      </c>
      <c r="N503" s="68">
        <f>'Calendario C'!Z397</f>
        <v/>
      </c>
    </row>
    <row r="504">
      <c r="A504" s="68">
        <f>'Calendario C'!M400</f>
        <v/>
      </c>
      <c r="B504" s="68">
        <f>'Calendario C'!N400</f>
        <v/>
      </c>
      <c r="C504" s="68">
        <f>'Calendario C'!O400</f>
        <v/>
      </c>
      <c r="D504" s="68">
        <f>'Calendario C'!P400</f>
        <v/>
      </c>
      <c r="E504" s="68">
        <f>'Calendario C'!Q400</f>
        <v/>
      </c>
      <c r="F504" s="68">
        <f>'Calendario C'!R400</f>
        <v/>
      </c>
      <c r="G504" s="68">
        <f>'Calendario C'!S400</f>
        <v/>
      </c>
      <c r="H504" s="68">
        <f>'Calendario C'!T400</f>
        <v/>
      </c>
      <c r="I504" s="68">
        <f>'Calendario C'!U400</f>
        <v/>
      </c>
      <c r="J504" s="68">
        <f>'Calendario C'!V400</f>
        <v/>
      </c>
      <c r="K504" s="68">
        <f>'Calendario C'!W400</f>
        <v/>
      </c>
      <c r="L504" s="68">
        <f>'Calendario C'!X400</f>
        <v/>
      </c>
      <c r="M504" s="68">
        <f>'Calendario C'!Y400</f>
        <v/>
      </c>
      <c r="N504" s="68">
        <f>'Calendario C'!Z400</f>
        <v/>
      </c>
    </row>
    <row r="505">
      <c r="A505" s="68">
        <f>'Calendario C'!M403</f>
        <v/>
      </c>
      <c r="B505" s="68">
        <f>'Calendario C'!N403</f>
        <v/>
      </c>
      <c r="C505" s="68">
        <f>'Calendario C'!O403</f>
        <v/>
      </c>
      <c r="D505" s="68">
        <f>'Calendario C'!P403</f>
        <v/>
      </c>
      <c r="E505" s="68">
        <f>'Calendario C'!Q403</f>
        <v/>
      </c>
      <c r="F505" s="68">
        <f>'Calendario C'!R403</f>
        <v/>
      </c>
      <c r="G505" s="68">
        <f>'Calendario C'!S403</f>
        <v/>
      </c>
      <c r="H505" s="68">
        <f>'Calendario C'!T403</f>
        <v/>
      </c>
      <c r="I505" s="68">
        <f>'Calendario C'!U403</f>
        <v/>
      </c>
      <c r="J505" s="68">
        <f>'Calendario C'!V403</f>
        <v/>
      </c>
      <c r="K505" s="68">
        <f>'Calendario C'!W403</f>
        <v/>
      </c>
      <c r="L505" s="68">
        <f>'Calendario C'!X403</f>
        <v/>
      </c>
      <c r="M505" s="68">
        <f>'Calendario C'!Y403</f>
        <v/>
      </c>
      <c r="N505" s="68">
        <f>'Calendario C'!Z403</f>
        <v/>
      </c>
    </row>
    <row r="506">
      <c r="A506" s="68">
        <f>'Calendario C'!M406</f>
        <v/>
      </c>
      <c r="B506" s="68">
        <f>'Calendario C'!N406</f>
        <v/>
      </c>
      <c r="C506" s="68">
        <f>'Calendario C'!O406</f>
        <v/>
      </c>
      <c r="D506" s="68">
        <f>'Calendario C'!P406</f>
        <v/>
      </c>
      <c r="E506" s="68">
        <f>'Calendario C'!Q406</f>
        <v/>
      </c>
      <c r="F506" s="68">
        <f>'Calendario C'!R406</f>
        <v/>
      </c>
      <c r="G506" s="68">
        <f>'Calendario C'!S406</f>
        <v/>
      </c>
      <c r="H506" s="68">
        <f>'Calendario C'!T406</f>
        <v/>
      </c>
      <c r="I506" s="68">
        <f>'Calendario C'!U406</f>
        <v/>
      </c>
      <c r="J506" s="68">
        <f>'Calendario C'!V406</f>
        <v/>
      </c>
      <c r="K506" s="68">
        <f>'Calendario C'!W406</f>
        <v/>
      </c>
      <c r="L506" s="68">
        <f>'Calendario C'!X406</f>
        <v/>
      </c>
      <c r="M506" s="68">
        <f>'Calendario C'!Y406</f>
        <v/>
      </c>
      <c r="N506" s="68">
        <f>'Calendario C'!Z406</f>
        <v/>
      </c>
    </row>
    <row r="507">
      <c r="A507" s="68">
        <f>'Calendario C'!M409</f>
        <v/>
      </c>
      <c r="B507" s="68">
        <f>'Calendario C'!N409</f>
        <v/>
      </c>
      <c r="C507" s="68">
        <f>'Calendario C'!O409</f>
        <v/>
      </c>
      <c r="D507" s="68">
        <f>'Calendario C'!P409</f>
        <v/>
      </c>
      <c r="E507" s="68">
        <f>'Calendario C'!Q409</f>
        <v/>
      </c>
      <c r="F507" s="68">
        <f>'Calendario C'!R409</f>
        <v/>
      </c>
      <c r="G507" s="68">
        <f>'Calendario C'!S409</f>
        <v/>
      </c>
      <c r="H507" s="68">
        <f>'Calendario C'!T409</f>
        <v/>
      </c>
      <c r="I507" s="68">
        <f>'Calendario C'!U409</f>
        <v/>
      </c>
      <c r="J507" s="68">
        <f>'Calendario C'!V409</f>
        <v/>
      </c>
      <c r="K507" s="68">
        <f>'Calendario C'!W409</f>
        <v/>
      </c>
      <c r="L507" s="68">
        <f>'Calendario C'!X409</f>
        <v/>
      </c>
      <c r="M507" s="68">
        <f>'Calendario C'!Y409</f>
        <v/>
      </c>
      <c r="N507" s="68">
        <f>'Calendario C'!Z409</f>
        <v/>
      </c>
    </row>
    <row r="508">
      <c r="A508" s="68">
        <f>'Calendario C'!M412</f>
        <v/>
      </c>
      <c r="B508" s="68">
        <f>'Calendario C'!N412</f>
        <v/>
      </c>
      <c r="C508" s="68">
        <f>'Calendario C'!O412</f>
        <v/>
      </c>
      <c r="D508" s="68">
        <f>'Calendario C'!P412</f>
        <v/>
      </c>
      <c r="E508" s="68">
        <f>'Calendario C'!Q412</f>
        <v/>
      </c>
      <c r="F508" s="68">
        <f>'Calendario C'!R412</f>
        <v/>
      </c>
      <c r="G508" s="68">
        <f>'Calendario C'!S412</f>
        <v/>
      </c>
      <c r="H508" s="68">
        <f>'Calendario C'!T412</f>
        <v/>
      </c>
      <c r="I508" s="68">
        <f>'Calendario C'!U412</f>
        <v/>
      </c>
      <c r="J508" s="68">
        <f>'Calendario C'!V412</f>
        <v/>
      </c>
      <c r="K508" s="68">
        <f>'Calendario C'!W412</f>
        <v/>
      </c>
      <c r="L508" s="68">
        <f>'Calendario C'!X412</f>
        <v/>
      </c>
      <c r="M508" s="68">
        <f>'Calendario C'!Y412</f>
        <v/>
      </c>
      <c r="N508" s="68">
        <f>'Calendario C'!Z412</f>
        <v/>
      </c>
    </row>
    <row r="509">
      <c r="A509" s="68">
        <f>'Calendario C'!M415</f>
        <v/>
      </c>
      <c r="B509" s="68">
        <f>'Calendario C'!N415</f>
        <v/>
      </c>
      <c r="C509" s="68">
        <f>'Calendario C'!O415</f>
        <v/>
      </c>
      <c r="D509" s="68">
        <f>'Calendario C'!P415</f>
        <v/>
      </c>
      <c r="E509" s="68">
        <f>'Calendario C'!Q415</f>
        <v/>
      </c>
      <c r="F509" s="68">
        <f>'Calendario C'!R415</f>
        <v/>
      </c>
      <c r="G509" s="68">
        <f>'Calendario C'!S415</f>
        <v/>
      </c>
      <c r="H509" s="68">
        <f>'Calendario C'!T415</f>
        <v/>
      </c>
      <c r="I509" s="68">
        <f>'Calendario C'!U415</f>
        <v/>
      </c>
      <c r="J509" s="68">
        <f>'Calendario C'!V415</f>
        <v/>
      </c>
      <c r="K509" s="68">
        <f>'Calendario C'!W415</f>
        <v/>
      </c>
      <c r="L509" s="68">
        <f>'Calendario C'!X415</f>
        <v/>
      </c>
      <c r="M509" s="68">
        <f>'Calendario C'!Y415</f>
        <v/>
      </c>
      <c r="N509" s="68">
        <f>'Calendario C'!Z415</f>
        <v/>
      </c>
    </row>
    <row r="510">
      <c r="A510" s="68">
        <f>'Calendario C'!M418</f>
        <v/>
      </c>
      <c r="B510" s="68">
        <f>'Calendario C'!N418</f>
        <v/>
      </c>
      <c r="C510" s="68">
        <f>'Calendario C'!O418</f>
        <v/>
      </c>
      <c r="D510" s="68">
        <f>'Calendario C'!P418</f>
        <v/>
      </c>
      <c r="E510" s="68">
        <f>'Calendario C'!Q418</f>
        <v/>
      </c>
      <c r="F510" s="68">
        <f>'Calendario C'!R418</f>
        <v/>
      </c>
      <c r="G510" s="68">
        <f>'Calendario C'!S418</f>
        <v/>
      </c>
      <c r="H510" s="68">
        <f>'Calendario C'!T418</f>
        <v/>
      </c>
      <c r="I510" s="68">
        <f>'Calendario C'!U418</f>
        <v/>
      </c>
      <c r="J510" s="68">
        <f>'Calendario C'!V418</f>
        <v/>
      </c>
      <c r="K510" s="68">
        <f>'Calendario C'!W418</f>
        <v/>
      </c>
      <c r="L510" s="68">
        <f>'Calendario C'!X418</f>
        <v/>
      </c>
      <c r="M510" s="68">
        <f>'Calendario C'!Y418</f>
        <v/>
      </c>
      <c r="N510" s="68">
        <f>'Calendario C'!Z418</f>
        <v/>
      </c>
    </row>
    <row r="511">
      <c r="A511" s="68">
        <f>'Calendario C'!M421</f>
        <v/>
      </c>
      <c r="B511" s="68">
        <f>'Calendario C'!N421</f>
        <v/>
      </c>
      <c r="C511" s="68">
        <f>'Calendario C'!O421</f>
        <v/>
      </c>
      <c r="D511" s="68">
        <f>'Calendario C'!P421</f>
        <v/>
      </c>
      <c r="E511" s="68">
        <f>'Calendario C'!Q421</f>
        <v/>
      </c>
      <c r="F511" s="68">
        <f>'Calendario C'!R421</f>
        <v/>
      </c>
      <c r="G511" s="68">
        <f>'Calendario C'!S421</f>
        <v/>
      </c>
      <c r="H511" s="68">
        <f>'Calendario C'!T421</f>
        <v/>
      </c>
      <c r="I511" s="68">
        <f>'Calendario C'!U421</f>
        <v/>
      </c>
      <c r="J511" s="68">
        <f>'Calendario C'!V421</f>
        <v/>
      </c>
      <c r="K511" s="68">
        <f>'Calendario C'!W421</f>
        <v/>
      </c>
      <c r="L511" s="68">
        <f>'Calendario C'!X421</f>
        <v/>
      </c>
      <c r="M511" s="68">
        <f>'Calendario C'!Y421</f>
        <v/>
      </c>
      <c r="N511" s="68">
        <f>'Calendario C'!Z421</f>
        <v/>
      </c>
    </row>
    <row r="512">
      <c r="A512" s="68">
        <f>'Calendario C'!M426</f>
        <v/>
      </c>
      <c r="B512" s="68">
        <f>'Calendario C'!N426</f>
        <v/>
      </c>
      <c r="C512" s="68">
        <f>'Calendario C'!O426</f>
        <v/>
      </c>
      <c r="D512" s="68">
        <f>'Calendario C'!P426</f>
        <v/>
      </c>
      <c r="E512" s="68">
        <f>'Calendario C'!Q426</f>
        <v/>
      </c>
      <c r="F512" s="68">
        <f>'Calendario C'!R426</f>
        <v/>
      </c>
      <c r="G512" s="68">
        <f>'Calendario C'!S426</f>
        <v/>
      </c>
      <c r="H512" s="68">
        <f>'Calendario C'!T426</f>
        <v/>
      </c>
      <c r="I512" s="68">
        <f>'Calendario C'!U426</f>
        <v/>
      </c>
      <c r="J512" s="68">
        <f>'Calendario C'!V426</f>
        <v/>
      </c>
      <c r="K512" s="68">
        <f>'Calendario C'!W426</f>
        <v/>
      </c>
      <c r="L512" s="68">
        <f>'Calendario C'!X426</f>
        <v/>
      </c>
      <c r="M512" s="68">
        <f>'Calendario C'!Y426</f>
        <v/>
      </c>
      <c r="N512" s="68">
        <f>'Calendario C'!Z426</f>
        <v/>
      </c>
    </row>
    <row r="513">
      <c r="A513" s="68">
        <f>'Calendario C'!M429</f>
        <v/>
      </c>
      <c r="B513" s="68">
        <f>'Calendario C'!N429</f>
        <v/>
      </c>
      <c r="C513" s="68">
        <f>'Calendario C'!O429</f>
        <v/>
      </c>
      <c r="D513" s="68">
        <f>'Calendario C'!P429</f>
        <v/>
      </c>
      <c r="E513" s="68">
        <f>'Calendario C'!Q429</f>
        <v/>
      </c>
      <c r="F513" s="68">
        <f>'Calendario C'!R429</f>
        <v/>
      </c>
      <c r="G513" s="68">
        <f>'Calendario C'!S429</f>
        <v/>
      </c>
      <c r="H513" s="68">
        <f>'Calendario C'!T429</f>
        <v/>
      </c>
      <c r="I513" s="68">
        <f>'Calendario C'!U429</f>
        <v/>
      </c>
      <c r="J513" s="68">
        <f>'Calendario C'!V429</f>
        <v/>
      </c>
      <c r="K513" s="68">
        <f>'Calendario C'!W429</f>
        <v/>
      </c>
      <c r="L513" s="68">
        <f>'Calendario C'!X429</f>
        <v/>
      </c>
      <c r="M513" s="68">
        <f>'Calendario C'!Y429</f>
        <v/>
      </c>
      <c r="N513" s="68">
        <f>'Calendario C'!Z429</f>
        <v/>
      </c>
    </row>
    <row r="514">
      <c r="A514" s="68">
        <f>'Calendario C'!M432</f>
        <v/>
      </c>
      <c r="B514" s="68">
        <f>'Calendario C'!N432</f>
        <v/>
      </c>
      <c r="C514" s="68">
        <f>'Calendario C'!O432</f>
        <v/>
      </c>
      <c r="D514" s="68">
        <f>'Calendario C'!P432</f>
        <v/>
      </c>
      <c r="E514" s="68">
        <f>'Calendario C'!Q432</f>
        <v/>
      </c>
      <c r="F514" s="68">
        <f>'Calendario C'!R432</f>
        <v/>
      </c>
      <c r="G514" s="68">
        <f>'Calendario C'!S432</f>
        <v/>
      </c>
      <c r="H514" s="68">
        <f>'Calendario C'!T432</f>
        <v/>
      </c>
      <c r="I514" s="68">
        <f>'Calendario C'!U432</f>
        <v/>
      </c>
      <c r="J514" s="68">
        <f>'Calendario C'!V432</f>
        <v/>
      </c>
      <c r="K514" s="68">
        <f>'Calendario C'!W432</f>
        <v/>
      </c>
      <c r="L514" s="68">
        <f>'Calendario C'!X432</f>
        <v/>
      </c>
      <c r="M514" s="68">
        <f>'Calendario C'!Y432</f>
        <v/>
      </c>
      <c r="N514" s="68">
        <f>'Calendario C'!Z432</f>
        <v/>
      </c>
    </row>
    <row r="515">
      <c r="A515" s="68">
        <f>'Calendario C'!M435</f>
        <v/>
      </c>
      <c r="B515" s="68">
        <f>'Calendario C'!N435</f>
        <v/>
      </c>
      <c r="C515" s="68">
        <f>'Calendario C'!O435</f>
        <v/>
      </c>
      <c r="D515" s="68">
        <f>'Calendario C'!P435</f>
        <v/>
      </c>
      <c r="E515" s="68">
        <f>'Calendario C'!Q435</f>
        <v/>
      </c>
      <c r="F515" s="68">
        <f>'Calendario C'!R435</f>
        <v/>
      </c>
      <c r="G515" s="68">
        <f>'Calendario C'!S435</f>
        <v/>
      </c>
      <c r="H515" s="68">
        <f>'Calendario C'!T435</f>
        <v/>
      </c>
      <c r="I515" s="68">
        <f>'Calendario C'!U435</f>
        <v/>
      </c>
      <c r="J515" s="68">
        <f>'Calendario C'!V435</f>
        <v/>
      </c>
      <c r="K515" s="68">
        <f>'Calendario C'!W435</f>
        <v/>
      </c>
      <c r="L515" s="68">
        <f>'Calendario C'!X435</f>
        <v/>
      </c>
      <c r="M515" s="68">
        <f>'Calendario C'!Y435</f>
        <v/>
      </c>
      <c r="N515" s="68">
        <f>'Calendario C'!Z435</f>
        <v/>
      </c>
    </row>
    <row r="516">
      <c r="A516" s="68">
        <f>'Calendario C'!M438</f>
        <v/>
      </c>
      <c r="B516" s="68">
        <f>'Calendario C'!N438</f>
        <v/>
      </c>
      <c r="C516" s="68">
        <f>'Calendario C'!O438</f>
        <v/>
      </c>
      <c r="D516" s="68">
        <f>'Calendario C'!P438</f>
        <v/>
      </c>
      <c r="E516" s="68">
        <f>'Calendario C'!Q438</f>
        <v/>
      </c>
      <c r="F516" s="68">
        <f>'Calendario C'!R438</f>
        <v/>
      </c>
      <c r="G516" s="68">
        <f>'Calendario C'!S438</f>
        <v/>
      </c>
      <c r="H516" s="68">
        <f>'Calendario C'!T438</f>
        <v/>
      </c>
      <c r="I516" s="68">
        <f>'Calendario C'!U438</f>
        <v/>
      </c>
      <c r="J516" s="68">
        <f>'Calendario C'!V438</f>
        <v/>
      </c>
      <c r="K516" s="68">
        <f>'Calendario C'!W438</f>
        <v/>
      </c>
      <c r="L516" s="68">
        <f>'Calendario C'!X438</f>
        <v/>
      </c>
      <c r="M516" s="68">
        <f>'Calendario C'!Y438</f>
        <v/>
      </c>
      <c r="N516" s="68">
        <f>'Calendario C'!Z438</f>
        <v/>
      </c>
    </row>
    <row r="517">
      <c r="A517" s="68">
        <f>'Calendario C'!M441</f>
        <v/>
      </c>
      <c r="B517" s="68">
        <f>'Calendario C'!N441</f>
        <v/>
      </c>
      <c r="C517" s="68">
        <f>'Calendario C'!O441</f>
        <v/>
      </c>
      <c r="D517" s="68">
        <f>'Calendario C'!P441</f>
        <v/>
      </c>
      <c r="E517" s="68">
        <f>'Calendario C'!Q441</f>
        <v/>
      </c>
      <c r="F517" s="68">
        <f>'Calendario C'!R441</f>
        <v/>
      </c>
      <c r="G517" s="68">
        <f>'Calendario C'!S441</f>
        <v/>
      </c>
      <c r="H517" s="68">
        <f>'Calendario C'!T441</f>
        <v/>
      </c>
      <c r="I517" s="68">
        <f>'Calendario C'!U441</f>
        <v/>
      </c>
      <c r="J517" s="68">
        <f>'Calendario C'!V441</f>
        <v/>
      </c>
      <c r="K517" s="68">
        <f>'Calendario C'!W441</f>
        <v/>
      </c>
      <c r="L517" s="68">
        <f>'Calendario C'!X441</f>
        <v/>
      </c>
      <c r="M517" s="68">
        <f>'Calendario C'!Y441</f>
        <v/>
      </c>
      <c r="N517" s="68">
        <f>'Calendario C'!Z441</f>
        <v/>
      </c>
    </row>
    <row r="518">
      <c r="A518" s="68">
        <f>'Calendario C'!M444</f>
        <v/>
      </c>
      <c r="B518" s="68">
        <f>'Calendario C'!N444</f>
        <v/>
      </c>
      <c r="C518" s="68">
        <f>'Calendario C'!O444</f>
        <v/>
      </c>
      <c r="D518" s="68">
        <f>'Calendario C'!P444</f>
        <v/>
      </c>
      <c r="E518" s="68">
        <f>'Calendario C'!Q444</f>
        <v/>
      </c>
      <c r="F518" s="68">
        <f>'Calendario C'!R444</f>
        <v/>
      </c>
      <c r="G518" s="68">
        <f>'Calendario C'!S444</f>
        <v/>
      </c>
      <c r="H518" s="68">
        <f>'Calendario C'!T444</f>
        <v/>
      </c>
      <c r="I518" s="68">
        <f>'Calendario C'!U444</f>
        <v/>
      </c>
      <c r="J518" s="68">
        <f>'Calendario C'!V444</f>
        <v/>
      </c>
      <c r="K518" s="68">
        <f>'Calendario C'!W444</f>
        <v/>
      </c>
      <c r="L518" s="68">
        <f>'Calendario C'!X444</f>
        <v/>
      </c>
      <c r="M518" s="68">
        <f>'Calendario C'!Y444</f>
        <v/>
      </c>
      <c r="N518" s="68">
        <f>'Calendario C'!Z444</f>
        <v/>
      </c>
    </row>
    <row r="519">
      <c r="A519" s="68">
        <f>'Calendario C'!M447</f>
        <v/>
      </c>
      <c r="B519" s="68">
        <f>'Calendario C'!N447</f>
        <v/>
      </c>
      <c r="C519" s="68">
        <f>'Calendario C'!O447</f>
        <v/>
      </c>
      <c r="D519" s="68">
        <f>'Calendario C'!P447</f>
        <v/>
      </c>
      <c r="E519" s="68">
        <f>'Calendario C'!Q447</f>
        <v/>
      </c>
      <c r="F519" s="68">
        <f>'Calendario C'!R447</f>
        <v/>
      </c>
      <c r="G519" s="68">
        <f>'Calendario C'!S447</f>
        <v/>
      </c>
      <c r="H519" s="68">
        <f>'Calendario C'!T447</f>
        <v/>
      </c>
      <c r="I519" s="68">
        <f>'Calendario C'!U447</f>
        <v/>
      </c>
      <c r="J519" s="68">
        <f>'Calendario C'!V447</f>
        <v/>
      </c>
      <c r="K519" s="68">
        <f>'Calendario C'!W447</f>
        <v/>
      </c>
      <c r="L519" s="68">
        <f>'Calendario C'!X447</f>
        <v/>
      </c>
      <c r="M519" s="68">
        <f>'Calendario C'!Y447</f>
        <v/>
      </c>
      <c r="N519" s="68">
        <f>'Calendario C'!Z447</f>
        <v/>
      </c>
    </row>
    <row r="520">
      <c r="A520" s="68">
        <f>'Calendario C'!M450</f>
        <v/>
      </c>
      <c r="B520" s="68">
        <f>'Calendario C'!N450</f>
        <v/>
      </c>
      <c r="C520" s="68">
        <f>'Calendario C'!O450</f>
        <v/>
      </c>
      <c r="D520" s="68">
        <f>'Calendario C'!P450</f>
        <v/>
      </c>
      <c r="E520" s="68">
        <f>'Calendario C'!Q450</f>
        <v/>
      </c>
      <c r="F520" s="68">
        <f>'Calendario C'!R450</f>
        <v/>
      </c>
      <c r="G520" s="68">
        <f>'Calendario C'!S450</f>
        <v/>
      </c>
      <c r="H520" s="68">
        <f>'Calendario C'!T450</f>
        <v/>
      </c>
      <c r="I520" s="68">
        <f>'Calendario C'!U450</f>
        <v/>
      </c>
      <c r="J520" s="68">
        <f>'Calendario C'!V450</f>
        <v/>
      </c>
      <c r="K520" s="68">
        <f>'Calendario C'!W450</f>
        <v/>
      </c>
      <c r="L520" s="68">
        <f>'Calendario C'!X450</f>
        <v/>
      </c>
      <c r="M520" s="68">
        <f>'Calendario C'!Y450</f>
        <v/>
      </c>
      <c r="N520" s="68">
        <f>'Calendario C'!Z450</f>
        <v/>
      </c>
    </row>
    <row r="521">
      <c r="A521" s="68">
        <f>'Calendario C'!M453</f>
        <v/>
      </c>
      <c r="B521" s="68">
        <f>'Calendario C'!N453</f>
        <v/>
      </c>
      <c r="C521" s="68">
        <f>'Calendario C'!O453</f>
        <v/>
      </c>
      <c r="D521" s="68">
        <f>'Calendario C'!P453</f>
        <v/>
      </c>
      <c r="E521" s="68">
        <f>'Calendario C'!Q453</f>
        <v/>
      </c>
      <c r="F521" s="68">
        <f>'Calendario C'!R453</f>
        <v/>
      </c>
      <c r="G521" s="68">
        <f>'Calendario C'!S453</f>
        <v/>
      </c>
      <c r="H521" s="68">
        <f>'Calendario C'!T453</f>
        <v/>
      </c>
      <c r="I521" s="68">
        <f>'Calendario C'!U453</f>
        <v/>
      </c>
      <c r="J521" s="68">
        <f>'Calendario C'!V453</f>
        <v/>
      </c>
      <c r="K521" s="68">
        <f>'Calendario C'!W453</f>
        <v/>
      </c>
      <c r="L521" s="68">
        <f>'Calendario C'!X453</f>
        <v/>
      </c>
      <c r="M521" s="68">
        <f>'Calendario C'!Y453</f>
        <v/>
      </c>
      <c r="N521" s="68">
        <f>'Calendario C'!Z453</f>
        <v/>
      </c>
    </row>
    <row r="522">
      <c r="A522" s="68">
        <f>'Calendario C'!M458</f>
        <v/>
      </c>
      <c r="B522" s="68">
        <f>'Calendario C'!N458</f>
        <v/>
      </c>
      <c r="C522" s="68">
        <f>'Calendario C'!O458</f>
        <v/>
      </c>
      <c r="D522" s="68">
        <f>'Calendario C'!P458</f>
        <v/>
      </c>
      <c r="E522" s="68">
        <f>'Calendario C'!Q458</f>
        <v/>
      </c>
      <c r="F522" s="68">
        <f>'Calendario C'!R458</f>
        <v/>
      </c>
      <c r="G522" s="68">
        <f>'Calendario C'!S458</f>
        <v/>
      </c>
      <c r="H522" s="68">
        <f>'Calendario C'!T458</f>
        <v/>
      </c>
      <c r="I522" s="68">
        <f>'Calendario C'!U458</f>
        <v/>
      </c>
      <c r="J522" s="68">
        <f>'Calendario C'!V458</f>
        <v/>
      </c>
      <c r="K522" s="68">
        <f>'Calendario C'!W458</f>
        <v/>
      </c>
      <c r="L522" s="68">
        <f>'Calendario C'!X458</f>
        <v/>
      </c>
      <c r="M522" s="68">
        <f>'Calendario C'!Y458</f>
        <v/>
      </c>
      <c r="N522" s="68">
        <f>'Calendario C'!Z458</f>
        <v/>
      </c>
    </row>
    <row r="523">
      <c r="A523" s="68">
        <f>'Calendario C'!M461</f>
        <v/>
      </c>
      <c r="B523" s="68">
        <f>'Calendario C'!N461</f>
        <v/>
      </c>
      <c r="C523" s="68">
        <f>'Calendario C'!O461</f>
        <v/>
      </c>
      <c r="D523" s="68">
        <f>'Calendario C'!P461</f>
        <v/>
      </c>
      <c r="E523" s="68">
        <f>'Calendario C'!Q461</f>
        <v/>
      </c>
      <c r="F523" s="68">
        <f>'Calendario C'!R461</f>
        <v/>
      </c>
      <c r="G523" s="68">
        <f>'Calendario C'!S461</f>
        <v/>
      </c>
      <c r="H523" s="68">
        <f>'Calendario C'!T461</f>
        <v/>
      </c>
      <c r="I523" s="68">
        <f>'Calendario C'!U461</f>
        <v/>
      </c>
      <c r="J523" s="68">
        <f>'Calendario C'!V461</f>
        <v/>
      </c>
      <c r="K523" s="68">
        <f>'Calendario C'!W461</f>
        <v/>
      </c>
      <c r="L523" s="68">
        <f>'Calendario C'!X461</f>
        <v/>
      </c>
      <c r="M523" s="68">
        <f>'Calendario C'!Y461</f>
        <v/>
      </c>
      <c r="N523" s="68">
        <f>'Calendario C'!Z461</f>
        <v/>
      </c>
    </row>
    <row r="524">
      <c r="A524" s="68">
        <f>'Calendario C'!M464</f>
        <v/>
      </c>
      <c r="B524" s="68">
        <f>'Calendario C'!N464</f>
        <v/>
      </c>
      <c r="C524" s="68">
        <f>'Calendario C'!O464</f>
        <v/>
      </c>
      <c r="D524" s="68">
        <f>'Calendario C'!P464</f>
        <v/>
      </c>
      <c r="E524" s="68">
        <f>'Calendario C'!Q464</f>
        <v/>
      </c>
      <c r="F524" s="68">
        <f>'Calendario C'!R464</f>
        <v/>
      </c>
      <c r="G524" s="68">
        <f>'Calendario C'!S464</f>
        <v/>
      </c>
      <c r="H524" s="68">
        <f>'Calendario C'!T464</f>
        <v/>
      </c>
      <c r="I524" s="68">
        <f>'Calendario C'!U464</f>
        <v/>
      </c>
      <c r="J524" s="68">
        <f>'Calendario C'!V464</f>
        <v/>
      </c>
      <c r="K524" s="68">
        <f>'Calendario C'!W464</f>
        <v/>
      </c>
      <c r="L524" s="68">
        <f>'Calendario C'!X464</f>
        <v/>
      </c>
      <c r="M524" s="68">
        <f>'Calendario C'!Y464</f>
        <v/>
      </c>
      <c r="N524" s="68">
        <f>'Calendario C'!Z464</f>
        <v/>
      </c>
    </row>
    <row r="525">
      <c r="A525" s="68">
        <f>'Calendario C'!M467</f>
        <v/>
      </c>
      <c r="B525" s="68">
        <f>'Calendario C'!N467</f>
        <v/>
      </c>
      <c r="C525" s="68">
        <f>'Calendario C'!O467</f>
        <v/>
      </c>
      <c r="D525" s="68">
        <f>'Calendario C'!P467</f>
        <v/>
      </c>
      <c r="E525" s="68">
        <f>'Calendario C'!Q467</f>
        <v/>
      </c>
      <c r="F525" s="68">
        <f>'Calendario C'!R467</f>
        <v/>
      </c>
      <c r="G525" s="68">
        <f>'Calendario C'!S467</f>
        <v/>
      </c>
      <c r="H525" s="68">
        <f>'Calendario C'!T467</f>
        <v/>
      </c>
      <c r="I525" s="68">
        <f>'Calendario C'!U467</f>
        <v/>
      </c>
      <c r="J525" s="68">
        <f>'Calendario C'!V467</f>
        <v/>
      </c>
      <c r="K525" s="68">
        <f>'Calendario C'!W467</f>
        <v/>
      </c>
      <c r="L525" s="68">
        <f>'Calendario C'!X467</f>
        <v/>
      </c>
      <c r="M525" s="68">
        <f>'Calendario C'!Y467</f>
        <v/>
      </c>
      <c r="N525" s="68">
        <f>'Calendario C'!Z467</f>
        <v/>
      </c>
    </row>
    <row r="526">
      <c r="A526" s="68">
        <f>'Calendario C'!M470</f>
        <v/>
      </c>
      <c r="B526" s="68">
        <f>'Calendario C'!N470</f>
        <v/>
      </c>
      <c r="C526" s="68">
        <f>'Calendario C'!O470</f>
        <v/>
      </c>
      <c r="D526" s="68">
        <f>'Calendario C'!P470</f>
        <v/>
      </c>
      <c r="E526" s="68">
        <f>'Calendario C'!Q470</f>
        <v/>
      </c>
      <c r="F526" s="68">
        <f>'Calendario C'!R470</f>
        <v/>
      </c>
      <c r="G526" s="68">
        <f>'Calendario C'!S470</f>
        <v/>
      </c>
      <c r="H526" s="68">
        <f>'Calendario C'!T470</f>
        <v/>
      </c>
      <c r="I526" s="68">
        <f>'Calendario C'!U470</f>
        <v/>
      </c>
      <c r="J526" s="68">
        <f>'Calendario C'!V470</f>
        <v/>
      </c>
      <c r="K526" s="68">
        <f>'Calendario C'!W470</f>
        <v/>
      </c>
      <c r="L526" s="68">
        <f>'Calendario C'!X470</f>
        <v/>
      </c>
      <c r="M526" s="68">
        <f>'Calendario C'!Y470</f>
        <v/>
      </c>
      <c r="N526" s="68">
        <f>'Calendario C'!Z470</f>
        <v/>
      </c>
    </row>
    <row r="527">
      <c r="A527" s="68">
        <f>'Calendario C'!M473</f>
        <v/>
      </c>
      <c r="B527" s="68">
        <f>'Calendario C'!N473</f>
        <v/>
      </c>
      <c r="C527" s="68">
        <f>'Calendario C'!O473</f>
        <v/>
      </c>
      <c r="D527" s="68">
        <f>'Calendario C'!P473</f>
        <v/>
      </c>
      <c r="E527" s="68">
        <f>'Calendario C'!Q473</f>
        <v/>
      </c>
      <c r="F527" s="68">
        <f>'Calendario C'!R473</f>
        <v/>
      </c>
      <c r="G527" s="68">
        <f>'Calendario C'!S473</f>
        <v/>
      </c>
      <c r="H527" s="68">
        <f>'Calendario C'!T473</f>
        <v/>
      </c>
      <c r="I527" s="68">
        <f>'Calendario C'!U473</f>
        <v/>
      </c>
      <c r="J527" s="68">
        <f>'Calendario C'!V473</f>
        <v/>
      </c>
      <c r="K527" s="68">
        <f>'Calendario C'!W473</f>
        <v/>
      </c>
      <c r="L527" s="68">
        <f>'Calendario C'!X473</f>
        <v/>
      </c>
      <c r="M527" s="68">
        <f>'Calendario C'!Y473</f>
        <v/>
      </c>
      <c r="N527" s="68">
        <f>'Calendario C'!Z473</f>
        <v/>
      </c>
    </row>
    <row r="528">
      <c r="A528" s="68">
        <f>'Calendario C'!M476</f>
        <v/>
      </c>
      <c r="B528" s="68">
        <f>'Calendario C'!N476</f>
        <v/>
      </c>
      <c r="C528" s="68">
        <f>'Calendario C'!O476</f>
        <v/>
      </c>
      <c r="D528" s="68">
        <f>'Calendario C'!P476</f>
        <v/>
      </c>
      <c r="E528" s="68">
        <f>'Calendario C'!Q476</f>
        <v/>
      </c>
      <c r="F528" s="68">
        <f>'Calendario C'!R476</f>
        <v/>
      </c>
      <c r="G528" s="68">
        <f>'Calendario C'!S476</f>
        <v/>
      </c>
      <c r="H528" s="68">
        <f>'Calendario C'!T476</f>
        <v/>
      </c>
      <c r="I528" s="68">
        <f>'Calendario C'!U476</f>
        <v/>
      </c>
      <c r="J528" s="68">
        <f>'Calendario C'!V476</f>
        <v/>
      </c>
      <c r="K528" s="68">
        <f>'Calendario C'!W476</f>
        <v/>
      </c>
      <c r="L528" s="68">
        <f>'Calendario C'!X476</f>
        <v/>
      </c>
      <c r="M528" s="68">
        <f>'Calendario C'!Y476</f>
        <v/>
      </c>
      <c r="N528" s="68">
        <f>'Calendario C'!Z476</f>
        <v/>
      </c>
    </row>
    <row r="529">
      <c r="A529" s="68">
        <f>'Calendario C'!M479</f>
        <v/>
      </c>
      <c r="B529" s="68">
        <f>'Calendario C'!N479</f>
        <v/>
      </c>
      <c r="C529" s="68">
        <f>'Calendario C'!O479</f>
        <v/>
      </c>
      <c r="D529" s="68">
        <f>'Calendario C'!P479</f>
        <v/>
      </c>
      <c r="E529" s="68">
        <f>'Calendario C'!Q479</f>
        <v/>
      </c>
      <c r="F529" s="68">
        <f>'Calendario C'!R479</f>
        <v/>
      </c>
      <c r="G529" s="68">
        <f>'Calendario C'!S479</f>
        <v/>
      </c>
      <c r="H529" s="68">
        <f>'Calendario C'!T479</f>
        <v/>
      </c>
      <c r="I529" s="68">
        <f>'Calendario C'!U479</f>
        <v/>
      </c>
      <c r="J529" s="68">
        <f>'Calendario C'!V479</f>
        <v/>
      </c>
      <c r="K529" s="68">
        <f>'Calendario C'!W479</f>
        <v/>
      </c>
      <c r="L529" s="68">
        <f>'Calendario C'!X479</f>
        <v/>
      </c>
      <c r="M529" s="68">
        <f>'Calendario C'!Y479</f>
        <v/>
      </c>
      <c r="N529" s="68">
        <f>'Calendario C'!Z479</f>
        <v/>
      </c>
    </row>
    <row r="530">
      <c r="A530" s="68">
        <f>'Calendario C'!M482</f>
        <v/>
      </c>
      <c r="B530" s="68">
        <f>'Calendario C'!N482</f>
        <v/>
      </c>
      <c r="C530" s="68">
        <f>'Calendario C'!O482</f>
        <v/>
      </c>
      <c r="D530" s="68">
        <f>'Calendario C'!P482</f>
        <v/>
      </c>
      <c r="E530" s="68">
        <f>'Calendario C'!Q482</f>
        <v/>
      </c>
      <c r="F530" s="68">
        <f>'Calendario C'!R482</f>
        <v/>
      </c>
      <c r="G530" s="68">
        <f>'Calendario C'!S482</f>
        <v/>
      </c>
      <c r="H530" s="68">
        <f>'Calendario C'!T482</f>
        <v/>
      </c>
      <c r="I530" s="68">
        <f>'Calendario C'!U482</f>
        <v/>
      </c>
      <c r="J530" s="68">
        <f>'Calendario C'!V482</f>
        <v/>
      </c>
      <c r="K530" s="68">
        <f>'Calendario C'!W482</f>
        <v/>
      </c>
      <c r="L530" s="68">
        <f>'Calendario C'!X482</f>
        <v/>
      </c>
      <c r="M530" s="68">
        <f>'Calendario C'!Y482</f>
        <v/>
      </c>
      <c r="N530" s="68">
        <f>'Calendario C'!Z482</f>
        <v/>
      </c>
    </row>
    <row r="531">
      <c r="A531" s="68">
        <f>'Calendario C'!M485</f>
        <v/>
      </c>
      <c r="B531" s="68">
        <f>'Calendario C'!N485</f>
        <v/>
      </c>
      <c r="C531" s="68">
        <f>'Calendario C'!O485</f>
        <v/>
      </c>
      <c r="D531" s="68">
        <f>'Calendario C'!P485</f>
        <v/>
      </c>
      <c r="E531" s="68">
        <f>'Calendario C'!Q485</f>
        <v/>
      </c>
      <c r="F531" s="68">
        <f>'Calendario C'!R485</f>
        <v/>
      </c>
      <c r="G531" s="68">
        <f>'Calendario C'!S485</f>
        <v/>
      </c>
      <c r="H531" s="68">
        <f>'Calendario C'!T485</f>
        <v/>
      </c>
      <c r="I531" s="68">
        <f>'Calendario C'!U485</f>
        <v/>
      </c>
      <c r="J531" s="68">
        <f>'Calendario C'!V485</f>
        <v/>
      </c>
      <c r="K531" s="68">
        <f>'Calendario C'!W485</f>
        <v/>
      </c>
      <c r="L531" s="68">
        <f>'Calendario C'!X485</f>
        <v/>
      </c>
      <c r="M531" s="68">
        <f>'Calendario C'!Y485</f>
        <v/>
      </c>
      <c r="N531" s="68">
        <f>'Calendario C'!Z485</f>
        <v/>
      </c>
    </row>
    <row r="532">
      <c r="A532" s="68">
        <f>'Calendario C'!M490</f>
        <v/>
      </c>
      <c r="B532" s="68">
        <f>'Calendario C'!N490</f>
        <v/>
      </c>
      <c r="C532" s="68">
        <f>'Calendario C'!O490</f>
        <v/>
      </c>
      <c r="D532" s="68">
        <f>'Calendario C'!P490</f>
        <v/>
      </c>
      <c r="E532" s="68">
        <f>'Calendario C'!Q490</f>
        <v/>
      </c>
      <c r="F532" s="68">
        <f>'Calendario C'!R490</f>
        <v/>
      </c>
      <c r="G532" s="68">
        <f>'Calendario C'!S490</f>
        <v/>
      </c>
      <c r="H532" s="68">
        <f>'Calendario C'!T490</f>
        <v/>
      </c>
      <c r="I532" s="68">
        <f>'Calendario C'!U490</f>
        <v/>
      </c>
      <c r="J532" s="68">
        <f>'Calendario C'!V490</f>
        <v/>
      </c>
      <c r="K532" s="68">
        <f>'Calendario C'!W490</f>
        <v/>
      </c>
      <c r="L532" s="68">
        <f>'Calendario C'!X490</f>
        <v/>
      </c>
      <c r="M532" s="68">
        <f>'Calendario C'!Y490</f>
        <v/>
      </c>
      <c r="N532" s="68">
        <f>'Calendario C'!Z490</f>
        <v/>
      </c>
    </row>
    <row r="533">
      <c r="A533" s="68">
        <f>'Calendario C'!M493</f>
        <v/>
      </c>
      <c r="B533" s="68">
        <f>'Calendario C'!N493</f>
        <v/>
      </c>
      <c r="C533" s="68">
        <f>'Calendario C'!O493</f>
        <v/>
      </c>
      <c r="D533" s="68">
        <f>'Calendario C'!P493</f>
        <v/>
      </c>
      <c r="E533" s="68">
        <f>'Calendario C'!Q493</f>
        <v/>
      </c>
      <c r="F533" s="68">
        <f>'Calendario C'!R493</f>
        <v/>
      </c>
      <c r="G533" s="68">
        <f>'Calendario C'!S493</f>
        <v/>
      </c>
      <c r="H533" s="68">
        <f>'Calendario C'!T493</f>
        <v/>
      </c>
      <c r="I533" s="68">
        <f>'Calendario C'!U493</f>
        <v/>
      </c>
      <c r="J533" s="68">
        <f>'Calendario C'!V493</f>
        <v/>
      </c>
      <c r="K533" s="68">
        <f>'Calendario C'!W493</f>
        <v/>
      </c>
      <c r="L533" s="68">
        <f>'Calendario C'!X493</f>
        <v/>
      </c>
      <c r="M533" s="68">
        <f>'Calendario C'!Y493</f>
        <v/>
      </c>
      <c r="N533" s="68">
        <f>'Calendario C'!Z493</f>
        <v/>
      </c>
    </row>
    <row r="534">
      <c r="A534" s="68">
        <f>'Calendario C'!M496</f>
        <v/>
      </c>
      <c r="B534" s="68">
        <f>'Calendario C'!N496</f>
        <v/>
      </c>
      <c r="C534" s="68">
        <f>'Calendario C'!O496</f>
        <v/>
      </c>
      <c r="D534" s="68">
        <f>'Calendario C'!P496</f>
        <v/>
      </c>
      <c r="E534" s="68">
        <f>'Calendario C'!Q496</f>
        <v/>
      </c>
      <c r="F534" s="68">
        <f>'Calendario C'!R496</f>
        <v/>
      </c>
      <c r="G534" s="68">
        <f>'Calendario C'!S496</f>
        <v/>
      </c>
      <c r="H534" s="68">
        <f>'Calendario C'!T496</f>
        <v/>
      </c>
      <c r="I534" s="68">
        <f>'Calendario C'!U496</f>
        <v/>
      </c>
      <c r="J534" s="68">
        <f>'Calendario C'!V496</f>
        <v/>
      </c>
      <c r="K534" s="68">
        <f>'Calendario C'!W496</f>
        <v/>
      </c>
      <c r="L534" s="68">
        <f>'Calendario C'!X496</f>
        <v/>
      </c>
      <c r="M534" s="68">
        <f>'Calendario C'!Y496</f>
        <v/>
      </c>
      <c r="N534" s="68">
        <f>'Calendario C'!Z496</f>
        <v/>
      </c>
    </row>
    <row r="535">
      <c r="A535" s="68">
        <f>'Calendario C'!M499</f>
        <v/>
      </c>
      <c r="B535" s="68">
        <f>'Calendario C'!N499</f>
        <v/>
      </c>
      <c r="C535" s="68">
        <f>'Calendario C'!O499</f>
        <v/>
      </c>
      <c r="D535" s="68">
        <f>'Calendario C'!P499</f>
        <v/>
      </c>
      <c r="E535" s="68">
        <f>'Calendario C'!Q499</f>
        <v/>
      </c>
      <c r="F535" s="68">
        <f>'Calendario C'!R499</f>
        <v/>
      </c>
      <c r="G535" s="68">
        <f>'Calendario C'!S499</f>
        <v/>
      </c>
      <c r="H535" s="68">
        <f>'Calendario C'!T499</f>
        <v/>
      </c>
      <c r="I535" s="68">
        <f>'Calendario C'!U499</f>
        <v/>
      </c>
      <c r="J535" s="68">
        <f>'Calendario C'!V499</f>
        <v/>
      </c>
      <c r="K535" s="68">
        <f>'Calendario C'!W499</f>
        <v/>
      </c>
      <c r="L535" s="68">
        <f>'Calendario C'!X499</f>
        <v/>
      </c>
      <c r="M535" s="68">
        <f>'Calendario C'!Y499</f>
        <v/>
      </c>
      <c r="N535" s="68">
        <f>'Calendario C'!Z499</f>
        <v/>
      </c>
    </row>
    <row r="536">
      <c r="A536" s="68">
        <f>'Calendario C'!M502</f>
        <v/>
      </c>
      <c r="B536" s="68">
        <f>'Calendario C'!N502</f>
        <v/>
      </c>
      <c r="C536" s="68">
        <f>'Calendario C'!O502</f>
        <v/>
      </c>
      <c r="D536" s="68">
        <f>'Calendario C'!P502</f>
        <v/>
      </c>
      <c r="E536" s="68">
        <f>'Calendario C'!Q502</f>
        <v/>
      </c>
      <c r="F536" s="68">
        <f>'Calendario C'!R502</f>
        <v/>
      </c>
      <c r="G536" s="68">
        <f>'Calendario C'!S502</f>
        <v/>
      </c>
      <c r="H536" s="68">
        <f>'Calendario C'!T502</f>
        <v/>
      </c>
      <c r="I536" s="68">
        <f>'Calendario C'!U502</f>
        <v/>
      </c>
      <c r="J536" s="68">
        <f>'Calendario C'!V502</f>
        <v/>
      </c>
      <c r="K536" s="68">
        <f>'Calendario C'!W502</f>
        <v/>
      </c>
      <c r="L536" s="68">
        <f>'Calendario C'!X502</f>
        <v/>
      </c>
      <c r="M536" s="68">
        <f>'Calendario C'!Y502</f>
        <v/>
      </c>
      <c r="N536" s="68">
        <f>'Calendario C'!Z502</f>
        <v/>
      </c>
    </row>
    <row r="537">
      <c r="A537" s="68">
        <f>'Calendario C'!M505</f>
        <v/>
      </c>
      <c r="B537" s="68">
        <f>'Calendario C'!N505</f>
        <v/>
      </c>
      <c r="C537" s="68">
        <f>'Calendario C'!O505</f>
        <v/>
      </c>
      <c r="D537" s="68">
        <f>'Calendario C'!P505</f>
        <v/>
      </c>
      <c r="E537" s="68">
        <f>'Calendario C'!Q505</f>
        <v/>
      </c>
      <c r="F537" s="68">
        <f>'Calendario C'!R505</f>
        <v/>
      </c>
      <c r="G537" s="68">
        <f>'Calendario C'!S505</f>
        <v/>
      </c>
      <c r="H537" s="68">
        <f>'Calendario C'!T505</f>
        <v/>
      </c>
      <c r="I537" s="68">
        <f>'Calendario C'!U505</f>
        <v/>
      </c>
      <c r="J537" s="68">
        <f>'Calendario C'!V505</f>
        <v/>
      </c>
      <c r="K537" s="68">
        <f>'Calendario C'!W505</f>
        <v/>
      </c>
      <c r="L537" s="68">
        <f>'Calendario C'!X505</f>
        <v/>
      </c>
      <c r="M537" s="68">
        <f>'Calendario C'!Y505</f>
        <v/>
      </c>
      <c r="N537" s="68">
        <f>'Calendario C'!Z505</f>
        <v/>
      </c>
    </row>
    <row r="538">
      <c r="A538" s="68">
        <f>'Calendario C'!M508</f>
        <v/>
      </c>
      <c r="B538" s="68">
        <f>'Calendario C'!N508</f>
        <v/>
      </c>
      <c r="C538" s="68">
        <f>'Calendario C'!O508</f>
        <v/>
      </c>
      <c r="D538" s="68">
        <f>'Calendario C'!P508</f>
        <v/>
      </c>
      <c r="E538" s="68">
        <f>'Calendario C'!Q508</f>
        <v/>
      </c>
      <c r="F538" s="68">
        <f>'Calendario C'!R508</f>
        <v/>
      </c>
      <c r="G538" s="68">
        <f>'Calendario C'!S508</f>
        <v/>
      </c>
      <c r="H538" s="68">
        <f>'Calendario C'!T508</f>
        <v/>
      </c>
      <c r="I538" s="68">
        <f>'Calendario C'!U508</f>
        <v/>
      </c>
      <c r="J538" s="68">
        <f>'Calendario C'!V508</f>
        <v/>
      </c>
      <c r="K538" s="68">
        <f>'Calendario C'!W508</f>
        <v/>
      </c>
      <c r="L538" s="68">
        <f>'Calendario C'!X508</f>
        <v/>
      </c>
      <c r="M538" s="68">
        <f>'Calendario C'!Y508</f>
        <v/>
      </c>
      <c r="N538" s="68">
        <f>'Calendario C'!Z508</f>
        <v/>
      </c>
    </row>
    <row r="539">
      <c r="A539" s="68">
        <f>'Calendario C'!M511</f>
        <v/>
      </c>
      <c r="B539" s="68">
        <f>'Calendario C'!N511</f>
        <v/>
      </c>
      <c r="C539" s="68">
        <f>'Calendario C'!O511</f>
        <v/>
      </c>
      <c r="D539" s="68">
        <f>'Calendario C'!P511</f>
        <v/>
      </c>
      <c r="E539" s="68">
        <f>'Calendario C'!Q511</f>
        <v/>
      </c>
      <c r="F539" s="68">
        <f>'Calendario C'!R511</f>
        <v/>
      </c>
      <c r="G539" s="68">
        <f>'Calendario C'!S511</f>
        <v/>
      </c>
      <c r="H539" s="68">
        <f>'Calendario C'!T511</f>
        <v/>
      </c>
      <c r="I539" s="68">
        <f>'Calendario C'!U511</f>
        <v/>
      </c>
      <c r="J539" s="68">
        <f>'Calendario C'!V511</f>
        <v/>
      </c>
      <c r="K539" s="68">
        <f>'Calendario C'!W511</f>
        <v/>
      </c>
      <c r="L539" s="68">
        <f>'Calendario C'!X511</f>
        <v/>
      </c>
      <c r="M539" s="68">
        <f>'Calendario C'!Y511</f>
        <v/>
      </c>
      <c r="N539" s="68">
        <f>'Calendario C'!Z511</f>
        <v/>
      </c>
    </row>
    <row r="540">
      <c r="A540" s="68">
        <f>'Calendario C'!M514</f>
        <v/>
      </c>
      <c r="B540" s="68">
        <f>'Calendario C'!N514</f>
        <v/>
      </c>
      <c r="C540" s="68">
        <f>'Calendario C'!O514</f>
        <v/>
      </c>
      <c r="D540" s="68">
        <f>'Calendario C'!P514</f>
        <v/>
      </c>
      <c r="E540" s="68">
        <f>'Calendario C'!Q514</f>
        <v/>
      </c>
      <c r="F540" s="68">
        <f>'Calendario C'!R514</f>
        <v/>
      </c>
      <c r="G540" s="68">
        <f>'Calendario C'!S514</f>
        <v/>
      </c>
      <c r="H540" s="68">
        <f>'Calendario C'!T514</f>
        <v/>
      </c>
      <c r="I540" s="68">
        <f>'Calendario C'!U514</f>
        <v/>
      </c>
      <c r="J540" s="68">
        <f>'Calendario C'!V514</f>
        <v/>
      </c>
      <c r="K540" s="68">
        <f>'Calendario C'!W514</f>
        <v/>
      </c>
      <c r="L540" s="68">
        <f>'Calendario C'!X514</f>
        <v/>
      </c>
      <c r="M540" s="68">
        <f>'Calendario C'!Y514</f>
        <v/>
      </c>
      <c r="N540" s="68">
        <f>'Calendario C'!Z514</f>
        <v/>
      </c>
    </row>
    <row r="541">
      <c r="A541" s="68">
        <f>'Calendario C'!M517</f>
        <v/>
      </c>
      <c r="B541" s="68">
        <f>'Calendario C'!N517</f>
        <v/>
      </c>
      <c r="C541" s="68">
        <f>'Calendario C'!O517</f>
        <v/>
      </c>
      <c r="D541" s="68">
        <f>'Calendario C'!P517</f>
        <v/>
      </c>
      <c r="E541" s="68">
        <f>'Calendario C'!Q517</f>
        <v/>
      </c>
      <c r="F541" s="68">
        <f>'Calendario C'!R517</f>
        <v/>
      </c>
      <c r="G541" s="68">
        <f>'Calendario C'!S517</f>
        <v/>
      </c>
      <c r="H541" s="68">
        <f>'Calendario C'!T517</f>
        <v/>
      </c>
      <c r="I541" s="68">
        <f>'Calendario C'!U517</f>
        <v/>
      </c>
      <c r="J541" s="68">
        <f>'Calendario C'!V517</f>
        <v/>
      </c>
      <c r="K541" s="68">
        <f>'Calendario C'!W517</f>
        <v/>
      </c>
      <c r="L541" s="68">
        <f>'Calendario C'!X517</f>
        <v/>
      </c>
      <c r="M541" s="68">
        <f>'Calendario C'!Y517</f>
        <v/>
      </c>
      <c r="N541" s="68">
        <f>'Calendario C'!Z517</f>
        <v/>
      </c>
    </row>
    <row r="542">
      <c r="A542" s="68">
        <f>'Calendario C'!M522</f>
        <v/>
      </c>
      <c r="B542" s="68">
        <f>'Calendario C'!N522</f>
        <v/>
      </c>
      <c r="C542" s="68">
        <f>'Calendario C'!O522</f>
        <v/>
      </c>
      <c r="D542" s="68">
        <f>'Calendario C'!P522</f>
        <v/>
      </c>
      <c r="E542" s="68">
        <f>'Calendario C'!Q522</f>
        <v/>
      </c>
      <c r="F542" s="68">
        <f>'Calendario C'!R522</f>
        <v/>
      </c>
      <c r="G542" s="68">
        <f>'Calendario C'!S522</f>
        <v/>
      </c>
      <c r="H542" s="68">
        <f>'Calendario C'!T522</f>
        <v/>
      </c>
      <c r="I542" s="68">
        <f>'Calendario C'!U522</f>
        <v/>
      </c>
      <c r="J542" s="68">
        <f>'Calendario C'!V522</f>
        <v/>
      </c>
      <c r="K542" s="68">
        <f>'Calendario C'!W522</f>
        <v/>
      </c>
      <c r="L542" s="68">
        <f>'Calendario C'!X522</f>
        <v/>
      </c>
      <c r="M542" s="68">
        <f>'Calendario C'!Y522</f>
        <v/>
      </c>
      <c r="N542" s="68">
        <f>'Calendario C'!Z522</f>
        <v/>
      </c>
    </row>
    <row r="543">
      <c r="A543" s="68">
        <f>'Calendario C'!M525</f>
        <v/>
      </c>
      <c r="B543" s="68">
        <f>'Calendario C'!N525</f>
        <v/>
      </c>
      <c r="C543" s="68">
        <f>'Calendario C'!O525</f>
        <v/>
      </c>
      <c r="D543" s="68">
        <f>'Calendario C'!P525</f>
        <v/>
      </c>
      <c r="E543" s="68">
        <f>'Calendario C'!Q525</f>
        <v/>
      </c>
      <c r="F543" s="68">
        <f>'Calendario C'!R525</f>
        <v/>
      </c>
      <c r="G543" s="68">
        <f>'Calendario C'!S525</f>
        <v/>
      </c>
      <c r="H543" s="68">
        <f>'Calendario C'!T525</f>
        <v/>
      </c>
      <c r="I543" s="68">
        <f>'Calendario C'!U525</f>
        <v/>
      </c>
      <c r="J543" s="68">
        <f>'Calendario C'!V525</f>
        <v/>
      </c>
      <c r="K543" s="68">
        <f>'Calendario C'!W525</f>
        <v/>
      </c>
      <c r="L543" s="68">
        <f>'Calendario C'!X525</f>
        <v/>
      </c>
      <c r="M543" s="68">
        <f>'Calendario C'!Y525</f>
        <v/>
      </c>
      <c r="N543" s="68">
        <f>'Calendario C'!Z525</f>
        <v/>
      </c>
    </row>
    <row r="544">
      <c r="A544" s="68">
        <f>'Calendario C'!M528</f>
        <v/>
      </c>
      <c r="B544" s="68">
        <f>'Calendario C'!N528</f>
        <v/>
      </c>
      <c r="C544" s="68">
        <f>'Calendario C'!O528</f>
        <v/>
      </c>
      <c r="D544" s="68">
        <f>'Calendario C'!P528</f>
        <v/>
      </c>
      <c r="E544" s="68">
        <f>'Calendario C'!Q528</f>
        <v/>
      </c>
      <c r="F544" s="68">
        <f>'Calendario C'!R528</f>
        <v/>
      </c>
      <c r="G544" s="68">
        <f>'Calendario C'!S528</f>
        <v/>
      </c>
      <c r="H544" s="68">
        <f>'Calendario C'!T528</f>
        <v/>
      </c>
      <c r="I544" s="68">
        <f>'Calendario C'!U528</f>
        <v/>
      </c>
      <c r="J544" s="68">
        <f>'Calendario C'!V528</f>
        <v/>
      </c>
      <c r="K544" s="68">
        <f>'Calendario C'!W528</f>
        <v/>
      </c>
      <c r="L544" s="68">
        <f>'Calendario C'!X528</f>
        <v/>
      </c>
      <c r="M544" s="68">
        <f>'Calendario C'!Y528</f>
        <v/>
      </c>
      <c r="N544" s="68">
        <f>'Calendario C'!Z528</f>
        <v/>
      </c>
    </row>
    <row r="545">
      <c r="A545" s="68">
        <f>'Calendario C'!M531</f>
        <v/>
      </c>
      <c r="B545" s="68">
        <f>'Calendario C'!N531</f>
        <v/>
      </c>
      <c r="C545" s="68">
        <f>'Calendario C'!O531</f>
        <v/>
      </c>
      <c r="D545" s="68">
        <f>'Calendario C'!P531</f>
        <v/>
      </c>
      <c r="E545" s="68">
        <f>'Calendario C'!Q531</f>
        <v/>
      </c>
      <c r="F545" s="68">
        <f>'Calendario C'!R531</f>
        <v/>
      </c>
      <c r="G545" s="68">
        <f>'Calendario C'!S531</f>
        <v/>
      </c>
      <c r="H545" s="68">
        <f>'Calendario C'!T531</f>
        <v/>
      </c>
      <c r="I545" s="68">
        <f>'Calendario C'!U531</f>
        <v/>
      </c>
      <c r="J545" s="68">
        <f>'Calendario C'!V531</f>
        <v/>
      </c>
      <c r="K545" s="68">
        <f>'Calendario C'!W531</f>
        <v/>
      </c>
      <c r="L545" s="68">
        <f>'Calendario C'!X531</f>
        <v/>
      </c>
      <c r="M545" s="68">
        <f>'Calendario C'!Y531</f>
        <v/>
      </c>
      <c r="N545" s="68">
        <f>'Calendario C'!Z531</f>
        <v/>
      </c>
    </row>
    <row r="546">
      <c r="A546" s="68">
        <f>'Calendario C'!M534</f>
        <v/>
      </c>
      <c r="B546" s="68">
        <f>'Calendario C'!N534</f>
        <v/>
      </c>
      <c r="C546" s="68">
        <f>'Calendario C'!O534</f>
        <v/>
      </c>
      <c r="D546" s="68">
        <f>'Calendario C'!P534</f>
        <v/>
      </c>
      <c r="E546" s="68">
        <f>'Calendario C'!Q534</f>
        <v/>
      </c>
      <c r="F546" s="68">
        <f>'Calendario C'!R534</f>
        <v/>
      </c>
      <c r="G546" s="68">
        <f>'Calendario C'!S534</f>
        <v/>
      </c>
      <c r="H546" s="68">
        <f>'Calendario C'!T534</f>
        <v/>
      </c>
      <c r="I546" s="68">
        <f>'Calendario C'!U534</f>
        <v/>
      </c>
      <c r="J546" s="68">
        <f>'Calendario C'!V534</f>
        <v/>
      </c>
      <c r="K546" s="68">
        <f>'Calendario C'!W534</f>
        <v/>
      </c>
      <c r="L546" s="68">
        <f>'Calendario C'!X534</f>
        <v/>
      </c>
      <c r="M546" s="68">
        <f>'Calendario C'!Y534</f>
        <v/>
      </c>
      <c r="N546" s="68">
        <f>'Calendario C'!Z534</f>
        <v/>
      </c>
    </row>
    <row r="547">
      <c r="A547" s="68">
        <f>'Calendario C'!M537</f>
        <v/>
      </c>
      <c r="B547" s="68">
        <f>'Calendario C'!N537</f>
        <v/>
      </c>
      <c r="C547" s="68">
        <f>'Calendario C'!O537</f>
        <v/>
      </c>
      <c r="D547" s="68">
        <f>'Calendario C'!P537</f>
        <v/>
      </c>
      <c r="E547" s="68">
        <f>'Calendario C'!Q537</f>
        <v/>
      </c>
      <c r="F547" s="68">
        <f>'Calendario C'!R537</f>
        <v/>
      </c>
      <c r="G547" s="68">
        <f>'Calendario C'!S537</f>
        <v/>
      </c>
      <c r="H547" s="68">
        <f>'Calendario C'!T537</f>
        <v/>
      </c>
      <c r="I547" s="68">
        <f>'Calendario C'!U537</f>
        <v/>
      </c>
      <c r="J547" s="68">
        <f>'Calendario C'!V537</f>
        <v/>
      </c>
      <c r="K547" s="68">
        <f>'Calendario C'!W537</f>
        <v/>
      </c>
      <c r="L547" s="68">
        <f>'Calendario C'!X537</f>
        <v/>
      </c>
      <c r="M547" s="68">
        <f>'Calendario C'!Y537</f>
        <v/>
      </c>
      <c r="N547" s="68">
        <f>'Calendario C'!Z537</f>
        <v/>
      </c>
    </row>
    <row r="548">
      <c r="A548" s="68">
        <f>'Calendario C'!M540</f>
        <v/>
      </c>
      <c r="B548" s="68">
        <f>'Calendario C'!N540</f>
        <v/>
      </c>
      <c r="C548" s="68">
        <f>'Calendario C'!O540</f>
        <v/>
      </c>
      <c r="D548" s="68">
        <f>'Calendario C'!P540</f>
        <v/>
      </c>
      <c r="E548" s="68">
        <f>'Calendario C'!Q540</f>
        <v/>
      </c>
      <c r="F548" s="68">
        <f>'Calendario C'!R540</f>
        <v/>
      </c>
      <c r="G548" s="68">
        <f>'Calendario C'!S540</f>
        <v/>
      </c>
      <c r="H548" s="68">
        <f>'Calendario C'!T540</f>
        <v/>
      </c>
      <c r="I548" s="68">
        <f>'Calendario C'!U540</f>
        <v/>
      </c>
      <c r="J548" s="68">
        <f>'Calendario C'!V540</f>
        <v/>
      </c>
      <c r="K548" s="68">
        <f>'Calendario C'!W540</f>
        <v/>
      </c>
      <c r="L548" s="68">
        <f>'Calendario C'!X540</f>
        <v/>
      </c>
      <c r="M548" s="68">
        <f>'Calendario C'!Y540</f>
        <v/>
      </c>
      <c r="N548" s="68">
        <f>'Calendario C'!Z540</f>
        <v/>
      </c>
    </row>
    <row r="549">
      <c r="A549" s="68">
        <f>'Calendario C'!M543</f>
        <v/>
      </c>
      <c r="B549" s="68">
        <f>'Calendario C'!N543</f>
        <v/>
      </c>
      <c r="C549" s="68">
        <f>'Calendario C'!O543</f>
        <v/>
      </c>
      <c r="D549" s="68">
        <f>'Calendario C'!P543</f>
        <v/>
      </c>
      <c r="E549" s="68">
        <f>'Calendario C'!Q543</f>
        <v/>
      </c>
      <c r="F549" s="68">
        <f>'Calendario C'!R543</f>
        <v/>
      </c>
      <c r="G549" s="68">
        <f>'Calendario C'!S543</f>
        <v/>
      </c>
      <c r="H549" s="68">
        <f>'Calendario C'!T543</f>
        <v/>
      </c>
      <c r="I549" s="68">
        <f>'Calendario C'!U543</f>
        <v/>
      </c>
      <c r="J549" s="68">
        <f>'Calendario C'!V543</f>
        <v/>
      </c>
      <c r="K549" s="68">
        <f>'Calendario C'!W543</f>
        <v/>
      </c>
      <c r="L549" s="68">
        <f>'Calendario C'!X543</f>
        <v/>
      </c>
      <c r="M549" s="68">
        <f>'Calendario C'!Y543</f>
        <v/>
      </c>
      <c r="N549" s="68">
        <f>'Calendario C'!Z543</f>
        <v/>
      </c>
    </row>
    <row r="550">
      <c r="A550" s="68">
        <f>'Calendario C'!M546</f>
        <v/>
      </c>
      <c r="B550" s="68">
        <f>'Calendario C'!N546</f>
        <v/>
      </c>
      <c r="C550" s="68">
        <f>'Calendario C'!O546</f>
        <v/>
      </c>
      <c r="D550" s="68">
        <f>'Calendario C'!P546</f>
        <v/>
      </c>
      <c r="E550" s="68">
        <f>'Calendario C'!Q546</f>
        <v/>
      </c>
      <c r="F550" s="68">
        <f>'Calendario C'!R546</f>
        <v/>
      </c>
      <c r="G550" s="68">
        <f>'Calendario C'!S546</f>
        <v/>
      </c>
      <c r="H550" s="68">
        <f>'Calendario C'!T546</f>
        <v/>
      </c>
      <c r="I550" s="68">
        <f>'Calendario C'!U546</f>
        <v/>
      </c>
      <c r="J550" s="68">
        <f>'Calendario C'!V546</f>
        <v/>
      </c>
      <c r="K550" s="68">
        <f>'Calendario C'!W546</f>
        <v/>
      </c>
      <c r="L550" s="68">
        <f>'Calendario C'!X546</f>
        <v/>
      </c>
      <c r="M550" s="68">
        <f>'Calendario C'!Y546</f>
        <v/>
      </c>
      <c r="N550" s="68">
        <f>'Calendario C'!Z546</f>
        <v/>
      </c>
    </row>
    <row r="551">
      <c r="A551" s="68">
        <f>'Calendario C'!M549</f>
        <v/>
      </c>
      <c r="B551" s="68">
        <f>'Calendario C'!N549</f>
        <v/>
      </c>
      <c r="C551" s="68">
        <f>'Calendario C'!O549</f>
        <v/>
      </c>
      <c r="D551" s="68">
        <f>'Calendario C'!P549</f>
        <v/>
      </c>
      <c r="E551" s="68">
        <f>'Calendario C'!Q549</f>
        <v/>
      </c>
      <c r="F551" s="68">
        <f>'Calendario C'!R549</f>
        <v/>
      </c>
      <c r="G551" s="68">
        <f>'Calendario C'!S549</f>
        <v/>
      </c>
      <c r="H551" s="68">
        <f>'Calendario C'!T549</f>
        <v/>
      </c>
      <c r="I551" s="68">
        <f>'Calendario C'!U549</f>
        <v/>
      </c>
      <c r="J551" s="68">
        <f>'Calendario C'!V549</f>
        <v/>
      </c>
      <c r="K551" s="68">
        <f>'Calendario C'!W549</f>
        <v/>
      </c>
      <c r="L551" s="68">
        <f>'Calendario C'!X549</f>
        <v/>
      </c>
      <c r="M551" s="68">
        <f>'Calendario C'!Y549</f>
        <v/>
      </c>
      <c r="N551" s="68">
        <f>'Calendario C'!Z549</f>
        <v/>
      </c>
    </row>
    <row r="552">
      <c r="A552" s="68">
        <f>'Calendario C'!M554</f>
        <v/>
      </c>
      <c r="B552" s="68">
        <f>'Calendario C'!N554</f>
        <v/>
      </c>
      <c r="C552" s="68">
        <f>'Calendario C'!O554</f>
        <v/>
      </c>
      <c r="D552" s="68">
        <f>'Calendario C'!P554</f>
        <v/>
      </c>
      <c r="E552" s="68">
        <f>'Calendario C'!Q554</f>
        <v/>
      </c>
      <c r="F552" s="68">
        <f>'Calendario C'!R554</f>
        <v/>
      </c>
      <c r="G552" s="68">
        <f>'Calendario C'!S554</f>
        <v/>
      </c>
      <c r="H552" s="68">
        <f>'Calendario C'!T554</f>
        <v/>
      </c>
      <c r="I552" s="68">
        <f>'Calendario C'!U554</f>
        <v/>
      </c>
      <c r="J552" s="68">
        <f>'Calendario C'!V554</f>
        <v/>
      </c>
      <c r="K552" s="68">
        <f>'Calendario C'!W554</f>
        <v/>
      </c>
      <c r="L552" s="68">
        <f>'Calendario C'!X554</f>
        <v/>
      </c>
      <c r="M552" s="68">
        <f>'Calendario C'!Y554</f>
        <v/>
      </c>
      <c r="N552" s="68">
        <f>'Calendario C'!Z554</f>
        <v/>
      </c>
    </row>
    <row r="553">
      <c r="A553" s="68">
        <f>'Calendario C'!M557</f>
        <v/>
      </c>
      <c r="B553" s="68">
        <f>'Calendario C'!N557</f>
        <v/>
      </c>
      <c r="C553" s="68">
        <f>'Calendario C'!O557</f>
        <v/>
      </c>
      <c r="D553" s="68">
        <f>'Calendario C'!P557</f>
        <v/>
      </c>
      <c r="E553" s="68">
        <f>'Calendario C'!Q557</f>
        <v/>
      </c>
      <c r="F553" s="68">
        <f>'Calendario C'!R557</f>
        <v/>
      </c>
      <c r="G553" s="68">
        <f>'Calendario C'!S557</f>
        <v/>
      </c>
      <c r="H553" s="68">
        <f>'Calendario C'!T557</f>
        <v/>
      </c>
      <c r="I553" s="68">
        <f>'Calendario C'!U557</f>
        <v/>
      </c>
      <c r="J553" s="68">
        <f>'Calendario C'!V557</f>
        <v/>
      </c>
      <c r="K553" s="68">
        <f>'Calendario C'!W557</f>
        <v/>
      </c>
      <c r="L553" s="68">
        <f>'Calendario C'!X557</f>
        <v/>
      </c>
      <c r="M553" s="68">
        <f>'Calendario C'!Y557</f>
        <v/>
      </c>
      <c r="N553" s="68">
        <f>'Calendario C'!Z557</f>
        <v/>
      </c>
    </row>
    <row r="554">
      <c r="A554" s="68">
        <f>'Calendario C'!M560</f>
        <v/>
      </c>
      <c r="B554" s="68">
        <f>'Calendario C'!N560</f>
        <v/>
      </c>
      <c r="C554" s="68">
        <f>'Calendario C'!O560</f>
        <v/>
      </c>
      <c r="D554" s="68">
        <f>'Calendario C'!P560</f>
        <v/>
      </c>
      <c r="E554" s="68">
        <f>'Calendario C'!Q560</f>
        <v/>
      </c>
      <c r="F554" s="68">
        <f>'Calendario C'!R560</f>
        <v/>
      </c>
      <c r="G554" s="68">
        <f>'Calendario C'!S560</f>
        <v/>
      </c>
      <c r="H554" s="68">
        <f>'Calendario C'!T560</f>
        <v/>
      </c>
      <c r="I554" s="68">
        <f>'Calendario C'!U560</f>
        <v/>
      </c>
      <c r="J554" s="68">
        <f>'Calendario C'!V560</f>
        <v/>
      </c>
      <c r="K554" s="68">
        <f>'Calendario C'!W560</f>
        <v/>
      </c>
      <c r="L554" s="68">
        <f>'Calendario C'!X560</f>
        <v/>
      </c>
      <c r="M554" s="68">
        <f>'Calendario C'!Y560</f>
        <v/>
      </c>
      <c r="N554" s="68">
        <f>'Calendario C'!Z560</f>
        <v/>
      </c>
    </row>
    <row r="555">
      <c r="A555" s="68">
        <f>'Calendario C'!M563</f>
        <v/>
      </c>
      <c r="B555" s="68">
        <f>'Calendario C'!N563</f>
        <v/>
      </c>
      <c r="C555" s="68">
        <f>'Calendario C'!O563</f>
        <v/>
      </c>
      <c r="D555" s="68">
        <f>'Calendario C'!P563</f>
        <v/>
      </c>
      <c r="E555" s="68">
        <f>'Calendario C'!Q563</f>
        <v/>
      </c>
      <c r="F555" s="68">
        <f>'Calendario C'!R563</f>
        <v/>
      </c>
      <c r="G555" s="68">
        <f>'Calendario C'!S563</f>
        <v/>
      </c>
      <c r="H555" s="68">
        <f>'Calendario C'!T563</f>
        <v/>
      </c>
      <c r="I555" s="68">
        <f>'Calendario C'!U563</f>
        <v/>
      </c>
      <c r="J555" s="68">
        <f>'Calendario C'!V563</f>
        <v/>
      </c>
      <c r="K555" s="68">
        <f>'Calendario C'!W563</f>
        <v/>
      </c>
      <c r="L555" s="68">
        <f>'Calendario C'!X563</f>
        <v/>
      </c>
      <c r="M555" s="68">
        <f>'Calendario C'!Y563</f>
        <v/>
      </c>
      <c r="N555" s="68">
        <f>'Calendario C'!Z563</f>
        <v/>
      </c>
    </row>
    <row r="556">
      <c r="A556" s="68">
        <f>'Calendario C'!M566</f>
        <v/>
      </c>
      <c r="B556" s="68">
        <f>'Calendario C'!N566</f>
        <v/>
      </c>
      <c r="C556" s="68">
        <f>'Calendario C'!O566</f>
        <v/>
      </c>
      <c r="D556" s="68">
        <f>'Calendario C'!P566</f>
        <v/>
      </c>
      <c r="E556" s="68">
        <f>'Calendario C'!Q566</f>
        <v/>
      </c>
      <c r="F556" s="68">
        <f>'Calendario C'!R566</f>
        <v/>
      </c>
      <c r="G556" s="68">
        <f>'Calendario C'!S566</f>
        <v/>
      </c>
      <c r="H556" s="68">
        <f>'Calendario C'!T566</f>
        <v/>
      </c>
      <c r="I556" s="68">
        <f>'Calendario C'!U566</f>
        <v/>
      </c>
      <c r="J556" s="68">
        <f>'Calendario C'!V566</f>
        <v/>
      </c>
      <c r="K556" s="68">
        <f>'Calendario C'!W566</f>
        <v/>
      </c>
      <c r="L556" s="68">
        <f>'Calendario C'!X566</f>
        <v/>
      </c>
      <c r="M556" s="68">
        <f>'Calendario C'!Y566</f>
        <v/>
      </c>
      <c r="N556" s="68">
        <f>'Calendario C'!Z566</f>
        <v/>
      </c>
    </row>
    <row r="557">
      <c r="A557" s="68">
        <f>'Calendario C'!M569</f>
        <v/>
      </c>
      <c r="B557" s="68">
        <f>'Calendario C'!N569</f>
        <v/>
      </c>
      <c r="C557" s="68">
        <f>'Calendario C'!O569</f>
        <v/>
      </c>
      <c r="D557" s="68">
        <f>'Calendario C'!P569</f>
        <v/>
      </c>
      <c r="E557" s="68">
        <f>'Calendario C'!Q569</f>
        <v/>
      </c>
      <c r="F557" s="68">
        <f>'Calendario C'!R569</f>
        <v/>
      </c>
      <c r="G557" s="68">
        <f>'Calendario C'!S569</f>
        <v/>
      </c>
      <c r="H557" s="68">
        <f>'Calendario C'!T569</f>
        <v/>
      </c>
      <c r="I557" s="68">
        <f>'Calendario C'!U569</f>
        <v/>
      </c>
      <c r="J557" s="68">
        <f>'Calendario C'!V569</f>
        <v/>
      </c>
      <c r="K557" s="68">
        <f>'Calendario C'!W569</f>
        <v/>
      </c>
      <c r="L557" s="68">
        <f>'Calendario C'!X569</f>
        <v/>
      </c>
      <c r="M557" s="68">
        <f>'Calendario C'!Y569</f>
        <v/>
      </c>
      <c r="N557" s="68">
        <f>'Calendario C'!Z569</f>
        <v/>
      </c>
    </row>
    <row r="558">
      <c r="A558" s="68">
        <f>'Calendario C'!M572</f>
        <v/>
      </c>
      <c r="B558" s="68">
        <f>'Calendario C'!N572</f>
        <v/>
      </c>
      <c r="C558" s="68">
        <f>'Calendario C'!O572</f>
        <v/>
      </c>
      <c r="D558" s="68">
        <f>'Calendario C'!P572</f>
        <v/>
      </c>
      <c r="E558" s="68">
        <f>'Calendario C'!Q572</f>
        <v/>
      </c>
      <c r="F558" s="68">
        <f>'Calendario C'!R572</f>
        <v/>
      </c>
      <c r="G558" s="68">
        <f>'Calendario C'!S572</f>
        <v/>
      </c>
      <c r="H558" s="68">
        <f>'Calendario C'!T572</f>
        <v/>
      </c>
      <c r="I558" s="68">
        <f>'Calendario C'!U572</f>
        <v/>
      </c>
      <c r="J558" s="68">
        <f>'Calendario C'!V572</f>
        <v/>
      </c>
      <c r="K558" s="68">
        <f>'Calendario C'!W572</f>
        <v/>
      </c>
      <c r="L558" s="68">
        <f>'Calendario C'!X572</f>
        <v/>
      </c>
      <c r="M558" s="68">
        <f>'Calendario C'!Y572</f>
        <v/>
      </c>
      <c r="N558" s="68">
        <f>'Calendario C'!Z572</f>
        <v/>
      </c>
    </row>
    <row r="559">
      <c r="A559" s="68">
        <f>'Calendario C'!M575</f>
        <v/>
      </c>
      <c r="B559" s="68">
        <f>'Calendario C'!N575</f>
        <v/>
      </c>
      <c r="C559" s="68">
        <f>'Calendario C'!O575</f>
        <v/>
      </c>
      <c r="D559" s="68">
        <f>'Calendario C'!P575</f>
        <v/>
      </c>
      <c r="E559" s="68">
        <f>'Calendario C'!Q575</f>
        <v/>
      </c>
      <c r="F559" s="68">
        <f>'Calendario C'!R575</f>
        <v/>
      </c>
      <c r="G559" s="68">
        <f>'Calendario C'!S575</f>
        <v/>
      </c>
      <c r="H559" s="68">
        <f>'Calendario C'!T575</f>
        <v/>
      </c>
      <c r="I559" s="68">
        <f>'Calendario C'!U575</f>
        <v/>
      </c>
      <c r="J559" s="68">
        <f>'Calendario C'!V575</f>
        <v/>
      </c>
      <c r="K559" s="68">
        <f>'Calendario C'!W575</f>
        <v/>
      </c>
      <c r="L559" s="68">
        <f>'Calendario C'!X575</f>
        <v/>
      </c>
      <c r="M559" s="68">
        <f>'Calendario C'!Y575</f>
        <v/>
      </c>
      <c r="N559" s="68">
        <f>'Calendario C'!Z575</f>
        <v/>
      </c>
    </row>
    <row r="560">
      <c r="A560" s="68">
        <f>'Calendario C'!M578</f>
        <v/>
      </c>
      <c r="B560" s="68">
        <f>'Calendario C'!N578</f>
        <v/>
      </c>
      <c r="C560" s="68">
        <f>'Calendario C'!O578</f>
        <v/>
      </c>
      <c r="D560" s="68">
        <f>'Calendario C'!P578</f>
        <v/>
      </c>
      <c r="E560" s="68">
        <f>'Calendario C'!Q578</f>
        <v/>
      </c>
      <c r="F560" s="68">
        <f>'Calendario C'!R578</f>
        <v/>
      </c>
      <c r="G560" s="68">
        <f>'Calendario C'!S578</f>
        <v/>
      </c>
      <c r="H560" s="68">
        <f>'Calendario C'!T578</f>
        <v/>
      </c>
      <c r="I560" s="68">
        <f>'Calendario C'!U578</f>
        <v/>
      </c>
      <c r="J560" s="68">
        <f>'Calendario C'!V578</f>
        <v/>
      </c>
      <c r="K560" s="68">
        <f>'Calendario C'!W578</f>
        <v/>
      </c>
      <c r="L560" s="68">
        <f>'Calendario C'!X578</f>
        <v/>
      </c>
      <c r="M560" s="68">
        <f>'Calendario C'!Y578</f>
        <v/>
      </c>
      <c r="N560" s="68">
        <f>'Calendario C'!Z578</f>
        <v/>
      </c>
    </row>
    <row r="561">
      <c r="A561" s="68">
        <f>'Calendario C'!M581</f>
        <v/>
      </c>
      <c r="B561" s="68">
        <f>'Calendario C'!N581</f>
        <v/>
      </c>
      <c r="C561" s="68">
        <f>'Calendario C'!O581</f>
        <v/>
      </c>
      <c r="D561" s="68">
        <f>'Calendario C'!P581</f>
        <v/>
      </c>
      <c r="E561" s="68">
        <f>'Calendario C'!Q581</f>
        <v/>
      </c>
      <c r="F561" s="68">
        <f>'Calendario C'!R581</f>
        <v/>
      </c>
      <c r="G561" s="68">
        <f>'Calendario C'!S581</f>
        <v/>
      </c>
      <c r="H561" s="68">
        <f>'Calendario C'!T581</f>
        <v/>
      </c>
      <c r="I561" s="68">
        <f>'Calendario C'!U581</f>
        <v/>
      </c>
      <c r="J561" s="68">
        <f>'Calendario C'!V581</f>
        <v/>
      </c>
      <c r="K561" s="68">
        <f>'Calendario C'!W581</f>
        <v/>
      </c>
      <c r="L561" s="68">
        <f>'Calendario C'!X581</f>
        <v/>
      </c>
      <c r="M561" s="68">
        <f>'Calendario C'!Y581</f>
        <v/>
      </c>
      <c r="N561" s="68">
        <f>'Calendario C'!Z581</f>
        <v/>
      </c>
    </row>
    <row r="562">
      <c r="A562" s="68">
        <f>'Calendario C'!M586</f>
        <v/>
      </c>
      <c r="B562" s="68">
        <f>'Calendario C'!N586</f>
        <v/>
      </c>
      <c r="C562" s="68">
        <f>'Calendario C'!O586</f>
        <v/>
      </c>
      <c r="D562" s="68">
        <f>'Calendario C'!P586</f>
        <v/>
      </c>
      <c r="E562" s="68">
        <f>'Calendario C'!Q586</f>
        <v/>
      </c>
      <c r="F562" s="68">
        <f>'Calendario C'!R586</f>
        <v/>
      </c>
      <c r="G562" s="68">
        <f>'Calendario C'!S586</f>
        <v/>
      </c>
      <c r="H562" s="68">
        <f>'Calendario C'!T586</f>
        <v/>
      </c>
      <c r="I562" s="68">
        <f>'Calendario C'!U586</f>
        <v/>
      </c>
      <c r="J562" s="68">
        <f>'Calendario C'!V586</f>
        <v/>
      </c>
      <c r="K562" s="68">
        <f>'Calendario C'!W586</f>
        <v/>
      </c>
      <c r="L562" s="68">
        <f>'Calendario C'!X586</f>
        <v/>
      </c>
      <c r="M562" s="68">
        <f>'Calendario C'!Y586</f>
        <v/>
      </c>
      <c r="N562" s="68">
        <f>'Calendario C'!Z586</f>
        <v/>
      </c>
    </row>
    <row r="563">
      <c r="A563" s="68">
        <f>'Calendario C'!M589</f>
        <v/>
      </c>
      <c r="B563" s="68">
        <f>'Calendario C'!N589</f>
        <v/>
      </c>
      <c r="C563" s="68">
        <f>'Calendario C'!O589</f>
        <v/>
      </c>
      <c r="D563" s="68">
        <f>'Calendario C'!P589</f>
        <v/>
      </c>
      <c r="E563" s="68">
        <f>'Calendario C'!Q589</f>
        <v/>
      </c>
      <c r="F563" s="68">
        <f>'Calendario C'!R589</f>
        <v/>
      </c>
      <c r="G563" s="68">
        <f>'Calendario C'!S589</f>
        <v/>
      </c>
      <c r="H563" s="68">
        <f>'Calendario C'!T589</f>
        <v/>
      </c>
      <c r="I563" s="68">
        <f>'Calendario C'!U589</f>
        <v/>
      </c>
      <c r="J563" s="68">
        <f>'Calendario C'!V589</f>
        <v/>
      </c>
      <c r="K563" s="68">
        <f>'Calendario C'!W589</f>
        <v/>
      </c>
      <c r="L563" s="68">
        <f>'Calendario C'!X589</f>
        <v/>
      </c>
      <c r="M563" s="68">
        <f>'Calendario C'!Y589</f>
        <v/>
      </c>
      <c r="N563" s="68">
        <f>'Calendario C'!Z589</f>
        <v/>
      </c>
    </row>
    <row r="564">
      <c r="A564" s="68">
        <f>'Calendario C'!M592</f>
        <v/>
      </c>
      <c r="B564" s="68">
        <f>'Calendario C'!N592</f>
        <v/>
      </c>
      <c r="C564" s="68">
        <f>'Calendario C'!O592</f>
        <v/>
      </c>
      <c r="D564" s="68">
        <f>'Calendario C'!P592</f>
        <v/>
      </c>
      <c r="E564" s="68">
        <f>'Calendario C'!Q592</f>
        <v/>
      </c>
      <c r="F564" s="68">
        <f>'Calendario C'!R592</f>
        <v/>
      </c>
      <c r="G564" s="68">
        <f>'Calendario C'!S592</f>
        <v/>
      </c>
      <c r="H564" s="68">
        <f>'Calendario C'!T592</f>
        <v/>
      </c>
      <c r="I564" s="68">
        <f>'Calendario C'!U592</f>
        <v/>
      </c>
      <c r="J564" s="68">
        <f>'Calendario C'!V592</f>
        <v/>
      </c>
      <c r="K564" s="68">
        <f>'Calendario C'!W592</f>
        <v/>
      </c>
      <c r="L564" s="68">
        <f>'Calendario C'!X592</f>
        <v/>
      </c>
      <c r="M564" s="68">
        <f>'Calendario C'!Y592</f>
        <v/>
      </c>
      <c r="N564" s="68">
        <f>'Calendario C'!Z592</f>
        <v/>
      </c>
    </row>
    <row r="565">
      <c r="A565" s="68">
        <f>'Calendario C'!M595</f>
        <v/>
      </c>
      <c r="B565" s="68">
        <f>'Calendario C'!N595</f>
        <v/>
      </c>
      <c r="C565" s="68">
        <f>'Calendario C'!O595</f>
        <v/>
      </c>
      <c r="D565" s="68">
        <f>'Calendario C'!P595</f>
        <v/>
      </c>
      <c r="E565" s="68">
        <f>'Calendario C'!Q595</f>
        <v/>
      </c>
      <c r="F565" s="68">
        <f>'Calendario C'!R595</f>
        <v/>
      </c>
      <c r="G565" s="68">
        <f>'Calendario C'!S595</f>
        <v/>
      </c>
      <c r="H565" s="68">
        <f>'Calendario C'!T595</f>
        <v/>
      </c>
      <c r="I565" s="68">
        <f>'Calendario C'!U595</f>
        <v/>
      </c>
      <c r="J565" s="68">
        <f>'Calendario C'!V595</f>
        <v/>
      </c>
      <c r="K565" s="68">
        <f>'Calendario C'!W595</f>
        <v/>
      </c>
      <c r="L565" s="68">
        <f>'Calendario C'!X595</f>
        <v/>
      </c>
      <c r="M565" s="68">
        <f>'Calendario C'!Y595</f>
        <v/>
      </c>
      <c r="N565" s="68">
        <f>'Calendario C'!Z595</f>
        <v/>
      </c>
    </row>
    <row r="566">
      <c r="A566" s="68">
        <f>'Calendario C'!M598</f>
        <v/>
      </c>
      <c r="B566" s="68">
        <f>'Calendario C'!N598</f>
        <v/>
      </c>
      <c r="C566" s="68">
        <f>'Calendario C'!O598</f>
        <v/>
      </c>
      <c r="D566" s="68">
        <f>'Calendario C'!P598</f>
        <v/>
      </c>
      <c r="E566" s="68">
        <f>'Calendario C'!Q598</f>
        <v/>
      </c>
      <c r="F566" s="68">
        <f>'Calendario C'!R598</f>
        <v/>
      </c>
      <c r="G566" s="68">
        <f>'Calendario C'!S598</f>
        <v/>
      </c>
      <c r="H566" s="68">
        <f>'Calendario C'!T598</f>
        <v/>
      </c>
      <c r="I566" s="68">
        <f>'Calendario C'!U598</f>
        <v/>
      </c>
      <c r="J566" s="68">
        <f>'Calendario C'!V598</f>
        <v/>
      </c>
      <c r="K566" s="68">
        <f>'Calendario C'!W598</f>
        <v/>
      </c>
      <c r="L566" s="68">
        <f>'Calendario C'!X598</f>
        <v/>
      </c>
      <c r="M566" s="68">
        <f>'Calendario C'!Y598</f>
        <v/>
      </c>
      <c r="N566" s="68">
        <f>'Calendario C'!Z598</f>
        <v/>
      </c>
    </row>
    <row r="567">
      <c r="A567" s="68">
        <f>'Calendario C'!M601</f>
        <v/>
      </c>
      <c r="B567" s="68">
        <f>'Calendario C'!N601</f>
        <v/>
      </c>
      <c r="C567" s="68">
        <f>'Calendario C'!O601</f>
        <v/>
      </c>
      <c r="D567" s="68">
        <f>'Calendario C'!P601</f>
        <v/>
      </c>
      <c r="E567" s="68">
        <f>'Calendario C'!Q601</f>
        <v/>
      </c>
      <c r="F567" s="68">
        <f>'Calendario C'!R601</f>
        <v/>
      </c>
      <c r="G567" s="68">
        <f>'Calendario C'!S601</f>
        <v/>
      </c>
      <c r="H567" s="68">
        <f>'Calendario C'!T601</f>
        <v/>
      </c>
      <c r="I567" s="68">
        <f>'Calendario C'!U601</f>
        <v/>
      </c>
      <c r="J567" s="68">
        <f>'Calendario C'!V601</f>
        <v/>
      </c>
      <c r="K567" s="68">
        <f>'Calendario C'!W601</f>
        <v/>
      </c>
      <c r="L567" s="68">
        <f>'Calendario C'!X601</f>
        <v/>
      </c>
      <c r="M567" s="68">
        <f>'Calendario C'!Y601</f>
        <v/>
      </c>
      <c r="N567" s="68">
        <f>'Calendario C'!Z601</f>
        <v/>
      </c>
    </row>
    <row r="568">
      <c r="A568" s="68">
        <f>'Calendario C'!M604</f>
        <v/>
      </c>
      <c r="B568" s="68">
        <f>'Calendario C'!N604</f>
        <v/>
      </c>
      <c r="C568" s="68">
        <f>'Calendario C'!O604</f>
        <v/>
      </c>
      <c r="D568" s="68">
        <f>'Calendario C'!P604</f>
        <v/>
      </c>
      <c r="E568" s="68">
        <f>'Calendario C'!Q604</f>
        <v/>
      </c>
      <c r="F568" s="68">
        <f>'Calendario C'!R604</f>
        <v/>
      </c>
      <c r="G568" s="68">
        <f>'Calendario C'!S604</f>
        <v/>
      </c>
      <c r="H568" s="68">
        <f>'Calendario C'!T604</f>
        <v/>
      </c>
      <c r="I568" s="68">
        <f>'Calendario C'!U604</f>
        <v/>
      </c>
      <c r="J568" s="68">
        <f>'Calendario C'!V604</f>
        <v/>
      </c>
      <c r="K568" s="68">
        <f>'Calendario C'!W604</f>
        <v/>
      </c>
      <c r="L568" s="68">
        <f>'Calendario C'!X604</f>
        <v/>
      </c>
      <c r="M568" s="68">
        <f>'Calendario C'!Y604</f>
        <v/>
      </c>
      <c r="N568" s="68">
        <f>'Calendario C'!Z604</f>
        <v/>
      </c>
    </row>
    <row r="569">
      <c r="A569" s="68">
        <f>'Calendario C'!M607</f>
        <v/>
      </c>
      <c r="B569" s="68">
        <f>'Calendario C'!N607</f>
        <v/>
      </c>
      <c r="C569" s="68">
        <f>'Calendario C'!O607</f>
        <v/>
      </c>
      <c r="D569" s="68">
        <f>'Calendario C'!P607</f>
        <v/>
      </c>
      <c r="E569" s="68">
        <f>'Calendario C'!Q607</f>
        <v/>
      </c>
      <c r="F569" s="68">
        <f>'Calendario C'!R607</f>
        <v/>
      </c>
      <c r="G569" s="68">
        <f>'Calendario C'!S607</f>
        <v/>
      </c>
      <c r="H569" s="68">
        <f>'Calendario C'!T607</f>
        <v/>
      </c>
      <c r="I569" s="68">
        <f>'Calendario C'!U607</f>
        <v/>
      </c>
      <c r="J569" s="68">
        <f>'Calendario C'!V607</f>
        <v/>
      </c>
      <c r="K569" s="68">
        <f>'Calendario C'!W607</f>
        <v/>
      </c>
      <c r="L569" s="68">
        <f>'Calendario C'!X607</f>
        <v/>
      </c>
      <c r="M569" s="68">
        <f>'Calendario C'!Y607</f>
        <v/>
      </c>
      <c r="N569" s="68">
        <f>'Calendario C'!Z607</f>
        <v/>
      </c>
    </row>
    <row r="570">
      <c r="A570" s="68">
        <f>'Calendario C'!M610</f>
        <v/>
      </c>
      <c r="B570" s="68">
        <f>'Calendario C'!N610</f>
        <v/>
      </c>
      <c r="C570" s="68">
        <f>'Calendario C'!O610</f>
        <v/>
      </c>
      <c r="D570" s="68">
        <f>'Calendario C'!P610</f>
        <v/>
      </c>
      <c r="E570" s="68">
        <f>'Calendario C'!Q610</f>
        <v/>
      </c>
      <c r="F570" s="68">
        <f>'Calendario C'!R610</f>
        <v/>
      </c>
      <c r="G570" s="68">
        <f>'Calendario C'!S610</f>
        <v/>
      </c>
      <c r="H570" s="68">
        <f>'Calendario C'!T610</f>
        <v/>
      </c>
      <c r="I570" s="68">
        <f>'Calendario C'!U610</f>
        <v/>
      </c>
      <c r="J570" s="68">
        <f>'Calendario C'!V610</f>
        <v/>
      </c>
      <c r="K570" s="68">
        <f>'Calendario C'!W610</f>
        <v/>
      </c>
      <c r="L570" s="68">
        <f>'Calendario C'!X610</f>
        <v/>
      </c>
      <c r="M570" s="68">
        <f>'Calendario C'!Y610</f>
        <v/>
      </c>
      <c r="N570" s="68">
        <f>'Calendario C'!Z610</f>
        <v/>
      </c>
    </row>
    <row r="571">
      <c r="A571" s="68">
        <f>'Calendario C'!M613</f>
        <v/>
      </c>
      <c r="B571" s="68">
        <f>'Calendario C'!N613</f>
        <v/>
      </c>
      <c r="C571" s="68">
        <f>'Calendario C'!O613</f>
        <v/>
      </c>
      <c r="D571" s="68">
        <f>'Calendario C'!P613</f>
        <v/>
      </c>
      <c r="E571" s="68">
        <f>'Calendario C'!Q613</f>
        <v/>
      </c>
      <c r="F571" s="68">
        <f>'Calendario C'!R613</f>
        <v/>
      </c>
      <c r="G571" s="68">
        <f>'Calendario C'!S613</f>
        <v/>
      </c>
      <c r="H571" s="68">
        <f>'Calendario C'!T613</f>
        <v/>
      </c>
      <c r="I571" s="68">
        <f>'Calendario C'!U613</f>
        <v/>
      </c>
      <c r="J571" s="68">
        <f>'Calendario C'!V613</f>
        <v/>
      </c>
      <c r="K571" s="68">
        <f>'Calendario C'!W613</f>
        <v/>
      </c>
      <c r="L571" s="68">
        <f>'Calendario C'!X613</f>
        <v/>
      </c>
      <c r="M571" s="68">
        <f>'Calendario C'!Y613</f>
        <v/>
      </c>
      <c r="N571" s="68">
        <f>'Calendario C'!Z613</f>
        <v/>
      </c>
    </row>
    <row r="572">
      <c r="A572" s="68">
        <f>'Calendario D'!M10</f>
        <v/>
      </c>
      <c r="B572" s="68">
        <f>'Calendario D'!N10</f>
        <v/>
      </c>
      <c r="C572" s="68">
        <f>'Calendario D'!O10</f>
        <v/>
      </c>
      <c r="D572" s="68">
        <f>'Calendario D'!P10</f>
        <v/>
      </c>
      <c r="E572" s="68">
        <f>'Calendario D'!Q10</f>
        <v/>
      </c>
      <c r="F572" s="68">
        <f>'Calendario D'!R10</f>
        <v/>
      </c>
      <c r="G572" s="68">
        <f>'Calendario D'!S10</f>
        <v/>
      </c>
      <c r="H572" s="68">
        <f>'Calendario D'!T10</f>
        <v/>
      </c>
      <c r="I572" s="68">
        <f>'Calendario D'!U10</f>
        <v/>
      </c>
      <c r="J572" s="68">
        <f>'Calendario D'!V10</f>
        <v/>
      </c>
      <c r="K572" s="68">
        <f>'Calendario D'!W10</f>
        <v/>
      </c>
      <c r="L572" s="68">
        <f>'Calendario D'!X10</f>
        <v/>
      </c>
      <c r="M572" s="68">
        <f>'Calendario D'!Y10</f>
        <v/>
      </c>
      <c r="N572" s="68">
        <f>'Calendario D'!Z10</f>
        <v/>
      </c>
    </row>
    <row r="573">
      <c r="A573" s="68">
        <f>'Calendario D'!M13</f>
        <v/>
      </c>
      <c r="B573" s="68">
        <f>'Calendario D'!N13</f>
        <v/>
      </c>
      <c r="C573" s="68">
        <f>'Calendario D'!O13</f>
        <v/>
      </c>
      <c r="D573" s="68">
        <f>'Calendario D'!P13</f>
        <v/>
      </c>
      <c r="E573" s="68">
        <f>'Calendario D'!Q13</f>
        <v/>
      </c>
      <c r="F573" s="68">
        <f>'Calendario D'!R13</f>
        <v/>
      </c>
      <c r="G573" s="68">
        <f>'Calendario D'!S13</f>
        <v/>
      </c>
      <c r="H573" s="68">
        <f>'Calendario D'!T13</f>
        <v/>
      </c>
      <c r="I573" s="68">
        <f>'Calendario D'!U13</f>
        <v/>
      </c>
      <c r="J573" s="68">
        <f>'Calendario D'!V13</f>
        <v/>
      </c>
      <c r="K573" s="68">
        <f>'Calendario D'!W13</f>
        <v/>
      </c>
      <c r="L573" s="68">
        <f>'Calendario D'!X13</f>
        <v/>
      </c>
      <c r="M573" s="68">
        <f>'Calendario D'!Y13</f>
        <v/>
      </c>
      <c r="N573" s="68">
        <f>'Calendario D'!Z13</f>
        <v/>
      </c>
    </row>
    <row r="574">
      <c r="A574" s="68">
        <f>'Calendario D'!M16</f>
        <v/>
      </c>
      <c r="B574" s="68">
        <f>'Calendario D'!N16</f>
        <v/>
      </c>
      <c r="C574" s="68">
        <f>'Calendario D'!O16</f>
        <v/>
      </c>
      <c r="D574" s="68">
        <f>'Calendario D'!P16</f>
        <v/>
      </c>
      <c r="E574" s="68">
        <f>'Calendario D'!Q16</f>
        <v/>
      </c>
      <c r="F574" s="68">
        <f>'Calendario D'!R16</f>
        <v/>
      </c>
      <c r="G574" s="68">
        <f>'Calendario D'!S16</f>
        <v/>
      </c>
      <c r="H574" s="68">
        <f>'Calendario D'!T16</f>
        <v/>
      </c>
      <c r="I574" s="68">
        <f>'Calendario D'!U16</f>
        <v/>
      </c>
      <c r="J574" s="68">
        <f>'Calendario D'!V16</f>
        <v/>
      </c>
      <c r="K574" s="68">
        <f>'Calendario D'!W16</f>
        <v/>
      </c>
      <c r="L574" s="68">
        <f>'Calendario D'!X16</f>
        <v/>
      </c>
      <c r="M574" s="68">
        <f>'Calendario D'!Y16</f>
        <v/>
      </c>
      <c r="N574" s="68">
        <f>'Calendario D'!Z16</f>
        <v/>
      </c>
    </row>
    <row r="575">
      <c r="A575" s="68">
        <f>'Calendario D'!M19</f>
        <v/>
      </c>
      <c r="B575" s="68">
        <f>'Calendario D'!N19</f>
        <v/>
      </c>
      <c r="C575" s="68">
        <f>'Calendario D'!O19</f>
        <v/>
      </c>
      <c r="D575" s="68">
        <f>'Calendario D'!P19</f>
        <v/>
      </c>
      <c r="E575" s="68">
        <f>'Calendario D'!Q19</f>
        <v/>
      </c>
      <c r="F575" s="68">
        <f>'Calendario D'!R19</f>
        <v/>
      </c>
      <c r="G575" s="68">
        <f>'Calendario D'!S19</f>
        <v/>
      </c>
      <c r="H575" s="68">
        <f>'Calendario D'!T19</f>
        <v/>
      </c>
      <c r="I575" s="68">
        <f>'Calendario D'!U19</f>
        <v/>
      </c>
      <c r="J575" s="68">
        <f>'Calendario D'!V19</f>
        <v/>
      </c>
      <c r="K575" s="68">
        <f>'Calendario D'!W19</f>
        <v/>
      </c>
      <c r="L575" s="68">
        <f>'Calendario D'!X19</f>
        <v/>
      </c>
      <c r="M575" s="68">
        <f>'Calendario D'!Y19</f>
        <v/>
      </c>
      <c r="N575" s="68">
        <f>'Calendario D'!Z19</f>
        <v/>
      </c>
    </row>
    <row r="576">
      <c r="A576" s="68">
        <f>'Calendario D'!M22</f>
        <v/>
      </c>
      <c r="B576" s="68">
        <f>'Calendario D'!N22</f>
        <v/>
      </c>
      <c r="C576" s="68">
        <f>'Calendario D'!O22</f>
        <v/>
      </c>
      <c r="D576" s="68">
        <f>'Calendario D'!P22</f>
        <v/>
      </c>
      <c r="E576" s="68">
        <f>'Calendario D'!Q22</f>
        <v/>
      </c>
      <c r="F576" s="68">
        <f>'Calendario D'!R22</f>
        <v/>
      </c>
      <c r="G576" s="68">
        <f>'Calendario D'!S22</f>
        <v/>
      </c>
      <c r="H576" s="68">
        <f>'Calendario D'!T22</f>
        <v/>
      </c>
      <c r="I576" s="68">
        <f>'Calendario D'!U22</f>
        <v/>
      </c>
      <c r="J576" s="68">
        <f>'Calendario D'!V22</f>
        <v/>
      </c>
      <c r="K576" s="68">
        <f>'Calendario D'!W22</f>
        <v/>
      </c>
      <c r="L576" s="68">
        <f>'Calendario D'!X22</f>
        <v/>
      </c>
      <c r="M576" s="68">
        <f>'Calendario D'!Y22</f>
        <v/>
      </c>
      <c r="N576" s="68">
        <f>'Calendario D'!Z22</f>
        <v/>
      </c>
    </row>
    <row r="577">
      <c r="A577" s="68">
        <f>'Calendario D'!M25</f>
        <v/>
      </c>
      <c r="B577" s="68">
        <f>'Calendario D'!N25</f>
        <v/>
      </c>
      <c r="C577" s="68">
        <f>'Calendario D'!O25</f>
        <v/>
      </c>
      <c r="D577" s="68">
        <f>'Calendario D'!P25</f>
        <v/>
      </c>
      <c r="E577" s="68">
        <f>'Calendario D'!Q25</f>
        <v/>
      </c>
      <c r="F577" s="68">
        <f>'Calendario D'!R25</f>
        <v/>
      </c>
      <c r="G577" s="68">
        <f>'Calendario D'!S25</f>
        <v/>
      </c>
      <c r="H577" s="68">
        <f>'Calendario D'!T25</f>
        <v/>
      </c>
      <c r="I577" s="68">
        <f>'Calendario D'!U25</f>
        <v/>
      </c>
      <c r="J577" s="68">
        <f>'Calendario D'!V25</f>
        <v/>
      </c>
      <c r="K577" s="68">
        <f>'Calendario D'!W25</f>
        <v/>
      </c>
      <c r="L577" s="68">
        <f>'Calendario D'!X25</f>
        <v/>
      </c>
      <c r="M577" s="68">
        <f>'Calendario D'!Y25</f>
        <v/>
      </c>
      <c r="N577" s="68">
        <f>'Calendario D'!Z25</f>
        <v/>
      </c>
    </row>
    <row r="578">
      <c r="A578" s="68">
        <f>'Calendario D'!M28</f>
        <v/>
      </c>
      <c r="B578" s="68">
        <f>'Calendario D'!N28</f>
        <v/>
      </c>
      <c r="C578" s="68">
        <f>'Calendario D'!O28</f>
        <v/>
      </c>
      <c r="D578" s="68">
        <f>'Calendario D'!P28</f>
        <v/>
      </c>
      <c r="E578" s="68">
        <f>'Calendario D'!Q28</f>
        <v/>
      </c>
      <c r="F578" s="68">
        <f>'Calendario D'!R28</f>
        <v/>
      </c>
      <c r="G578" s="68">
        <f>'Calendario D'!S28</f>
        <v/>
      </c>
      <c r="H578" s="68">
        <f>'Calendario D'!T28</f>
        <v/>
      </c>
      <c r="I578" s="68">
        <f>'Calendario D'!U28</f>
        <v/>
      </c>
      <c r="J578" s="68">
        <f>'Calendario D'!V28</f>
        <v/>
      </c>
      <c r="K578" s="68">
        <f>'Calendario D'!W28</f>
        <v/>
      </c>
      <c r="L578" s="68">
        <f>'Calendario D'!X28</f>
        <v/>
      </c>
      <c r="M578" s="68">
        <f>'Calendario D'!Y28</f>
        <v/>
      </c>
      <c r="N578" s="68">
        <f>'Calendario D'!Z28</f>
        <v/>
      </c>
    </row>
    <row r="579">
      <c r="A579" s="68">
        <f>'Calendario D'!M31</f>
        <v/>
      </c>
      <c r="B579" s="68">
        <f>'Calendario D'!N31</f>
        <v/>
      </c>
      <c r="C579" s="68">
        <f>'Calendario D'!O31</f>
        <v/>
      </c>
      <c r="D579" s="68">
        <f>'Calendario D'!P31</f>
        <v/>
      </c>
      <c r="E579" s="68">
        <f>'Calendario D'!Q31</f>
        <v/>
      </c>
      <c r="F579" s="68">
        <f>'Calendario D'!R31</f>
        <v/>
      </c>
      <c r="G579" s="68">
        <f>'Calendario D'!S31</f>
        <v/>
      </c>
      <c r="H579" s="68">
        <f>'Calendario D'!T31</f>
        <v/>
      </c>
      <c r="I579" s="68">
        <f>'Calendario D'!U31</f>
        <v/>
      </c>
      <c r="J579" s="68">
        <f>'Calendario D'!V31</f>
        <v/>
      </c>
      <c r="K579" s="68">
        <f>'Calendario D'!W31</f>
        <v/>
      </c>
      <c r="L579" s="68">
        <f>'Calendario D'!X31</f>
        <v/>
      </c>
      <c r="M579" s="68">
        <f>'Calendario D'!Y31</f>
        <v/>
      </c>
      <c r="N579" s="68">
        <f>'Calendario D'!Z31</f>
        <v/>
      </c>
    </row>
    <row r="580">
      <c r="A580" s="68">
        <f>'Calendario D'!M34</f>
        <v/>
      </c>
      <c r="B580" s="68">
        <f>'Calendario D'!N34</f>
        <v/>
      </c>
      <c r="C580" s="68">
        <f>'Calendario D'!O34</f>
        <v/>
      </c>
      <c r="D580" s="68">
        <f>'Calendario D'!P34</f>
        <v/>
      </c>
      <c r="E580" s="68">
        <f>'Calendario D'!Q34</f>
        <v/>
      </c>
      <c r="F580" s="68">
        <f>'Calendario D'!R34</f>
        <v/>
      </c>
      <c r="G580" s="68">
        <f>'Calendario D'!S34</f>
        <v/>
      </c>
      <c r="H580" s="68">
        <f>'Calendario D'!T34</f>
        <v/>
      </c>
      <c r="I580" s="68">
        <f>'Calendario D'!U34</f>
        <v/>
      </c>
      <c r="J580" s="68">
        <f>'Calendario D'!V34</f>
        <v/>
      </c>
      <c r="K580" s="68">
        <f>'Calendario D'!W34</f>
        <v/>
      </c>
      <c r="L580" s="68">
        <f>'Calendario D'!X34</f>
        <v/>
      </c>
      <c r="M580" s="68">
        <f>'Calendario D'!Y34</f>
        <v/>
      </c>
      <c r="N580" s="68">
        <f>'Calendario D'!Z34</f>
        <v/>
      </c>
    </row>
    <row r="581">
      <c r="A581" s="68">
        <f>'Calendario D'!M37</f>
        <v/>
      </c>
      <c r="B581" s="68">
        <f>'Calendario D'!N37</f>
        <v/>
      </c>
      <c r="C581" s="68">
        <f>'Calendario D'!O37</f>
        <v/>
      </c>
      <c r="D581" s="68">
        <f>'Calendario D'!P37</f>
        <v/>
      </c>
      <c r="E581" s="68">
        <f>'Calendario D'!Q37</f>
        <v/>
      </c>
      <c r="F581" s="68">
        <f>'Calendario D'!R37</f>
        <v/>
      </c>
      <c r="G581" s="68">
        <f>'Calendario D'!S37</f>
        <v/>
      </c>
      <c r="H581" s="68">
        <f>'Calendario D'!T37</f>
        <v/>
      </c>
      <c r="I581" s="68">
        <f>'Calendario D'!U37</f>
        <v/>
      </c>
      <c r="J581" s="68">
        <f>'Calendario D'!V37</f>
        <v/>
      </c>
      <c r="K581" s="68">
        <f>'Calendario D'!W37</f>
        <v/>
      </c>
      <c r="L581" s="68">
        <f>'Calendario D'!X37</f>
        <v/>
      </c>
      <c r="M581" s="68">
        <f>'Calendario D'!Y37</f>
        <v/>
      </c>
      <c r="N581" s="68">
        <f>'Calendario D'!Z37</f>
        <v/>
      </c>
    </row>
    <row r="582">
      <c r="A582" s="68">
        <f>'Calendario D'!M42</f>
        <v/>
      </c>
      <c r="B582" s="68">
        <f>'Calendario D'!N42</f>
        <v/>
      </c>
      <c r="C582" s="68">
        <f>'Calendario D'!O42</f>
        <v/>
      </c>
      <c r="D582" s="68">
        <f>'Calendario D'!P42</f>
        <v/>
      </c>
      <c r="E582" s="68">
        <f>'Calendario D'!Q42</f>
        <v/>
      </c>
      <c r="F582" s="68">
        <f>'Calendario D'!R42</f>
        <v/>
      </c>
      <c r="G582" s="68">
        <f>'Calendario D'!S42</f>
        <v/>
      </c>
      <c r="H582" s="68">
        <f>'Calendario D'!T42</f>
        <v/>
      </c>
      <c r="I582" s="68">
        <f>'Calendario D'!U42</f>
        <v/>
      </c>
      <c r="J582" s="68">
        <f>'Calendario D'!V42</f>
        <v/>
      </c>
      <c r="K582" s="68">
        <f>'Calendario D'!W42</f>
        <v/>
      </c>
      <c r="L582" s="68">
        <f>'Calendario D'!X42</f>
        <v/>
      </c>
      <c r="M582" s="68">
        <f>'Calendario D'!Y42</f>
        <v/>
      </c>
      <c r="N582" s="68">
        <f>'Calendario D'!Z42</f>
        <v/>
      </c>
    </row>
    <row r="583">
      <c r="A583" s="68">
        <f>'Calendario D'!M45</f>
        <v/>
      </c>
      <c r="B583" s="68">
        <f>'Calendario D'!N45</f>
        <v/>
      </c>
      <c r="C583" s="68">
        <f>'Calendario D'!O45</f>
        <v/>
      </c>
      <c r="D583" s="68">
        <f>'Calendario D'!P45</f>
        <v/>
      </c>
      <c r="E583" s="68">
        <f>'Calendario D'!Q45</f>
        <v/>
      </c>
      <c r="F583" s="68">
        <f>'Calendario D'!R45</f>
        <v/>
      </c>
      <c r="G583" s="68">
        <f>'Calendario D'!S45</f>
        <v/>
      </c>
      <c r="H583" s="68">
        <f>'Calendario D'!T45</f>
        <v/>
      </c>
      <c r="I583" s="68">
        <f>'Calendario D'!U45</f>
        <v/>
      </c>
      <c r="J583" s="68">
        <f>'Calendario D'!V45</f>
        <v/>
      </c>
      <c r="K583" s="68">
        <f>'Calendario D'!W45</f>
        <v/>
      </c>
      <c r="L583" s="68">
        <f>'Calendario D'!X45</f>
        <v/>
      </c>
      <c r="M583" s="68">
        <f>'Calendario D'!Y45</f>
        <v/>
      </c>
      <c r="N583" s="68">
        <f>'Calendario D'!Z45</f>
        <v/>
      </c>
    </row>
    <row r="584">
      <c r="A584" s="68">
        <f>'Calendario D'!M48</f>
        <v/>
      </c>
      <c r="B584" s="68">
        <f>'Calendario D'!N48</f>
        <v/>
      </c>
      <c r="C584" s="68">
        <f>'Calendario D'!O48</f>
        <v/>
      </c>
      <c r="D584" s="68">
        <f>'Calendario D'!P48</f>
        <v/>
      </c>
      <c r="E584" s="68">
        <f>'Calendario D'!Q48</f>
        <v/>
      </c>
      <c r="F584" s="68">
        <f>'Calendario D'!R48</f>
        <v/>
      </c>
      <c r="G584" s="68">
        <f>'Calendario D'!S48</f>
        <v/>
      </c>
      <c r="H584" s="68">
        <f>'Calendario D'!T48</f>
        <v/>
      </c>
      <c r="I584" s="68">
        <f>'Calendario D'!U48</f>
        <v/>
      </c>
      <c r="J584" s="68">
        <f>'Calendario D'!V48</f>
        <v/>
      </c>
      <c r="K584" s="68">
        <f>'Calendario D'!W48</f>
        <v/>
      </c>
      <c r="L584" s="68">
        <f>'Calendario D'!X48</f>
        <v/>
      </c>
      <c r="M584" s="68">
        <f>'Calendario D'!Y48</f>
        <v/>
      </c>
      <c r="N584" s="68">
        <f>'Calendario D'!Z48</f>
        <v/>
      </c>
    </row>
    <row r="585">
      <c r="A585" s="68">
        <f>'Calendario D'!M51</f>
        <v/>
      </c>
      <c r="B585" s="68">
        <f>'Calendario D'!N51</f>
        <v/>
      </c>
      <c r="C585" s="68">
        <f>'Calendario D'!O51</f>
        <v/>
      </c>
      <c r="D585" s="68">
        <f>'Calendario D'!P51</f>
        <v/>
      </c>
      <c r="E585" s="68">
        <f>'Calendario D'!Q51</f>
        <v/>
      </c>
      <c r="F585" s="68">
        <f>'Calendario D'!R51</f>
        <v/>
      </c>
      <c r="G585" s="68">
        <f>'Calendario D'!S51</f>
        <v/>
      </c>
      <c r="H585" s="68">
        <f>'Calendario D'!T51</f>
        <v/>
      </c>
      <c r="I585" s="68">
        <f>'Calendario D'!U51</f>
        <v/>
      </c>
      <c r="J585" s="68">
        <f>'Calendario D'!V51</f>
        <v/>
      </c>
      <c r="K585" s="68">
        <f>'Calendario D'!W51</f>
        <v/>
      </c>
      <c r="L585" s="68">
        <f>'Calendario D'!X51</f>
        <v/>
      </c>
      <c r="M585" s="68">
        <f>'Calendario D'!Y51</f>
        <v/>
      </c>
      <c r="N585" s="68">
        <f>'Calendario D'!Z51</f>
        <v/>
      </c>
    </row>
    <row r="586">
      <c r="A586" s="68">
        <f>'Calendario D'!M54</f>
        <v/>
      </c>
      <c r="B586" s="68">
        <f>'Calendario D'!N54</f>
        <v/>
      </c>
      <c r="C586" s="68">
        <f>'Calendario D'!O54</f>
        <v/>
      </c>
      <c r="D586" s="68">
        <f>'Calendario D'!P54</f>
        <v/>
      </c>
      <c r="E586" s="68">
        <f>'Calendario D'!Q54</f>
        <v/>
      </c>
      <c r="F586" s="68">
        <f>'Calendario D'!R54</f>
        <v/>
      </c>
      <c r="G586" s="68">
        <f>'Calendario D'!S54</f>
        <v/>
      </c>
      <c r="H586" s="68">
        <f>'Calendario D'!T54</f>
        <v/>
      </c>
      <c r="I586" s="68">
        <f>'Calendario D'!U54</f>
        <v/>
      </c>
      <c r="J586" s="68">
        <f>'Calendario D'!V54</f>
        <v/>
      </c>
      <c r="K586" s="68">
        <f>'Calendario D'!W54</f>
        <v/>
      </c>
      <c r="L586" s="68">
        <f>'Calendario D'!X54</f>
        <v/>
      </c>
      <c r="M586" s="68">
        <f>'Calendario D'!Y54</f>
        <v/>
      </c>
      <c r="N586" s="68">
        <f>'Calendario D'!Z54</f>
        <v/>
      </c>
    </row>
    <row r="587">
      <c r="A587" s="68">
        <f>'Calendario D'!M57</f>
        <v/>
      </c>
      <c r="B587" s="68">
        <f>'Calendario D'!N57</f>
        <v/>
      </c>
      <c r="C587" s="68">
        <f>'Calendario D'!O57</f>
        <v/>
      </c>
      <c r="D587" s="68">
        <f>'Calendario D'!P57</f>
        <v/>
      </c>
      <c r="E587" s="68">
        <f>'Calendario D'!Q57</f>
        <v/>
      </c>
      <c r="F587" s="68">
        <f>'Calendario D'!R57</f>
        <v/>
      </c>
      <c r="G587" s="68">
        <f>'Calendario D'!S57</f>
        <v/>
      </c>
      <c r="H587" s="68">
        <f>'Calendario D'!T57</f>
        <v/>
      </c>
      <c r="I587" s="68">
        <f>'Calendario D'!U57</f>
        <v/>
      </c>
      <c r="J587" s="68">
        <f>'Calendario D'!V57</f>
        <v/>
      </c>
      <c r="K587" s="68">
        <f>'Calendario D'!W57</f>
        <v/>
      </c>
      <c r="L587" s="68">
        <f>'Calendario D'!X57</f>
        <v/>
      </c>
      <c r="M587" s="68">
        <f>'Calendario D'!Y57</f>
        <v/>
      </c>
      <c r="N587" s="68">
        <f>'Calendario D'!Z57</f>
        <v/>
      </c>
    </row>
    <row r="588">
      <c r="A588" s="68">
        <f>'Calendario D'!M60</f>
        <v/>
      </c>
      <c r="B588" s="68">
        <f>'Calendario D'!N60</f>
        <v/>
      </c>
      <c r="C588" s="68">
        <f>'Calendario D'!O60</f>
        <v/>
      </c>
      <c r="D588" s="68">
        <f>'Calendario D'!P60</f>
        <v/>
      </c>
      <c r="E588" s="68">
        <f>'Calendario D'!Q60</f>
        <v/>
      </c>
      <c r="F588" s="68">
        <f>'Calendario D'!R60</f>
        <v/>
      </c>
      <c r="G588" s="68">
        <f>'Calendario D'!S60</f>
        <v/>
      </c>
      <c r="H588" s="68">
        <f>'Calendario D'!T60</f>
        <v/>
      </c>
      <c r="I588" s="68">
        <f>'Calendario D'!U60</f>
        <v/>
      </c>
      <c r="J588" s="68">
        <f>'Calendario D'!V60</f>
        <v/>
      </c>
      <c r="K588" s="68">
        <f>'Calendario D'!W60</f>
        <v/>
      </c>
      <c r="L588" s="68">
        <f>'Calendario D'!X60</f>
        <v/>
      </c>
      <c r="M588" s="68">
        <f>'Calendario D'!Y60</f>
        <v/>
      </c>
      <c r="N588" s="68">
        <f>'Calendario D'!Z60</f>
        <v/>
      </c>
    </row>
    <row r="589">
      <c r="A589" s="68">
        <f>'Calendario D'!M63</f>
        <v/>
      </c>
      <c r="B589" s="68">
        <f>'Calendario D'!N63</f>
        <v/>
      </c>
      <c r="C589" s="68">
        <f>'Calendario D'!O63</f>
        <v/>
      </c>
      <c r="D589" s="68">
        <f>'Calendario D'!P63</f>
        <v/>
      </c>
      <c r="E589" s="68">
        <f>'Calendario D'!Q63</f>
        <v/>
      </c>
      <c r="F589" s="68">
        <f>'Calendario D'!R63</f>
        <v/>
      </c>
      <c r="G589" s="68">
        <f>'Calendario D'!S63</f>
        <v/>
      </c>
      <c r="H589" s="68">
        <f>'Calendario D'!T63</f>
        <v/>
      </c>
      <c r="I589" s="68">
        <f>'Calendario D'!U63</f>
        <v/>
      </c>
      <c r="J589" s="68">
        <f>'Calendario D'!V63</f>
        <v/>
      </c>
      <c r="K589" s="68">
        <f>'Calendario D'!W63</f>
        <v/>
      </c>
      <c r="L589" s="68">
        <f>'Calendario D'!X63</f>
        <v/>
      </c>
      <c r="M589" s="68">
        <f>'Calendario D'!Y63</f>
        <v/>
      </c>
      <c r="N589" s="68">
        <f>'Calendario D'!Z63</f>
        <v/>
      </c>
    </row>
    <row r="590">
      <c r="A590" s="68">
        <f>'Calendario D'!M66</f>
        <v/>
      </c>
      <c r="B590" s="68">
        <f>'Calendario D'!N66</f>
        <v/>
      </c>
      <c r="C590" s="68">
        <f>'Calendario D'!O66</f>
        <v/>
      </c>
      <c r="D590" s="68">
        <f>'Calendario D'!P66</f>
        <v/>
      </c>
      <c r="E590" s="68">
        <f>'Calendario D'!Q66</f>
        <v/>
      </c>
      <c r="F590" s="68">
        <f>'Calendario D'!R66</f>
        <v/>
      </c>
      <c r="G590" s="68">
        <f>'Calendario D'!S66</f>
        <v/>
      </c>
      <c r="H590" s="68">
        <f>'Calendario D'!T66</f>
        <v/>
      </c>
      <c r="I590" s="68">
        <f>'Calendario D'!U66</f>
        <v/>
      </c>
      <c r="J590" s="68">
        <f>'Calendario D'!V66</f>
        <v/>
      </c>
      <c r="K590" s="68">
        <f>'Calendario D'!W66</f>
        <v/>
      </c>
      <c r="L590" s="68">
        <f>'Calendario D'!X66</f>
        <v/>
      </c>
      <c r="M590" s="68">
        <f>'Calendario D'!Y66</f>
        <v/>
      </c>
      <c r="N590" s="68">
        <f>'Calendario D'!Z66</f>
        <v/>
      </c>
    </row>
    <row r="591">
      <c r="A591" s="68">
        <f>'Calendario D'!M69</f>
        <v/>
      </c>
      <c r="B591" s="68">
        <f>'Calendario D'!N69</f>
        <v/>
      </c>
      <c r="C591" s="68">
        <f>'Calendario D'!O69</f>
        <v/>
      </c>
      <c r="D591" s="68">
        <f>'Calendario D'!P69</f>
        <v/>
      </c>
      <c r="E591" s="68">
        <f>'Calendario D'!Q69</f>
        <v/>
      </c>
      <c r="F591" s="68">
        <f>'Calendario D'!R69</f>
        <v/>
      </c>
      <c r="G591" s="68">
        <f>'Calendario D'!S69</f>
        <v/>
      </c>
      <c r="H591" s="68">
        <f>'Calendario D'!T69</f>
        <v/>
      </c>
      <c r="I591" s="68">
        <f>'Calendario D'!U69</f>
        <v/>
      </c>
      <c r="J591" s="68">
        <f>'Calendario D'!V69</f>
        <v/>
      </c>
      <c r="K591" s="68">
        <f>'Calendario D'!W69</f>
        <v/>
      </c>
      <c r="L591" s="68">
        <f>'Calendario D'!X69</f>
        <v/>
      </c>
      <c r="M591" s="68">
        <f>'Calendario D'!Y69</f>
        <v/>
      </c>
      <c r="N591" s="68">
        <f>'Calendario D'!Z69</f>
        <v/>
      </c>
    </row>
    <row r="592">
      <c r="A592" s="68">
        <f>'Calendario D'!M74</f>
        <v/>
      </c>
      <c r="B592" s="68">
        <f>'Calendario D'!N74</f>
        <v/>
      </c>
      <c r="C592" s="68">
        <f>'Calendario D'!O74</f>
        <v/>
      </c>
      <c r="D592" s="68">
        <f>'Calendario D'!P74</f>
        <v/>
      </c>
      <c r="E592" s="68">
        <f>'Calendario D'!Q74</f>
        <v/>
      </c>
      <c r="F592" s="68">
        <f>'Calendario D'!R74</f>
        <v/>
      </c>
      <c r="G592" s="68">
        <f>'Calendario D'!S74</f>
        <v/>
      </c>
      <c r="H592" s="68">
        <f>'Calendario D'!T74</f>
        <v/>
      </c>
      <c r="I592" s="68">
        <f>'Calendario D'!U74</f>
        <v/>
      </c>
      <c r="J592" s="68">
        <f>'Calendario D'!V74</f>
        <v/>
      </c>
      <c r="K592" s="68">
        <f>'Calendario D'!W74</f>
        <v/>
      </c>
      <c r="L592" s="68">
        <f>'Calendario D'!X74</f>
        <v/>
      </c>
      <c r="M592" s="68">
        <f>'Calendario D'!Y74</f>
        <v/>
      </c>
      <c r="N592" s="68">
        <f>'Calendario D'!Z74</f>
        <v/>
      </c>
    </row>
    <row r="593">
      <c r="A593" s="68">
        <f>'Calendario D'!M77</f>
        <v/>
      </c>
      <c r="B593" s="68">
        <f>'Calendario D'!N77</f>
        <v/>
      </c>
      <c r="C593" s="68">
        <f>'Calendario D'!O77</f>
        <v/>
      </c>
      <c r="D593" s="68">
        <f>'Calendario D'!P77</f>
        <v/>
      </c>
      <c r="E593" s="68">
        <f>'Calendario D'!Q77</f>
        <v/>
      </c>
      <c r="F593" s="68">
        <f>'Calendario D'!R77</f>
        <v/>
      </c>
      <c r="G593" s="68">
        <f>'Calendario D'!S77</f>
        <v/>
      </c>
      <c r="H593" s="68">
        <f>'Calendario D'!T77</f>
        <v/>
      </c>
      <c r="I593" s="68">
        <f>'Calendario D'!U77</f>
        <v/>
      </c>
      <c r="J593" s="68">
        <f>'Calendario D'!V77</f>
        <v/>
      </c>
      <c r="K593" s="68">
        <f>'Calendario D'!W77</f>
        <v/>
      </c>
      <c r="L593" s="68">
        <f>'Calendario D'!X77</f>
        <v/>
      </c>
      <c r="M593" s="68">
        <f>'Calendario D'!Y77</f>
        <v/>
      </c>
      <c r="N593" s="68">
        <f>'Calendario D'!Z77</f>
        <v/>
      </c>
    </row>
    <row r="594">
      <c r="A594" s="68">
        <f>'Calendario D'!M80</f>
        <v/>
      </c>
      <c r="B594" s="68">
        <f>'Calendario D'!N80</f>
        <v/>
      </c>
      <c r="C594" s="68">
        <f>'Calendario D'!O80</f>
        <v/>
      </c>
      <c r="D594" s="68">
        <f>'Calendario D'!P80</f>
        <v/>
      </c>
      <c r="E594" s="68">
        <f>'Calendario D'!Q80</f>
        <v/>
      </c>
      <c r="F594" s="68">
        <f>'Calendario D'!R80</f>
        <v/>
      </c>
      <c r="G594" s="68">
        <f>'Calendario D'!S80</f>
        <v/>
      </c>
      <c r="H594" s="68">
        <f>'Calendario D'!T80</f>
        <v/>
      </c>
      <c r="I594" s="68">
        <f>'Calendario D'!U80</f>
        <v/>
      </c>
      <c r="J594" s="68">
        <f>'Calendario D'!V80</f>
        <v/>
      </c>
      <c r="K594" s="68">
        <f>'Calendario D'!W80</f>
        <v/>
      </c>
      <c r="L594" s="68">
        <f>'Calendario D'!X80</f>
        <v/>
      </c>
      <c r="M594" s="68">
        <f>'Calendario D'!Y80</f>
        <v/>
      </c>
      <c r="N594" s="68">
        <f>'Calendario D'!Z80</f>
        <v/>
      </c>
    </row>
    <row r="595">
      <c r="A595" s="68">
        <f>'Calendario D'!M83</f>
        <v/>
      </c>
      <c r="B595" s="68">
        <f>'Calendario D'!N83</f>
        <v/>
      </c>
      <c r="C595" s="68">
        <f>'Calendario D'!O83</f>
        <v/>
      </c>
      <c r="D595" s="68">
        <f>'Calendario D'!P83</f>
        <v/>
      </c>
      <c r="E595" s="68">
        <f>'Calendario D'!Q83</f>
        <v/>
      </c>
      <c r="F595" s="68">
        <f>'Calendario D'!R83</f>
        <v/>
      </c>
      <c r="G595" s="68">
        <f>'Calendario D'!S83</f>
        <v/>
      </c>
      <c r="H595" s="68">
        <f>'Calendario D'!T83</f>
        <v/>
      </c>
      <c r="I595" s="68">
        <f>'Calendario D'!U83</f>
        <v/>
      </c>
      <c r="J595" s="68">
        <f>'Calendario D'!V83</f>
        <v/>
      </c>
      <c r="K595" s="68">
        <f>'Calendario D'!W83</f>
        <v/>
      </c>
      <c r="L595" s="68">
        <f>'Calendario D'!X83</f>
        <v/>
      </c>
      <c r="M595" s="68">
        <f>'Calendario D'!Y83</f>
        <v/>
      </c>
      <c r="N595" s="68">
        <f>'Calendario D'!Z83</f>
        <v/>
      </c>
    </row>
    <row r="596">
      <c r="A596" s="68">
        <f>'Calendario D'!M86</f>
        <v/>
      </c>
      <c r="B596" s="68">
        <f>'Calendario D'!N86</f>
        <v/>
      </c>
      <c r="C596" s="68">
        <f>'Calendario D'!O86</f>
        <v/>
      </c>
      <c r="D596" s="68">
        <f>'Calendario D'!P86</f>
        <v/>
      </c>
      <c r="E596" s="68">
        <f>'Calendario D'!Q86</f>
        <v/>
      </c>
      <c r="F596" s="68">
        <f>'Calendario D'!R86</f>
        <v/>
      </c>
      <c r="G596" s="68">
        <f>'Calendario D'!S86</f>
        <v/>
      </c>
      <c r="H596" s="68">
        <f>'Calendario D'!T86</f>
        <v/>
      </c>
      <c r="I596" s="68">
        <f>'Calendario D'!U86</f>
        <v/>
      </c>
      <c r="J596" s="68">
        <f>'Calendario D'!V86</f>
        <v/>
      </c>
      <c r="K596" s="68">
        <f>'Calendario D'!W86</f>
        <v/>
      </c>
      <c r="L596" s="68">
        <f>'Calendario D'!X86</f>
        <v/>
      </c>
      <c r="M596" s="68">
        <f>'Calendario D'!Y86</f>
        <v/>
      </c>
      <c r="N596" s="68">
        <f>'Calendario D'!Z86</f>
        <v/>
      </c>
    </row>
    <row r="597">
      <c r="A597" s="68">
        <f>'Calendario D'!M89</f>
        <v/>
      </c>
      <c r="B597" s="68">
        <f>'Calendario D'!N89</f>
        <v/>
      </c>
      <c r="C597" s="68">
        <f>'Calendario D'!O89</f>
        <v/>
      </c>
      <c r="D597" s="68">
        <f>'Calendario D'!P89</f>
        <v/>
      </c>
      <c r="E597" s="68">
        <f>'Calendario D'!Q89</f>
        <v/>
      </c>
      <c r="F597" s="68">
        <f>'Calendario D'!R89</f>
        <v/>
      </c>
      <c r="G597" s="68">
        <f>'Calendario D'!S89</f>
        <v/>
      </c>
      <c r="H597" s="68">
        <f>'Calendario D'!T89</f>
        <v/>
      </c>
      <c r="I597" s="68">
        <f>'Calendario D'!U89</f>
        <v/>
      </c>
      <c r="J597" s="68">
        <f>'Calendario D'!V89</f>
        <v/>
      </c>
      <c r="K597" s="68">
        <f>'Calendario D'!W89</f>
        <v/>
      </c>
      <c r="L597" s="68">
        <f>'Calendario D'!X89</f>
        <v/>
      </c>
      <c r="M597" s="68">
        <f>'Calendario D'!Y89</f>
        <v/>
      </c>
      <c r="N597" s="68">
        <f>'Calendario D'!Z89</f>
        <v/>
      </c>
    </row>
    <row r="598">
      <c r="A598" s="68">
        <f>'Calendario D'!M92</f>
        <v/>
      </c>
      <c r="B598" s="68">
        <f>'Calendario D'!N92</f>
        <v/>
      </c>
      <c r="C598" s="68">
        <f>'Calendario D'!O92</f>
        <v/>
      </c>
      <c r="D598" s="68">
        <f>'Calendario D'!P92</f>
        <v/>
      </c>
      <c r="E598" s="68">
        <f>'Calendario D'!Q92</f>
        <v/>
      </c>
      <c r="F598" s="68">
        <f>'Calendario D'!R92</f>
        <v/>
      </c>
      <c r="G598" s="68">
        <f>'Calendario D'!S92</f>
        <v/>
      </c>
      <c r="H598" s="68">
        <f>'Calendario D'!T92</f>
        <v/>
      </c>
      <c r="I598" s="68">
        <f>'Calendario D'!U92</f>
        <v/>
      </c>
      <c r="J598" s="68">
        <f>'Calendario D'!V92</f>
        <v/>
      </c>
      <c r="K598" s="68">
        <f>'Calendario D'!W92</f>
        <v/>
      </c>
      <c r="L598" s="68">
        <f>'Calendario D'!X92</f>
        <v/>
      </c>
      <c r="M598" s="68">
        <f>'Calendario D'!Y92</f>
        <v/>
      </c>
      <c r="N598" s="68">
        <f>'Calendario D'!Z92</f>
        <v/>
      </c>
    </row>
    <row r="599">
      <c r="A599" s="68">
        <f>'Calendario D'!M95</f>
        <v/>
      </c>
      <c r="B599" s="68">
        <f>'Calendario D'!N95</f>
        <v/>
      </c>
      <c r="C599" s="68">
        <f>'Calendario D'!O95</f>
        <v/>
      </c>
      <c r="D599" s="68">
        <f>'Calendario D'!P95</f>
        <v/>
      </c>
      <c r="E599" s="68">
        <f>'Calendario D'!Q95</f>
        <v/>
      </c>
      <c r="F599" s="68">
        <f>'Calendario D'!R95</f>
        <v/>
      </c>
      <c r="G599" s="68">
        <f>'Calendario D'!S95</f>
        <v/>
      </c>
      <c r="H599" s="68">
        <f>'Calendario D'!T95</f>
        <v/>
      </c>
      <c r="I599" s="68">
        <f>'Calendario D'!U95</f>
        <v/>
      </c>
      <c r="J599" s="68">
        <f>'Calendario D'!V95</f>
        <v/>
      </c>
      <c r="K599" s="68">
        <f>'Calendario D'!W95</f>
        <v/>
      </c>
      <c r="L599" s="68">
        <f>'Calendario D'!X95</f>
        <v/>
      </c>
      <c r="M599" s="68">
        <f>'Calendario D'!Y95</f>
        <v/>
      </c>
      <c r="N599" s="68">
        <f>'Calendario D'!Z95</f>
        <v/>
      </c>
    </row>
    <row r="600">
      <c r="A600" s="68">
        <f>'Calendario D'!M98</f>
        <v/>
      </c>
      <c r="B600" s="68">
        <f>'Calendario D'!N98</f>
        <v/>
      </c>
      <c r="C600" s="68">
        <f>'Calendario D'!O98</f>
        <v/>
      </c>
      <c r="D600" s="68">
        <f>'Calendario D'!P98</f>
        <v/>
      </c>
      <c r="E600" s="68">
        <f>'Calendario D'!Q98</f>
        <v/>
      </c>
      <c r="F600" s="68">
        <f>'Calendario D'!R98</f>
        <v/>
      </c>
      <c r="G600" s="68">
        <f>'Calendario D'!S98</f>
        <v/>
      </c>
      <c r="H600" s="68">
        <f>'Calendario D'!T98</f>
        <v/>
      </c>
      <c r="I600" s="68">
        <f>'Calendario D'!U98</f>
        <v/>
      </c>
      <c r="J600" s="68">
        <f>'Calendario D'!V98</f>
        <v/>
      </c>
      <c r="K600" s="68">
        <f>'Calendario D'!W98</f>
        <v/>
      </c>
      <c r="L600" s="68">
        <f>'Calendario D'!X98</f>
        <v/>
      </c>
      <c r="M600" s="68">
        <f>'Calendario D'!Y98</f>
        <v/>
      </c>
      <c r="N600" s="68">
        <f>'Calendario D'!Z98</f>
        <v/>
      </c>
    </row>
    <row r="601">
      <c r="A601" s="68">
        <f>'Calendario D'!M101</f>
        <v/>
      </c>
      <c r="B601" s="68">
        <f>'Calendario D'!N101</f>
        <v/>
      </c>
      <c r="C601" s="68">
        <f>'Calendario D'!O101</f>
        <v/>
      </c>
      <c r="D601" s="68">
        <f>'Calendario D'!P101</f>
        <v/>
      </c>
      <c r="E601" s="68">
        <f>'Calendario D'!Q101</f>
        <v/>
      </c>
      <c r="F601" s="68">
        <f>'Calendario D'!R101</f>
        <v/>
      </c>
      <c r="G601" s="68">
        <f>'Calendario D'!S101</f>
        <v/>
      </c>
      <c r="H601" s="68">
        <f>'Calendario D'!T101</f>
        <v/>
      </c>
      <c r="I601" s="68">
        <f>'Calendario D'!U101</f>
        <v/>
      </c>
      <c r="J601" s="68">
        <f>'Calendario D'!V101</f>
        <v/>
      </c>
      <c r="K601" s="68">
        <f>'Calendario D'!W101</f>
        <v/>
      </c>
      <c r="L601" s="68">
        <f>'Calendario D'!X101</f>
        <v/>
      </c>
      <c r="M601" s="68">
        <f>'Calendario D'!Y101</f>
        <v/>
      </c>
      <c r="N601" s="68">
        <f>'Calendario D'!Z101</f>
        <v/>
      </c>
    </row>
    <row r="602">
      <c r="A602" s="68">
        <f>'Calendario D'!M106</f>
        <v/>
      </c>
      <c r="B602" s="68">
        <f>'Calendario D'!N106</f>
        <v/>
      </c>
      <c r="C602" s="68">
        <f>'Calendario D'!O106</f>
        <v/>
      </c>
      <c r="D602" s="68">
        <f>'Calendario D'!P106</f>
        <v/>
      </c>
      <c r="E602" s="68">
        <f>'Calendario D'!Q106</f>
        <v/>
      </c>
      <c r="F602" s="68">
        <f>'Calendario D'!R106</f>
        <v/>
      </c>
      <c r="G602" s="68">
        <f>'Calendario D'!S106</f>
        <v/>
      </c>
      <c r="H602" s="68">
        <f>'Calendario D'!T106</f>
        <v/>
      </c>
      <c r="I602" s="68">
        <f>'Calendario D'!U106</f>
        <v/>
      </c>
      <c r="J602" s="68">
        <f>'Calendario D'!V106</f>
        <v/>
      </c>
      <c r="K602" s="68">
        <f>'Calendario D'!W106</f>
        <v/>
      </c>
      <c r="L602" s="68">
        <f>'Calendario D'!X106</f>
        <v/>
      </c>
      <c r="M602" s="68">
        <f>'Calendario D'!Y106</f>
        <v/>
      </c>
      <c r="N602" s="68">
        <f>'Calendario D'!Z106</f>
        <v/>
      </c>
    </row>
    <row r="603">
      <c r="A603" s="68">
        <f>'Calendario D'!M109</f>
        <v/>
      </c>
      <c r="B603" s="68">
        <f>'Calendario D'!N109</f>
        <v/>
      </c>
      <c r="C603" s="68">
        <f>'Calendario D'!O109</f>
        <v/>
      </c>
      <c r="D603" s="68">
        <f>'Calendario D'!P109</f>
        <v/>
      </c>
      <c r="E603" s="68">
        <f>'Calendario D'!Q109</f>
        <v/>
      </c>
      <c r="F603" s="68">
        <f>'Calendario D'!R109</f>
        <v/>
      </c>
      <c r="G603" s="68">
        <f>'Calendario D'!S109</f>
        <v/>
      </c>
      <c r="H603" s="68">
        <f>'Calendario D'!T109</f>
        <v/>
      </c>
      <c r="I603" s="68">
        <f>'Calendario D'!U109</f>
        <v/>
      </c>
      <c r="J603" s="68">
        <f>'Calendario D'!V109</f>
        <v/>
      </c>
      <c r="K603" s="68">
        <f>'Calendario D'!W109</f>
        <v/>
      </c>
      <c r="L603" s="68">
        <f>'Calendario D'!X109</f>
        <v/>
      </c>
      <c r="M603" s="68">
        <f>'Calendario D'!Y109</f>
        <v/>
      </c>
      <c r="N603" s="68">
        <f>'Calendario D'!Z109</f>
        <v/>
      </c>
    </row>
    <row r="604">
      <c r="A604" s="68">
        <f>'Calendario D'!M112</f>
        <v/>
      </c>
      <c r="B604" s="68">
        <f>'Calendario D'!N112</f>
        <v/>
      </c>
      <c r="C604" s="68">
        <f>'Calendario D'!O112</f>
        <v/>
      </c>
      <c r="D604" s="68">
        <f>'Calendario D'!P112</f>
        <v/>
      </c>
      <c r="E604" s="68">
        <f>'Calendario D'!Q112</f>
        <v/>
      </c>
      <c r="F604" s="68">
        <f>'Calendario D'!R112</f>
        <v/>
      </c>
      <c r="G604" s="68">
        <f>'Calendario D'!S112</f>
        <v/>
      </c>
      <c r="H604" s="68">
        <f>'Calendario D'!T112</f>
        <v/>
      </c>
      <c r="I604" s="68">
        <f>'Calendario D'!U112</f>
        <v/>
      </c>
      <c r="J604" s="68">
        <f>'Calendario D'!V112</f>
        <v/>
      </c>
      <c r="K604" s="68">
        <f>'Calendario D'!W112</f>
        <v/>
      </c>
      <c r="L604" s="68">
        <f>'Calendario D'!X112</f>
        <v/>
      </c>
      <c r="M604" s="68">
        <f>'Calendario D'!Y112</f>
        <v/>
      </c>
      <c r="N604" s="68">
        <f>'Calendario D'!Z112</f>
        <v/>
      </c>
    </row>
    <row r="605">
      <c r="A605" s="68">
        <f>'Calendario D'!M115</f>
        <v/>
      </c>
      <c r="B605" s="68">
        <f>'Calendario D'!N115</f>
        <v/>
      </c>
      <c r="C605" s="68">
        <f>'Calendario D'!O115</f>
        <v/>
      </c>
      <c r="D605" s="68">
        <f>'Calendario D'!P115</f>
        <v/>
      </c>
      <c r="E605" s="68">
        <f>'Calendario D'!Q115</f>
        <v/>
      </c>
      <c r="F605" s="68">
        <f>'Calendario D'!R115</f>
        <v/>
      </c>
      <c r="G605" s="68">
        <f>'Calendario D'!S115</f>
        <v/>
      </c>
      <c r="H605" s="68">
        <f>'Calendario D'!T115</f>
        <v/>
      </c>
      <c r="I605" s="68">
        <f>'Calendario D'!U115</f>
        <v/>
      </c>
      <c r="J605" s="68">
        <f>'Calendario D'!V115</f>
        <v/>
      </c>
      <c r="K605" s="68">
        <f>'Calendario D'!W115</f>
        <v/>
      </c>
      <c r="L605" s="68">
        <f>'Calendario D'!X115</f>
        <v/>
      </c>
      <c r="M605" s="68">
        <f>'Calendario D'!Y115</f>
        <v/>
      </c>
      <c r="N605" s="68">
        <f>'Calendario D'!Z115</f>
        <v/>
      </c>
    </row>
    <row r="606">
      <c r="A606" s="68">
        <f>'Calendario D'!M118</f>
        <v/>
      </c>
      <c r="B606" s="68">
        <f>'Calendario D'!N118</f>
        <v/>
      </c>
      <c r="C606" s="68">
        <f>'Calendario D'!O118</f>
        <v/>
      </c>
      <c r="D606" s="68">
        <f>'Calendario D'!P118</f>
        <v/>
      </c>
      <c r="E606" s="68">
        <f>'Calendario D'!Q118</f>
        <v/>
      </c>
      <c r="F606" s="68">
        <f>'Calendario D'!R118</f>
        <v/>
      </c>
      <c r="G606" s="68">
        <f>'Calendario D'!S118</f>
        <v/>
      </c>
      <c r="H606" s="68">
        <f>'Calendario D'!T118</f>
        <v/>
      </c>
      <c r="I606" s="68">
        <f>'Calendario D'!U118</f>
        <v/>
      </c>
      <c r="J606" s="68">
        <f>'Calendario D'!V118</f>
        <v/>
      </c>
      <c r="K606" s="68">
        <f>'Calendario D'!W118</f>
        <v/>
      </c>
      <c r="L606" s="68">
        <f>'Calendario D'!X118</f>
        <v/>
      </c>
      <c r="M606" s="68">
        <f>'Calendario D'!Y118</f>
        <v/>
      </c>
      <c r="N606" s="68">
        <f>'Calendario D'!Z118</f>
        <v/>
      </c>
    </row>
    <row r="607">
      <c r="A607" s="68">
        <f>'Calendario D'!M121</f>
        <v/>
      </c>
      <c r="B607" s="68">
        <f>'Calendario D'!N121</f>
        <v/>
      </c>
      <c r="C607" s="68">
        <f>'Calendario D'!O121</f>
        <v/>
      </c>
      <c r="D607" s="68">
        <f>'Calendario D'!P121</f>
        <v/>
      </c>
      <c r="E607" s="68">
        <f>'Calendario D'!Q121</f>
        <v/>
      </c>
      <c r="F607" s="68">
        <f>'Calendario D'!R121</f>
        <v/>
      </c>
      <c r="G607" s="68">
        <f>'Calendario D'!S121</f>
        <v/>
      </c>
      <c r="H607" s="68">
        <f>'Calendario D'!T121</f>
        <v/>
      </c>
      <c r="I607" s="68">
        <f>'Calendario D'!U121</f>
        <v/>
      </c>
      <c r="J607" s="68">
        <f>'Calendario D'!V121</f>
        <v/>
      </c>
      <c r="K607" s="68">
        <f>'Calendario D'!W121</f>
        <v/>
      </c>
      <c r="L607" s="68">
        <f>'Calendario D'!X121</f>
        <v/>
      </c>
      <c r="M607" s="68">
        <f>'Calendario D'!Y121</f>
        <v/>
      </c>
      <c r="N607" s="68">
        <f>'Calendario D'!Z121</f>
        <v/>
      </c>
    </row>
    <row r="608">
      <c r="A608" s="68">
        <f>'Calendario D'!M124</f>
        <v/>
      </c>
      <c r="B608" s="68">
        <f>'Calendario D'!N124</f>
        <v/>
      </c>
      <c r="C608" s="68">
        <f>'Calendario D'!O124</f>
        <v/>
      </c>
      <c r="D608" s="68">
        <f>'Calendario D'!P124</f>
        <v/>
      </c>
      <c r="E608" s="68">
        <f>'Calendario D'!Q124</f>
        <v/>
      </c>
      <c r="F608" s="68">
        <f>'Calendario D'!R124</f>
        <v/>
      </c>
      <c r="G608" s="68">
        <f>'Calendario D'!S124</f>
        <v/>
      </c>
      <c r="H608" s="68">
        <f>'Calendario D'!T124</f>
        <v/>
      </c>
      <c r="I608" s="68">
        <f>'Calendario D'!U124</f>
        <v/>
      </c>
      <c r="J608" s="68">
        <f>'Calendario D'!V124</f>
        <v/>
      </c>
      <c r="K608" s="68">
        <f>'Calendario D'!W124</f>
        <v/>
      </c>
      <c r="L608" s="68">
        <f>'Calendario D'!X124</f>
        <v/>
      </c>
      <c r="M608" s="68">
        <f>'Calendario D'!Y124</f>
        <v/>
      </c>
      <c r="N608" s="68">
        <f>'Calendario D'!Z124</f>
        <v/>
      </c>
    </row>
    <row r="609">
      <c r="A609" s="68">
        <f>'Calendario D'!M127</f>
        <v/>
      </c>
      <c r="B609" s="68">
        <f>'Calendario D'!N127</f>
        <v/>
      </c>
      <c r="C609" s="68">
        <f>'Calendario D'!O127</f>
        <v/>
      </c>
      <c r="D609" s="68">
        <f>'Calendario D'!P127</f>
        <v/>
      </c>
      <c r="E609" s="68">
        <f>'Calendario D'!Q127</f>
        <v/>
      </c>
      <c r="F609" s="68">
        <f>'Calendario D'!R127</f>
        <v/>
      </c>
      <c r="G609" s="68">
        <f>'Calendario D'!S127</f>
        <v/>
      </c>
      <c r="H609" s="68">
        <f>'Calendario D'!T127</f>
        <v/>
      </c>
      <c r="I609" s="68">
        <f>'Calendario D'!U127</f>
        <v/>
      </c>
      <c r="J609" s="68">
        <f>'Calendario D'!V127</f>
        <v/>
      </c>
      <c r="K609" s="68">
        <f>'Calendario D'!W127</f>
        <v/>
      </c>
      <c r="L609" s="68">
        <f>'Calendario D'!X127</f>
        <v/>
      </c>
      <c r="M609" s="68">
        <f>'Calendario D'!Y127</f>
        <v/>
      </c>
      <c r="N609" s="68">
        <f>'Calendario D'!Z127</f>
        <v/>
      </c>
    </row>
    <row r="610">
      <c r="A610" s="68">
        <f>'Calendario D'!M130</f>
        <v/>
      </c>
      <c r="B610" s="68">
        <f>'Calendario D'!N130</f>
        <v/>
      </c>
      <c r="C610" s="68">
        <f>'Calendario D'!O130</f>
        <v/>
      </c>
      <c r="D610" s="68">
        <f>'Calendario D'!P130</f>
        <v/>
      </c>
      <c r="E610" s="68">
        <f>'Calendario D'!Q130</f>
        <v/>
      </c>
      <c r="F610" s="68">
        <f>'Calendario D'!R130</f>
        <v/>
      </c>
      <c r="G610" s="68">
        <f>'Calendario D'!S130</f>
        <v/>
      </c>
      <c r="H610" s="68">
        <f>'Calendario D'!T130</f>
        <v/>
      </c>
      <c r="I610" s="68">
        <f>'Calendario D'!U130</f>
        <v/>
      </c>
      <c r="J610" s="68">
        <f>'Calendario D'!V130</f>
        <v/>
      </c>
      <c r="K610" s="68">
        <f>'Calendario D'!W130</f>
        <v/>
      </c>
      <c r="L610" s="68">
        <f>'Calendario D'!X130</f>
        <v/>
      </c>
      <c r="M610" s="68">
        <f>'Calendario D'!Y130</f>
        <v/>
      </c>
      <c r="N610" s="68">
        <f>'Calendario D'!Z130</f>
        <v/>
      </c>
    </row>
    <row r="611">
      <c r="A611" s="68">
        <f>'Calendario D'!M133</f>
        <v/>
      </c>
      <c r="B611" s="68">
        <f>'Calendario D'!N133</f>
        <v/>
      </c>
      <c r="C611" s="68">
        <f>'Calendario D'!O133</f>
        <v/>
      </c>
      <c r="D611" s="68">
        <f>'Calendario D'!P133</f>
        <v/>
      </c>
      <c r="E611" s="68">
        <f>'Calendario D'!Q133</f>
        <v/>
      </c>
      <c r="F611" s="68">
        <f>'Calendario D'!R133</f>
        <v/>
      </c>
      <c r="G611" s="68">
        <f>'Calendario D'!S133</f>
        <v/>
      </c>
      <c r="H611" s="68">
        <f>'Calendario D'!T133</f>
        <v/>
      </c>
      <c r="I611" s="68">
        <f>'Calendario D'!U133</f>
        <v/>
      </c>
      <c r="J611" s="68">
        <f>'Calendario D'!V133</f>
        <v/>
      </c>
      <c r="K611" s="68">
        <f>'Calendario D'!W133</f>
        <v/>
      </c>
      <c r="L611" s="68">
        <f>'Calendario D'!X133</f>
        <v/>
      </c>
      <c r="M611" s="68">
        <f>'Calendario D'!Y133</f>
        <v/>
      </c>
      <c r="N611" s="68">
        <f>'Calendario D'!Z133</f>
        <v/>
      </c>
    </row>
    <row r="612">
      <c r="A612" s="68">
        <f>'Calendario D'!M138</f>
        <v/>
      </c>
      <c r="B612" s="68">
        <f>'Calendario D'!N138</f>
        <v/>
      </c>
      <c r="C612" s="68">
        <f>'Calendario D'!O138</f>
        <v/>
      </c>
      <c r="D612" s="68">
        <f>'Calendario D'!P138</f>
        <v/>
      </c>
      <c r="E612" s="68">
        <f>'Calendario D'!Q138</f>
        <v/>
      </c>
      <c r="F612" s="68">
        <f>'Calendario D'!R138</f>
        <v/>
      </c>
      <c r="G612" s="68">
        <f>'Calendario D'!S138</f>
        <v/>
      </c>
      <c r="H612" s="68">
        <f>'Calendario D'!T138</f>
        <v/>
      </c>
      <c r="I612" s="68">
        <f>'Calendario D'!U138</f>
        <v/>
      </c>
      <c r="J612" s="68">
        <f>'Calendario D'!V138</f>
        <v/>
      </c>
      <c r="K612" s="68">
        <f>'Calendario D'!W138</f>
        <v/>
      </c>
      <c r="L612" s="68">
        <f>'Calendario D'!X138</f>
        <v/>
      </c>
      <c r="M612" s="68">
        <f>'Calendario D'!Y138</f>
        <v/>
      </c>
      <c r="N612" s="68">
        <f>'Calendario D'!Z138</f>
        <v/>
      </c>
    </row>
    <row r="613">
      <c r="A613" s="68">
        <f>'Calendario D'!M141</f>
        <v/>
      </c>
      <c r="B613" s="68">
        <f>'Calendario D'!N141</f>
        <v/>
      </c>
      <c r="C613" s="68">
        <f>'Calendario D'!O141</f>
        <v/>
      </c>
      <c r="D613" s="68">
        <f>'Calendario D'!P141</f>
        <v/>
      </c>
      <c r="E613" s="68">
        <f>'Calendario D'!Q141</f>
        <v/>
      </c>
      <c r="F613" s="68">
        <f>'Calendario D'!R141</f>
        <v/>
      </c>
      <c r="G613" s="68">
        <f>'Calendario D'!S141</f>
        <v/>
      </c>
      <c r="H613" s="68">
        <f>'Calendario D'!T141</f>
        <v/>
      </c>
      <c r="I613" s="68">
        <f>'Calendario D'!U141</f>
        <v/>
      </c>
      <c r="J613" s="68">
        <f>'Calendario D'!V141</f>
        <v/>
      </c>
      <c r="K613" s="68">
        <f>'Calendario D'!W141</f>
        <v/>
      </c>
      <c r="L613" s="68">
        <f>'Calendario D'!X141</f>
        <v/>
      </c>
      <c r="M613" s="68">
        <f>'Calendario D'!Y141</f>
        <v/>
      </c>
      <c r="N613" s="68">
        <f>'Calendario D'!Z141</f>
        <v/>
      </c>
    </row>
    <row r="614">
      <c r="A614" s="68">
        <f>'Calendario D'!M144</f>
        <v/>
      </c>
      <c r="B614" s="68">
        <f>'Calendario D'!N144</f>
        <v/>
      </c>
      <c r="C614" s="68">
        <f>'Calendario D'!O144</f>
        <v/>
      </c>
      <c r="D614" s="68">
        <f>'Calendario D'!P144</f>
        <v/>
      </c>
      <c r="E614" s="68">
        <f>'Calendario D'!Q144</f>
        <v/>
      </c>
      <c r="F614" s="68">
        <f>'Calendario D'!R144</f>
        <v/>
      </c>
      <c r="G614" s="68">
        <f>'Calendario D'!S144</f>
        <v/>
      </c>
      <c r="H614" s="68">
        <f>'Calendario D'!T144</f>
        <v/>
      </c>
      <c r="I614" s="68">
        <f>'Calendario D'!U144</f>
        <v/>
      </c>
      <c r="J614" s="68">
        <f>'Calendario D'!V144</f>
        <v/>
      </c>
      <c r="K614" s="68">
        <f>'Calendario D'!W144</f>
        <v/>
      </c>
      <c r="L614" s="68">
        <f>'Calendario D'!X144</f>
        <v/>
      </c>
      <c r="M614" s="68">
        <f>'Calendario D'!Y144</f>
        <v/>
      </c>
      <c r="N614" s="68">
        <f>'Calendario D'!Z144</f>
        <v/>
      </c>
    </row>
    <row r="615">
      <c r="A615" s="68">
        <f>'Calendario D'!M147</f>
        <v/>
      </c>
      <c r="B615" s="68">
        <f>'Calendario D'!N147</f>
        <v/>
      </c>
      <c r="C615" s="68">
        <f>'Calendario D'!O147</f>
        <v/>
      </c>
      <c r="D615" s="68">
        <f>'Calendario D'!P147</f>
        <v/>
      </c>
      <c r="E615" s="68">
        <f>'Calendario D'!Q147</f>
        <v/>
      </c>
      <c r="F615" s="68">
        <f>'Calendario D'!R147</f>
        <v/>
      </c>
      <c r="G615" s="68">
        <f>'Calendario D'!S147</f>
        <v/>
      </c>
      <c r="H615" s="68">
        <f>'Calendario D'!T147</f>
        <v/>
      </c>
      <c r="I615" s="68">
        <f>'Calendario D'!U147</f>
        <v/>
      </c>
      <c r="J615" s="68">
        <f>'Calendario D'!V147</f>
        <v/>
      </c>
      <c r="K615" s="68">
        <f>'Calendario D'!W147</f>
        <v/>
      </c>
      <c r="L615" s="68">
        <f>'Calendario D'!X147</f>
        <v/>
      </c>
      <c r="M615" s="68">
        <f>'Calendario D'!Y147</f>
        <v/>
      </c>
      <c r="N615" s="68">
        <f>'Calendario D'!Z147</f>
        <v/>
      </c>
    </row>
    <row r="616">
      <c r="A616" s="68">
        <f>'Calendario D'!M150</f>
        <v/>
      </c>
      <c r="B616" s="68">
        <f>'Calendario D'!N150</f>
        <v/>
      </c>
      <c r="C616" s="68">
        <f>'Calendario D'!O150</f>
        <v/>
      </c>
      <c r="D616" s="68">
        <f>'Calendario D'!P150</f>
        <v/>
      </c>
      <c r="E616" s="68">
        <f>'Calendario D'!Q150</f>
        <v/>
      </c>
      <c r="F616" s="68">
        <f>'Calendario D'!R150</f>
        <v/>
      </c>
      <c r="G616" s="68">
        <f>'Calendario D'!S150</f>
        <v/>
      </c>
      <c r="H616" s="68">
        <f>'Calendario D'!T150</f>
        <v/>
      </c>
      <c r="I616" s="68">
        <f>'Calendario D'!U150</f>
        <v/>
      </c>
      <c r="J616" s="68">
        <f>'Calendario D'!V150</f>
        <v/>
      </c>
      <c r="K616" s="68">
        <f>'Calendario D'!W150</f>
        <v/>
      </c>
      <c r="L616" s="68">
        <f>'Calendario D'!X150</f>
        <v/>
      </c>
      <c r="M616" s="68">
        <f>'Calendario D'!Y150</f>
        <v/>
      </c>
      <c r="N616" s="68">
        <f>'Calendario D'!Z150</f>
        <v/>
      </c>
    </row>
    <row r="617">
      <c r="A617" s="68">
        <f>'Calendario D'!M153</f>
        <v/>
      </c>
      <c r="B617" s="68">
        <f>'Calendario D'!N153</f>
        <v/>
      </c>
      <c r="C617" s="68">
        <f>'Calendario D'!O153</f>
        <v/>
      </c>
      <c r="D617" s="68">
        <f>'Calendario D'!P153</f>
        <v/>
      </c>
      <c r="E617" s="68">
        <f>'Calendario D'!Q153</f>
        <v/>
      </c>
      <c r="F617" s="68">
        <f>'Calendario D'!R153</f>
        <v/>
      </c>
      <c r="G617" s="68">
        <f>'Calendario D'!S153</f>
        <v/>
      </c>
      <c r="H617" s="68">
        <f>'Calendario D'!T153</f>
        <v/>
      </c>
      <c r="I617" s="68">
        <f>'Calendario D'!U153</f>
        <v/>
      </c>
      <c r="J617" s="68">
        <f>'Calendario D'!V153</f>
        <v/>
      </c>
      <c r="K617" s="68">
        <f>'Calendario D'!W153</f>
        <v/>
      </c>
      <c r="L617" s="68">
        <f>'Calendario D'!X153</f>
        <v/>
      </c>
      <c r="M617" s="68">
        <f>'Calendario D'!Y153</f>
        <v/>
      </c>
      <c r="N617" s="68">
        <f>'Calendario D'!Z153</f>
        <v/>
      </c>
    </row>
    <row r="618">
      <c r="A618" s="68">
        <f>'Calendario D'!M156</f>
        <v/>
      </c>
      <c r="B618" s="68">
        <f>'Calendario D'!N156</f>
        <v/>
      </c>
      <c r="C618" s="68">
        <f>'Calendario D'!O156</f>
        <v/>
      </c>
      <c r="D618" s="68">
        <f>'Calendario D'!P156</f>
        <v/>
      </c>
      <c r="E618" s="68">
        <f>'Calendario D'!Q156</f>
        <v/>
      </c>
      <c r="F618" s="68">
        <f>'Calendario D'!R156</f>
        <v/>
      </c>
      <c r="G618" s="68">
        <f>'Calendario D'!S156</f>
        <v/>
      </c>
      <c r="H618" s="68">
        <f>'Calendario D'!T156</f>
        <v/>
      </c>
      <c r="I618" s="68">
        <f>'Calendario D'!U156</f>
        <v/>
      </c>
      <c r="J618" s="68">
        <f>'Calendario D'!V156</f>
        <v/>
      </c>
      <c r="K618" s="68">
        <f>'Calendario D'!W156</f>
        <v/>
      </c>
      <c r="L618" s="68">
        <f>'Calendario D'!X156</f>
        <v/>
      </c>
      <c r="M618" s="68">
        <f>'Calendario D'!Y156</f>
        <v/>
      </c>
      <c r="N618" s="68">
        <f>'Calendario D'!Z156</f>
        <v/>
      </c>
    </row>
    <row r="619">
      <c r="A619" s="68">
        <f>'Calendario D'!M159</f>
        <v/>
      </c>
      <c r="B619" s="68">
        <f>'Calendario D'!N159</f>
        <v/>
      </c>
      <c r="C619" s="68">
        <f>'Calendario D'!O159</f>
        <v/>
      </c>
      <c r="D619" s="68">
        <f>'Calendario D'!P159</f>
        <v/>
      </c>
      <c r="E619" s="68">
        <f>'Calendario D'!Q159</f>
        <v/>
      </c>
      <c r="F619" s="68">
        <f>'Calendario D'!R159</f>
        <v/>
      </c>
      <c r="G619" s="68">
        <f>'Calendario D'!S159</f>
        <v/>
      </c>
      <c r="H619" s="68">
        <f>'Calendario D'!T159</f>
        <v/>
      </c>
      <c r="I619" s="68">
        <f>'Calendario D'!U159</f>
        <v/>
      </c>
      <c r="J619" s="68">
        <f>'Calendario D'!V159</f>
        <v/>
      </c>
      <c r="K619" s="68">
        <f>'Calendario D'!W159</f>
        <v/>
      </c>
      <c r="L619" s="68">
        <f>'Calendario D'!X159</f>
        <v/>
      </c>
      <c r="M619" s="68">
        <f>'Calendario D'!Y159</f>
        <v/>
      </c>
      <c r="N619" s="68">
        <f>'Calendario D'!Z159</f>
        <v/>
      </c>
    </row>
    <row r="620">
      <c r="A620" s="68">
        <f>'Calendario D'!M162</f>
        <v/>
      </c>
      <c r="B620" s="68">
        <f>'Calendario D'!N162</f>
        <v/>
      </c>
      <c r="C620" s="68">
        <f>'Calendario D'!O162</f>
        <v/>
      </c>
      <c r="D620" s="68">
        <f>'Calendario D'!P162</f>
        <v/>
      </c>
      <c r="E620" s="68">
        <f>'Calendario D'!Q162</f>
        <v/>
      </c>
      <c r="F620" s="68">
        <f>'Calendario D'!R162</f>
        <v/>
      </c>
      <c r="G620" s="68">
        <f>'Calendario D'!S162</f>
        <v/>
      </c>
      <c r="H620" s="68">
        <f>'Calendario D'!T162</f>
        <v/>
      </c>
      <c r="I620" s="68">
        <f>'Calendario D'!U162</f>
        <v/>
      </c>
      <c r="J620" s="68">
        <f>'Calendario D'!V162</f>
        <v/>
      </c>
      <c r="K620" s="68">
        <f>'Calendario D'!W162</f>
        <v/>
      </c>
      <c r="L620" s="68">
        <f>'Calendario D'!X162</f>
        <v/>
      </c>
      <c r="M620" s="68">
        <f>'Calendario D'!Y162</f>
        <v/>
      </c>
      <c r="N620" s="68">
        <f>'Calendario D'!Z162</f>
        <v/>
      </c>
    </row>
    <row r="621">
      <c r="A621" s="68">
        <f>'Calendario D'!M165</f>
        <v/>
      </c>
      <c r="B621" s="68">
        <f>'Calendario D'!N165</f>
        <v/>
      </c>
      <c r="C621" s="68">
        <f>'Calendario D'!O165</f>
        <v/>
      </c>
      <c r="D621" s="68">
        <f>'Calendario D'!P165</f>
        <v/>
      </c>
      <c r="E621" s="68">
        <f>'Calendario D'!Q165</f>
        <v/>
      </c>
      <c r="F621" s="68">
        <f>'Calendario D'!R165</f>
        <v/>
      </c>
      <c r="G621" s="68">
        <f>'Calendario D'!S165</f>
        <v/>
      </c>
      <c r="H621" s="68">
        <f>'Calendario D'!T165</f>
        <v/>
      </c>
      <c r="I621" s="68">
        <f>'Calendario D'!U165</f>
        <v/>
      </c>
      <c r="J621" s="68">
        <f>'Calendario D'!V165</f>
        <v/>
      </c>
      <c r="K621" s="68">
        <f>'Calendario D'!W165</f>
        <v/>
      </c>
      <c r="L621" s="68">
        <f>'Calendario D'!X165</f>
        <v/>
      </c>
      <c r="M621" s="68">
        <f>'Calendario D'!Y165</f>
        <v/>
      </c>
      <c r="N621" s="68">
        <f>'Calendario D'!Z165</f>
        <v/>
      </c>
    </row>
    <row r="622">
      <c r="A622" s="68">
        <f>'Calendario D'!M170</f>
        <v/>
      </c>
      <c r="B622" s="68">
        <f>'Calendario D'!N170</f>
        <v/>
      </c>
      <c r="C622" s="68">
        <f>'Calendario D'!O170</f>
        <v/>
      </c>
      <c r="D622" s="68">
        <f>'Calendario D'!P170</f>
        <v/>
      </c>
      <c r="E622" s="68">
        <f>'Calendario D'!Q170</f>
        <v/>
      </c>
      <c r="F622" s="68">
        <f>'Calendario D'!R170</f>
        <v/>
      </c>
      <c r="G622" s="68">
        <f>'Calendario D'!S170</f>
        <v/>
      </c>
      <c r="H622" s="68">
        <f>'Calendario D'!T170</f>
        <v/>
      </c>
      <c r="I622" s="68">
        <f>'Calendario D'!U170</f>
        <v/>
      </c>
      <c r="J622" s="68">
        <f>'Calendario D'!V170</f>
        <v/>
      </c>
      <c r="K622" s="68">
        <f>'Calendario D'!W170</f>
        <v/>
      </c>
      <c r="L622" s="68">
        <f>'Calendario D'!X170</f>
        <v/>
      </c>
      <c r="M622" s="68">
        <f>'Calendario D'!Y170</f>
        <v/>
      </c>
      <c r="N622" s="68">
        <f>'Calendario D'!Z170</f>
        <v/>
      </c>
    </row>
    <row r="623">
      <c r="A623" s="68">
        <f>'Calendario D'!M173</f>
        <v/>
      </c>
      <c r="B623" s="68">
        <f>'Calendario D'!N173</f>
        <v/>
      </c>
      <c r="C623" s="68">
        <f>'Calendario D'!O173</f>
        <v/>
      </c>
      <c r="D623" s="68">
        <f>'Calendario D'!P173</f>
        <v/>
      </c>
      <c r="E623" s="68">
        <f>'Calendario D'!Q173</f>
        <v/>
      </c>
      <c r="F623" s="68">
        <f>'Calendario D'!R173</f>
        <v/>
      </c>
      <c r="G623" s="68">
        <f>'Calendario D'!S173</f>
        <v/>
      </c>
      <c r="H623" s="68">
        <f>'Calendario D'!T173</f>
        <v/>
      </c>
      <c r="I623" s="68">
        <f>'Calendario D'!U173</f>
        <v/>
      </c>
      <c r="J623" s="68">
        <f>'Calendario D'!V173</f>
        <v/>
      </c>
      <c r="K623" s="68">
        <f>'Calendario D'!W173</f>
        <v/>
      </c>
      <c r="L623" s="68">
        <f>'Calendario D'!X173</f>
        <v/>
      </c>
      <c r="M623" s="68">
        <f>'Calendario D'!Y173</f>
        <v/>
      </c>
      <c r="N623" s="68">
        <f>'Calendario D'!Z173</f>
        <v/>
      </c>
    </row>
    <row r="624">
      <c r="A624" s="68">
        <f>'Calendario D'!M176</f>
        <v/>
      </c>
      <c r="B624" s="68">
        <f>'Calendario D'!N176</f>
        <v/>
      </c>
      <c r="C624" s="68">
        <f>'Calendario D'!O176</f>
        <v/>
      </c>
      <c r="D624" s="68">
        <f>'Calendario D'!P176</f>
        <v/>
      </c>
      <c r="E624" s="68">
        <f>'Calendario D'!Q176</f>
        <v/>
      </c>
      <c r="F624" s="68">
        <f>'Calendario D'!R176</f>
        <v/>
      </c>
      <c r="G624" s="68">
        <f>'Calendario D'!S176</f>
        <v/>
      </c>
      <c r="H624" s="68">
        <f>'Calendario D'!T176</f>
        <v/>
      </c>
      <c r="I624" s="68">
        <f>'Calendario D'!U176</f>
        <v/>
      </c>
      <c r="J624" s="68">
        <f>'Calendario D'!V176</f>
        <v/>
      </c>
      <c r="K624" s="68">
        <f>'Calendario D'!W176</f>
        <v/>
      </c>
      <c r="L624" s="68">
        <f>'Calendario D'!X176</f>
        <v/>
      </c>
      <c r="M624" s="68">
        <f>'Calendario D'!Y176</f>
        <v/>
      </c>
      <c r="N624" s="68">
        <f>'Calendario D'!Z176</f>
        <v/>
      </c>
    </row>
    <row r="625">
      <c r="A625" s="68">
        <f>'Calendario D'!M179</f>
        <v/>
      </c>
      <c r="B625" s="68">
        <f>'Calendario D'!N179</f>
        <v/>
      </c>
      <c r="C625" s="68">
        <f>'Calendario D'!O179</f>
        <v/>
      </c>
      <c r="D625" s="68">
        <f>'Calendario D'!P179</f>
        <v/>
      </c>
      <c r="E625" s="68">
        <f>'Calendario D'!Q179</f>
        <v/>
      </c>
      <c r="F625" s="68">
        <f>'Calendario D'!R179</f>
        <v/>
      </c>
      <c r="G625" s="68">
        <f>'Calendario D'!S179</f>
        <v/>
      </c>
      <c r="H625" s="68">
        <f>'Calendario D'!T179</f>
        <v/>
      </c>
      <c r="I625" s="68">
        <f>'Calendario D'!U179</f>
        <v/>
      </c>
      <c r="J625" s="68">
        <f>'Calendario D'!V179</f>
        <v/>
      </c>
      <c r="K625" s="68">
        <f>'Calendario D'!W179</f>
        <v/>
      </c>
      <c r="L625" s="68">
        <f>'Calendario D'!X179</f>
        <v/>
      </c>
      <c r="M625" s="68">
        <f>'Calendario D'!Y179</f>
        <v/>
      </c>
      <c r="N625" s="68">
        <f>'Calendario D'!Z179</f>
        <v/>
      </c>
    </row>
    <row r="626">
      <c r="A626" s="68">
        <f>'Calendario D'!M182</f>
        <v/>
      </c>
      <c r="B626" s="68">
        <f>'Calendario D'!N182</f>
        <v/>
      </c>
      <c r="C626" s="68">
        <f>'Calendario D'!O182</f>
        <v/>
      </c>
      <c r="D626" s="68">
        <f>'Calendario D'!P182</f>
        <v/>
      </c>
      <c r="E626" s="68">
        <f>'Calendario D'!Q182</f>
        <v/>
      </c>
      <c r="F626" s="68">
        <f>'Calendario D'!R182</f>
        <v/>
      </c>
      <c r="G626" s="68">
        <f>'Calendario D'!S182</f>
        <v/>
      </c>
      <c r="H626" s="68">
        <f>'Calendario D'!T182</f>
        <v/>
      </c>
      <c r="I626" s="68">
        <f>'Calendario D'!U182</f>
        <v/>
      </c>
      <c r="J626" s="68">
        <f>'Calendario D'!V182</f>
        <v/>
      </c>
      <c r="K626" s="68">
        <f>'Calendario D'!W182</f>
        <v/>
      </c>
      <c r="L626" s="68">
        <f>'Calendario D'!X182</f>
        <v/>
      </c>
      <c r="M626" s="68">
        <f>'Calendario D'!Y182</f>
        <v/>
      </c>
      <c r="N626" s="68">
        <f>'Calendario D'!Z182</f>
        <v/>
      </c>
    </row>
    <row r="627">
      <c r="A627" s="68">
        <f>'Calendario D'!M185</f>
        <v/>
      </c>
      <c r="B627" s="68">
        <f>'Calendario D'!N185</f>
        <v/>
      </c>
      <c r="C627" s="68">
        <f>'Calendario D'!O185</f>
        <v/>
      </c>
      <c r="D627" s="68">
        <f>'Calendario D'!P185</f>
        <v/>
      </c>
      <c r="E627" s="68">
        <f>'Calendario D'!Q185</f>
        <v/>
      </c>
      <c r="F627" s="68">
        <f>'Calendario D'!R185</f>
        <v/>
      </c>
      <c r="G627" s="68">
        <f>'Calendario D'!S185</f>
        <v/>
      </c>
      <c r="H627" s="68">
        <f>'Calendario D'!T185</f>
        <v/>
      </c>
      <c r="I627" s="68">
        <f>'Calendario D'!U185</f>
        <v/>
      </c>
      <c r="J627" s="68">
        <f>'Calendario D'!V185</f>
        <v/>
      </c>
      <c r="K627" s="68">
        <f>'Calendario D'!W185</f>
        <v/>
      </c>
      <c r="L627" s="68">
        <f>'Calendario D'!X185</f>
        <v/>
      </c>
      <c r="M627" s="68">
        <f>'Calendario D'!Y185</f>
        <v/>
      </c>
      <c r="N627" s="68">
        <f>'Calendario D'!Z185</f>
        <v/>
      </c>
    </row>
    <row r="628">
      <c r="A628" s="68">
        <f>'Calendario D'!M188</f>
        <v/>
      </c>
      <c r="B628" s="68">
        <f>'Calendario D'!N188</f>
        <v/>
      </c>
      <c r="C628" s="68">
        <f>'Calendario D'!O188</f>
        <v/>
      </c>
      <c r="D628" s="68">
        <f>'Calendario D'!P188</f>
        <v/>
      </c>
      <c r="E628" s="68">
        <f>'Calendario D'!Q188</f>
        <v/>
      </c>
      <c r="F628" s="68">
        <f>'Calendario D'!R188</f>
        <v/>
      </c>
      <c r="G628" s="68">
        <f>'Calendario D'!S188</f>
        <v/>
      </c>
      <c r="H628" s="68">
        <f>'Calendario D'!T188</f>
        <v/>
      </c>
      <c r="I628" s="68">
        <f>'Calendario D'!U188</f>
        <v/>
      </c>
      <c r="J628" s="68">
        <f>'Calendario D'!V188</f>
        <v/>
      </c>
      <c r="K628" s="68">
        <f>'Calendario D'!W188</f>
        <v/>
      </c>
      <c r="L628" s="68">
        <f>'Calendario D'!X188</f>
        <v/>
      </c>
      <c r="M628" s="68">
        <f>'Calendario D'!Y188</f>
        <v/>
      </c>
      <c r="N628" s="68">
        <f>'Calendario D'!Z188</f>
        <v/>
      </c>
    </row>
    <row r="629">
      <c r="A629" s="68">
        <f>'Calendario D'!M191</f>
        <v/>
      </c>
      <c r="B629" s="68">
        <f>'Calendario D'!N191</f>
        <v/>
      </c>
      <c r="C629" s="68">
        <f>'Calendario D'!O191</f>
        <v/>
      </c>
      <c r="D629" s="68">
        <f>'Calendario D'!P191</f>
        <v/>
      </c>
      <c r="E629" s="68">
        <f>'Calendario D'!Q191</f>
        <v/>
      </c>
      <c r="F629" s="68">
        <f>'Calendario D'!R191</f>
        <v/>
      </c>
      <c r="G629" s="68">
        <f>'Calendario D'!S191</f>
        <v/>
      </c>
      <c r="H629" s="68">
        <f>'Calendario D'!T191</f>
        <v/>
      </c>
      <c r="I629" s="68">
        <f>'Calendario D'!U191</f>
        <v/>
      </c>
      <c r="J629" s="68">
        <f>'Calendario D'!V191</f>
        <v/>
      </c>
      <c r="K629" s="68">
        <f>'Calendario D'!W191</f>
        <v/>
      </c>
      <c r="L629" s="68">
        <f>'Calendario D'!X191</f>
        <v/>
      </c>
      <c r="M629" s="68">
        <f>'Calendario D'!Y191</f>
        <v/>
      </c>
      <c r="N629" s="68">
        <f>'Calendario D'!Z191</f>
        <v/>
      </c>
    </row>
    <row r="630">
      <c r="A630" s="68">
        <f>'Calendario D'!M194</f>
        <v/>
      </c>
      <c r="B630" s="68">
        <f>'Calendario D'!N194</f>
        <v/>
      </c>
      <c r="C630" s="68">
        <f>'Calendario D'!O194</f>
        <v/>
      </c>
      <c r="D630" s="68">
        <f>'Calendario D'!P194</f>
        <v/>
      </c>
      <c r="E630" s="68">
        <f>'Calendario D'!Q194</f>
        <v/>
      </c>
      <c r="F630" s="68">
        <f>'Calendario D'!R194</f>
        <v/>
      </c>
      <c r="G630" s="68">
        <f>'Calendario D'!S194</f>
        <v/>
      </c>
      <c r="H630" s="68">
        <f>'Calendario D'!T194</f>
        <v/>
      </c>
      <c r="I630" s="68">
        <f>'Calendario D'!U194</f>
        <v/>
      </c>
      <c r="J630" s="68">
        <f>'Calendario D'!V194</f>
        <v/>
      </c>
      <c r="K630" s="68">
        <f>'Calendario D'!W194</f>
        <v/>
      </c>
      <c r="L630" s="68">
        <f>'Calendario D'!X194</f>
        <v/>
      </c>
      <c r="M630" s="68">
        <f>'Calendario D'!Y194</f>
        <v/>
      </c>
      <c r="N630" s="68">
        <f>'Calendario D'!Z194</f>
        <v/>
      </c>
    </row>
    <row r="631">
      <c r="A631" s="68">
        <f>'Calendario D'!M197</f>
        <v/>
      </c>
      <c r="B631" s="68">
        <f>'Calendario D'!N197</f>
        <v/>
      </c>
      <c r="C631" s="68">
        <f>'Calendario D'!O197</f>
        <v/>
      </c>
      <c r="D631" s="68">
        <f>'Calendario D'!P197</f>
        <v/>
      </c>
      <c r="E631" s="68">
        <f>'Calendario D'!Q197</f>
        <v/>
      </c>
      <c r="F631" s="68">
        <f>'Calendario D'!R197</f>
        <v/>
      </c>
      <c r="G631" s="68">
        <f>'Calendario D'!S197</f>
        <v/>
      </c>
      <c r="H631" s="68">
        <f>'Calendario D'!T197</f>
        <v/>
      </c>
      <c r="I631" s="68">
        <f>'Calendario D'!U197</f>
        <v/>
      </c>
      <c r="J631" s="68">
        <f>'Calendario D'!V197</f>
        <v/>
      </c>
      <c r="K631" s="68">
        <f>'Calendario D'!W197</f>
        <v/>
      </c>
      <c r="L631" s="68">
        <f>'Calendario D'!X197</f>
        <v/>
      </c>
      <c r="M631" s="68">
        <f>'Calendario D'!Y197</f>
        <v/>
      </c>
      <c r="N631" s="68">
        <f>'Calendario D'!Z197</f>
        <v/>
      </c>
    </row>
    <row r="632">
      <c r="A632" s="68">
        <f>'Calendario D'!M202</f>
        <v/>
      </c>
      <c r="B632" s="68">
        <f>'Calendario D'!N202</f>
        <v/>
      </c>
      <c r="C632" s="68">
        <f>'Calendario D'!O202</f>
        <v/>
      </c>
      <c r="D632" s="68">
        <f>'Calendario D'!P202</f>
        <v/>
      </c>
      <c r="E632" s="68">
        <f>'Calendario D'!Q202</f>
        <v/>
      </c>
      <c r="F632" s="68">
        <f>'Calendario D'!R202</f>
        <v/>
      </c>
      <c r="G632" s="68">
        <f>'Calendario D'!S202</f>
        <v/>
      </c>
      <c r="H632" s="68">
        <f>'Calendario D'!T202</f>
        <v/>
      </c>
      <c r="I632" s="68">
        <f>'Calendario D'!U202</f>
        <v/>
      </c>
      <c r="J632" s="68">
        <f>'Calendario D'!V202</f>
        <v/>
      </c>
      <c r="K632" s="68">
        <f>'Calendario D'!W202</f>
        <v/>
      </c>
      <c r="L632" s="68">
        <f>'Calendario D'!X202</f>
        <v/>
      </c>
      <c r="M632" s="68">
        <f>'Calendario D'!Y202</f>
        <v/>
      </c>
      <c r="N632" s="68">
        <f>'Calendario D'!Z202</f>
        <v/>
      </c>
    </row>
    <row r="633">
      <c r="A633" s="68">
        <f>'Calendario D'!M205</f>
        <v/>
      </c>
      <c r="B633" s="68">
        <f>'Calendario D'!N205</f>
        <v/>
      </c>
      <c r="C633" s="68">
        <f>'Calendario D'!O205</f>
        <v/>
      </c>
      <c r="D633" s="68">
        <f>'Calendario D'!P205</f>
        <v/>
      </c>
      <c r="E633" s="68">
        <f>'Calendario D'!Q205</f>
        <v/>
      </c>
      <c r="F633" s="68">
        <f>'Calendario D'!R205</f>
        <v/>
      </c>
      <c r="G633" s="68">
        <f>'Calendario D'!S205</f>
        <v/>
      </c>
      <c r="H633" s="68">
        <f>'Calendario D'!T205</f>
        <v/>
      </c>
      <c r="I633" s="68">
        <f>'Calendario D'!U205</f>
        <v/>
      </c>
      <c r="J633" s="68">
        <f>'Calendario D'!V205</f>
        <v/>
      </c>
      <c r="K633" s="68">
        <f>'Calendario D'!W205</f>
        <v/>
      </c>
      <c r="L633" s="68">
        <f>'Calendario D'!X205</f>
        <v/>
      </c>
      <c r="M633" s="68">
        <f>'Calendario D'!Y205</f>
        <v/>
      </c>
      <c r="N633" s="68">
        <f>'Calendario D'!Z205</f>
        <v/>
      </c>
    </row>
    <row r="634">
      <c r="A634" s="68">
        <f>'Calendario D'!M208</f>
        <v/>
      </c>
      <c r="B634" s="68">
        <f>'Calendario D'!N208</f>
        <v/>
      </c>
      <c r="C634" s="68">
        <f>'Calendario D'!O208</f>
        <v/>
      </c>
      <c r="D634" s="68">
        <f>'Calendario D'!P208</f>
        <v/>
      </c>
      <c r="E634" s="68">
        <f>'Calendario D'!Q208</f>
        <v/>
      </c>
      <c r="F634" s="68">
        <f>'Calendario D'!R208</f>
        <v/>
      </c>
      <c r="G634" s="68">
        <f>'Calendario D'!S208</f>
        <v/>
      </c>
      <c r="H634" s="68">
        <f>'Calendario D'!T208</f>
        <v/>
      </c>
      <c r="I634" s="68">
        <f>'Calendario D'!U208</f>
        <v/>
      </c>
      <c r="J634" s="68">
        <f>'Calendario D'!V208</f>
        <v/>
      </c>
      <c r="K634" s="68">
        <f>'Calendario D'!W208</f>
        <v/>
      </c>
      <c r="L634" s="68">
        <f>'Calendario D'!X208</f>
        <v/>
      </c>
      <c r="M634" s="68">
        <f>'Calendario D'!Y208</f>
        <v/>
      </c>
      <c r="N634" s="68">
        <f>'Calendario D'!Z208</f>
        <v/>
      </c>
    </row>
    <row r="635">
      <c r="A635" s="68">
        <f>'Calendario D'!M211</f>
        <v/>
      </c>
      <c r="B635" s="68">
        <f>'Calendario D'!N211</f>
        <v/>
      </c>
      <c r="C635" s="68">
        <f>'Calendario D'!O211</f>
        <v/>
      </c>
      <c r="D635" s="68">
        <f>'Calendario D'!P211</f>
        <v/>
      </c>
      <c r="E635" s="68">
        <f>'Calendario D'!Q211</f>
        <v/>
      </c>
      <c r="F635" s="68">
        <f>'Calendario D'!R211</f>
        <v/>
      </c>
      <c r="G635" s="68">
        <f>'Calendario D'!S211</f>
        <v/>
      </c>
      <c r="H635" s="68">
        <f>'Calendario D'!T211</f>
        <v/>
      </c>
      <c r="I635" s="68">
        <f>'Calendario D'!U211</f>
        <v/>
      </c>
      <c r="J635" s="68">
        <f>'Calendario D'!V211</f>
        <v/>
      </c>
      <c r="K635" s="68">
        <f>'Calendario D'!W211</f>
        <v/>
      </c>
      <c r="L635" s="68">
        <f>'Calendario D'!X211</f>
        <v/>
      </c>
      <c r="M635" s="68">
        <f>'Calendario D'!Y211</f>
        <v/>
      </c>
      <c r="N635" s="68">
        <f>'Calendario D'!Z211</f>
        <v/>
      </c>
    </row>
    <row r="636">
      <c r="A636" s="68">
        <f>'Calendario D'!M214</f>
        <v/>
      </c>
      <c r="B636" s="68">
        <f>'Calendario D'!N214</f>
        <v/>
      </c>
      <c r="C636" s="68">
        <f>'Calendario D'!O214</f>
        <v/>
      </c>
      <c r="D636" s="68">
        <f>'Calendario D'!P214</f>
        <v/>
      </c>
      <c r="E636" s="68">
        <f>'Calendario D'!Q214</f>
        <v/>
      </c>
      <c r="F636" s="68">
        <f>'Calendario D'!R214</f>
        <v/>
      </c>
      <c r="G636" s="68">
        <f>'Calendario D'!S214</f>
        <v/>
      </c>
      <c r="H636" s="68">
        <f>'Calendario D'!T214</f>
        <v/>
      </c>
      <c r="I636" s="68">
        <f>'Calendario D'!U214</f>
        <v/>
      </c>
      <c r="J636" s="68">
        <f>'Calendario D'!V214</f>
        <v/>
      </c>
      <c r="K636" s="68">
        <f>'Calendario D'!W214</f>
        <v/>
      </c>
      <c r="L636" s="68">
        <f>'Calendario D'!X214</f>
        <v/>
      </c>
      <c r="M636" s="68">
        <f>'Calendario D'!Y214</f>
        <v/>
      </c>
      <c r="N636" s="68">
        <f>'Calendario D'!Z214</f>
        <v/>
      </c>
    </row>
    <row r="637">
      <c r="A637" s="68">
        <f>'Calendario D'!M217</f>
        <v/>
      </c>
      <c r="B637" s="68">
        <f>'Calendario D'!N217</f>
        <v/>
      </c>
      <c r="C637" s="68">
        <f>'Calendario D'!O217</f>
        <v/>
      </c>
      <c r="D637" s="68">
        <f>'Calendario D'!P217</f>
        <v/>
      </c>
      <c r="E637" s="68">
        <f>'Calendario D'!Q217</f>
        <v/>
      </c>
      <c r="F637" s="68">
        <f>'Calendario D'!R217</f>
        <v/>
      </c>
      <c r="G637" s="68">
        <f>'Calendario D'!S217</f>
        <v/>
      </c>
      <c r="H637" s="68">
        <f>'Calendario D'!T217</f>
        <v/>
      </c>
      <c r="I637" s="68">
        <f>'Calendario D'!U217</f>
        <v/>
      </c>
      <c r="J637" s="68">
        <f>'Calendario D'!V217</f>
        <v/>
      </c>
      <c r="K637" s="68">
        <f>'Calendario D'!W217</f>
        <v/>
      </c>
      <c r="L637" s="68">
        <f>'Calendario D'!X217</f>
        <v/>
      </c>
      <c r="M637" s="68">
        <f>'Calendario D'!Y217</f>
        <v/>
      </c>
      <c r="N637" s="68">
        <f>'Calendario D'!Z217</f>
        <v/>
      </c>
    </row>
    <row r="638">
      <c r="A638" s="68">
        <f>'Calendario D'!M220</f>
        <v/>
      </c>
      <c r="B638" s="68">
        <f>'Calendario D'!N220</f>
        <v/>
      </c>
      <c r="C638" s="68">
        <f>'Calendario D'!O220</f>
        <v/>
      </c>
      <c r="D638" s="68">
        <f>'Calendario D'!P220</f>
        <v/>
      </c>
      <c r="E638" s="68">
        <f>'Calendario D'!Q220</f>
        <v/>
      </c>
      <c r="F638" s="68">
        <f>'Calendario D'!R220</f>
        <v/>
      </c>
      <c r="G638" s="68">
        <f>'Calendario D'!S220</f>
        <v/>
      </c>
      <c r="H638" s="68">
        <f>'Calendario D'!T220</f>
        <v/>
      </c>
      <c r="I638" s="68">
        <f>'Calendario D'!U220</f>
        <v/>
      </c>
      <c r="J638" s="68">
        <f>'Calendario D'!V220</f>
        <v/>
      </c>
      <c r="K638" s="68">
        <f>'Calendario D'!W220</f>
        <v/>
      </c>
      <c r="L638" s="68">
        <f>'Calendario D'!X220</f>
        <v/>
      </c>
      <c r="M638" s="68">
        <f>'Calendario D'!Y220</f>
        <v/>
      </c>
      <c r="N638" s="68">
        <f>'Calendario D'!Z220</f>
        <v/>
      </c>
    </row>
    <row r="639">
      <c r="A639" s="68">
        <f>'Calendario D'!M223</f>
        <v/>
      </c>
      <c r="B639" s="68">
        <f>'Calendario D'!N223</f>
        <v/>
      </c>
      <c r="C639" s="68">
        <f>'Calendario D'!O223</f>
        <v/>
      </c>
      <c r="D639" s="68">
        <f>'Calendario D'!P223</f>
        <v/>
      </c>
      <c r="E639" s="68">
        <f>'Calendario D'!Q223</f>
        <v/>
      </c>
      <c r="F639" s="68">
        <f>'Calendario D'!R223</f>
        <v/>
      </c>
      <c r="G639" s="68">
        <f>'Calendario D'!S223</f>
        <v/>
      </c>
      <c r="H639" s="68">
        <f>'Calendario D'!T223</f>
        <v/>
      </c>
      <c r="I639" s="68">
        <f>'Calendario D'!U223</f>
        <v/>
      </c>
      <c r="J639" s="68">
        <f>'Calendario D'!V223</f>
        <v/>
      </c>
      <c r="K639" s="68">
        <f>'Calendario D'!W223</f>
        <v/>
      </c>
      <c r="L639" s="68">
        <f>'Calendario D'!X223</f>
        <v/>
      </c>
      <c r="M639" s="68">
        <f>'Calendario D'!Y223</f>
        <v/>
      </c>
      <c r="N639" s="68">
        <f>'Calendario D'!Z223</f>
        <v/>
      </c>
    </row>
    <row r="640">
      <c r="A640" s="68">
        <f>'Calendario D'!M226</f>
        <v/>
      </c>
      <c r="B640" s="68">
        <f>'Calendario D'!N226</f>
        <v/>
      </c>
      <c r="C640" s="68">
        <f>'Calendario D'!O226</f>
        <v/>
      </c>
      <c r="D640" s="68">
        <f>'Calendario D'!P226</f>
        <v/>
      </c>
      <c r="E640" s="68">
        <f>'Calendario D'!Q226</f>
        <v/>
      </c>
      <c r="F640" s="68">
        <f>'Calendario D'!R226</f>
        <v/>
      </c>
      <c r="G640" s="68">
        <f>'Calendario D'!S226</f>
        <v/>
      </c>
      <c r="H640" s="68">
        <f>'Calendario D'!T226</f>
        <v/>
      </c>
      <c r="I640" s="68">
        <f>'Calendario D'!U226</f>
        <v/>
      </c>
      <c r="J640" s="68">
        <f>'Calendario D'!V226</f>
        <v/>
      </c>
      <c r="K640" s="68">
        <f>'Calendario D'!W226</f>
        <v/>
      </c>
      <c r="L640" s="68">
        <f>'Calendario D'!X226</f>
        <v/>
      </c>
      <c r="M640" s="68">
        <f>'Calendario D'!Y226</f>
        <v/>
      </c>
      <c r="N640" s="68">
        <f>'Calendario D'!Z226</f>
        <v/>
      </c>
    </row>
    <row r="641">
      <c r="A641" s="68">
        <f>'Calendario D'!M229</f>
        <v/>
      </c>
      <c r="B641" s="68">
        <f>'Calendario D'!N229</f>
        <v/>
      </c>
      <c r="C641" s="68">
        <f>'Calendario D'!O229</f>
        <v/>
      </c>
      <c r="D641" s="68">
        <f>'Calendario D'!P229</f>
        <v/>
      </c>
      <c r="E641" s="68">
        <f>'Calendario D'!Q229</f>
        <v/>
      </c>
      <c r="F641" s="68">
        <f>'Calendario D'!R229</f>
        <v/>
      </c>
      <c r="G641" s="68">
        <f>'Calendario D'!S229</f>
        <v/>
      </c>
      <c r="H641" s="68">
        <f>'Calendario D'!T229</f>
        <v/>
      </c>
      <c r="I641" s="68">
        <f>'Calendario D'!U229</f>
        <v/>
      </c>
      <c r="J641" s="68">
        <f>'Calendario D'!V229</f>
        <v/>
      </c>
      <c r="K641" s="68">
        <f>'Calendario D'!W229</f>
        <v/>
      </c>
      <c r="L641" s="68">
        <f>'Calendario D'!X229</f>
        <v/>
      </c>
      <c r="M641" s="68">
        <f>'Calendario D'!Y229</f>
        <v/>
      </c>
      <c r="N641" s="68">
        <f>'Calendario D'!Z229</f>
        <v/>
      </c>
    </row>
    <row r="642">
      <c r="A642" s="68">
        <f>'Calendario D'!M234</f>
        <v/>
      </c>
      <c r="B642" s="68">
        <f>'Calendario D'!N234</f>
        <v/>
      </c>
      <c r="C642" s="68">
        <f>'Calendario D'!O234</f>
        <v/>
      </c>
      <c r="D642" s="68">
        <f>'Calendario D'!P234</f>
        <v/>
      </c>
      <c r="E642" s="68">
        <f>'Calendario D'!Q234</f>
        <v/>
      </c>
      <c r="F642" s="68">
        <f>'Calendario D'!R234</f>
        <v/>
      </c>
      <c r="G642" s="68">
        <f>'Calendario D'!S234</f>
        <v/>
      </c>
      <c r="H642" s="68">
        <f>'Calendario D'!T234</f>
        <v/>
      </c>
      <c r="I642" s="68">
        <f>'Calendario D'!U234</f>
        <v/>
      </c>
      <c r="J642" s="68">
        <f>'Calendario D'!V234</f>
        <v/>
      </c>
      <c r="K642" s="68">
        <f>'Calendario D'!W234</f>
        <v/>
      </c>
      <c r="L642" s="68">
        <f>'Calendario D'!X234</f>
        <v/>
      </c>
      <c r="M642" s="68">
        <f>'Calendario D'!Y234</f>
        <v/>
      </c>
      <c r="N642" s="68">
        <f>'Calendario D'!Z234</f>
        <v/>
      </c>
    </row>
    <row r="643">
      <c r="A643" s="68">
        <f>'Calendario D'!M237</f>
        <v/>
      </c>
      <c r="B643" s="68">
        <f>'Calendario D'!N237</f>
        <v/>
      </c>
      <c r="C643" s="68">
        <f>'Calendario D'!O237</f>
        <v/>
      </c>
      <c r="D643" s="68">
        <f>'Calendario D'!P237</f>
        <v/>
      </c>
      <c r="E643" s="68">
        <f>'Calendario D'!Q237</f>
        <v/>
      </c>
      <c r="F643" s="68">
        <f>'Calendario D'!R237</f>
        <v/>
      </c>
      <c r="G643" s="68">
        <f>'Calendario D'!S237</f>
        <v/>
      </c>
      <c r="H643" s="68">
        <f>'Calendario D'!T237</f>
        <v/>
      </c>
      <c r="I643" s="68">
        <f>'Calendario D'!U237</f>
        <v/>
      </c>
      <c r="J643" s="68">
        <f>'Calendario D'!V237</f>
        <v/>
      </c>
      <c r="K643" s="68">
        <f>'Calendario D'!W237</f>
        <v/>
      </c>
      <c r="L643" s="68">
        <f>'Calendario D'!X237</f>
        <v/>
      </c>
      <c r="M643" s="68">
        <f>'Calendario D'!Y237</f>
        <v/>
      </c>
      <c r="N643" s="68">
        <f>'Calendario D'!Z237</f>
        <v/>
      </c>
    </row>
    <row r="644">
      <c r="A644" s="68">
        <f>'Calendario D'!M240</f>
        <v/>
      </c>
      <c r="B644" s="68">
        <f>'Calendario D'!N240</f>
        <v/>
      </c>
      <c r="C644" s="68">
        <f>'Calendario D'!O240</f>
        <v/>
      </c>
      <c r="D644" s="68">
        <f>'Calendario D'!P240</f>
        <v/>
      </c>
      <c r="E644" s="68">
        <f>'Calendario D'!Q240</f>
        <v/>
      </c>
      <c r="F644" s="68">
        <f>'Calendario D'!R240</f>
        <v/>
      </c>
      <c r="G644" s="68">
        <f>'Calendario D'!S240</f>
        <v/>
      </c>
      <c r="H644" s="68">
        <f>'Calendario D'!T240</f>
        <v/>
      </c>
      <c r="I644" s="68">
        <f>'Calendario D'!U240</f>
        <v/>
      </c>
      <c r="J644" s="68">
        <f>'Calendario D'!V240</f>
        <v/>
      </c>
      <c r="K644" s="68">
        <f>'Calendario D'!W240</f>
        <v/>
      </c>
      <c r="L644" s="68">
        <f>'Calendario D'!X240</f>
        <v/>
      </c>
      <c r="M644" s="68">
        <f>'Calendario D'!Y240</f>
        <v/>
      </c>
      <c r="N644" s="68">
        <f>'Calendario D'!Z240</f>
        <v/>
      </c>
    </row>
    <row r="645">
      <c r="A645" s="68">
        <f>'Calendario D'!M243</f>
        <v/>
      </c>
      <c r="B645" s="68">
        <f>'Calendario D'!N243</f>
        <v/>
      </c>
      <c r="C645" s="68">
        <f>'Calendario D'!O243</f>
        <v/>
      </c>
      <c r="D645" s="68">
        <f>'Calendario D'!P243</f>
        <v/>
      </c>
      <c r="E645" s="68">
        <f>'Calendario D'!Q243</f>
        <v/>
      </c>
      <c r="F645" s="68">
        <f>'Calendario D'!R243</f>
        <v/>
      </c>
      <c r="G645" s="68">
        <f>'Calendario D'!S243</f>
        <v/>
      </c>
      <c r="H645" s="68">
        <f>'Calendario D'!T243</f>
        <v/>
      </c>
      <c r="I645" s="68">
        <f>'Calendario D'!U243</f>
        <v/>
      </c>
      <c r="J645" s="68">
        <f>'Calendario D'!V243</f>
        <v/>
      </c>
      <c r="K645" s="68">
        <f>'Calendario D'!W243</f>
        <v/>
      </c>
      <c r="L645" s="68">
        <f>'Calendario D'!X243</f>
        <v/>
      </c>
      <c r="M645" s="68">
        <f>'Calendario D'!Y243</f>
        <v/>
      </c>
      <c r="N645" s="68">
        <f>'Calendario D'!Z243</f>
        <v/>
      </c>
    </row>
    <row r="646">
      <c r="A646" s="68">
        <f>'Calendario D'!M246</f>
        <v/>
      </c>
      <c r="B646" s="68">
        <f>'Calendario D'!N246</f>
        <v/>
      </c>
      <c r="C646" s="68">
        <f>'Calendario D'!O246</f>
        <v/>
      </c>
      <c r="D646" s="68">
        <f>'Calendario D'!P246</f>
        <v/>
      </c>
      <c r="E646" s="68">
        <f>'Calendario D'!Q246</f>
        <v/>
      </c>
      <c r="F646" s="68">
        <f>'Calendario D'!R246</f>
        <v/>
      </c>
      <c r="G646" s="68">
        <f>'Calendario D'!S246</f>
        <v/>
      </c>
      <c r="H646" s="68">
        <f>'Calendario D'!T246</f>
        <v/>
      </c>
      <c r="I646" s="68">
        <f>'Calendario D'!U246</f>
        <v/>
      </c>
      <c r="J646" s="68">
        <f>'Calendario D'!V246</f>
        <v/>
      </c>
      <c r="K646" s="68">
        <f>'Calendario D'!W246</f>
        <v/>
      </c>
      <c r="L646" s="68">
        <f>'Calendario D'!X246</f>
        <v/>
      </c>
      <c r="M646" s="68">
        <f>'Calendario D'!Y246</f>
        <v/>
      </c>
      <c r="N646" s="68">
        <f>'Calendario D'!Z246</f>
        <v/>
      </c>
    </row>
    <row r="647">
      <c r="A647" s="68">
        <f>'Calendario D'!M249</f>
        <v/>
      </c>
      <c r="B647" s="68">
        <f>'Calendario D'!N249</f>
        <v/>
      </c>
      <c r="C647" s="68">
        <f>'Calendario D'!O249</f>
        <v/>
      </c>
      <c r="D647" s="68">
        <f>'Calendario D'!P249</f>
        <v/>
      </c>
      <c r="E647" s="68">
        <f>'Calendario D'!Q249</f>
        <v/>
      </c>
      <c r="F647" s="68">
        <f>'Calendario D'!R249</f>
        <v/>
      </c>
      <c r="G647" s="68">
        <f>'Calendario D'!S249</f>
        <v/>
      </c>
      <c r="H647" s="68">
        <f>'Calendario D'!T249</f>
        <v/>
      </c>
      <c r="I647" s="68">
        <f>'Calendario D'!U249</f>
        <v/>
      </c>
      <c r="J647" s="68">
        <f>'Calendario D'!V249</f>
        <v/>
      </c>
      <c r="K647" s="68">
        <f>'Calendario D'!W249</f>
        <v/>
      </c>
      <c r="L647" s="68">
        <f>'Calendario D'!X249</f>
        <v/>
      </c>
      <c r="M647" s="68">
        <f>'Calendario D'!Y249</f>
        <v/>
      </c>
      <c r="N647" s="68">
        <f>'Calendario D'!Z249</f>
        <v/>
      </c>
    </row>
    <row r="648">
      <c r="A648" s="68">
        <f>'Calendario D'!M252</f>
        <v/>
      </c>
      <c r="B648" s="68">
        <f>'Calendario D'!N252</f>
        <v/>
      </c>
      <c r="C648" s="68">
        <f>'Calendario D'!O252</f>
        <v/>
      </c>
      <c r="D648" s="68">
        <f>'Calendario D'!P252</f>
        <v/>
      </c>
      <c r="E648" s="68">
        <f>'Calendario D'!Q252</f>
        <v/>
      </c>
      <c r="F648" s="68">
        <f>'Calendario D'!R252</f>
        <v/>
      </c>
      <c r="G648" s="68">
        <f>'Calendario D'!S252</f>
        <v/>
      </c>
      <c r="H648" s="68">
        <f>'Calendario D'!T252</f>
        <v/>
      </c>
      <c r="I648" s="68">
        <f>'Calendario D'!U252</f>
        <v/>
      </c>
      <c r="J648" s="68">
        <f>'Calendario D'!V252</f>
        <v/>
      </c>
      <c r="K648" s="68">
        <f>'Calendario D'!W252</f>
        <v/>
      </c>
      <c r="L648" s="68">
        <f>'Calendario D'!X252</f>
        <v/>
      </c>
      <c r="M648" s="68">
        <f>'Calendario D'!Y252</f>
        <v/>
      </c>
      <c r="N648" s="68">
        <f>'Calendario D'!Z252</f>
        <v/>
      </c>
    </row>
    <row r="649">
      <c r="A649" s="68">
        <f>'Calendario D'!M255</f>
        <v/>
      </c>
      <c r="B649" s="68">
        <f>'Calendario D'!N255</f>
        <v/>
      </c>
      <c r="C649" s="68">
        <f>'Calendario D'!O255</f>
        <v/>
      </c>
      <c r="D649" s="68">
        <f>'Calendario D'!P255</f>
        <v/>
      </c>
      <c r="E649" s="68">
        <f>'Calendario D'!Q255</f>
        <v/>
      </c>
      <c r="F649" s="68">
        <f>'Calendario D'!R255</f>
        <v/>
      </c>
      <c r="G649" s="68">
        <f>'Calendario D'!S255</f>
        <v/>
      </c>
      <c r="H649" s="68">
        <f>'Calendario D'!T255</f>
        <v/>
      </c>
      <c r="I649" s="68">
        <f>'Calendario D'!U255</f>
        <v/>
      </c>
      <c r="J649" s="68">
        <f>'Calendario D'!V255</f>
        <v/>
      </c>
      <c r="K649" s="68">
        <f>'Calendario D'!W255</f>
        <v/>
      </c>
      <c r="L649" s="68">
        <f>'Calendario D'!X255</f>
        <v/>
      </c>
      <c r="M649" s="68">
        <f>'Calendario D'!Y255</f>
        <v/>
      </c>
      <c r="N649" s="68">
        <f>'Calendario D'!Z255</f>
        <v/>
      </c>
    </row>
    <row r="650">
      <c r="A650" s="68">
        <f>'Calendario D'!M258</f>
        <v/>
      </c>
      <c r="B650" s="68">
        <f>'Calendario D'!N258</f>
        <v/>
      </c>
      <c r="C650" s="68">
        <f>'Calendario D'!O258</f>
        <v/>
      </c>
      <c r="D650" s="68">
        <f>'Calendario D'!P258</f>
        <v/>
      </c>
      <c r="E650" s="68">
        <f>'Calendario D'!Q258</f>
        <v/>
      </c>
      <c r="F650" s="68">
        <f>'Calendario D'!R258</f>
        <v/>
      </c>
      <c r="G650" s="68">
        <f>'Calendario D'!S258</f>
        <v/>
      </c>
      <c r="H650" s="68">
        <f>'Calendario D'!T258</f>
        <v/>
      </c>
      <c r="I650" s="68">
        <f>'Calendario D'!U258</f>
        <v/>
      </c>
      <c r="J650" s="68">
        <f>'Calendario D'!V258</f>
        <v/>
      </c>
      <c r="K650" s="68">
        <f>'Calendario D'!W258</f>
        <v/>
      </c>
      <c r="L650" s="68">
        <f>'Calendario D'!X258</f>
        <v/>
      </c>
      <c r="M650" s="68">
        <f>'Calendario D'!Y258</f>
        <v/>
      </c>
      <c r="N650" s="68">
        <f>'Calendario D'!Z258</f>
        <v/>
      </c>
    </row>
    <row r="651">
      <c r="A651" s="68">
        <f>'Calendario D'!M261</f>
        <v/>
      </c>
      <c r="B651" s="68">
        <f>'Calendario D'!N261</f>
        <v/>
      </c>
      <c r="C651" s="68">
        <f>'Calendario D'!O261</f>
        <v/>
      </c>
      <c r="D651" s="68">
        <f>'Calendario D'!P261</f>
        <v/>
      </c>
      <c r="E651" s="68">
        <f>'Calendario D'!Q261</f>
        <v/>
      </c>
      <c r="F651" s="68">
        <f>'Calendario D'!R261</f>
        <v/>
      </c>
      <c r="G651" s="68">
        <f>'Calendario D'!S261</f>
        <v/>
      </c>
      <c r="H651" s="68">
        <f>'Calendario D'!T261</f>
        <v/>
      </c>
      <c r="I651" s="68">
        <f>'Calendario D'!U261</f>
        <v/>
      </c>
      <c r="J651" s="68">
        <f>'Calendario D'!V261</f>
        <v/>
      </c>
      <c r="K651" s="68">
        <f>'Calendario D'!W261</f>
        <v/>
      </c>
      <c r="L651" s="68">
        <f>'Calendario D'!X261</f>
        <v/>
      </c>
      <c r="M651" s="68">
        <f>'Calendario D'!Y261</f>
        <v/>
      </c>
      <c r="N651" s="68">
        <f>'Calendario D'!Z261</f>
        <v/>
      </c>
    </row>
    <row r="652">
      <c r="A652" s="68">
        <f>'Calendario D'!M266</f>
        <v/>
      </c>
      <c r="B652" s="68">
        <f>'Calendario D'!N266</f>
        <v/>
      </c>
      <c r="C652" s="68">
        <f>'Calendario D'!O266</f>
        <v/>
      </c>
      <c r="D652" s="68">
        <f>'Calendario D'!P266</f>
        <v/>
      </c>
      <c r="E652" s="68">
        <f>'Calendario D'!Q266</f>
        <v/>
      </c>
      <c r="F652" s="68">
        <f>'Calendario D'!R266</f>
        <v/>
      </c>
      <c r="G652" s="68">
        <f>'Calendario D'!S266</f>
        <v/>
      </c>
      <c r="H652" s="68">
        <f>'Calendario D'!T266</f>
        <v/>
      </c>
      <c r="I652" s="68">
        <f>'Calendario D'!U266</f>
        <v/>
      </c>
      <c r="J652" s="68">
        <f>'Calendario D'!V266</f>
        <v/>
      </c>
      <c r="K652" s="68">
        <f>'Calendario D'!W266</f>
        <v/>
      </c>
      <c r="L652" s="68">
        <f>'Calendario D'!X266</f>
        <v/>
      </c>
      <c r="M652" s="68">
        <f>'Calendario D'!Y266</f>
        <v/>
      </c>
      <c r="N652" s="68">
        <f>'Calendario D'!Z266</f>
        <v/>
      </c>
    </row>
    <row r="653">
      <c r="A653" s="68">
        <f>'Calendario D'!M269</f>
        <v/>
      </c>
      <c r="B653" s="68">
        <f>'Calendario D'!N269</f>
        <v/>
      </c>
      <c r="C653" s="68">
        <f>'Calendario D'!O269</f>
        <v/>
      </c>
      <c r="D653" s="68">
        <f>'Calendario D'!P269</f>
        <v/>
      </c>
      <c r="E653" s="68">
        <f>'Calendario D'!Q269</f>
        <v/>
      </c>
      <c r="F653" s="68">
        <f>'Calendario D'!R269</f>
        <v/>
      </c>
      <c r="G653" s="68">
        <f>'Calendario D'!S269</f>
        <v/>
      </c>
      <c r="H653" s="68">
        <f>'Calendario D'!T269</f>
        <v/>
      </c>
      <c r="I653" s="68">
        <f>'Calendario D'!U269</f>
        <v/>
      </c>
      <c r="J653" s="68">
        <f>'Calendario D'!V269</f>
        <v/>
      </c>
      <c r="K653" s="68">
        <f>'Calendario D'!W269</f>
        <v/>
      </c>
      <c r="L653" s="68">
        <f>'Calendario D'!X269</f>
        <v/>
      </c>
      <c r="M653" s="68">
        <f>'Calendario D'!Y269</f>
        <v/>
      </c>
      <c r="N653" s="68">
        <f>'Calendario D'!Z269</f>
        <v/>
      </c>
    </row>
    <row r="654">
      <c r="A654" s="68">
        <f>'Calendario D'!M272</f>
        <v/>
      </c>
      <c r="B654" s="68">
        <f>'Calendario D'!N272</f>
        <v/>
      </c>
      <c r="C654" s="68">
        <f>'Calendario D'!O272</f>
        <v/>
      </c>
      <c r="D654" s="68">
        <f>'Calendario D'!P272</f>
        <v/>
      </c>
      <c r="E654" s="68">
        <f>'Calendario D'!Q272</f>
        <v/>
      </c>
      <c r="F654" s="68">
        <f>'Calendario D'!R272</f>
        <v/>
      </c>
      <c r="G654" s="68">
        <f>'Calendario D'!S272</f>
        <v/>
      </c>
      <c r="H654" s="68">
        <f>'Calendario D'!T272</f>
        <v/>
      </c>
      <c r="I654" s="68">
        <f>'Calendario D'!U272</f>
        <v/>
      </c>
      <c r="J654" s="68">
        <f>'Calendario D'!V272</f>
        <v/>
      </c>
      <c r="K654" s="68">
        <f>'Calendario D'!W272</f>
        <v/>
      </c>
      <c r="L654" s="68">
        <f>'Calendario D'!X272</f>
        <v/>
      </c>
      <c r="M654" s="68">
        <f>'Calendario D'!Y272</f>
        <v/>
      </c>
      <c r="N654" s="68">
        <f>'Calendario D'!Z272</f>
        <v/>
      </c>
    </row>
    <row r="655">
      <c r="A655" s="68">
        <f>'Calendario D'!M275</f>
        <v/>
      </c>
      <c r="B655" s="68">
        <f>'Calendario D'!N275</f>
        <v/>
      </c>
      <c r="C655" s="68">
        <f>'Calendario D'!O275</f>
        <v/>
      </c>
      <c r="D655" s="68">
        <f>'Calendario D'!P275</f>
        <v/>
      </c>
      <c r="E655" s="68">
        <f>'Calendario D'!Q275</f>
        <v/>
      </c>
      <c r="F655" s="68">
        <f>'Calendario D'!R275</f>
        <v/>
      </c>
      <c r="G655" s="68">
        <f>'Calendario D'!S275</f>
        <v/>
      </c>
      <c r="H655" s="68">
        <f>'Calendario D'!T275</f>
        <v/>
      </c>
      <c r="I655" s="68">
        <f>'Calendario D'!U275</f>
        <v/>
      </c>
      <c r="J655" s="68">
        <f>'Calendario D'!V275</f>
        <v/>
      </c>
      <c r="K655" s="68">
        <f>'Calendario D'!W275</f>
        <v/>
      </c>
      <c r="L655" s="68">
        <f>'Calendario D'!X275</f>
        <v/>
      </c>
      <c r="M655" s="68">
        <f>'Calendario D'!Y275</f>
        <v/>
      </c>
      <c r="N655" s="68">
        <f>'Calendario D'!Z275</f>
        <v/>
      </c>
    </row>
    <row r="656">
      <c r="A656" s="68">
        <f>'Calendario D'!M278</f>
        <v/>
      </c>
      <c r="B656" s="68">
        <f>'Calendario D'!N278</f>
        <v/>
      </c>
      <c r="C656" s="68">
        <f>'Calendario D'!O278</f>
        <v/>
      </c>
      <c r="D656" s="68">
        <f>'Calendario D'!P278</f>
        <v/>
      </c>
      <c r="E656" s="68">
        <f>'Calendario D'!Q278</f>
        <v/>
      </c>
      <c r="F656" s="68">
        <f>'Calendario D'!R278</f>
        <v/>
      </c>
      <c r="G656" s="68">
        <f>'Calendario D'!S278</f>
        <v/>
      </c>
      <c r="H656" s="68">
        <f>'Calendario D'!T278</f>
        <v/>
      </c>
      <c r="I656" s="68">
        <f>'Calendario D'!U278</f>
        <v/>
      </c>
      <c r="J656" s="68">
        <f>'Calendario D'!V278</f>
        <v/>
      </c>
      <c r="K656" s="68">
        <f>'Calendario D'!W278</f>
        <v/>
      </c>
      <c r="L656" s="68">
        <f>'Calendario D'!X278</f>
        <v/>
      </c>
      <c r="M656" s="68">
        <f>'Calendario D'!Y278</f>
        <v/>
      </c>
      <c r="N656" s="68">
        <f>'Calendario D'!Z278</f>
        <v/>
      </c>
    </row>
    <row r="657">
      <c r="A657" s="68">
        <f>'Calendario D'!M281</f>
        <v/>
      </c>
      <c r="B657" s="68">
        <f>'Calendario D'!N281</f>
        <v/>
      </c>
      <c r="C657" s="68">
        <f>'Calendario D'!O281</f>
        <v/>
      </c>
      <c r="D657" s="68">
        <f>'Calendario D'!P281</f>
        <v/>
      </c>
      <c r="E657" s="68">
        <f>'Calendario D'!Q281</f>
        <v/>
      </c>
      <c r="F657" s="68">
        <f>'Calendario D'!R281</f>
        <v/>
      </c>
      <c r="G657" s="68">
        <f>'Calendario D'!S281</f>
        <v/>
      </c>
      <c r="H657" s="68">
        <f>'Calendario D'!T281</f>
        <v/>
      </c>
      <c r="I657" s="68">
        <f>'Calendario D'!U281</f>
        <v/>
      </c>
      <c r="J657" s="68">
        <f>'Calendario D'!V281</f>
        <v/>
      </c>
      <c r="K657" s="68">
        <f>'Calendario D'!W281</f>
        <v/>
      </c>
      <c r="L657" s="68">
        <f>'Calendario D'!X281</f>
        <v/>
      </c>
      <c r="M657" s="68">
        <f>'Calendario D'!Y281</f>
        <v/>
      </c>
      <c r="N657" s="68">
        <f>'Calendario D'!Z281</f>
        <v/>
      </c>
    </row>
    <row r="658">
      <c r="A658" s="68">
        <f>'Calendario D'!M284</f>
        <v/>
      </c>
      <c r="B658" s="68">
        <f>'Calendario D'!N284</f>
        <v/>
      </c>
      <c r="C658" s="68">
        <f>'Calendario D'!O284</f>
        <v/>
      </c>
      <c r="D658" s="68">
        <f>'Calendario D'!P284</f>
        <v/>
      </c>
      <c r="E658" s="68">
        <f>'Calendario D'!Q284</f>
        <v/>
      </c>
      <c r="F658" s="68">
        <f>'Calendario D'!R284</f>
        <v/>
      </c>
      <c r="G658" s="68">
        <f>'Calendario D'!S284</f>
        <v/>
      </c>
      <c r="H658" s="68">
        <f>'Calendario D'!T284</f>
        <v/>
      </c>
      <c r="I658" s="68">
        <f>'Calendario D'!U284</f>
        <v/>
      </c>
      <c r="J658" s="68">
        <f>'Calendario D'!V284</f>
        <v/>
      </c>
      <c r="K658" s="68">
        <f>'Calendario D'!W284</f>
        <v/>
      </c>
      <c r="L658" s="68">
        <f>'Calendario D'!X284</f>
        <v/>
      </c>
      <c r="M658" s="68">
        <f>'Calendario D'!Y284</f>
        <v/>
      </c>
      <c r="N658" s="68">
        <f>'Calendario D'!Z284</f>
        <v/>
      </c>
    </row>
    <row r="659">
      <c r="A659" s="68">
        <f>'Calendario D'!M287</f>
        <v/>
      </c>
      <c r="B659" s="68">
        <f>'Calendario D'!N287</f>
        <v/>
      </c>
      <c r="C659" s="68">
        <f>'Calendario D'!O287</f>
        <v/>
      </c>
      <c r="D659" s="68">
        <f>'Calendario D'!P287</f>
        <v/>
      </c>
      <c r="E659" s="68">
        <f>'Calendario D'!Q287</f>
        <v/>
      </c>
      <c r="F659" s="68">
        <f>'Calendario D'!R287</f>
        <v/>
      </c>
      <c r="G659" s="68">
        <f>'Calendario D'!S287</f>
        <v/>
      </c>
      <c r="H659" s="68">
        <f>'Calendario D'!T287</f>
        <v/>
      </c>
      <c r="I659" s="68">
        <f>'Calendario D'!U287</f>
        <v/>
      </c>
      <c r="J659" s="68">
        <f>'Calendario D'!V287</f>
        <v/>
      </c>
      <c r="K659" s="68">
        <f>'Calendario D'!W287</f>
        <v/>
      </c>
      <c r="L659" s="68">
        <f>'Calendario D'!X287</f>
        <v/>
      </c>
      <c r="M659" s="68">
        <f>'Calendario D'!Y287</f>
        <v/>
      </c>
      <c r="N659" s="68">
        <f>'Calendario D'!Z287</f>
        <v/>
      </c>
    </row>
    <row r="660">
      <c r="A660" s="68">
        <f>'Calendario D'!M290</f>
        <v/>
      </c>
      <c r="B660" s="68">
        <f>'Calendario D'!N290</f>
        <v/>
      </c>
      <c r="C660" s="68">
        <f>'Calendario D'!O290</f>
        <v/>
      </c>
      <c r="D660" s="68">
        <f>'Calendario D'!P290</f>
        <v/>
      </c>
      <c r="E660" s="68">
        <f>'Calendario D'!Q290</f>
        <v/>
      </c>
      <c r="F660" s="68">
        <f>'Calendario D'!R290</f>
        <v/>
      </c>
      <c r="G660" s="68">
        <f>'Calendario D'!S290</f>
        <v/>
      </c>
      <c r="H660" s="68">
        <f>'Calendario D'!T290</f>
        <v/>
      </c>
      <c r="I660" s="68">
        <f>'Calendario D'!U290</f>
        <v/>
      </c>
      <c r="J660" s="68">
        <f>'Calendario D'!V290</f>
        <v/>
      </c>
      <c r="K660" s="68">
        <f>'Calendario D'!W290</f>
        <v/>
      </c>
      <c r="L660" s="68">
        <f>'Calendario D'!X290</f>
        <v/>
      </c>
      <c r="M660" s="68">
        <f>'Calendario D'!Y290</f>
        <v/>
      </c>
      <c r="N660" s="68">
        <f>'Calendario D'!Z290</f>
        <v/>
      </c>
    </row>
    <row r="661">
      <c r="A661" s="68">
        <f>'Calendario D'!M293</f>
        <v/>
      </c>
      <c r="B661" s="68">
        <f>'Calendario D'!N293</f>
        <v/>
      </c>
      <c r="C661" s="68">
        <f>'Calendario D'!O293</f>
        <v/>
      </c>
      <c r="D661" s="68">
        <f>'Calendario D'!P293</f>
        <v/>
      </c>
      <c r="E661" s="68">
        <f>'Calendario D'!Q293</f>
        <v/>
      </c>
      <c r="F661" s="68">
        <f>'Calendario D'!R293</f>
        <v/>
      </c>
      <c r="G661" s="68">
        <f>'Calendario D'!S293</f>
        <v/>
      </c>
      <c r="H661" s="68">
        <f>'Calendario D'!T293</f>
        <v/>
      </c>
      <c r="I661" s="68">
        <f>'Calendario D'!U293</f>
        <v/>
      </c>
      <c r="J661" s="68">
        <f>'Calendario D'!V293</f>
        <v/>
      </c>
      <c r="K661" s="68">
        <f>'Calendario D'!W293</f>
        <v/>
      </c>
      <c r="L661" s="68">
        <f>'Calendario D'!X293</f>
        <v/>
      </c>
      <c r="M661" s="68">
        <f>'Calendario D'!Y293</f>
        <v/>
      </c>
      <c r="N661" s="68">
        <f>'Calendario D'!Z293</f>
        <v/>
      </c>
    </row>
    <row r="662">
      <c r="A662" s="68">
        <f>'Calendario D'!M298</f>
        <v/>
      </c>
      <c r="B662" s="68">
        <f>'Calendario D'!N298</f>
        <v/>
      </c>
      <c r="C662" s="68">
        <f>'Calendario D'!O298</f>
        <v/>
      </c>
      <c r="D662" s="68">
        <f>'Calendario D'!P298</f>
        <v/>
      </c>
      <c r="E662" s="68">
        <f>'Calendario D'!Q298</f>
        <v/>
      </c>
      <c r="F662" s="68">
        <f>'Calendario D'!R298</f>
        <v/>
      </c>
      <c r="G662" s="68">
        <f>'Calendario D'!S298</f>
        <v/>
      </c>
      <c r="H662" s="68">
        <f>'Calendario D'!T298</f>
        <v/>
      </c>
      <c r="I662" s="68">
        <f>'Calendario D'!U298</f>
        <v/>
      </c>
      <c r="J662" s="68">
        <f>'Calendario D'!V298</f>
        <v/>
      </c>
      <c r="K662" s="68">
        <f>'Calendario D'!W298</f>
        <v/>
      </c>
      <c r="L662" s="68">
        <f>'Calendario D'!X298</f>
        <v/>
      </c>
      <c r="M662" s="68">
        <f>'Calendario D'!Y298</f>
        <v/>
      </c>
      <c r="N662" s="68">
        <f>'Calendario D'!Z298</f>
        <v/>
      </c>
    </row>
    <row r="663">
      <c r="A663" s="68">
        <f>'Calendario D'!M301</f>
        <v/>
      </c>
      <c r="B663" s="68">
        <f>'Calendario D'!N301</f>
        <v/>
      </c>
      <c r="C663" s="68">
        <f>'Calendario D'!O301</f>
        <v/>
      </c>
      <c r="D663" s="68">
        <f>'Calendario D'!P301</f>
        <v/>
      </c>
      <c r="E663" s="68">
        <f>'Calendario D'!Q301</f>
        <v/>
      </c>
      <c r="F663" s="68">
        <f>'Calendario D'!R301</f>
        <v/>
      </c>
      <c r="G663" s="68">
        <f>'Calendario D'!S301</f>
        <v/>
      </c>
      <c r="H663" s="68">
        <f>'Calendario D'!T301</f>
        <v/>
      </c>
      <c r="I663" s="68">
        <f>'Calendario D'!U301</f>
        <v/>
      </c>
      <c r="J663" s="68">
        <f>'Calendario D'!V301</f>
        <v/>
      </c>
      <c r="K663" s="68">
        <f>'Calendario D'!W301</f>
        <v/>
      </c>
      <c r="L663" s="68">
        <f>'Calendario D'!X301</f>
        <v/>
      </c>
      <c r="M663" s="68">
        <f>'Calendario D'!Y301</f>
        <v/>
      </c>
      <c r="N663" s="68">
        <f>'Calendario D'!Z301</f>
        <v/>
      </c>
    </row>
    <row r="664">
      <c r="A664" s="68">
        <f>'Calendario D'!M304</f>
        <v/>
      </c>
      <c r="B664" s="68">
        <f>'Calendario D'!N304</f>
        <v/>
      </c>
      <c r="C664" s="68">
        <f>'Calendario D'!O304</f>
        <v/>
      </c>
      <c r="D664" s="68">
        <f>'Calendario D'!P304</f>
        <v/>
      </c>
      <c r="E664" s="68">
        <f>'Calendario D'!Q304</f>
        <v/>
      </c>
      <c r="F664" s="68">
        <f>'Calendario D'!R304</f>
        <v/>
      </c>
      <c r="G664" s="68">
        <f>'Calendario D'!S304</f>
        <v/>
      </c>
      <c r="H664" s="68">
        <f>'Calendario D'!T304</f>
        <v/>
      </c>
      <c r="I664" s="68">
        <f>'Calendario D'!U304</f>
        <v/>
      </c>
      <c r="J664" s="68">
        <f>'Calendario D'!V304</f>
        <v/>
      </c>
      <c r="K664" s="68">
        <f>'Calendario D'!W304</f>
        <v/>
      </c>
      <c r="L664" s="68">
        <f>'Calendario D'!X304</f>
        <v/>
      </c>
      <c r="M664" s="68">
        <f>'Calendario D'!Y304</f>
        <v/>
      </c>
      <c r="N664" s="68">
        <f>'Calendario D'!Z304</f>
        <v/>
      </c>
    </row>
    <row r="665">
      <c r="A665" s="68">
        <f>'Calendario D'!M307</f>
        <v/>
      </c>
      <c r="B665" s="68">
        <f>'Calendario D'!N307</f>
        <v/>
      </c>
      <c r="C665" s="68">
        <f>'Calendario D'!O307</f>
        <v/>
      </c>
      <c r="D665" s="68">
        <f>'Calendario D'!P307</f>
        <v/>
      </c>
      <c r="E665" s="68">
        <f>'Calendario D'!Q307</f>
        <v/>
      </c>
      <c r="F665" s="68">
        <f>'Calendario D'!R307</f>
        <v/>
      </c>
      <c r="G665" s="68">
        <f>'Calendario D'!S307</f>
        <v/>
      </c>
      <c r="H665" s="68">
        <f>'Calendario D'!T307</f>
        <v/>
      </c>
      <c r="I665" s="68">
        <f>'Calendario D'!U307</f>
        <v/>
      </c>
      <c r="J665" s="68">
        <f>'Calendario D'!V307</f>
        <v/>
      </c>
      <c r="K665" s="68">
        <f>'Calendario D'!W307</f>
        <v/>
      </c>
      <c r="L665" s="68">
        <f>'Calendario D'!X307</f>
        <v/>
      </c>
      <c r="M665" s="68">
        <f>'Calendario D'!Y307</f>
        <v/>
      </c>
      <c r="N665" s="68">
        <f>'Calendario D'!Z307</f>
        <v/>
      </c>
    </row>
    <row r="666">
      <c r="A666" s="68">
        <f>'Calendario D'!M310</f>
        <v/>
      </c>
      <c r="B666" s="68">
        <f>'Calendario D'!N310</f>
        <v/>
      </c>
      <c r="C666" s="68">
        <f>'Calendario D'!O310</f>
        <v/>
      </c>
      <c r="D666" s="68">
        <f>'Calendario D'!P310</f>
        <v/>
      </c>
      <c r="E666" s="68">
        <f>'Calendario D'!Q310</f>
        <v/>
      </c>
      <c r="F666" s="68">
        <f>'Calendario D'!R310</f>
        <v/>
      </c>
      <c r="G666" s="68">
        <f>'Calendario D'!S310</f>
        <v/>
      </c>
      <c r="H666" s="68">
        <f>'Calendario D'!T310</f>
        <v/>
      </c>
      <c r="I666" s="68">
        <f>'Calendario D'!U310</f>
        <v/>
      </c>
      <c r="J666" s="68">
        <f>'Calendario D'!V310</f>
        <v/>
      </c>
      <c r="K666" s="68">
        <f>'Calendario D'!W310</f>
        <v/>
      </c>
      <c r="L666" s="68">
        <f>'Calendario D'!X310</f>
        <v/>
      </c>
      <c r="M666" s="68">
        <f>'Calendario D'!Y310</f>
        <v/>
      </c>
      <c r="N666" s="68">
        <f>'Calendario D'!Z310</f>
        <v/>
      </c>
    </row>
    <row r="667">
      <c r="A667" s="68">
        <f>'Calendario D'!M313</f>
        <v/>
      </c>
      <c r="B667" s="68">
        <f>'Calendario D'!N313</f>
        <v/>
      </c>
      <c r="C667" s="68">
        <f>'Calendario D'!O313</f>
        <v/>
      </c>
      <c r="D667" s="68">
        <f>'Calendario D'!P313</f>
        <v/>
      </c>
      <c r="E667" s="68">
        <f>'Calendario D'!Q313</f>
        <v/>
      </c>
      <c r="F667" s="68">
        <f>'Calendario D'!R313</f>
        <v/>
      </c>
      <c r="G667" s="68">
        <f>'Calendario D'!S313</f>
        <v/>
      </c>
      <c r="H667" s="68">
        <f>'Calendario D'!T313</f>
        <v/>
      </c>
      <c r="I667" s="68">
        <f>'Calendario D'!U313</f>
        <v/>
      </c>
      <c r="J667" s="68">
        <f>'Calendario D'!V313</f>
        <v/>
      </c>
      <c r="K667" s="68">
        <f>'Calendario D'!W313</f>
        <v/>
      </c>
      <c r="L667" s="68">
        <f>'Calendario D'!X313</f>
        <v/>
      </c>
      <c r="M667" s="68">
        <f>'Calendario D'!Y313</f>
        <v/>
      </c>
      <c r="N667" s="68">
        <f>'Calendario D'!Z313</f>
        <v/>
      </c>
    </row>
    <row r="668">
      <c r="A668" s="68">
        <f>'Calendario D'!M316</f>
        <v/>
      </c>
      <c r="B668" s="68">
        <f>'Calendario D'!N316</f>
        <v/>
      </c>
      <c r="C668" s="68">
        <f>'Calendario D'!O316</f>
        <v/>
      </c>
      <c r="D668" s="68">
        <f>'Calendario D'!P316</f>
        <v/>
      </c>
      <c r="E668" s="68">
        <f>'Calendario D'!Q316</f>
        <v/>
      </c>
      <c r="F668" s="68">
        <f>'Calendario D'!R316</f>
        <v/>
      </c>
      <c r="G668" s="68">
        <f>'Calendario D'!S316</f>
        <v/>
      </c>
      <c r="H668" s="68">
        <f>'Calendario D'!T316</f>
        <v/>
      </c>
      <c r="I668" s="68">
        <f>'Calendario D'!U316</f>
        <v/>
      </c>
      <c r="J668" s="68">
        <f>'Calendario D'!V316</f>
        <v/>
      </c>
      <c r="K668" s="68">
        <f>'Calendario D'!W316</f>
        <v/>
      </c>
      <c r="L668" s="68">
        <f>'Calendario D'!X316</f>
        <v/>
      </c>
      <c r="M668" s="68">
        <f>'Calendario D'!Y316</f>
        <v/>
      </c>
      <c r="N668" s="68">
        <f>'Calendario D'!Z316</f>
        <v/>
      </c>
    </row>
    <row r="669">
      <c r="A669" s="68">
        <f>'Calendario D'!M319</f>
        <v/>
      </c>
      <c r="B669" s="68">
        <f>'Calendario D'!N319</f>
        <v/>
      </c>
      <c r="C669" s="68">
        <f>'Calendario D'!O319</f>
        <v/>
      </c>
      <c r="D669" s="68">
        <f>'Calendario D'!P319</f>
        <v/>
      </c>
      <c r="E669" s="68">
        <f>'Calendario D'!Q319</f>
        <v/>
      </c>
      <c r="F669" s="68">
        <f>'Calendario D'!R319</f>
        <v/>
      </c>
      <c r="G669" s="68">
        <f>'Calendario D'!S319</f>
        <v/>
      </c>
      <c r="H669" s="68">
        <f>'Calendario D'!T319</f>
        <v/>
      </c>
      <c r="I669" s="68">
        <f>'Calendario D'!U319</f>
        <v/>
      </c>
      <c r="J669" s="68">
        <f>'Calendario D'!V319</f>
        <v/>
      </c>
      <c r="K669" s="68">
        <f>'Calendario D'!W319</f>
        <v/>
      </c>
      <c r="L669" s="68">
        <f>'Calendario D'!X319</f>
        <v/>
      </c>
      <c r="M669" s="68">
        <f>'Calendario D'!Y319</f>
        <v/>
      </c>
      <c r="N669" s="68">
        <f>'Calendario D'!Z319</f>
        <v/>
      </c>
    </row>
    <row r="670">
      <c r="A670" s="68">
        <f>'Calendario D'!M322</f>
        <v/>
      </c>
      <c r="B670" s="68">
        <f>'Calendario D'!N322</f>
        <v/>
      </c>
      <c r="C670" s="68">
        <f>'Calendario D'!O322</f>
        <v/>
      </c>
      <c r="D670" s="68">
        <f>'Calendario D'!P322</f>
        <v/>
      </c>
      <c r="E670" s="68">
        <f>'Calendario D'!Q322</f>
        <v/>
      </c>
      <c r="F670" s="68">
        <f>'Calendario D'!R322</f>
        <v/>
      </c>
      <c r="G670" s="68">
        <f>'Calendario D'!S322</f>
        <v/>
      </c>
      <c r="H670" s="68">
        <f>'Calendario D'!T322</f>
        <v/>
      </c>
      <c r="I670" s="68">
        <f>'Calendario D'!U322</f>
        <v/>
      </c>
      <c r="J670" s="68">
        <f>'Calendario D'!V322</f>
        <v/>
      </c>
      <c r="K670" s="68">
        <f>'Calendario D'!W322</f>
        <v/>
      </c>
      <c r="L670" s="68">
        <f>'Calendario D'!X322</f>
        <v/>
      </c>
      <c r="M670" s="68">
        <f>'Calendario D'!Y322</f>
        <v/>
      </c>
      <c r="N670" s="68">
        <f>'Calendario D'!Z322</f>
        <v/>
      </c>
    </row>
    <row r="671">
      <c r="A671" s="68">
        <f>'Calendario D'!M325</f>
        <v/>
      </c>
      <c r="B671" s="68">
        <f>'Calendario D'!N325</f>
        <v/>
      </c>
      <c r="C671" s="68">
        <f>'Calendario D'!O325</f>
        <v/>
      </c>
      <c r="D671" s="68">
        <f>'Calendario D'!P325</f>
        <v/>
      </c>
      <c r="E671" s="68">
        <f>'Calendario D'!Q325</f>
        <v/>
      </c>
      <c r="F671" s="68">
        <f>'Calendario D'!R325</f>
        <v/>
      </c>
      <c r="G671" s="68">
        <f>'Calendario D'!S325</f>
        <v/>
      </c>
      <c r="H671" s="68">
        <f>'Calendario D'!T325</f>
        <v/>
      </c>
      <c r="I671" s="68">
        <f>'Calendario D'!U325</f>
        <v/>
      </c>
      <c r="J671" s="68">
        <f>'Calendario D'!V325</f>
        <v/>
      </c>
      <c r="K671" s="68">
        <f>'Calendario D'!W325</f>
        <v/>
      </c>
      <c r="L671" s="68">
        <f>'Calendario D'!X325</f>
        <v/>
      </c>
      <c r="M671" s="68">
        <f>'Calendario D'!Y325</f>
        <v/>
      </c>
      <c r="N671" s="68">
        <f>'Calendario D'!Z325</f>
        <v/>
      </c>
    </row>
    <row r="672">
      <c r="A672" s="68">
        <f>'Calendario D'!M330</f>
        <v/>
      </c>
      <c r="B672" s="68">
        <f>'Calendario D'!N330</f>
        <v/>
      </c>
      <c r="C672" s="68">
        <f>'Calendario D'!O330</f>
        <v/>
      </c>
      <c r="D672" s="68">
        <f>'Calendario D'!P330</f>
        <v/>
      </c>
      <c r="E672" s="68">
        <f>'Calendario D'!Q330</f>
        <v/>
      </c>
      <c r="F672" s="68">
        <f>'Calendario D'!R330</f>
        <v/>
      </c>
      <c r="G672" s="68">
        <f>'Calendario D'!S330</f>
        <v/>
      </c>
      <c r="H672" s="68">
        <f>'Calendario D'!T330</f>
        <v/>
      </c>
      <c r="I672" s="68">
        <f>'Calendario D'!U330</f>
        <v/>
      </c>
      <c r="J672" s="68">
        <f>'Calendario D'!V330</f>
        <v/>
      </c>
      <c r="K672" s="68">
        <f>'Calendario D'!W330</f>
        <v/>
      </c>
      <c r="L672" s="68">
        <f>'Calendario D'!X330</f>
        <v/>
      </c>
      <c r="M672" s="68">
        <f>'Calendario D'!Y330</f>
        <v/>
      </c>
      <c r="N672" s="68">
        <f>'Calendario D'!Z330</f>
        <v/>
      </c>
    </row>
    <row r="673">
      <c r="A673" s="68">
        <f>'Calendario D'!M333</f>
        <v/>
      </c>
      <c r="B673" s="68">
        <f>'Calendario D'!N333</f>
        <v/>
      </c>
      <c r="C673" s="68">
        <f>'Calendario D'!O333</f>
        <v/>
      </c>
      <c r="D673" s="68">
        <f>'Calendario D'!P333</f>
        <v/>
      </c>
      <c r="E673" s="68">
        <f>'Calendario D'!Q333</f>
        <v/>
      </c>
      <c r="F673" s="68">
        <f>'Calendario D'!R333</f>
        <v/>
      </c>
      <c r="G673" s="68">
        <f>'Calendario D'!S333</f>
        <v/>
      </c>
      <c r="H673" s="68">
        <f>'Calendario D'!T333</f>
        <v/>
      </c>
      <c r="I673" s="68">
        <f>'Calendario D'!U333</f>
        <v/>
      </c>
      <c r="J673" s="68">
        <f>'Calendario D'!V333</f>
        <v/>
      </c>
      <c r="K673" s="68">
        <f>'Calendario D'!W333</f>
        <v/>
      </c>
      <c r="L673" s="68">
        <f>'Calendario D'!X333</f>
        <v/>
      </c>
      <c r="M673" s="68">
        <f>'Calendario D'!Y333</f>
        <v/>
      </c>
      <c r="N673" s="68">
        <f>'Calendario D'!Z333</f>
        <v/>
      </c>
    </row>
    <row r="674">
      <c r="A674" s="68">
        <f>'Calendario D'!M336</f>
        <v/>
      </c>
      <c r="B674" s="68">
        <f>'Calendario D'!N336</f>
        <v/>
      </c>
      <c r="C674" s="68">
        <f>'Calendario D'!O336</f>
        <v/>
      </c>
      <c r="D674" s="68">
        <f>'Calendario D'!P336</f>
        <v/>
      </c>
      <c r="E674" s="68">
        <f>'Calendario D'!Q336</f>
        <v/>
      </c>
      <c r="F674" s="68">
        <f>'Calendario D'!R336</f>
        <v/>
      </c>
      <c r="G674" s="68">
        <f>'Calendario D'!S336</f>
        <v/>
      </c>
      <c r="H674" s="68">
        <f>'Calendario D'!T336</f>
        <v/>
      </c>
      <c r="I674" s="68">
        <f>'Calendario D'!U336</f>
        <v/>
      </c>
      <c r="J674" s="68">
        <f>'Calendario D'!V336</f>
        <v/>
      </c>
      <c r="K674" s="68">
        <f>'Calendario D'!W336</f>
        <v/>
      </c>
      <c r="L674" s="68">
        <f>'Calendario D'!X336</f>
        <v/>
      </c>
      <c r="M674" s="68">
        <f>'Calendario D'!Y336</f>
        <v/>
      </c>
      <c r="N674" s="68">
        <f>'Calendario D'!Z336</f>
        <v/>
      </c>
    </row>
    <row r="675">
      <c r="A675" s="68">
        <f>'Calendario D'!M339</f>
        <v/>
      </c>
      <c r="B675" s="68">
        <f>'Calendario D'!N339</f>
        <v/>
      </c>
      <c r="C675" s="68">
        <f>'Calendario D'!O339</f>
        <v/>
      </c>
      <c r="D675" s="68">
        <f>'Calendario D'!P339</f>
        <v/>
      </c>
      <c r="E675" s="68">
        <f>'Calendario D'!Q339</f>
        <v/>
      </c>
      <c r="F675" s="68">
        <f>'Calendario D'!R339</f>
        <v/>
      </c>
      <c r="G675" s="68">
        <f>'Calendario D'!S339</f>
        <v/>
      </c>
      <c r="H675" s="68">
        <f>'Calendario D'!T339</f>
        <v/>
      </c>
      <c r="I675" s="68">
        <f>'Calendario D'!U339</f>
        <v/>
      </c>
      <c r="J675" s="68">
        <f>'Calendario D'!V339</f>
        <v/>
      </c>
      <c r="K675" s="68">
        <f>'Calendario D'!W339</f>
        <v/>
      </c>
      <c r="L675" s="68">
        <f>'Calendario D'!X339</f>
        <v/>
      </c>
      <c r="M675" s="68">
        <f>'Calendario D'!Y339</f>
        <v/>
      </c>
      <c r="N675" s="68">
        <f>'Calendario D'!Z339</f>
        <v/>
      </c>
    </row>
    <row r="676">
      <c r="A676" s="68">
        <f>'Calendario D'!M342</f>
        <v/>
      </c>
      <c r="B676" s="68">
        <f>'Calendario D'!N342</f>
        <v/>
      </c>
      <c r="C676" s="68">
        <f>'Calendario D'!O342</f>
        <v/>
      </c>
      <c r="D676" s="68">
        <f>'Calendario D'!P342</f>
        <v/>
      </c>
      <c r="E676" s="68">
        <f>'Calendario D'!Q342</f>
        <v/>
      </c>
      <c r="F676" s="68">
        <f>'Calendario D'!R342</f>
        <v/>
      </c>
      <c r="G676" s="68">
        <f>'Calendario D'!S342</f>
        <v/>
      </c>
      <c r="H676" s="68">
        <f>'Calendario D'!T342</f>
        <v/>
      </c>
      <c r="I676" s="68">
        <f>'Calendario D'!U342</f>
        <v/>
      </c>
      <c r="J676" s="68">
        <f>'Calendario D'!V342</f>
        <v/>
      </c>
      <c r="K676" s="68">
        <f>'Calendario D'!W342</f>
        <v/>
      </c>
      <c r="L676" s="68">
        <f>'Calendario D'!X342</f>
        <v/>
      </c>
      <c r="M676" s="68">
        <f>'Calendario D'!Y342</f>
        <v/>
      </c>
      <c r="N676" s="68">
        <f>'Calendario D'!Z342</f>
        <v/>
      </c>
    </row>
    <row r="677">
      <c r="A677" s="68">
        <f>'Calendario D'!M345</f>
        <v/>
      </c>
      <c r="B677" s="68">
        <f>'Calendario D'!N345</f>
        <v/>
      </c>
      <c r="C677" s="68">
        <f>'Calendario D'!O345</f>
        <v/>
      </c>
      <c r="D677" s="68">
        <f>'Calendario D'!P345</f>
        <v/>
      </c>
      <c r="E677" s="68">
        <f>'Calendario D'!Q345</f>
        <v/>
      </c>
      <c r="F677" s="68">
        <f>'Calendario D'!R345</f>
        <v/>
      </c>
      <c r="G677" s="68">
        <f>'Calendario D'!S345</f>
        <v/>
      </c>
      <c r="H677" s="68">
        <f>'Calendario D'!T345</f>
        <v/>
      </c>
      <c r="I677" s="68">
        <f>'Calendario D'!U345</f>
        <v/>
      </c>
      <c r="J677" s="68">
        <f>'Calendario D'!V345</f>
        <v/>
      </c>
      <c r="K677" s="68">
        <f>'Calendario D'!W345</f>
        <v/>
      </c>
      <c r="L677" s="68">
        <f>'Calendario D'!X345</f>
        <v/>
      </c>
      <c r="M677" s="68">
        <f>'Calendario D'!Y345</f>
        <v/>
      </c>
      <c r="N677" s="68">
        <f>'Calendario D'!Z345</f>
        <v/>
      </c>
    </row>
    <row r="678">
      <c r="A678" s="68">
        <f>'Calendario D'!M348</f>
        <v/>
      </c>
      <c r="B678" s="68">
        <f>'Calendario D'!N348</f>
        <v/>
      </c>
      <c r="C678" s="68">
        <f>'Calendario D'!O348</f>
        <v/>
      </c>
      <c r="D678" s="68">
        <f>'Calendario D'!P348</f>
        <v/>
      </c>
      <c r="E678" s="68">
        <f>'Calendario D'!Q348</f>
        <v/>
      </c>
      <c r="F678" s="68">
        <f>'Calendario D'!R348</f>
        <v/>
      </c>
      <c r="G678" s="68">
        <f>'Calendario D'!S348</f>
        <v/>
      </c>
      <c r="H678" s="68">
        <f>'Calendario D'!T348</f>
        <v/>
      </c>
      <c r="I678" s="68">
        <f>'Calendario D'!U348</f>
        <v/>
      </c>
      <c r="J678" s="68">
        <f>'Calendario D'!V348</f>
        <v/>
      </c>
      <c r="K678" s="68">
        <f>'Calendario D'!W348</f>
        <v/>
      </c>
      <c r="L678" s="68">
        <f>'Calendario D'!X348</f>
        <v/>
      </c>
      <c r="M678" s="68">
        <f>'Calendario D'!Y348</f>
        <v/>
      </c>
      <c r="N678" s="68">
        <f>'Calendario D'!Z348</f>
        <v/>
      </c>
    </row>
    <row r="679">
      <c r="A679" s="68">
        <f>'Calendario D'!M351</f>
        <v/>
      </c>
      <c r="B679" s="68">
        <f>'Calendario D'!N351</f>
        <v/>
      </c>
      <c r="C679" s="68">
        <f>'Calendario D'!O351</f>
        <v/>
      </c>
      <c r="D679" s="68">
        <f>'Calendario D'!P351</f>
        <v/>
      </c>
      <c r="E679" s="68">
        <f>'Calendario D'!Q351</f>
        <v/>
      </c>
      <c r="F679" s="68">
        <f>'Calendario D'!R351</f>
        <v/>
      </c>
      <c r="G679" s="68">
        <f>'Calendario D'!S351</f>
        <v/>
      </c>
      <c r="H679" s="68">
        <f>'Calendario D'!T351</f>
        <v/>
      </c>
      <c r="I679" s="68">
        <f>'Calendario D'!U351</f>
        <v/>
      </c>
      <c r="J679" s="68">
        <f>'Calendario D'!V351</f>
        <v/>
      </c>
      <c r="K679" s="68">
        <f>'Calendario D'!W351</f>
        <v/>
      </c>
      <c r="L679" s="68">
        <f>'Calendario D'!X351</f>
        <v/>
      </c>
      <c r="M679" s="68">
        <f>'Calendario D'!Y351</f>
        <v/>
      </c>
      <c r="N679" s="68">
        <f>'Calendario D'!Z351</f>
        <v/>
      </c>
    </row>
    <row r="680">
      <c r="A680" s="68">
        <f>'Calendario D'!M354</f>
        <v/>
      </c>
      <c r="B680" s="68">
        <f>'Calendario D'!N354</f>
        <v/>
      </c>
      <c r="C680" s="68">
        <f>'Calendario D'!O354</f>
        <v/>
      </c>
      <c r="D680" s="68">
        <f>'Calendario D'!P354</f>
        <v/>
      </c>
      <c r="E680" s="68">
        <f>'Calendario D'!Q354</f>
        <v/>
      </c>
      <c r="F680" s="68">
        <f>'Calendario D'!R354</f>
        <v/>
      </c>
      <c r="G680" s="68">
        <f>'Calendario D'!S354</f>
        <v/>
      </c>
      <c r="H680" s="68">
        <f>'Calendario D'!T354</f>
        <v/>
      </c>
      <c r="I680" s="68">
        <f>'Calendario D'!U354</f>
        <v/>
      </c>
      <c r="J680" s="68">
        <f>'Calendario D'!V354</f>
        <v/>
      </c>
      <c r="K680" s="68">
        <f>'Calendario D'!W354</f>
        <v/>
      </c>
      <c r="L680" s="68">
        <f>'Calendario D'!X354</f>
        <v/>
      </c>
      <c r="M680" s="68">
        <f>'Calendario D'!Y354</f>
        <v/>
      </c>
      <c r="N680" s="68">
        <f>'Calendario D'!Z354</f>
        <v/>
      </c>
    </row>
    <row r="681">
      <c r="A681" s="68">
        <f>'Calendario D'!M357</f>
        <v/>
      </c>
      <c r="B681" s="68">
        <f>'Calendario D'!N357</f>
        <v/>
      </c>
      <c r="C681" s="68">
        <f>'Calendario D'!O357</f>
        <v/>
      </c>
      <c r="D681" s="68">
        <f>'Calendario D'!P357</f>
        <v/>
      </c>
      <c r="E681" s="68">
        <f>'Calendario D'!Q357</f>
        <v/>
      </c>
      <c r="F681" s="68">
        <f>'Calendario D'!R357</f>
        <v/>
      </c>
      <c r="G681" s="68">
        <f>'Calendario D'!S357</f>
        <v/>
      </c>
      <c r="H681" s="68">
        <f>'Calendario D'!T357</f>
        <v/>
      </c>
      <c r="I681" s="68">
        <f>'Calendario D'!U357</f>
        <v/>
      </c>
      <c r="J681" s="68">
        <f>'Calendario D'!V357</f>
        <v/>
      </c>
      <c r="K681" s="68">
        <f>'Calendario D'!W357</f>
        <v/>
      </c>
      <c r="L681" s="68">
        <f>'Calendario D'!X357</f>
        <v/>
      </c>
      <c r="M681" s="68">
        <f>'Calendario D'!Y357</f>
        <v/>
      </c>
      <c r="N681" s="68">
        <f>'Calendario D'!Z357</f>
        <v/>
      </c>
    </row>
    <row r="682">
      <c r="A682" s="68">
        <f>'Calendario D'!M362</f>
        <v/>
      </c>
      <c r="B682" s="68">
        <f>'Calendario D'!N362</f>
        <v/>
      </c>
      <c r="C682" s="68">
        <f>'Calendario D'!O362</f>
        <v/>
      </c>
      <c r="D682" s="68">
        <f>'Calendario D'!P362</f>
        <v/>
      </c>
      <c r="E682" s="68">
        <f>'Calendario D'!Q362</f>
        <v/>
      </c>
      <c r="F682" s="68">
        <f>'Calendario D'!R362</f>
        <v/>
      </c>
      <c r="G682" s="68">
        <f>'Calendario D'!S362</f>
        <v/>
      </c>
      <c r="H682" s="68">
        <f>'Calendario D'!T362</f>
        <v/>
      </c>
      <c r="I682" s="68">
        <f>'Calendario D'!U362</f>
        <v/>
      </c>
      <c r="J682" s="68">
        <f>'Calendario D'!V362</f>
        <v/>
      </c>
      <c r="K682" s="68">
        <f>'Calendario D'!W362</f>
        <v/>
      </c>
      <c r="L682" s="68">
        <f>'Calendario D'!X362</f>
        <v/>
      </c>
      <c r="M682" s="68">
        <f>'Calendario D'!Y362</f>
        <v/>
      </c>
      <c r="N682" s="68">
        <f>'Calendario D'!Z362</f>
        <v/>
      </c>
    </row>
    <row r="683">
      <c r="A683" s="68">
        <f>'Calendario D'!M365</f>
        <v/>
      </c>
      <c r="B683" s="68">
        <f>'Calendario D'!N365</f>
        <v/>
      </c>
      <c r="C683" s="68">
        <f>'Calendario D'!O365</f>
        <v/>
      </c>
      <c r="D683" s="68">
        <f>'Calendario D'!P365</f>
        <v/>
      </c>
      <c r="E683" s="68">
        <f>'Calendario D'!Q365</f>
        <v/>
      </c>
      <c r="F683" s="68">
        <f>'Calendario D'!R365</f>
        <v/>
      </c>
      <c r="G683" s="68">
        <f>'Calendario D'!S365</f>
        <v/>
      </c>
      <c r="H683" s="68">
        <f>'Calendario D'!T365</f>
        <v/>
      </c>
      <c r="I683" s="68">
        <f>'Calendario D'!U365</f>
        <v/>
      </c>
      <c r="J683" s="68">
        <f>'Calendario D'!V365</f>
        <v/>
      </c>
      <c r="K683" s="68">
        <f>'Calendario D'!W365</f>
        <v/>
      </c>
      <c r="L683" s="68">
        <f>'Calendario D'!X365</f>
        <v/>
      </c>
      <c r="M683" s="68">
        <f>'Calendario D'!Y365</f>
        <v/>
      </c>
      <c r="N683" s="68">
        <f>'Calendario D'!Z365</f>
        <v/>
      </c>
    </row>
    <row r="684">
      <c r="A684" s="68">
        <f>'Calendario D'!M368</f>
        <v/>
      </c>
      <c r="B684" s="68">
        <f>'Calendario D'!N368</f>
        <v/>
      </c>
      <c r="C684" s="68">
        <f>'Calendario D'!O368</f>
        <v/>
      </c>
      <c r="D684" s="68">
        <f>'Calendario D'!P368</f>
        <v/>
      </c>
      <c r="E684" s="68">
        <f>'Calendario D'!Q368</f>
        <v/>
      </c>
      <c r="F684" s="68">
        <f>'Calendario D'!R368</f>
        <v/>
      </c>
      <c r="G684" s="68">
        <f>'Calendario D'!S368</f>
        <v/>
      </c>
      <c r="H684" s="68">
        <f>'Calendario D'!T368</f>
        <v/>
      </c>
      <c r="I684" s="68">
        <f>'Calendario D'!U368</f>
        <v/>
      </c>
      <c r="J684" s="68">
        <f>'Calendario D'!V368</f>
        <v/>
      </c>
      <c r="K684" s="68">
        <f>'Calendario D'!W368</f>
        <v/>
      </c>
      <c r="L684" s="68">
        <f>'Calendario D'!X368</f>
        <v/>
      </c>
      <c r="M684" s="68">
        <f>'Calendario D'!Y368</f>
        <v/>
      </c>
      <c r="N684" s="68">
        <f>'Calendario D'!Z368</f>
        <v/>
      </c>
    </row>
    <row r="685">
      <c r="A685" s="68">
        <f>'Calendario D'!M371</f>
        <v/>
      </c>
      <c r="B685" s="68">
        <f>'Calendario D'!N371</f>
        <v/>
      </c>
      <c r="C685" s="68">
        <f>'Calendario D'!O371</f>
        <v/>
      </c>
      <c r="D685" s="68">
        <f>'Calendario D'!P371</f>
        <v/>
      </c>
      <c r="E685" s="68">
        <f>'Calendario D'!Q371</f>
        <v/>
      </c>
      <c r="F685" s="68">
        <f>'Calendario D'!R371</f>
        <v/>
      </c>
      <c r="G685" s="68">
        <f>'Calendario D'!S371</f>
        <v/>
      </c>
      <c r="H685" s="68">
        <f>'Calendario D'!T371</f>
        <v/>
      </c>
      <c r="I685" s="68">
        <f>'Calendario D'!U371</f>
        <v/>
      </c>
      <c r="J685" s="68">
        <f>'Calendario D'!V371</f>
        <v/>
      </c>
      <c r="K685" s="68">
        <f>'Calendario D'!W371</f>
        <v/>
      </c>
      <c r="L685" s="68">
        <f>'Calendario D'!X371</f>
        <v/>
      </c>
      <c r="M685" s="68">
        <f>'Calendario D'!Y371</f>
        <v/>
      </c>
      <c r="N685" s="68">
        <f>'Calendario D'!Z371</f>
        <v/>
      </c>
    </row>
    <row r="686">
      <c r="A686" s="68">
        <f>'Calendario D'!M374</f>
        <v/>
      </c>
      <c r="B686" s="68">
        <f>'Calendario D'!N374</f>
        <v/>
      </c>
      <c r="C686" s="68">
        <f>'Calendario D'!O374</f>
        <v/>
      </c>
      <c r="D686" s="68">
        <f>'Calendario D'!P374</f>
        <v/>
      </c>
      <c r="E686" s="68">
        <f>'Calendario D'!Q374</f>
        <v/>
      </c>
      <c r="F686" s="68">
        <f>'Calendario D'!R374</f>
        <v/>
      </c>
      <c r="G686" s="68">
        <f>'Calendario D'!S374</f>
        <v/>
      </c>
      <c r="H686" s="68">
        <f>'Calendario D'!T374</f>
        <v/>
      </c>
      <c r="I686" s="68">
        <f>'Calendario D'!U374</f>
        <v/>
      </c>
      <c r="J686" s="68">
        <f>'Calendario D'!V374</f>
        <v/>
      </c>
      <c r="K686" s="68">
        <f>'Calendario D'!W374</f>
        <v/>
      </c>
      <c r="L686" s="68">
        <f>'Calendario D'!X374</f>
        <v/>
      </c>
      <c r="M686" s="68">
        <f>'Calendario D'!Y374</f>
        <v/>
      </c>
      <c r="N686" s="68">
        <f>'Calendario D'!Z374</f>
        <v/>
      </c>
    </row>
    <row r="687">
      <c r="A687" s="68">
        <f>'Calendario D'!M377</f>
        <v/>
      </c>
      <c r="B687" s="68">
        <f>'Calendario D'!N377</f>
        <v/>
      </c>
      <c r="C687" s="68">
        <f>'Calendario D'!O377</f>
        <v/>
      </c>
      <c r="D687" s="68">
        <f>'Calendario D'!P377</f>
        <v/>
      </c>
      <c r="E687" s="68">
        <f>'Calendario D'!Q377</f>
        <v/>
      </c>
      <c r="F687" s="68">
        <f>'Calendario D'!R377</f>
        <v/>
      </c>
      <c r="G687" s="68">
        <f>'Calendario D'!S377</f>
        <v/>
      </c>
      <c r="H687" s="68">
        <f>'Calendario D'!T377</f>
        <v/>
      </c>
      <c r="I687" s="68">
        <f>'Calendario D'!U377</f>
        <v/>
      </c>
      <c r="J687" s="68">
        <f>'Calendario D'!V377</f>
        <v/>
      </c>
      <c r="K687" s="68">
        <f>'Calendario D'!W377</f>
        <v/>
      </c>
      <c r="L687" s="68">
        <f>'Calendario D'!X377</f>
        <v/>
      </c>
      <c r="M687" s="68">
        <f>'Calendario D'!Y377</f>
        <v/>
      </c>
      <c r="N687" s="68">
        <f>'Calendario D'!Z377</f>
        <v/>
      </c>
    </row>
    <row r="688">
      <c r="A688" s="68">
        <f>'Calendario D'!M380</f>
        <v/>
      </c>
      <c r="B688" s="68">
        <f>'Calendario D'!N380</f>
        <v/>
      </c>
      <c r="C688" s="68">
        <f>'Calendario D'!O380</f>
        <v/>
      </c>
      <c r="D688" s="68">
        <f>'Calendario D'!P380</f>
        <v/>
      </c>
      <c r="E688" s="68">
        <f>'Calendario D'!Q380</f>
        <v/>
      </c>
      <c r="F688" s="68">
        <f>'Calendario D'!R380</f>
        <v/>
      </c>
      <c r="G688" s="68">
        <f>'Calendario D'!S380</f>
        <v/>
      </c>
      <c r="H688" s="68">
        <f>'Calendario D'!T380</f>
        <v/>
      </c>
      <c r="I688" s="68">
        <f>'Calendario D'!U380</f>
        <v/>
      </c>
      <c r="J688" s="68">
        <f>'Calendario D'!V380</f>
        <v/>
      </c>
      <c r="K688" s="68">
        <f>'Calendario D'!W380</f>
        <v/>
      </c>
      <c r="L688" s="68">
        <f>'Calendario D'!X380</f>
        <v/>
      </c>
      <c r="M688" s="68">
        <f>'Calendario D'!Y380</f>
        <v/>
      </c>
      <c r="N688" s="68">
        <f>'Calendario D'!Z380</f>
        <v/>
      </c>
    </row>
    <row r="689">
      <c r="A689" s="68">
        <f>'Calendario D'!M383</f>
        <v/>
      </c>
      <c r="B689" s="68">
        <f>'Calendario D'!N383</f>
        <v/>
      </c>
      <c r="C689" s="68">
        <f>'Calendario D'!O383</f>
        <v/>
      </c>
      <c r="D689" s="68">
        <f>'Calendario D'!P383</f>
        <v/>
      </c>
      <c r="E689" s="68">
        <f>'Calendario D'!Q383</f>
        <v/>
      </c>
      <c r="F689" s="68">
        <f>'Calendario D'!R383</f>
        <v/>
      </c>
      <c r="G689" s="68">
        <f>'Calendario D'!S383</f>
        <v/>
      </c>
      <c r="H689" s="68">
        <f>'Calendario D'!T383</f>
        <v/>
      </c>
      <c r="I689" s="68">
        <f>'Calendario D'!U383</f>
        <v/>
      </c>
      <c r="J689" s="68">
        <f>'Calendario D'!V383</f>
        <v/>
      </c>
      <c r="K689" s="68">
        <f>'Calendario D'!W383</f>
        <v/>
      </c>
      <c r="L689" s="68">
        <f>'Calendario D'!X383</f>
        <v/>
      </c>
      <c r="M689" s="68">
        <f>'Calendario D'!Y383</f>
        <v/>
      </c>
      <c r="N689" s="68">
        <f>'Calendario D'!Z383</f>
        <v/>
      </c>
    </row>
    <row r="690">
      <c r="A690" s="68">
        <f>'Calendario D'!M386</f>
        <v/>
      </c>
      <c r="B690" s="68">
        <f>'Calendario D'!N386</f>
        <v/>
      </c>
      <c r="C690" s="68">
        <f>'Calendario D'!O386</f>
        <v/>
      </c>
      <c r="D690" s="68">
        <f>'Calendario D'!P386</f>
        <v/>
      </c>
      <c r="E690" s="68">
        <f>'Calendario D'!Q386</f>
        <v/>
      </c>
      <c r="F690" s="68">
        <f>'Calendario D'!R386</f>
        <v/>
      </c>
      <c r="G690" s="68">
        <f>'Calendario D'!S386</f>
        <v/>
      </c>
      <c r="H690" s="68">
        <f>'Calendario D'!T386</f>
        <v/>
      </c>
      <c r="I690" s="68">
        <f>'Calendario D'!U386</f>
        <v/>
      </c>
      <c r="J690" s="68">
        <f>'Calendario D'!V386</f>
        <v/>
      </c>
      <c r="K690" s="68">
        <f>'Calendario D'!W386</f>
        <v/>
      </c>
      <c r="L690" s="68">
        <f>'Calendario D'!X386</f>
        <v/>
      </c>
      <c r="M690" s="68">
        <f>'Calendario D'!Y386</f>
        <v/>
      </c>
      <c r="N690" s="68">
        <f>'Calendario D'!Z386</f>
        <v/>
      </c>
    </row>
    <row r="691">
      <c r="A691" s="68">
        <f>'Calendario D'!M389</f>
        <v/>
      </c>
      <c r="B691" s="68">
        <f>'Calendario D'!N389</f>
        <v/>
      </c>
      <c r="C691" s="68">
        <f>'Calendario D'!O389</f>
        <v/>
      </c>
      <c r="D691" s="68">
        <f>'Calendario D'!P389</f>
        <v/>
      </c>
      <c r="E691" s="68">
        <f>'Calendario D'!Q389</f>
        <v/>
      </c>
      <c r="F691" s="68">
        <f>'Calendario D'!R389</f>
        <v/>
      </c>
      <c r="G691" s="68">
        <f>'Calendario D'!S389</f>
        <v/>
      </c>
      <c r="H691" s="68">
        <f>'Calendario D'!T389</f>
        <v/>
      </c>
      <c r="I691" s="68">
        <f>'Calendario D'!U389</f>
        <v/>
      </c>
      <c r="J691" s="68">
        <f>'Calendario D'!V389</f>
        <v/>
      </c>
      <c r="K691" s="68">
        <f>'Calendario D'!W389</f>
        <v/>
      </c>
      <c r="L691" s="68">
        <f>'Calendario D'!X389</f>
        <v/>
      </c>
      <c r="M691" s="68">
        <f>'Calendario D'!Y389</f>
        <v/>
      </c>
      <c r="N691" s="68">
        <f>'Calendario D'!Z389</f>
        <v/>
      </c>
    </row>
    <row r="692">
      <c r="A692" s="68">
        <f>'Calendario D'!M394</f>
        <v/>
      </c>
      <c r="B692" s="68">
        <f>'Calendario D'!N394</f>
        <v/>
      </c>
      <c r="C692" s="68">
        <f>'Calendario D'!O394</f>
        <v/>
      </c>
      <c r="D692" s="68">
        <f>'Calendario D'!P394</f>
        <v/>
      </c>
      <c r="E692" s="68">
        <f>'Calendario D'!Q394</f>
        <v/>
      </c>
      <c r="F692" s="68">
        <f>'Calendario D'!R394</f>
        <v/>
      </c>
      <c r="G692" s="68">
        <f>'Calendario D'!S394</f>
        <v/>
      </c>
      <c r="H692" s="68">
        <f>'Calendario D'!T394</f>
        <v/>
      </c>
      <c r="I692" s="68">
        <f>'Calendario D'!U394</f>
        <v/>
      </c>
      <c r="J692" s="68">
        <f>'Calendario D'!V394</f>
        <v/>
      </c>
      <c r="K692" s="68">
        <f>'Calendario D'!W394</f>
        <v/>
      </c>
      <c r="L692" s="68">
        <f>'Calendario D'!X394</f>
        <v/>
      </c>
      <c r="M692" s="68">
        <f>'Calendario D'!Y394</f>
        <v/>
      </c>
      <c r="N692" s="68">
        <f>'Calendario D'!Z394</f>
        <v/>
      </c>
    </row>
    <row r="693">
      <c r="A693" s="68">
        <f>'Calendario D'!M397</f>
        <v/>
      </c>
      <c r="B693" s="68">
        <f>'Calendario D'!N397</f>
        <v/>
      </c>
      <c r="C693" s="68">
        <f>'Calendario D'!O397</f>
        <v/>
      </c>
      <c r="D693" s="68">
        <f>'Calendario D'!P397</f>
        <v/>
      </c>
      <c r="E693" s="68">
        <f>'Calendario D'!Q397</f>
        <v/>
      </c>
      <c r="F693" s="68">
        <f>'Calendario D'!R397</f>
        <v/>
      </c>
      <c r="G693" s="68">
        <f>'Calendario D'!S397</f>
        <v/>
      </c>
      <c r="H693" s="68">
        <f>'Calendario D'!T397</f>
        <v/>
      </c>
      <c r="I693" s="68">
        <f>'Calendario D'!U397</f>
        <v/>
      </c>
      <c r="J693" s="68">
        <f>'Calendario D'!V397</f>
        <v/>
      </c>
      <c r="K693" s="68">
        <f>'Calendario D'!W397</f>
        <v/>
      </c>
      <c r="L693" s="68">
        <f>'Calendario D'!X397</f>
        <v/>
      </c>
      <c r="M693" s="68">
        <f>'Calendario D'!Y397</f>
        <v/>
      </c>
      <c r="N693" s="68">
        <f>'Calendario D'!Z397</f>
        <v/>
      </c>
    </row>
    <row r="694">
      <c r="A694" s="68">
        <f>'Calendario D'!M400</f>
        <v/>
      </c>
      <c r="B694" s="68">
        <f>'Calendario D'!N400</f>
        <v/>
      </c>
      <c r="C694" s="68">
        <f>'Calendario D'!O400</f>
        <v/>
      </c>
      <c r="D694" s="68">
        <f>'Calendario D'!P400</f>
        <v/>
      </c>
      <c r="E694" s="68">
        <f>'Calendario D'!Q400</f>
        <v/>
      </c>
      <c r="F694" s="68">
        <f>'Calendario D'!R400</f>
        <v/>
      </c>
      <c r="G694" s="68">
        <f>'Calendario D'!S400</f>
        <v/>
      </c>
      <c r="H694" s="68">
        <f>'Calendario D'!T400</f>
        <v/>
      </c>
      <c r="I694" s="68">
        <f>'Calendario D'!U400</f>
        <v/>
      </c>
      <c r="J694" s="68">
        <f>'Calendario D'!V400</f>
        <v/>
      </c>
      <c r="K694" s="68">
        <f>'Calendario D'!W400</f>
        <v/>
      </c>
      <c r="L694" s="68">
        <f>'Calendario D'!X400</f>
        <v/>
      </c>
      <c r="M694" s="68">
        <f>'Calendario D'!Y400</f>
        <v/>
      </c>
      <c r="N694" s="68">
        <f>'Calendario D'!Z400</f>
        <v/>
      </c>
    </row>
    <row r="695">
      <c r="A695" s="68">
        <f>'Calendario D'!M403</f>
        <v/>
      </c>
      <c r="B695" s="68">
        <f>'Calendario D'!N403</f>
        <v/>
      </c>
      <c r="C695" s="68">
        <f>'Calendario D'!O403</f>
        <v/>
      </c>
      <c r="D695" s="68">
        <f>'Calendario D'!P403</f>
        <v/>
      </c>
      <c r="E695" s="68">
        <f>'Calendario D'!Q403</f>
        <v/>
      </c>
      <c r="F695" s="68">
        <f>'Calendario D'!R403</f>
        <v/>
      </c>
      <c r="G695" s="68">
        <f>'Calendario D'!S403</f>
        <v/>
      </c>
      <c r="H695" s="68">
        <f>'Calendario D'!T403</f>
        <v/>
      </c>
      <c r="I695" s="68">
        <f>'Calendario D'!U403</f>
        <v/>
      </c>
      <c r="J695" s="68">
        <f>'Calendario D'!V403</f>
        <v/>
      </c>
      <c r="K695" s="68">
        <f>'Calendario D'!W403</f>
        <v/>
      </c>
      <c r="L695" s="68">
        <f>'Calendario D'!X403</f>
        <v/>
      </c>
      <c r="M695" s="68">
        <f>'Calendario D'!Y403</f>
        <v/>
      </c>
      <c r="N695" s="68">
        <f>'Calendario D'!Z403</f>
        <v/>
      </c>
    </row>
    <row r="696">
      <c r="A696" s="68">
        <f>'Calendario D'!M406</f>
        <v/>
      </c>
      <c r="B696" s="68">
        <f>'Calendario D'!N406</f>
        <v/>
      </c>
      <c r="C696" s="68">
        <f>'Calendario D'!O406</f>
        <v/>
      </c>
      <c r="D696" s="68">
        <f>'Calendario D'!P406</f>
        <v/>
      </c>
      <c r="E696" s="68">
        <f>'Calendario D'!Q406</f>
        <v/>
      </c>
      <c r="F696" s="68">
        <f>'Calendario D'!R406</f>
        <v/>
      </c>
      <c r="G696" s="68">
        <f>'Calendario D'!S406</f>
        <v/>
      </c>
      <c r="H696" s="68">
        <f>'Calendario D'!T406</f>
        <v/>
      </c>
      <c r="I696" s="68">
        <f>'Calendario D'!U406</f>
        <v/>
      </c>
      <c r="J696" s="68">
        <f>'Calendario D'!V406</f>
        <v/>
      </c>
      <c r="K696" s="68">
        <f>'Calendario D'!W406</f>
        <v/>
      </c>
      <c r="L696" s="68">
        <f>'Calendario D'!X406</f>
        <v/>
      </c>
      <c r="M696" s="68">
        <f>'Calendario D'!Y406</f>
        <v/>
      </c>
      <c r="N696" s="68">
        <f>'Calendario D'!Z406</f>
        <v/>
      </c>
    </row>
    <row r="697">
      <c r="A697" s="68">
        <f>'Calendario D'!M409</f>
        <v/>
      </c>
      <c r="B697" s="68">
        <f>'Calendario D'!N409</f>
        <v/>
      </c>
      <c r="C697" s="68">
        <f>'Calendario D'!O409</f>
        <v/>
      </c>
      <c r="D697" s="68">
        <f>'Calendario D'!P409</f>
        <v/>
      </c>
      <c r="E697" s="68">
        <f>'Calendario D'!Q409</f>
        <v/>
      </c>
      <c r="F697" s="68">
        <f>'Calendario D'!R409</f>
        <v/>
      </c>
      <c r="G697" s="68">
        <f>'Calendario D'!S409</f>
        <v/>
      </c>
      <c r="H697" s="68">
        <f>'Calendario D'!T409</f>
        <v/>
      </c>
      <c r="I697" s="68">
        <f>'Calendario D'!U409</f>
        <v/>
      </c>
      <c r="J697" s="68">
        <f>'Calendario D'!V409</f>
        <v/>
      </c>
      <c r="K697" s="68">
        <f>'Calendario D'!W409</f>
        <v/>
      </c>
      <c r="L697" s="68">
        <f>'Calendario D'!X409</f>
        <v/>
      </c>
      <c r="M697" s="68">
        <f>'Calendario D'!Y409</f>
        <v/>
      </c>
      <c r="N697" s="68">
        <f>'Calendario D'!Z409</f>
        <v/>
      </c>
    </row>
    <row r="698">
      <c r="A698" s="68">
        <f>'Calendario D'!M412</f>
        <v/>
      </c>
      <c r="B698" s="68">
        <f>'Calendario D'!N412</f>
        <v/>
      </c>
      <c r="C698" s="68">
        <f>'Calendario D'!O412</f>
        <v/>
      </c>
      <c r="D698" s="68">
        <f>'Calendario D'!P412</f>
        <v/>
      </c>
      <c r="E698" s="68">
        <f>'Calendario D'!Q412</f>
        <v/>
      </c>
      <c r="F698" s="68">
        <f>'Calendario D'!R412</f>
        <v/>
      </c>
      <c r="G698" s="68">
        <f>'Calendario D'!S412</f>
        <v/>
      </c>
      <c r="H698" s="68">
        <f>'Calendario D'!T412</f>
        <v/>
      </c>
      <c r="I698" s="68">
        <f>'Calendario D'!U412</f>
        <v/>
      </c>
      <c r="J698" s="68">
        <f>'Calendario D'!V412</f>
        <v/>
      </c>
      <c r="K698" s="68">
        <f>'Calendario D'!W412</f>
        <v/>
      </c>
      <c r="L698" s="68">
        <f>'Calendario D'!X412</f>
        <v/>
      </c>
      <c r="M698" s="68">
        <f>'Calendario D'!Y412</f>
        <v/>
      </c>
      <c r="N698" s="68">
        <f>'Calendario D'!Z412</f>
        <v/>
      </c>
    </row>
    <row r="699">
      <c r="A699" s="68">
        <f>'Calendario D'!M415</f>
        <v/>
      </c>
      <c r="B699" s="68">
        <f>'Calendario D'!N415</f>
        <v/>
      </c>
      <c r="C699" s="68">
        <f>'Calendario D'!O415</f>
        <v/>
      </c>
      <c r="D699" s="68">
        <f>'Calendario D'!P415</f>
        <v/>
      </c>
      <c r="E699" s="68">
        <f>'Calendario D'!Q415</f>
        <v/>
      </c>
      <c r="F699" s="68">
        <f>'Calendario D'!R415</f>
        <v/>
      </c>
      <c r="G699" s="68">
        <f>'Calendario D'!S415</f>
        <v/>
      </c>
      <c r="H699" s="68">
        <f>'Calendario D'!T415</f>
        <v/>
      </c>
      <c r="I699" s="68">
        <f>'Calendario D'!U415</f>
        <v/>
      </c>
      <c r="J699" s="68">
        <f>'Calendario D'!V415</f>
        <v/>
      </c>
      <c r="K699" s="68">
        <f>'Calendario D'!W415</f>
        <v/>
      </c>
      <c r="L699" s="68">
        <f>'Calendario D'!X415</f>
        <v/>
      </c>
      <c r="M699" s="68">
        <f>'Calendario D'!Y415</f>
        <v/>
      </c>
      <c r="N699" s="68">
        <f>'Calendario D'!Z415</f>
        <v/>
      </c>
    </row>
    <row r="700">
      <c r="A700" s="68">
        <f>'Calendario D'!M418</f>
        <v/>
      </c>
      <c r="B700" s="68">
        <f>'Calendario D'!N418</f>
        <v/>
      </c>
      <c r="C700" s="68">
        <f>'Calendario D'!O418</f>
        <v/>
      </c>
      <c r="D700" s="68">
        <f>'Calendario D'!P418</f>
        <v/>
      </c>
      <c r="E700" s="68">
        <f>'Calendario D'!Q418</f>
        <v/>
      </c>
      <c r="F700" s="68">
        <f>'Calendario D'!R418</f>
        <v/>
      </c>
      <c r="G700" s="68">
        <f>'Calendario D'!S418</f>
        <v/>
      </c>
      <c r="H700" s="68">
        <f>'Calendario D'!T418</f>
        <v/>
      </c>
      <c r="I700" s="68">
        <f>'Calendario D'!U418</f>
        <v/>
      </c>
      <c r="J700" s="68">
        <f>'Calendario D'!V418</f>
        <v/>
      </c>
      <c r="K700" s="68">
        <f>'Calendario D'!W418</f>
        <v/>
      </c>
      <c r="L700" s="68">
        <f>'Calendario D'!X418</f>
        <v/>
      </c>
      <c r="M700" s="68">
        <f>'Calendario D'!Y418</f>
        <v/>
      </c>
      <c r="N700" s="68">
        <f>'Calendario D'!Z418</f>
        <v/>
      </c>
    </row>
    <row r="701">
      <c r="A701" s="68">
        <f>'Calendario D'!M421</f>
        <v/>
      </c>
      <c r="B701" s="68">
        <f>'Calendario D'!N421</f>
        <v/>
      </c>
      <c r="C701" s="68">
        <f>'Calendario D'!O421</f>
        <v/>
      </c>
      <c r="D701" s="68">
        <f>'Calendario D'!P421</f>
        <v/>
      </c>
      <c r="E701" s="68">
        <f>'Calendario D'!Q421</f>
        <v/>
      </c>
      <c r="F701" s="68">
        <f>'Calendario D'!R421</f>
        <v/>
      </c>
      <c r="G701" s="68">
        <f>'Calendario D'!S421</f>
        <v/>
      </c>
      <c r="H701" s="68">
        <f>'Calendario D'!T421</f>
        <v/>
      </c>
      <c r="I701" s="68">
        <f>'Calendario D'!U421</f>
        <v/>
      </c>
      <c r="J701" s="68">
        <f>'Calendario D'!V421</f>
        <v/>
      </c>
      <c r="K701" s="68">
        <f>'Calendario D'!W421</f>
        <v/>
      </c>
      <c r="L701" s="68">
        <f>'Calendario D'!X421</f>
        <v/>
      </c>
      <c r="M701" s="68">
        <f>'Calendario D'!Y421</f>
        <v/>
      </c>
      <c r="N701" s="68">
        <f>'Calendario D'!Z421</f>
        <v/>
      </c>
    </row>
    <row r="702">
      <c r="A702" s="68">
        <f>'Calendario D'!M426</f>
        <v/>
      </c>
      <c r="B702" s="68">
        <f>'Calendario D'!N426</f>
        <v/>
      </c>
      <c r="C702" s="68">
        <f>'Calendario D'!O426</f>
        <v/>
      </c>
      <c r="D702" s="68">
        <f>'Calendario D'!P426</f>
        <v/>
      </c>
      <c r="E702" s="68">
        <f>'Calendario D'!Q426</f>
        <v/>
      </c>
      <c r="F702" s="68">
        <f>'Calendario D'!R426</f>
        <v/>
      </c>
      <c r="G702" s="68">
        <f>'Calendario D'!S426</f>
        <v/>
      </c>
      <c r="H702" s="68">
        <f>'Calendario D'!T426</f>
        <v/>
      </c>
      <c r="I702" s="68">
        <f>'Calendario D'!U426</f>
        <v/>
      </c>
      <c r="J702" s="68">
        <f>'Calendario D'!V426</f>
        <v/>
      </c>
      <c r="K702" s="68">
        <f>'Calendario D'!W426</f>
        <v/>
      </c>
      <c r="L702" s="68">
        <f>'Calendario D'!X426</f>
        <v/>
      </c>
      <c r="M702" s="68">
        <f>'Calendario D'!Y426</f>
        <v/>
      </c>
      <c r="N702" s="68">
        <f>'Calendario D'!Z426</f>
        <v/>
      </c>
    </row>
    <row r="703">
      <c r="A703" s="68">
        <f>'Calendario D'!M429</f>
        <v/>
      </c>
      <c r="B703" s="68">
        <f>'Calendario D'!N429</f>
        <v/>
      </c>
      <c r="C703" s="68">
        <f>'Calendario D'!O429</f>
        <v/>
      </c>
      <c r="D703" s="68">
        <f>'Calendario D'!P429</f>
        <v/>
      </c>
      <c r="E703" s="68">
        <f>'Calendario D'!Q429</f>
        <v/>
      </c>
      <c r="F703" s="68">
        <f>'Calendario D'!R429</f>
        <v/>
      </c>
      <c r="G703" s="68">
        <f>'Calendario D'!S429</f>
        <v/>
      </c>
      <c r="H703" s="68">
        <f>'Calendario D'!T429</f>
        <v/>
      </c>
      <c r="I703" s="68">
        <f>'Calendario D'!U429</f>
        <v/>
      </c>
      <c r="J703" s="68">
        <f>'Calendario D'!V429</f>
        <v/>
      </c>
      <c r="K703" s="68">
        <f>'Calendario D'!W429</f>
        <v/>
      </c>
      <c r="L703" s="68">
        <f>'Calendario D'!X429</f>
        <v/>
      </c>
      <c r="M703" s="68">
        <f>'Calendario D'!Y429</f>
        <v/>
      </c>
      <c r="N703" s="68">
        <f>'Calendario D'!Z429</f>
        <v/>
      </c>
    </row>
    <row r="704">
      <c r="A704" s="68">
        <f>'Calendario D'!M432</f>
        <v/>
      </c>
      <c r="B704" s="68">
        <f>'Calendario D'!N432</f>
        <v/>
      </c>
      <c r="C704" s="68">
        <f>'Calendario D'!O432</f>
        <v/>
      </c>
      <c r="D704" s="68">
        <f>'Calendario D'!P432</f>
        <v/>
      </c>
      <c r="E704" s="68">
        <f>'Calendario D'!Q432</f>
        <v/>
      </c>
      <c r="F704" s="68">
        <f>'Calendario D'!R432</f>
        <v/>
      </c>
      <c r="G704" s="68">
        <f>'Calendario D'!S432</f>
        <v/>
      </c>
      <c r="H704" s="68">
        <f>'Calendario D'!T432</f>
        <v/>
      </c>
      <c r="I704" s="68">
        <f>'Calendario D'!U432</f>
        <v/>
      </c>
      <c r="J704" s="68">
        <f>'Calendario D'!V432</f>
        <v/>
      </c>
      <c r="K704" s="68">
        <f>'Calendario D'!W432</f>
        <v/>
      </c>
      <c r="L704" s="68">
        <f>'Calendario D'!X432</f>
        <v/>
      </c>
      <c r="M704" s="68">
        <f>'Calendario D'!Y432</f>
        <v/>
      </c>
      <c r="N704" s="68">
        <f>'Calendario D'!Z432</f>
        <v/>
      </c>
    </row>
    <row r="705">
      <c r="A705" s="68">
        <f>'Calendario D'!M435</f>
        <v/>
      </c>
      <c r="B705" s="68">
        <f>'Calendario D'!N435</f>
        <v/>
      </c>
      <c r="C705" s="68">
        <f>'Calendario D'!O435</f>
        <v/>
      </c>
      <c r="D705" s="68">
        <f>'Calendario D'!P435</f>
        <v/>
      </c>
      <c r="E705" s="68">
        <f>'Calendario D'!Q435</f>
        <v/>
      </c>
      <c r="F705" s="68">
        <f>'Calendario D'!R435</f>
        <v/>
      </c>
      <c r="G705" s="68">
        <f>'Calendario D'!S435</f>
        <v/>
      </c>
      <c r="H705" s="68">
        <f>'Calendario D'!T435</f>
        <v/>
      </c>
      <c r="I705" s="68">
        <f>'Calendario D'!U435</f>
        <v/>
      </c>
      <c r="J705" s="68">
        <f>'Calendario D'!V435</f>
        <v/>
      </c>
      <c r="K705" s="68">
        <f>'Calendario D'!W435</f>
        <v/>
      </c>
      <c r="L705" s="68">
        <f>'Calendario D'!X435</f>
        <v/>
      </c>
      <c r="M705" s="68">
        <f>'Calendario D'!Y435</f>
        <v/>
      </c>
      <c r="N705" s="68">
        <f>'Calendario D'!Z435</f>
        <v/>
      </c>
    </row>
    <row r="706">
      <c r="A706" s="68">
        <f>'Calendario D'!M438</f>
        <v/>
      </c>
      <c r="B706" s="68">
        <f>'Calendario D'!N438</f>
        <v/>
      </c>
      <c r="C706" s="68">
        <f>'Calendario D'!O438</f>
        <v/>
      </c>
      <c r="D706" s="68">
        <f>'Calendario D'!P438</f>
        <v/>
      </c>
      <c r="E706" s="68">
        <f>'Calendario D'!Q438</f>
        <v/>
      </c>
      <c r="F706" s="68">
        <f>'Calendario D'!R438</f>
        <v/>
      </c>
      <c r="G706" s="68">
        <f>'Calendario D'!S438</f>
        <v/>
      </c>
      <c r="H706" s="68">
        <f>'Calendario D'!T438</f>
        <v/>
      </c>
      <c r="I706" s="68">
        <f>'Calendario D'!U438</f>
        <v/>
      </c>
      <c r="J706" s="68">
        <f>'Calendario D'!V438</f>
        <v/>
      </c>
      <c r="K706" s="68">
        <f>'Calendario D'!W438</f>
        <v/>
      </c>
      <c r="L706" s="68">
        <f>'Calendario D'!X438</f>
        <v/>
      </c>
      <c r="M706" s="68">
        <f>'Calendario D'!Y438</f>
        <v/>
      </c>
      <c r="N706" s="68">
        <f>'Calendario D'!Z438</f>
        <v/>
      </c>
    </row>
    <row r="707">
      <c r="A707" s="68">
        <f>'Calendario D'!M441</f>
        <v/>
      </c>
      <c r="B707" s="68">
        <f>'Calendario D'!N441</f>
        <v/>
      </c>
      <c r="C707" s="68">
        <f>'Calendario D'!O441</f>
        <v/>
      </c>
      <c r="D707" s="68">
        <f>'Calendario D'!P441</f>
        <v/>
      </c>
      <c r="E707" s="68">
        <f>'Calendario D'!Q441</f>
        <v/>
      </c>
      <c r="F707" s="68">
        <f>'Calendario D'!R441</f>
        <v/>
      </c>
      <c r="G707" s="68">
        <f>'Calendario D'!S441</f>
        <v/>
      </c>
      <c r="H707" s="68">
        <f>'Calendario D'!T441</f>
        <v/>
      </c>
      <c r="I707" s="68">
        <f>'Calendario D'!U441</f>
        <v/>
      </c>
      <c r="J707" s="68">
        <f>'Calendario D'!V441</f>
        <v/>
      </c>
      <c r="K707" s="68">
        <f>'Calendario D'!W441</f>
        <v/>
      </c>
      <c r="L707" s="68">
        <f>'Calendario D'!X441</f>
        <v/>
      </c>
      <c r="M707" s="68">
        <f>'Calendario D'!Y441</f>
        <v/>
      </c>
      <c r="N707" s="68">
        <f>'Calendario D'!Z441</f>
        <v/>
      </c>
    </row>
    <row r="708">
      <c r="A708" s="68">
        <f>'Calendario D'!M444</f>
        <v/>
      </c>
      <c r="B708" s="68">
        <f>'Calendario D'!N444</f>
        <v/>
      </c>
      <c r="C708" s="68">
        <f>'Calendario D'!O444</f>
        <v/>
      </c>
      <c r="D708" s="68">
        <f>'Calendario D'!P444</f>
        <v/>
      </c>
      <c r="E708" s="68">
        <f>'Calendario D'!Q444</f>
        <v/>
      </c>
      <c r="F708" s="68">
        <f>'Calendario D'!R444</f>
        <v/>
      </c>
      <c r="G708" s="68">
        <f>'Calendario D'!S444</f>
        <v/>
      </c>
      <c r="H708" s="68">
        <f>'Calendario D'!T444</f>
        <v/>
      </c>
      <c r="I708" s="68">
        <f>'Calendario D'!U444</f>
        <v/>
      </c>
      <c r="J708" s="68">
        <f>'Calendario D'!V444</f>
        <v/>
      </c>
      <c r="K708" s="68">
        <f>'Calendario D'!W444</f>
        <v/>
      </c>
      <c r="L708" s="68">
        <f>'Calendario D'!X444</f>
        <v/>
      </c>
      <c r="M708" s="68">
        <f>'Calendario D'!Y444</f>
        <v/>
      </c>
      <c r="N708" s="68">
        <f>'Calendario D'!Z444</f>
        <v/>
      </c>
    </row>
    <row r="709">
      <c r="A709" s="68">
        <f>'Calendario D'!M447</f>
        <v/>
      </c>
      <c r="B709" s="68">
        <f>'Calendario D'!N447</f>
        <v/>
      </c>
      <c r="C709" s="68">
        <f>'Calendario D'!O447</f>
        <v/>
      </c>
      <c r="D709" s="68">
        <f>'Calendario D'!P447</f>
        <v/>
      </c>
      <c r="E709" s="68">
        <f>'Calendario D'!Q447</f>
        <v/>
      </c>
      <c r="F709" s="68">
        <f>'Calendario D'!R447</f>
        <v/>
      </c>
      <c r="G709" s="68">
        <f>'Calendario D'!S447</f>
        <v/>
      </c>
      <c r="H709" s="68">
        <f>'Calendario D'!T447</f>
        <v/>
      </c>
      <c r="I709" s="68">
        <f>'Calendario D'!U447</f>
        <v/>
      </c>
      <c r="J709" s="68">
        <f>'Calendario D'!V447</f>
        <v/>
      </c>
      <c r="K709" s="68">
        <f>'Calendario D'!W447</f>
        <v/>
      </c>
      <c r="L709" s="68">
        <f>'Calendario D'!X447</f>
        <v/>
      </c>
      <c r="M709" s="68">
        <f>'Calendario D'!Y447</f>
        <v/>
      </c>
      <c r="N709" s="68">
        <f>'Calendario D'!Z447</f>
        <v/>
      </c>
    </row>
    <row r="710">
      <c r="A710" s="68">
        <f>'Calendario D'!M450</f>
        <v/>
      </c>
      <c r="B710" s="68">
        <f>'Calendario D'!N450</f>
        <v/>
      </c>
      <c r="C710" s="68">
        <f>'Calendario D'!O450</f>
        <v/>
      </c>
      <c r="D710" s="68">
        <f>'Calendario D'!P450</f>
        <v/>
      </c>
      <c r="E710" s="68">
        <f>'Calendario D'!Q450</f>
        <v/>
      </c>
      <c r="F710" s="68">
        <f>'Calendario D'!R450</f>
        <v/>
      </c>
      <c r="G710" s="68">
        <f>'Calendario D'!S450</f>
        <v/>
      </c>
      <c r="H710" s="68">
        <f>'Calendario D'!T450</f>
        <v/>
      </c>
      <c r="I710" s="68">
        <f>'Calendario D'!U450</f>
        <v/>
      </c>
      <c r="J710" s="68">
        <f>'Calendario D'!V450</f>
        <v/>
      </c>
      <c r="K710" s="68">
        <f>'Calendario D'!W450</f>
        <v/>
      </c>
      <c r="L710" s="68">
        <f>'Calendario D'!X450</f>
        <v/>
      </c>
      <c r="M710" s="68">
        <f>'Calendario D'!Y450</f>
        <v/>
      </c>
      <c r="N710" s="68">
        <f>'Calendario D'!Z450</f>
        <v/>
      </c>
    </row>
    <row r="711">
      <c r="A711" s="68">
        <f>'Calendario D'!M453</f>
        <v/>
      </c>
      <c r="B711" s="68">
        <f>'Calendario D'!N453</f>
        <v/>
      </c>
      <c r="C711" s="68">
        <f>'Calendario D'!O453</f>
        <v/>
      </c>
      <c r="D711" s="68">
        <f>'Calendario D'!P453</f>
        <v/>
      </c>
      <c r="E711" s="68">
        <f>'Calendario D'!Q453</f>
        <v/>
      </c>
      <c r="F711" s="68">
        <f>'Calendario D'!R453</f>
        <v/>
      </c>
      <c r="G711" s="68">
        <f>'Calendario D'!S453</f>
        <v/>
      </c>
      <c r="H711" s="68">
        <f>'Calendario D'!T453</f>
        <v/>
      </c>
      <c r="I711" s="68">
        <f>'Calendario D'!U453</f>
        <v/>
      </c>
      <c r="J711" s="68">
        <f>'Calendario D'!V453</f>
        <v/>
      </c>
      <c r="K711" s="68">
        <f>'Calendario D'!W453</f>
        <v/>
      </c>
      <c r="L711" s="68">
        <f>'Calendario D'!X453</f>
        <v/>
      </c>
      <c r="M711" s="68">
        <f>'Calendario D'!Y453</f>
        <v/>
      </c>
      <c r="N711" s="68">
        <f>'Calendario D'!Z453</f>
        <v/>
      </c>
    </row>
    <row r="712">
      <c r="A712" s="68">
        <f>'Calendario D'!M458</f>
        <v/>
      </c>
      <c r="B712" s="68">
        <f>'Calendario D'!N458</f>
        <v/>
      </c>
      <c r="C712" s="68">
        <f>'Calendario D'!O458</f>
        <v/>
      </c>
      <c r="D712" s="68">
        <f>'Calendario D'!P458</f>
        <v/>
      </c>
      <c r="E712" s="68">
        <f>'Calendario D'!Q458</f>
        <v/>
      </c>
      <c r="F712" s="68">
        <f>'Calendario D'!R458</f>
        <v/>
      </c>
      <c r="G712" s="68">
        <f>'Calendario D'!S458</f>
        <v/>
      </c>
      <c r="H712" s="68">
        <f>'Calendario D'!T458</f>
        <v/>
      </c>
      <c r="I712" s="68">
        <f>'Calendario D'!U458</f>
        <v/>
      </c>
      <c r="J712" s="68">
        <f>'Calendario D'!V458</f>
        <v/>
      </c>
      <c r="K712" s="68">
        <f>'Calendario D'!W458</f>
        <v/>
      </c>
      <c r="L712" s="68">
        <f>'Calendario D'!X458</f>
        <v/>
      </c>
      <c r="M712" s="68">
        <f>'Calendario D'!Y458</f>
        <v/>
      </c>
      <c r="N712" s="68">
        <f>'Calendario D'!Z458</f>
        <v/>
      </c>
    </row>
    <row r="713">
      <c r="A713" s="68">
        <f>'Calendario D'!M461</f>
        <v/>
      </c>
      <c r="B713" s="68">
        <f>'Calendario D'!N461</f>
        <v/>
      </c>
      <c r="C713" s="68">
        <f>'Calendario D'!O461</f>
        <v/>
      </c>
      <c r="D713" s="68">
        <f>'Calendario D'!P461</f>
        <v/>
      </c>
      <c r="E713" s="68">
        <f>'Calendario D'!Q461</f>
        <v/>
      </c>
      <c r="F713" s="68">
        <f>'Calendario D'!R461</f>
        <v/>
      </c>
      <c r="G713" s="68">
        <f>'Calendario D'!S461</f>
        <v/>
      </c>
      <c r="H713" s="68">
        <f>'Calendario D'!T461</f>
        <v/>
      </c>
      <c r="I713" s="68">
        <f>'Calendario D'!U461</f>
        <v/>
      </c>
      <c r="J713" s="68">
        <f>'Calendario D'!V461</f>
        <v/>
      </c>
      <c r="K713" s="68">
        <f>'Calendario D'!W461</f>
        <v/>
      </c>
      <c r="L713" s="68">
        <f>'Calendario D'!X461</f>
        <v/>
      </c>
      <c r="M713" s="68">
        <f>'Calendario D'!Y461</f>
        <v/>
      </c>
      <c r="N713" s="68">
        <f>'Calendario D'!Z461</f>
        <v/>
      </c>
    </row>
    <row r="714">
      <c r="A714" s="68">
        <f>'Calendario D'!M464</f>
        <v/>
      </c>
      <c r="B714" s="68">
        <f>'Calendario D'!N464</f>
        <v/>
      </c>
      <c r="C714" s="68">
        <f>'Calendario D'!O464</f>
        <v/>
      </c>
      <c r="D714" s="68">
        <f>'Calendario D'!P464</f>
        <v/>
      </c>
      <c r="E714" s="68">
        <f>'Calendario D'!Q464</f>
        <v/>
      </c>
      <c r="F714" s="68">
        <f>'Calendario D'!R464</f>
        <v/>
      </c>
      <c r="G714" s="68">
        <f>'Calendario D'!S464</f>
        <v/>
      </c>
      <c r="H714" s="68">
        <f>'Calendario D'!T464</f>
        <v/>
      </c>
      <c r="I714" s="68">
        <f>'Calendario D'!U464</f>
        <v/>
      </c>
      <c r="J714" s="68">
        <f>'Calendario D'!V464</f>
        <v/>
      </c>
      <c r="K714" s="68">
        <f>'Calendario D'!W464</f>
        <v/>
      </c>
      <c r="L714" s="68">
        <f>'Calendario D'!X464</f>
        <v/>
      </c>
      <c r="M714" s="68">
        <f>'Calendario D'!Y464</f>
        <v/>
      </c>
      <c r="N714" s="68">
        <f>'Calendario D'!Z464</f>
        <v/>
      </c>
    </row>
    <row r="715">
      <c r="A715" s="68">
        <f>'Calendario D'!M467</f>
        <v/>
      </c>
      <c r="B715" s="68">
        <f>'Calendario D'!N467</f>
        <v/>
      </c>
      <c r="C715" s="68">
        <f>'Calendario D'!O467</f>
        <v/>
      </c>
      <c r="D715" s="68">
        <f>'Calendario D'!P467</f>
        <v/>
      </c>
      <c r="E715" s="68">
        <f>'Calendario D'!Q467</f>
        <v/>
      </c>
      <c r="F715" s="68">
        <f>'Calendario D'!R467</f>
        <v/>
      </c>
      <c r="G715" s="68">
        <f>'Calendario D'!S467</f>
        <v/>
      </c>
      <c r="H715" s="68">
        <f>'Calendario D'!T467</f>
        <v/>
      </c>
      <c r="I715" s="68">
        <f>'Calendario D'!U467</f>
        <v/>
      </c>
      <c r="J715" s="68">
        <f>'Calendario D'!V467</f>
        <v/>
      </c>
      <c r="K715" s="68">
        <f>'Calendario D'!W467</f>
        <v/>
      </c>
      <c r="L715" s="68">
        <f>'Calendario D'!X467</f>
        <v/>
      </c>
      <c r="M715" s="68">
        <f>'Calendario D'!Y467</f>
        <v/>
      </c>
      <c r="N715" s="68">
        <f>'Calendario D'!Z467</f>
        <v/>
      </c>
    </row>
    <row r="716">
      <c r="A716" s="68">
        <f>'Calendario D'!M470</f>
        <v/>
      </c>
      <c r="B716" s="68">
        <f>'Calendario D'!N470</f>
        <v/>
      </c>
      <c r="C716" s="68">
        <f>'Calendario D'!O470</f>
        <v/>
      </c>
      <c r="D716" s="68">
        <f>'Calendario D'!P470</f>
        <v/>
      </c>
      <c r="E716" s="68">
        <f>'Calendario D'!Q470</f>
        <v/>
      </c>
      <c r="F716" s="68">
        <f>'Calendario D'!R470</f>
        <v/>
      </c>
      <c r="G716" s="68">
        <f>'Calendario D'!S470</f>
        <v/>
      </c>
      <c r="H716" s="68">
        <f>'Calendario D'!T470</f>
        <v/>
      </c>
      <c r="I716" s="68">
        <f>'Calendario D'!U470</f>
        <v/>
      </c>
      <c r="J716" s="68">
        <f>'Calendario D'!V470</f>
        <v/>
      </c>
      <c r="K716" s="68">
        <f>'Calendario D'!W470</f>
        <v/>
      </c>
      <c r="L716" s="68">
        <f>'Calendario D'!X470</f>
        <v/>
      </c>
      <c r="M716" s="68">
        <f>'Calendario D'!Y470</f>
        <v/>
      </c>
      <c r="N716" s="68">
        <f>'Calendario D'!Z470</f>
        <v/>
      </c>
    </row>
    <row r="717">
      <c r="A717" s="68">
        <f>'Calendario D'!M473</f>
        <v/>
      </c>
      <c r="B717" s="68">
        <f>'Calendario D'!N473</f>
        <v/>
      </c>
      <c r="C717" s="68">
        <f>'Calendario D'!O473</f>
        <v/>
      </c>
      <c r="D717" s="68">
        <f>'Calendario D'!P473</f>
        <v/>
      </c>
      <c r="E717" s="68">
        <f>'Calendario D'!Q473</f>
        <v/>
      </c>
      <c r="F717" s="68">
        <f>'Calendario D'!R473</f>
        <v/>
      </c>
      <c r="G717" s="68">
        <f>'Calendario D'!S473</f>
        <v/>
      </c>
      <c r="H717" s="68">
        <f>'Calendario D'!T473</f>
        <v/>
      </c>
      <c r="I717" s="68">
        <f>'Calendario D'!U473</f>
        <v/>
      </c>
      <c r="J717" s="68">
        <f>'Calendario D'!V473</f>
        <v/>
      </c>
      <c r="K717" s="68">
        <f>'Calendario D'!W473</f>
        <v/>
      </c>
      <c r="L717" s="68">
        <f>'Calendario D'!X473</f>
        <v/>
      </c>
      <c r="M717" s="68">
        <f>'Calendario D'!Y473</f>
        <v/>
      </c>
      <c r="N717" s="68">
        <f>'Calendario D'!Z473</f>
        <v/>
      </c>
    </row>
    <row r="718">
      <c r="A718" s="68">
        <f>'Calendario D'!M476</f>
        <v/>
      </c>
      <c r="B718" s="68">
        <f>'Calendario D'!N476</f>
        <v/>
      </c>
      <c r="C718" s="68">
        <f>'Calendario D'!O476</f>
        <v/>
      </c>
      <c r="D718" s="68">
        <f>'Calendario D'!P476</f>
        <v/>
      </c>
      <c r="E718" s="68">
        <f>'Calendario D'!Q476</f>
        <v/>
      </c>
      <c r="F718" s="68">
        <f>'Calendario D'!R476</f>
        <v/>
      </c>
      <c r="G718" s="68">
        <f>'Calendario D'!S476</f>
        <v/>
      </c>
      <c r="H718" s="68">
        <f>'Calendario D'!T476</f>
        <v/>
      </c>
      <c r="I718" s="68">
        <f>'Calendario D'!U476</f>
        <v/>
      </c>
      <c r="J718" s="68">
        <f>'Calendario D'!V476</f>
        <v/>
      </c>
      <c r="K718" s="68">
        <f>'Calendario D'!W476</f>
        <v/>
      </c>
      <c r="L718" s="68">
        <f>'Calendario D'!X476</f>
        <v/>
      </c>
      <c r="M718" s="68">
        <f>'Calendario D'!Y476</f>
        <v/>
      </c>
      <c r="N718" s="68">
        <f>'Calendario D'!Z476</f>
        <v/>
      </c>
    </row>
    <row r="719">
      <c r="A719" s="68">
        <f>'Calendario D'!M479</f>
        <v/>
      </c>
      <c r="B719" s="68">
        <f>'Calendario D'!N479</f>
        <v/>
      </c>
      <c r="C719" s="68">
        <f>'Calendario D'!O479</f>
        <v/>
      </c>
      <c r="D719" s="68">
        <f>'Calendario D'!P479</f>
        <v/>
      </c>
      <c r="E719" s="68">
        <f>'Calendario D'!Q479</f>
        <v/>
      </c>
      <c r="F719" s="68">
        <f>'Calendario D'!R479</f>
        <v/>
      </c>
      <c r="G719" s="68">
        <f>'Calendario D'!S479</f>
        <v/>
      </c>
      <c r="H719" s="68">
        <f>'Calendario D'!T479</f>
        <v/>
      </c>
      <c r="I719" s="68">
        <f>'Calendario D'!U479</f>
        <v/>
      </c>
      <c r="J719" s="68">
        <f>'Calendario D'!V479</f>
        <v/>
      </c>
      <c r="K719" s="68">
        <f>'Calendario D'!W479</f>
        <v/>
      </c>
      <c r="L719" s="68">
        <f>'Calendario D'!X479</f>
        <v/>
      </c>
      <c r="M719" s="68">
        <f>'Calendario D'!Y479</f>
        <v/>
      </c>
      <c r="N719" s="68">
        <f>'Calendario D'!Z479</f>
        <v/>
      </c>
    </row>
    <row r="720">
      <c r="A720" s="68">
        <f>'Calendario D'!M482</f>
        <v/>
      </c>
      <c r="B720" s="68">
        <f>'Calendario D'!N482</f>
        <v/>
      </c>
      <c r="C720" s="68">
        <f>'Calendario D'!O482</f>
        <v/>
      </c>
      <c r="D720" s="68">
        <f>'Calendario D'!P482</f>
        <v/>
      </c>
      <c r="E720" s="68">
        <f>'Calendario D'!Q482</f>
        <v/>
      </c>
      <c r="F720" s="68">
        <f>'Calendario D'!R482</f>
        <v/>
      </c>
      <c r="G720" s="68">
        <f>'Calendario D'!S482</f>
        <v/>
      </c>
      <c r="H720" s="68">
        <f>'Calendario D'!T482</f>
        <v/>
      </c>
      <c r="I720" s="68">
        <f>'Calendario D'!U482</f>
        <v/>
      </c>
      <c r="J720" s="68">
        <f>'Calendario D'!V482</f>
        <v/>
      </c>
      <c r="K720" s="68">
        <f>'Calendario D'!W482</f>
        <v/>
      </c>
      <c r="L720" s="68">
        <f>'Calendario D'!X482</f>
        <v/>
      </c>
      <c r="M720" s="68">
        <f>'Calendario D'!Y482</f>
        <v/>
      </c>
      <c r="N720" s="68">
        <f>'Calendario D'!Z482</f>
        <v/>
      </c>
    </row>
    <row r="721">
      <c r="A721" s="68">
        <f>'Calendario D'!M485</f>
        <v/>
      </c>
      <c r="B721" s="68">
        <f>'Calendario D'!N485</f>
        <v/>
      </c>
      <c r="C721" s="68">
        <f>'Calendario D'!O485</f>
        <v/>
      </c>
      <c r="D721" s="68">
        <f>'Calendario D'!P485</f>
        <v/>
      </c>
      <c r="E721" s="68">
        <f>'Calendario D'!Q485</f>
        <v/>
      </c>
      <c r="F721" s="68">
        <f>'Calendario D'!R485</f>
        <v/>
      </c>
      <c r="G721" s="68">
        <f>'Calendario D'!S485</f>
        <v/>
      </c>
      <c r="H721" s="68">
        <f>'Calendario D'!T485</f>
        <v/>
      </c>
      <c r="I721" s="68">
        <f>'Calendario D'!U485</f>
        <v/>
      </c>
      <c r="J721" s="68">
        <f>'Calendario D'!V485</f>
        <v/>
      </c>
      <c r="K721" s="68">
        <f>'Calendario D'!W485</f>
        <v/>
      </c>
      <c r="L721" s="68">
        <f>'Calendario D'!X485</f>
        <v/>
      </c>
      <c r="M721" s="68">
        <f>'Calendario D'!Y485</f>
        <v/>
      </c>
      <c r="N721" s="68">
        <f>'Calendario D'!Z485</f>
        <v/>
      </c>
    </row>
    <row r="722">
      <c r="A722" s="68">
        <f>'Calendario D'!M490</f>
        <v/>
      </c>
      <c r="B722" s="68">
        <f>'Calendario D'!N490</f>
        <v/>
      </c>
      <c r="C722" s="68">
        <f>'Calendario D'!O490</f>
        <v/>
      </c>
      <c r="D722" s="68">
        <f>'Calendario D'!P490</f>
        <v/>
      </c>
      <c r="E722" s="68">
        <f>'Calendario D'!Q490</f>
        <v/>
      </c>
      <c r="F722" s="68">
        <f>'Calendario D'!R490</f>
        <v/>
      </c>
      <c r="G722" s="68">
        <f>'Calendario D'!S490</f>
        <v/>
      </c>
      <c r="H722" s="68">
        <f>'Calendario D'!T490</f>
        <v/>
      </c>
      <c r="I722" s="68">
        <f>'Calendario D'!U490</f>
        <v/>
      </c>
      <c r="J722" s="68">
        <f>'Calendario D'!V490</f>
        <v/>
      </c>
      <c r="K722" s="68">
        <f>'Calendario D'!W490</f>
        <v/>
      </c>
      <c r="L722" s="68">
        <f>'Calendario D'!X490</f>
        <v/>
      </c>
      <c r="M722" s="68">
        <f>'Calendario D'!Y490</f>
        <v/>
      </c>
      <c r="N722" s="68">
        <f>'Calendario D'!Z490</f>
        <v/>
      </c>
    </row>
    <row r="723">
      <c r="A723" s="68">
        <f>'Calendario D'!M493</f>
        <v/>
      </c>
      <c r="B723" s="68">
        <f>'Calendario D'!N493</f>
        <v/>
      </c>
      <c r="C723" s="68">
        <f>'Calendario D'!O493</f>
        <v/>
      </c>
      <c r="D723" s="68">
        <f>'Calendario D'!P493</f>
        <v/>
      </c>
      <c r="E723" s="68">
        <f>'Calendario D'!Q493</f>
        <v/>
      </c>
      <c r="F723" s="68">
        <f>'Calendario D'!R493</f>
        <v/>
      </c>
      <c r="G723" s="68">
        <f>'Calendario D'!S493</f>
        <v/>
      </c>
      <c r="H723" s="68">
        <f>'Calendario D'!T493</f>
        <v/>
      </c>
      <c r="I723" s="68">
        <f>'Calendario D'!U493</f>
        <v/>
      </c>
      <c r="J723" s="68">
        <f>'Calendario D'!V493</f>
        <v/>
      </c>
      <c r="K723" s="68">
        <f>'Calendario D'!W493</f>
        <v/>
      </c>
      <c r="L723" s="68">
        <f>'Calendario D'!X493</f>
        <v/>
      </c>
      <c r="M723" s="68">
        <f>'Calendario D'!Y493</f>
        <v/>
      </c>
      <c r="N723" s="68">
        <f>'Calendario D'!Z493</f>
        <v/>
      </c>
    </row>
    <row r="724">
      <c r="A724" s="68">
        <f>'Calendario D'!M496</f>
        <v/>
      </c>
      <c r="B724" s="68">
        <f>'Calendario D'!N496</f>
        <v/>
      </c>
      <c r="C724" s="68">
        <f>'Calendario D'!O496</f>
        <v/>
      </c>
      <c r="D724" s="68">
        <f>'Calendario D'!P496</f>
        <v/>
      </c>
      <c r="E724" s="68">
        <f>'Calendario D'!Q496</f>
        <v/>
      </c>
      <c r="F724" s="68">
        <f>'Calendario D'!R496</f>
        <v/>
      </c>
      <c r="G724" s="68">
        <f>'Calendario D'!S496</f>
        <v/>
      </c>
      <c r="H724" s="68">
        <f>'Calendario D'!T496</f>
        <v/>
      </c>
      <c r="I724" s="68">
        <f>'Calendario D'!U496</f>
        <v/>
      </c>
      <c r="J724" s="68">
        <f>'Calendario D'!V496</f>
        <v/>
      </c>
      <c r="K724" s="68">
        <f>'Calendario D'!W496</f>
        <v/>
      </c>
      <c r="L724" s="68">
        <f>'Calendario D'!X496</f>
        <v/>
      </c>
      <c r="M724" s="68">
        <f>'Calendario D'!Y496</f>
        <v/>
      </c>
      <c r="N724" s="68">
        <f>'Calendario D'!Z496</f>
        <v/>
      </c>
    </row>
    <row r="725">
      <c r="A725" s="68">
        <f>'Calendario D'!M499</f>
        <v/>
      </c>
      <c r="B725" s="68">
        <f>'Calendario D'!N499</f>
        <v/>
      </c>
      <c r="C725" s="68">
        <f>'Calendario D'!O499</f>
        <v/>
      </c>
      <c r="D725" s="68">
        <f>'Calendario D'!P499</f>
        <v/>
      </c>
      <c r="E725" s="68">
        <f>'Calendario D'!Q499</f>
        <v/>
      </c>
      <c r="F725" s="68">
        <f>'Calendario D'!R499</f>
        <v/>
      </c>
      <c r="G725" s="68">
        <f>'Calendario D'!S499</f>
        <v/>
      </c>
      <c r="H725" s="68">
        <f>'Calendario D'!T499</f>
        <v/>
      </c>
      <c r="I725" s="68">
        <f>'Calendario D'!U499</f>
        <v/>
      </c>
      <c r="J725" s="68">
        <f>'Calendario D'!V499</f>
        <v/>
      </c>
      <c r="K725" s="68">
        <f>'Calendario D'!W499</f>
        <v/>
      </c>
      <c r="L725" s="68">
        <f>'Calendario D'!X499</f>
        <v/>
      </c>
      <c r="M725" s="68">
        <f>'Calendario D'!Y499</f>
        <v/>
      </c>
      <c r="N725" s="68">
        <f>'Calendario D'!Z499</f>
        <v/>
      </c>
    </row>
    <row r="726">
      <c r="A726" s="68">
        <f>'Calendario D'!M502</f>
        <v/>
      </c>
      <c r="B726" s="68">
        <f>'Calendario D'!N502</f>
        <v/>
      </c>
      <c r="C726" s="68">
        <f>'Calendario D'!O502</f>
        <v/>
      </c>
      <c r="D726" s="68">
        <f>'Calendario D'!P502</f>
        <v/>
      </c>
      <c r="E726" s="68">
        <f>'Calendario D'!Q502</f>
        <v/>
      </c>
      <c r="F726" s="68">
        <f>'Calendario D'!R502</f>
        <v/>
      </c>
      <c r="G726" s="68">
        <f>'Calendario D'!S502</f>
        <v/>
      </c>
      <c r="H726" s="68">
        <f>'Calendario D'!T502</f>
        <v/>
      </c>
      <c r="I726" s="68">
        <f>'Calendario D'!U502</f>
        <v/>
      </c>
      <c r="J726" s="68">
        <f>'Calendario D'!V502</f>
        <v/>
      </c>
      <c r="K726" s="68">
        <f>'Calendario D'!W502</f>
        <v/>
      </c>
      <c r="L726" s="68">
        <f>'Calendario D'!X502</f>
        <v/>
      </c>
      <c r="M726" s="68">
        <f>'Calendario D'!Y502</f>
        <v/>
      </c>
      <c r="N726" s="68">
        <f>'Calendario D'!Z502</f>
        <v/>
      </c>
    </row>
    <row r="727">
      <c r="A727" s="68">
        <f>'Calendario D'!M505</f>
        <v/>
      </c>
      <c r="B727" s="68">
        <f>'Calendario D'!N505</f>
        <v/>
      </c>
      <c r="C727" s="68">
        <f>'Calendario D'!O505</f>
        <v/>
      </c>
      <c r="D727" s="68">
        <f>'Calendario D'!P505</f>
        <v/>
      </c>
      <c r="E727" s="68">
        <f>'Calendario D'!Q505</f>
        <v/>
      </c>
      <c r="F727" s="68">
        <f>'Calendario D'!R505</f>
        <v/>
      </c>
      <c r="G727" s="68">
        <f>'Calendario D'!S505</f>
        <v/>
      </c>
      <c r="H727" s="68">
        <f>'Calendario D'!T505</f>
        <v/>
      </c>
      <c r="I727" s="68">
        <f>'Calendario D'!U505</f>
        <v/>
      </c>
      <c r="J727" s="68">
        <f>'Calendario D'!V505</f>
        <v/>
      </c>
      <c r="K727" s="68">
        <f>'Calendario D'!W505</f>
        <v/>
      </c>
      <c r="L727" s="68">
        <f>'Calendario D'!X505</f>
        <v/>
      </c>
      <c r="M727" s="68">
        <f>'Calendario D'!Y505</f>
        <v/>
      </c>
      <c r="N727" s="68">
        <f>'Calendario D'!Z505</f>
        <v/>
      </c>
    </row>
    <row r="728">
      <c r="A728" s="68">
        <f>'Calendario D'!M508</f>
        <v/>
      </c>
      <c r="B728" s="68">
        <f>'Calendario D'!N508</f>
        <v/>
      </c>
      <c r="C728" s="68">
        <f>'Calendario D'!O508</f>
        <v/>
      </c>
      <c r="D728" s="68">
        <f>'Calendario D'!P508</f>
        <v/>
      </c>
      <c r="E728" s="68">
        <f>'Calendario D'!Q508</f>
        <v/>
      </c>
      <c r="F728" s="68">
        <f>'Calendario D'!R508</f>
        <v/>
      </c>
      <c r="G728" s="68">
        <f>'Calendario D'!S508</f>
        <v/>
      </c>
      <c r="H728" s="68">
        <f>'Calendario D'!T508</f>
        <v/>
      </c>
      <c r="I728" s="68">
        <f>'Calendario D'!U508</f>
        <v/>
      </c>
      <c r="J728" s="68">
        <f>'Calendario D'!V508</f>
        <v/>
      </c>
      <c r="K728" s="68">
        <f>'Calendario D'!W508</f>
        <v/>
      </c>
      <c r="L728" s="68">
        <f>'Calendario D'!X508</f>
        <v/>
      </c>
      <c r="M728" s="68">
        <f>'Calendario D'!Y508</f>
        <v/>
      </c>
      <c r="N728" s="68">
        <f>'Calendario D'!Z508</f>
        <v/>
      </c>
    </row>
    <row r="729">
      <c r="A729" s="68">
        <f>'Calendario D'!M511</f>
        <v/>
      </c>
      <c r="B729" s="68">
        <f>'Calendario D'!N511</f>
        <v/>
      </c>
      <c r="C729" s="68">
        <f>'Calendario D'!O511</f>
        <v/>
      </c>
      <c r="D729" s="68">
        <f>'Calendario D'!P511</f>
        <v/>
      </c>
      <c r="E729" s="68">
        <f>'Calendario D'!Q511</f>
        <v/>
      </c>
      <c r="F729" s="68">
        <f>'Calendario D'!R511</f>
        <v/>
      </c>
      <c r="G729" s="68">
        <f>'Calendario D'!S511</f>
        <v/>
      </c>
      <c r="H729" s="68">
        <f>'Calendario D'!T511</f>
        <v/>
      </c>
      <c r="I729" s="68">
        <f>'Calendario D'!U511</f>
        <v/>
      </c>
      <c r="J729" s="68">
        <f>'Calendario D'!V511</f>
        <v/>
      </c>
      <c r="K729" s="68">
        <f>'Calendario D'!W511</f>
        <v/>
      </c>
      <c r="L729" s="68">
        <f>'Calendario D'!X511</f>
        <v/>
      </c>
      <c r="M729" s="68">
        <f>'Calendario D'!Y511</f>
        <v/>
      </c>
      <c r="N729" s="68">
        <f>'Calendario D'!Z511</f>
        <v/>
      </c>
    </row>
    <row r="730">
      <c r="A730" s="68">
        <f>'Calendario D'!M514</f>
        <v/>
      </c>
      <c r="B730" s="68">
        <f>'Calendario D'!N514</f>
        <v/>
      </c>
      <c r="C730" s="68">
        <f>'Calendario D'!O514</f>
        <v/>
      </c>
      <c r="D730" s="68">
        <f>'Calendario D'!P514</f>
        <v/>
      </c>
      <c r="E730" s="68">
        <f>'Calendario D'!Q514</f>
        <v/>
      </c>
      <c r="F730" s="68">
        <f>'Calendario D'!R514</f>
        <v/>
      </c>
      <c r="G730" s="68">
        <f>'Calendario D'!S514</f>
        <v/>
      </c>
      <c r="H730" s="68">
        <f>'Calendario D'!T514</f>
        <v/>
      </c>
      <c r="I730" s="68">
        <f>'Calendario D'!U514</f>
        <v/>
      </c>
      <c r="J730" s="68">
        <f>'Calendario D'!V514</f>
        <v/>
      </c>
      <c r="K730" s="68">
        <f>'Calendario D'!W514</f>
        <v/>
      </c>
      <c r="L730" s="68">
        <f>'Calendario D'!X514</f>
        <v/>
      </c>
      <c r="M730" s="68">
        <f>'Calendario D'!Y514</f>
        <v/>
      </c>
      <c r="N730" s="68">
        <f>'Calendario D'!Z514</f>
        <v/>
      </c>
    </row>
    <row r="731">
      <c r="A731" s="68">
        <f>'Calendario D'!M517</f>
        <v/>
      </c>
      <c r="B731" s="68">
        <f>'Calendario D'!N517</f>
        <v/>
      </c>
      <c r="C731" s="68">
        <f>'Calendario D'!O517</f>
        <v/>
      </c>
      <c r="D731" s="68">
        <f>'Calendario D'!P517</f>
        <v/>
      </c>
      <c r="E731" s="68">
        <f>'Calendario D'!Q517</f>
        <v/>
      </c>
      <c r="F731" s="68">
        <f>'Calendario D'!R517</f>
        <v/>
      </c>
      <c r="G731" s="68">
        <f>'Calendario D'!S517</f>
        <v/>
      </c>
      <c r="H731" s="68">
        <f>'Calendario D'!T517</f>
        <v/>
      </c>
      <c r="I731" s="68">
        <f>'Calendario D'!U517</f>
        <v/>
      </c>
      <c r="J731" s="68">
        <f>'Calendario D'!V517</f>
        <v/>
      </c>
      <c r="K731" s="68">
        <f>'Calendario D'!W517</f>
        <v/>
      </c>
      <c r="L731" s="68">
        <f>'Calendario D'!X517</f>
        <v/>
      </c>
      <c r="M731" s="68">
        <f>'Calendario D'!Y517</f>
        <v/>
      </c>
      <c r="N731" s="68">
        <f>'Calendario D'!Z517</f>
        <v/>
      </c>
    </row>
    <row r="732">
      <c r="A732" s="68">
        <f>'Calendario D'!M522</f>
        <v/>
      </c>
      <c r="B732" s="68">
        <f>'Calendario D'!N522</f>
        <v/>
      </c>
      <c r="C732" s="68">
        <f>'Calendario D'!O522</f>
        <v/>
      </c>
      <c r="D732" s="68">
        <f>'Calendario D'!P522</f>
        <v/>
      </c>
      <c r="E732" s="68">
        <f>'Calendario D'!Q522</f>
        <v/>
      </c>
      <c r="F732" s="68">
        <f>'Calendario D'!R522</f>
        <v/>
      </c>
      <c r="G732" s="68">
        <f>'Calendario D'!S522</f>
        <v/>
      </c>
      <c r="H732" s="68">
        <f>'Calendario D'!T522</f>
        <v/>
      </c>
      <c r="I732" s="68">
        <f>'Calendario D'!U522</f>
        <v/>
      </c>
      <c r="J732" s="68">
        <f>'Calendario D'!V522</f>
        <v/>
      </c>
      <c r="K732" s="68">
        <f>'Calendario D'!W522</f>
        <v/>
      </c>
      <c r="L732" s="68">
        <f>'Calendario D'!X522</f>
        <v/>
      </c>
      <c r="M732" s="68">
        <f>'Calendario D'!Y522</f>
        <v/>
      </c>
      <c r="N732" s="68">
        <f>'Calendario D'!Z522</f>
        <v/>
      </c>
    </row>
    <row r="733">
      <c r="A733" s="68">
        <f>'Calendario D'!M525</f>
        <v/>
      </c>
      <c r="B733" s="68">
        <f>'Calendario D'!N525</f>
        <v/>
      </c>
      <c r="C733" s="68">
        <f>'Calendario D'!O525</f>
        <v/>
      </c>
      <c r="D733" s="68">
        <f>'Calendario D'!P525</f>
        <v/>
      </c>
      <c r="E733" s="68">
        <f>'Calendario D'!Q525</f>
        <v/>
      </c>
      <c r="F733" s="68">
        <f>'Calendario D'!R525</f>
        <v/>
      </c>
      <c r="G733" s="68">
        <f>'Calendario D'!S525</f>
        <v/>
      </c>
      <c r="H733" s="68">
        <f>'Calendario D'!T525</f>
        <v/>
      </c>
      <c r="I733" s="68">
        <f>'Calendario D'!U525</f>
        <v/>
      </c>
      <c r="J733" s="68">
        <f>'Calendario D'!V525</f>
        <v/>
      </c>
      <c r="K733" s="68">
        <f>'Calendario D'!W525</f>
        <v/>
      </c>
      <c r="L733" s="68">
        <f>'Calendario D'!X525</f>
        <v/>
      </c>
      <c r="M733" s="68">
        <f>'Calendario D'!Y525</f>
        <v/>
      </c>
      <c r="N733" s="68">
        <f>'Calendario D'!Z525</f>
        <v/>
      </c>
    </row>
    <row r="734">
      <c r="A734" s="68">
        <f>'Calendario D'!M528</f>
        <v/>
      </c>
      <c r="B734" s="68">
        <f>'Calendario D'!N528</f>
        <v/>
      </c>
      <c r="C734" s="68">
        <f>'Calendario D'!O528</f>
        <v/>
      </c>
      <c r="D734" s="68">
        <f>'Calendario D'!P528</f>
        <v/>
      </c>
      <c r="E734" s="68">
        <f>'Calendario D'!Q528</f>
        <v/>
      </c>
      <c r="F734" s="68">
        <f>'Calendario D'!R528</f>
        <v/>
      </c>
      <c r="G734" s="68">
        <f>'Calendario D'!S528</f>
        <v/>
      </c>
      <c r="H734" s="68">
        <f>'Calendario D'!T528</f>
        <v/>
      </c>
      <c r="I734" s="68">
        <f>'Calendario D'!U528</f>
        <v/>
      </c>
      <c r="J734" s="68">
        <f>'Calendario D'!V528</f>
        <v/>
      </c>
      <c r="K734" s="68">
        <f>'Calendario D'!W528</f>
        <v/>
      </c>
      <c r="L734" s="68">
        <f>'Calendario D'!X528</f>
        <v/>
      </c>
      <c r="M734" s="68">
        <f>'Calendario D'!Y528</f>
        <v/>
      </c>
      <c r="N734" s="68">
        <f>'Calendario D'!Z528</f>
        <v/>
      </c>
    </row>
    <row r="735">
      <c r="A735" s="68">
        <f>'Calendario D'!M531</f>
        <v/>
      </c>
      <c r="B735" s="68">
        <f>'Calendario D'!N531</f>
        <v/>
      </c>
      <c r="C735" s="68">
        <f>'Calendario D'!O531</f>
        <v/>
      </c>
      <c r="D735" s="68">
        <f>'Calendario D'!P531</f>
        <v/>
      </c>
      <c r="E735" s="68">
        <f>'Calendario D'!Q531</f>
        <v/>
      </c>
      <c r="F735" s="68">
        <f>'Calendario D'!R531</f>
        <v/>
      </c>
      <c r="G735" s="68">
        <f>'Calendario D'!S531</f>
        <v/>
      </c>
      <c r="H735" s="68">
        <f>'Calendario D'!T531</f>
        <v/>
      </c>
      <c r="I735" s="68">
        <f>'Calendario D'!U531</f>
        <v/>
      </c>
      <c r="J735" s="68">
        <f>'Calendario D'!V531</f>
        <v/>
      </c>
      <c r="K735" s="68">
        <f>'Calendario D'!W531</f>
        <v/>
      </c>
      <c r="L735" s="68">
        <f>'Calendario D'!X531</f>
        <v/>
      </c>
      <c r="M735" s="68">
        <f>'Calendario D'!Y531</f>
        <v/>
      </c>
      <c r="N735" s="68">
        <f>'Calendario D'!Z531</f>
        <v/>
      </c>
    </row>
    <row r="736">
      <c r="A736" s="68">
        <f>'Calendario D'!M534</f>
        <v/>
      </c>
      <c r="B736" s="68">
        <f>'Calendario D'!N534</f>
        <v/>
      </c>
      <c r="C736" s="68">
        <f>'Calendario D'!O534</f>
        <v/>
      </c>
      <c r="D736" s="68">
        <f>'Calendario D'!P534</f>
        <v/>
      </c>
      <c r="E736" s="68">
        <f>'Calendario D'!Q534</f>
        <v/>
      </c>
      <c r="F736" s="68">
        <f>'Calendario D'!R534</f>
        <v/>
      </c>
      <c r="G736" s="68">
        <f>'Calendario D'!S534</f>
        <v/>
      </c>
      <c r="H736" s="68">
        <f>'Calendario D'!T534</f>
        <v/>
      </c>
      <c r="I736" s="68">
        <f>'Calendario D'!U534</f>
        <v/>
      </c>
      <c r="J736" s="68">
        <f>'Calendario D'!V534</f>
        <v/>
      </c>
      <c r="K736" s="68">
        <f>'Calendario D'!W534</f>
        <v/>
      </c>
      <c r="L736" s="68">
        <f>'Calendario D'!X534</f>
        <v/>
      </c>
      <c r="M736" s="68">
        <f>'Calendario D'!Y534</f>
        <v/>
      </c>
      <c r="N736" s="68">
        <f>'Calendario D'!Z534</f>
        <v/>
      </c>
    </row>
    <row r="737">
      <c r="A737" s="68">
        <f>'Calendario D'!M537</f>
        <v/>
      </c>
      <c r="B737" s="68">
        <f>'Calendario D'!N537</f>
        <v/>
      </c>
      <c r="C737" s="68">
        <f>'Calendario D'!O537</f>
        <v/>
      </c>
      <c r="D737" s="68">
        <f>'Calendario D'!P537</f>
        <v/>
      </c>
      <c r="E737" s="68">
        <f>'Calendario D'!Q537</f>
        <v/>
      </c>
      <c r="F737" s="68">
        <f>'Calendario D'!R537</f>
        <v/>
      </c>
      <c r="G737" s="68">
        <f>'Calendario D'!S537</f>
        <v/>
      </c>
      <c r="H737" s="68">
        <f>'Calendario D'!T537</f>
        <v/>
      </c>
      <c r="I737" s="68">
        <f>'Calendario D'!U537</f>
        <v/>
      </c>
      <c r="J737" s="68">
        <f>'Calendario D'!V537</f>
        <v/>
      </c>
      <c r="K737" s="68">
        <f>'Calendario D'!W537</f>
        <v/>
      </c>
      <c r="L737" s="68">
        <f>'Calendario D'!X537</f>
        <v/>
      </c>
      <c r="M737" s="68">
        <f>'Calendario D'!Y537</f>
        <v/>
      </c>
      <c r="N737" s="68">
        <f>'Calendario D'!Z537</f>
        <v/>
      </c>
    </row>
    <row r="738">
      <c r="A738" s="68">
        <f>'Calendario D'!M540</f>
        <v/>
      </c>
      <c r="B738" s="68">
        <f>'Calendario D'!N540</f>
        <v/>
      </c>
      <c r="C738" s="68">
        <f>'Calendario D'!O540</f>
        <v/>
      </c>
      <c r="D738" s="68">
        <f>'Calendario D'!P540</f>
        <v/>
      </c>
      <c r="E738" s="68">
        <f>'Calendario D'!Q540</f>
        <v/>
      </c>
      <c r="F738" s="68">
        <f>'Calendario D'!R540</f>
        <v/>
      </c>
      <c r="G738" s="68">
        <f>'Calendario D'!S540</f>
        <v/>
      </c>
      <c r="H738" s="68">
        <f>'Calendario D'!T540</f>
        <v/>
      </c>
      <c r="I738" s="68">
        <f>'Calendario D'!U540</f>
        <v/>
      </c>
      <c r="J738" s="68">
        <f>'Calendario D'!V540</f>
        <v/>
      </c>
      <c r="K738" s="68">
        <f>'Calendario D'!W540</f>
        <v/>
      </c>
      <c r="L738" s="68">
        <f>'Calendario D'!X540</f>
        <v/>
      </c>
      <c r="M738" s="68">
        <f>'Calendario D'!Y540</f>
        <v/>
      </c>
      <c r="N738" s="68">
        <f>'Calendario D'!Z540</f>
        <v/>
      </c>
    </row>
    <row r="739">
      <c r="A739" s="68">
        <f>'Calendario D'!M543</f>
        <v/>
      </c>
      <c r="B739" s="68">
        <f>'Calendario D'!N543</f>
        <v/>
      </c>
      <c r="C739" s="68">
        <f>'Calendario D'!O543</f>
        <v/>
      </c>
      <c r="D739" s="68">
        <f>'Calendario D'!P543</f>
        <v/>
      </c>
      <c r="E739" s="68">
        <f>'Calendario D'!Q543</f>
        <v/>
      </c>
      <c r="F739" s="68">
        <f>'Calendario D'!R543</f>
        <v/>
      </c>
      <c r="G739" s="68">
        <f>'Calendario D'!S543</f>
        <v/>
      </c>
      <c r="H739" s="68">
        <f>'Calendario D'!T543</f>
        <v/>
      </c>
      <c r="I739" s="68">
        <f>'Calendario D'!U543</f>
        <v/>
      </c>
      <c r="J739" s="68">
        <f>'Calendario D'!V543</f>
        <v/>
      </c>
      <c r="K739" s="68">
        <f>'Calendario D'!W543</f>
        <v/>
      </c>
      <c r="L739" s="68">
        <f>'Calendario D'!X543</f>
        <v/>
      </c>
      <c r="M739" s="68">
        <f>'Calendario D'!Y543</f>
        <v/>
      </c>
      <c r="N739" s="68">
        <f>'Calendario D'!Z543</f>
        <v/>
      </c>
    </row>
    <row r="740">
      <c r="A740" s="68">
        <f>'Calendario D'!M546</f>
        <v/>
      </c>
      <c r="B740" s="68">
        <f>'Calendario D'!N546</f>
        <v/>
      </c>
      <c r="C740" s="68">
        <f>'Calendario D'!O546</f>
        <v/>
      </c>
      <c r="D740" s="68">
        <f>'Calendario D'!P546</f>
        <v/>
      </c>
      <c r="E740" s="68">
        <f>'Calendario D'!Q546</f>
        <v/>
      </c>
      <c r="F740" s="68">
        <f>'Calendario D'!R546</f>
        <v/>
      </c>
      <c r="G740" s="68">
        <f>'Calendario D'!S546</f>
        <v/>
      </c>
      <c r="H740" s="68">
        <f>'Calendario D'!T546</f>
        <v/>
      </c>
      <c r="I740" s="68">
        <f>'Calendario D'!U546</f>
        <v/>
      </c>
      <c r="J740" s="68">
        <f>'Calendario D'!V546</f>
        <v/>
      </c>
      <c r="K740" s="68">
        <f>'Calendario D'!W546</f>
        <v/>
      </c>
      <c r="L740" s="68">
        <f>'Calendario D'!X546</f>
        <v/>
      </c>
      <c r="M740" s="68">
        <f>'Calendario D'!Y546</f>
        <v/>
      </c>
      <c r="N740" s="68">
        <f>'Calendario D'!Z546</f>
        <v/>
      </c>
    </row>
    <row r="741">
      <c r="A741" s="68">
        <f>'Calendario D'!M549</f>
        <v/>
      </c>
      <c r="B741" s="68">
        <f>'Calendario D'!N549</f>
        <v/>
      </c>
      <c r="C741" s="68">
        <f>'Calendario D'!O549</f>
        <v/>
      </c>
      <c r="D741" s="68">
        <f>'Calendario D'!P549</f>
        <v/>
      </c>
      <c r="E741" s="68">
        <f>'Calendario D'!Q549</f>
        <v/>
      </c>
      <c r="F741" s="68">
        <f>'Calendario D'!R549</f>
        <v/>
      </c>
      <c r="G741" s="68">
        <f>'Calendario D'!S549</f>
        <v/>
      </c>
      <c r="H741" s="68">
        <f>'Calendario D'!T549</f>
        <v/>
      </c>
      <c r="I741" s="68">
        <f>'Calendario D'!U549</f>
        <v/>
      </c>
      <c r="J741" s="68">
        <f>'Calendario D'!V549</f>
        <v/>
      </c>
      <c r="K741" s="68">
        <f>'Calendario D'!W549</f>
        <v/>
      </c>
      <c r="L741" s="68">
        <f>'Calendario D'!X549</f>
        <v/>
      </c>
      <c r="M741" s="68">
        <f>'Calendario D'!Y549</f>
        <v/>
      </c>
      <c r="N741" s="68">
        <f>'Calendario D'!Z549</f>
        <v/>
      </c>
    </row>
    <row r="742">
      <c r="A742" s="68">
        <f>'Calendario D'!M554</f>
        <v/>
      </c>
      <c r="B742" s="68">
        <f>'Calendario D'!N554</f>
        <v/>
      </c>
      <c r="C742" s="68">
        <f>'Calendario D'!O554</f>
        <v/>
      </c>
      <c r="D742" s="68">
        <f>'Calendario D'!P554</f>
        <v/>
      </c>
      <c r="E742" s="68">
        <f>'Calendario D'!Q554</f>
        <v/>
      </c>
      <c r="F742" s="68">
        <f>'Calendario D'!R554</f>
        <v/>
      </c>
      <c r="G742" s="68">
        <f>'Calendario D'!S554</f>
        <v/>
      </c>
      <c r="H742" s="68">
        <f>'Calendario D'!T554</f>
        <v/>
      </c>
      <c r="I742" s="68">
        <f>'Calendario D'!U554</f>
        <v/>
      </c>
      <c r="J742" s="68">
        <f>'Calendario D'!V554</f>
        <v/>
      </c>
      <c r="K742" s="68">
        <f>'Calendario D'!W554</f>
        <v/>
      </c>
      <c r="L742" s="68">
        <f>'Calendario D'!X554</f>
        <v/>
      </c>
      <c r="M742" s="68">
        <f>'Calendario D'!Y554</f>
        <v/>
      </c>
      <c r="N742" s="68">
        <f>'Calendario D'!Z554</f>
        <v/>
      </c>
    </row>
    <row r="743">
      <c r="A743" s="68">
        <f>'Calendario D'!M557</f>
        <v/>
      </c>
      <c r="B743" s="68">
        <f>'Calendario D'!N557</f>
        <v/>
      </c>
      <c r="C743" s="68">
        <f>'Calendario D'!O557</f>
        <v/>
      </c>
      <c r="D743" s="68">
        <f>'Calendario D'!P557</f>
        <v/>
      </c>
      <c r="E743" s="68">
        <f>'Calendario D'!Q557</f>
        <v/>
      </c>
      <c r="F743" s="68">
        <f>'Calendario D'!R557</f>
        <v/>
      </c>
      <c r="G743" s="68">
        <f>'Calendario D'!S557</f>
        <v/>
      </c>
      <c r="H743" s="68">
        <f>'Calendario D'!T557</f>
        <v/>
      </c>
      <c r="I743" s="68">
        <f>'Calendario D'!U557</f>
        <v/>
      </c>
      <c r="J743" s="68">
        <f>'Calendario D'!V557</f>
        <v/>
      </c>
      <c r="K743" s="68">
        <f>'Calendario D'!W557</f>
        <v/>
      </c>
      <c r="L743" s="68">
        <f>'Calendario D'!X557</f>
        <v/>
      </c>
      <c r="M743" s="68">
        <f>'Calendario D'!Y557</f>
        <v/>
      </c>
      <c r="N743" s="68">
        <f>'Calendario D'!Z557</f>
        <v/>
      </c>
    </row>
    <row r="744">
      <c r="A744" s="68">
        <f>'Calendario D'!M560</f>
        <v/>
      </c>
      <c r="B744" s="68">
        <f>'Calendario D'!N560</f>
        <v/>
      </c>
      <c r="C744" s="68">
        <f>'Calendario D'!O560</f>
        <v/>
      </c>
      <c r="D744" s="68">
        <f>'Calendario D'!P560</f>
        <v/>
      </c>
      <c r="E744" s="68">
        <f>'Calendario D'!Q560</f>
        <v/>
      </c>
      <c r="F744" s="68">
        <f>'Calendario D'!R560</f>
        <v/>
      </c>
      <c r="G744" s="68">
        <f>'Calendario D'!S560</f>
        <v/>
      </c>
      <c r="H744" s="68">
        <f>'Calendario D'!T560</f>
        <v/>
      </c>
      <c r="I744" s="68">
        <f>'Calendario D'!U560</f>
        <v/>
      </c>
      <c r="J744" s="68">
        <f>'Calendario D'!V560</f>
        <v/>
      </c>
      <c r="K744" s="68">
        <f>'Calendario D'!W560</f>
        <v/>
      </c>
      <c r="L744" s="68">
        <f>'Calendario D'!X560</f>
        <v/>
      </c>
      <c r="M744" s="68">
        <f>'Calendario D'!Y560</f>
        <v/>
      </c>
      <c r="N744" s="68">
        <f>'Calendario D'!Z560</f>
        <v/>
      </c>
    </row>
    <row r="745">
      <c r="A745" s="68">
        <f>'Calendario D'!M563</f>
        <v/>
      </c>
      <c r="B745" s="68">
        <f>'Calendario D'!N563</f>
        <v/>
      </c>
      <c r="C745" s="68">
        <f>'Calendario D'!O563</f>
        <v/>
      </c>
      <c r="D745" s="68">
        <f>'Calendario D'!P563</f>
        <v/>
      </c>
      <c r="E745" s="68">
        <f>'Calendario D'!Q563</f>
        <v/>
      </c>
      <c r="F745" s="68">
        <f>'Calendario D'!R563</f>
        <v/>
      </c>
      <c r="G745" s="68">
        <f>'Calendario D'!S563</f>
        <v/>
      </c>
      <c r="H745" s="68">
        <f>'Calendario D'!T563</f>
        <v/>
      </c>
      <c r="I745" s="68">
        <f>'Calendario D'!U563</f>
        <v/>
      </c>
      <c r="J745" s="68">
        <f>'Calendario D'!V563</f>
        <v/>
      </c>
      <c r="K745" s="68">
        <f>'Calendario D'!W563</f>
        <v/>
      </c>
      <c r="L745" s="68">
        <f>'Calendario D'!X563</f>
        <v/>
      </c>
      <c r="M745" s="68">
        <f>'Calendario D'!Y563</f>
        <v/>
      </c>
      <c r="N745" s="68">
        <f>'Calendario D'!Z563</f>
        <v/>
      </c>
    </row>
    <row r="746">
      <c r="A746" s="68">
        <f>'Calendario D'!M566</f>
        <v/>
      </c>
      <c r="B746" s="68">
        <f>'Calendario D'!N566</f>
        <v/>
      </c>
      <c r="C746" s="68">
        <f>'Calendario D'!O566</f>
        <v/>
      </c>
      <c r="D746" s="68">
        <f>'Calendario D'!P566</f>
        <v/>
      </c>
      <c r="E746" s="68">
        <f>'Calendario D'!Q566</f>
        <v/>
      </c>
      <c r="F746" s="68">
        <f>'Calendario D'!R566</f>
        <v/>
      </c>
      <c r="G746" s="68">
        <f>'Calendario D'!S566</f>
        <v/>
      </c>
      <c r="H746" s="68">
        <f>'Calendario D'!T566</f>
        <v/>
      </c>
      <c r="I746" s="68">
        <f>'Calendario D'!U566</f>
        <v/>
      </c>
      <c r="J746" s="68">
        <f>'Calendario D'!V566</f>
        <v/>
      </c>
      <c r="K746" s="68">
        <f>'Calendario D'!W566</f>
        <v/>
      </c>
      <c r="L746" s="68">
        <f>'Calendario D'!X566</f>
        <v/>
      </c>
      <c r="M746" s="68">
        <f>'Calendario D'!Y566</f>
        <v/>
      </c>
      <c r="N746" s="68">
        <f>'Calendario D'!Z566</f>
        <v/>
      </c>
    </row>
    <row r="747">
      <c r="A747" s="68">
        <f>'Calendario D'!M569</f>
        <v/>
      </c>
      <c r="B747" s="68">
        <f>'Calendario D'!N569</f>
        <v/>
      </c>
      <c r="C747" s="68">
        <f>'Calendario D'!O569</f>
        <v/>
      </c>
      <c r="D747" s="68">
        <f>'Calendario D'!P569</f>
        <v/>
      </c>
      <c r="E747" s="68">
        <f>'Calendario D'!Q569</f>
        <v/>
      </c>
      <c r="F747" s="68">
        <f>'Calendario D'!R569</f>
        <v/>
      </c>
      <c r="G747" s="68">
        <f>'Calendario D'!S569</f>
        <v/>
      </c>
      <c r="H747" s="68">
        <f>'Calendario D'!T569</f>
        <v/>
      </c>
      <c r="I747" s="68">
        <f>'Calendario D'!U569</f>
        <v/>
      </c>
      <c r="J747" s="68">
        <f>'Calendario D'!V569</f>
        <v/>
      </c>
      <c r="K747" s="68">
        <f>'Calendario D'!W569</f>
        <v/>
      </c>
      <c r="L747" s="68">
        <f>'Calendario D'!X569</f>
        <v/>
      </c>
      <c r="M747" s="68">
        <f>'Calendario D'!Y569</f>
        <v/>
      </c>
      <c r="N747" s="68">
        <f>'Calendario D'!Z569</f>
        <v/>
      </c>
    </row>
    <row r="748">
      <c r="A748" s="68">
        <f>'Calendario D'!M572</f>
        <v/>
      </c>
      <c r="B748" s="68">
        <f>'Calendario D'!N572</f>
        <v/>
      </c>
      <c r="C748" s="68">
        <f>'Calendario D'!O572</f>
        <v/>
      </c>
      <c r="D748" s="68">
        <f>'Calendario D'!P572</f>
        <v/>
      </c>
      <c r="E748" s="68">
        <f>'Calendario D'!Q572</f>
        <v/>
      </c>
      <c r="F748" s="68">
        <f>'Calendario D'!R572</f>
        <v/>
      </c>
      <c r="G748" s="68">
        <f>'Calendario D'!S572</f>
        <v/>
      </c>
      <c r="H748" s="68">
        <f>'Calendario D'!T572</f>
        <v/>
      </c>
      <c r="I748" s="68">
        <f>'Calendario D'!U572</f>
        <v/>
      </c>
      <c r="J748" s="68">
        <f>'Calendario D'!V572</f>
        <v/>
      </c>
      <c r="K748" s="68">
        <f>'Calendario D'!W572</f>
        <v/>
      </c>
      <c r="L748" s="68">
        <f>'Calendario D'!X572</f>
        <v/>
      </c>
      <c r="M748" s="68">
        <f>'Calendario D'!Y572</f>
        <v/>
      </c>
      <c r="N748" s="68">
        <f>'Calendario D'!Z572</f>
        <v/>
      </c>
    </row>
    <row r="749">
      <c r="A749" s="68">
        <f>'Calendario D'!M575</f>
        <v/>
      </c>
      <c r="B749" s="68">
        <f>'Calendario D'!N575</f>
        <v/>
      </c>
      <c r="C749" s="68">
        <f>'Calendario D'!O575</f>
        <v/>
      </c>
      <c r="D749" s="68">
        <f>'Calendario D'!P575</f>
        <v/>
      </c>
      <c r="E749" s="68">
        <f>'Calendario D'!Q575</f>
        <v/>
      </c>
      <c r="F749" s="68">
        <f>'Calendario D'!R575</f>
        <v/>
      </c>
      <c r="G749" s="68">
        <f>'Calendario D'!S575</f>
        <v/>
      </c>
      <c r="H749" s="68">
        <f>'Calendario D'!T575</f>
        <v/>
      </c>
      <c r="I749" s="68">
        <f>'Calendario D'!U575</f>
        <v/>
      </c>
      <c r="J749" s="68">
        <f>'Calendario D'!V575</f>
        <v/>
      </c>
      <c r="K749" s="68">
        <f>'Calendario D'!W575</f>
        <v/>
      </c>
      <c r="L749" s="68">
        <f>'Calendario D'!X575</f>
        <v/>
      </c>
      <c r="M749" s="68">
        <f>'Calendario D'!Y575</f>
        <v/>
      </c>
      <c r="N749" s="68">
        <f>'Calendario D'!Z575</f>
        <v/>
      </c>
    </row>
    <row r="750">
      <c r="A750" s="68">
        <f>'Calendario D'!M578</f>
        <v/>
      </c>
      <c r="B750" s="68">
        <f>'Calendario D'!N578</f>
        <v/>
      </c>
      <c r="C750" s="68">
        <f>'Calendario D'!O578</f>
        <v/>
      </c>
      <c r="D750" s="68">
        <f>'Calendario D'!P578</f>
        <v/>
      </c>
      <c r="E750" s="68">
        <f>'Calendario D'!Q578</f>
        <v/>
      </c>
      <c r="F750" s="68">
        <f>'Calendario D'!R578</f>
        <v/>
      </c>
      <c r="G750" s="68">
        <f>'Calendario D'!S578</f>
        <v/>
      </c>
      <c r="H750" s="68">
        <f>'Calendario D'!T578</f>
        <v/>
      </c>
      <c r="I750" s="68">
        <f>'Calendario D'!U578</f>
        <v/>
      </c>
      <c r="J750" s="68">
        <f>'Calendario D'!V578</f>
        <v/>
      </c>
      <c r="K750" s="68">
        <f>'Calendario D'!W578</f>
        <v/>
      </c>
      <c r="L750" s="68">
        <f>'Calendario D'!X578</f>
        <v/>
      </c>
      <c r="M750" s="68">
        <f>'Calendario D'!Y578</f>
        <v/>
      </c>
      <c r="N750" s="68">
        <f>'Calendario D'!Z578</f>
        <v/>
      </c>
    </row>
    <row r="751">
      <c r="A751" s="68">
        <f>'Calendario D'!M581</f>
        <v/>
      </c>
      <c r="B751" s="68">
        <f>'Calendario D'!N581</f>
        <v/>
      </c>
      <c r="C751" s="68">
        <f>'Calendario D'!O581</f>
        <v/>
      </c>
      <c r="D751" s="68">
        <f>'Calendario D'!P581</f>
        <v/>
      </c>
      <c r="E751" s="68">
        <f>'Calendario D'!Q581</f>
        <v/>
      </c>
      <c r="F751" s="68">
        <f>'Calendario D'!R581</f>
        <v/>
      </c>
      <c r="G751" s="68">
        <f>'Calendario D'!S581</f>
        <v/>
      </c>
      <c r="H751" s="68">
        <f>'Calendario D'!T581</f>
        <v/>
      </c>
      <c r="I751" s="68">
        <f>'Calendario D'!U581</f>
        <v/>
      </c>
      <c r="J751" s="68">
        <f>'Calendario D'!V581</f>
        <v/>
      </c>
      <c r="K751" s="68">
        <f>'Calendario D'!W581</f>
        <v/>
      </c>
      <c r="L751" s="68">
        <f>'Calendario D'!X581</f>
        <v/>
      </c>
      <c r="M751" s="68">
        <f>'Calendario D'!Y581</f>
        <v/>
      </c>
      <c r="N751" s="68">
        <f>'Calendario D'!Z581</f>
        <v/>
      </c>
    </row>
    <row r="752">
      <c r="A752" s="68">
        <f>'Calendario D'!M586</f>
        <v/>
      </c>
      <c r="B752" s="68">
        <f>'Calendario D'!N586</f>
        <v/>
      </c>
      <c r="C752" s="68">
        <f>'Calendario D'!O586</f>
        <v/>
      </c>
      <c r="D752" s="68">
        <f>'Calendario D'!P586</f>
        <v/>
      </c>
      <c r="E752" s="68">
        <f>'Calendario D'!Q586</f>
        <v/>
      </c>
      <c r="F752" s="68">
        <f>'Calendario D'!R586</f>
        <v/>
      </c>
      <c r="G752" s="68">
        <f>'Calendario D'!S586</f>
        <v/>
      </c>
      <c r="H752" s="68">
        <f>'Calendario D'!T586</f>
        <v/>
      </c>
      <c r="I752" s="68">
        <f>'Calendario D'!U586</f>
        <v/>
      </c>
      <c r="J752" s="68">
        <f>'Calendario D'!V586</f>
        <v/>
      </c>
      <c r="K752" s="68">
        <f>'Calendario D'!W586</f>
        <v/>
      </c>
      <c r="L752" s="68">
        <f>'Calendario D'!X586</f>
        <v/>
      </c>
      <c r="M752" s="68">
        <f>'Calendario D'!Y586</f>
        <v/>
      </c>
      <c r="N752" s="68">
        <f>'Calendario D'!Z586</f>
        <v/>
      </c>
    </row>
    <row r="753">
      <c r="A753" s="68">
        <f>'Calendario D'!M589</f>
        <v/>
      </c>
      <c r="B753" s="68">
        <f>'Calendario D'!N589</f>
        <v/>
      </c>
      <c r="C753" s="68">
        <f>'Calendario D'!O589</f>
        <v/>
      </c>
      <c r="D753" s="68">
        <f>'Calendario D'!P589</f>
        <v/>
      </c>
      <c r="E753" s="68">
        <f>'Calendario D'!Q589</f>
        <v/>
      </c>
      <c r="F753" s="68">
        <f>'Calendario D'!R589</f>
        <v/>
      </c>
      <c r="G753" s="68">
        <f>'Calendario D'!S589</f>
        <v/>
      </c>
      <c r="H753" s="68">
        <f>'Calendario D'!T589</f>
        <v/>
      </c>
      <c r="I753" s="68">
        <f>'Calendario D'!U589</f>
        <v/>
      </c>
      <c r="J753" s="68">
        <f>'Calendario D'!V589</f>
        <v/>
      </c>
      <c r="K753" s="68">
        <f>'Calendario D'!W589</f>
        <v/>
      </c>
      <c r="L753" s="68">
        <f>'Calendario D'!X589</f>
        <v/>
      </c>
      <c r="M753" s="68">
        <f>'Calendario D'!Y589</f>
        <v/>
      </c>
      <c r="N753" s="68">
        <f>'Calendario D'!Z589</f>
        <v/>
      </c>
    </row>
    <row r="754">
      <c r="A754" s="68">
        <f>'Calendario D'!M592</f>
        <v/>
      </c>
      <c r="B754" s="68">
        <f>'Calendario D'!N592</f>
        <v/>
      </c>
      <c r="C754" s="68">
        <f>'Calendario D'!O592</f>
        <v/>
      </c>
      <c r="D754" s="68">
        <f>'Calendario D'!P592</f>
        <v/>
      </c>
      <c r="E754" s="68">
        <f>'Calendario D'!Q592</f>
        <v/>
      </c>
      <c r="F754" s="68">
        <f>'Calendario D'!R592</f>
        <v/>
      </c>
      <c r="G754" s="68">
        <f>'Calendario D'!S592</f>
        <v/>
      </c>
      <c r="H754" s="68">
        <f>'Calendario D'!T592</f>
        <v/>
      </c>
      <c r="I754" s="68">
        <f>'Calendario D'!U592</f>
        <v/>
      </c>
      <c r="J754" s="68">
        <f>'Calendario D'!V592</f>
        <v/>
      </c>
      <c r="K754" s="68">
        <f>'Calendario D'!W592</f>
        <v/>
      </c>
      <c r="L754" s="68">
        <f>'Calendario D'!X592</f>
        <v/>
      </c>
      <c r="M754" s="68">
        <f>'Calendario D'!Y592</f>
        <v/>
      </c>
      <c r="N754" s="68">
        <f>'Calendario D'!Z592</f>
        <v/>
      </c>
    </row>
    <row r="755">
      <c r="A755" s="68">
        <f>'Calendario D'!M595</f>
        <v/>
      </c>
      <c r="B755" s="68">
        <f>'Calendario D'!N595</f>
        <v/>
      </c>
      <c r="C755" s="68">
        <f>'Calendario D'!O595</f>
        <v/>
      </c>
      <c r="D755" s="68">
        <f>'Calendario D'!P595</f>
        <v/>
      </c>
      <c r="E755" s="68">
        <f>'Calendario D'!Q595</f>
        <v/>
      </c>
      <c r="F755" s="68">
        <f>'Calendario D'!R595</f>
        <v/>
      </c>
      <c r="G755" s="68">
        <f>'Calendario D'!S595</f>
        <v/>
      </c>
      <c r="H755" s="68">
        <f>'Calendario D'!T595</f>
        <v/>
      </c>
      <c r="I755" s="68">
        <f>'Calendario D'!U595</f>
        <v/>
      </c>
      <c r="J755" s="68">
        <f>'Calendario D'!V595</f>
        <v/>
      </c>
      <c r="K755" s="68">
        <f>'Calendario D'!W595</f>
        <v/>
      </c>
      <c r="L755" s="68">
        <f>'Calendario D'!X595</f>
        <v/>
      </c>
      <c r="M755" s="68">
        <f>'Calendario D'!Y595</f>
        <v/>
      </c>
      <c r="N755" s="68">
        <f>'Calendario D'!Z595</f>
        <v/>
      </c>
    </row>
    <row r="756">
      <c r="A756" s="68">
        <f>'Calendario D'!M598</f>
        <v/>
      </c>
      <c r="B756" s="68">
        <f>'Calendario D'!N598</f>
        <v/>
      </c>
      <c r="C756" s="68">
        <f>'Calendario D'!O598</f>
        <v/>
      </c>
      <c r="D756" s="68">
        <f>'Calendario D'!P598</f>
        <v/>
      </c>
      <c r="E756" s="68">
        <f>'Calendario D'!Q598</f>
        <v/>
      </c>
      <c r="F756" s="68">
        <f>'Calendario D'!R598</f>
        <v/>
      </c>
      <c r="G756" s="68">
        <f>'Calendario D'!S598</f>
        <v/>
      </c>
      <c r="H756" s="68">
        <f>'Calendario D'!T598</f>
        <v/>
      </c>
      <c r="I756" s="68">
        <f>'Calendario D'!U598</f>
        <v/>
      </c>
      <c r="J756" s="68">
        <f>'Calendario D'!V598</f>
        <v/>
      </c>
      <c r="K756" s="68">
        <f>'Calendario D'!W598</f>
        <v/>
      </c>
      <c r="L756" s="68">
        <f>'Calendario D'!X598</f>
        <v/>
      </c>
      <c r="M756" s="68">
        <f>'Calendario D'!Y598</f>
        <v/>
      </c>
      <c r="N756" s="68">
        <f>'Calendario D'!Z598</f>
        <v/>
      </c>
    </row>
    <row r="757">
      <c r="A757" s="68">
        <f>'Calendario D'!M601</f>
        <v/>
      </c>
      <c r="B757" s="68">
        <f>'Calendario D'!N601</f>
        <v/>
      </c>
      <c r="C757" s="68">
        <f>'Calendario D'!O601</f>
        <v/>
      </c>
      <c r="D757" s="68">
        <f>'Calendario D'!P601</f>
        <v/>
      </c>
      <c r="E757" s="68">
        <f>'Calendario D'!Q601</f>
        <v/>
      </c>
      <c r="F757" s="68">
        <f>'Calendario D'!R601</f>
        <v/>
      </c>
      <c r="G757" s="68">
        <f>'Calendario D'!S601</f>
        <v/>
      </c>
      <c r="H757" s="68">
        <f>'Calendario D'!T601</f>
        <v/>
      </c>
      <c r="I757" s="68">
        <f>'Calendario D'!U601</f>
        <v/>
      </c>
      <c r="J757" s="68">
        <f>'Calendario D'!V601</f>
        <v/>
      </c>
      <c r="K757" s="68">
        <f>'Calendario D'!W601</f>
        <v/>
      </c>
      <c r="L757" s="68">
        <f>'Calendario D'!X601</f>
        <v/>
      </c>
      <c r="M757" s="68">
        <f>'Calendario D'!Y601</f>
        <v/>
      </c>
      <c r="N757" s="68">
        <f>'Calendario D'!Z601</f>
        <v/>
      </c>
    </row>
    <row r="758">
      <c r="A758" s="68">
        <f>'Calendario D'!M604</f>
        <v/>
      </c>
      <c r="B758" s="68">
        <f>'Calendario D'!N604</f>
        <v/>
      </c>
      <c r="C758" s="68">
        <f>'Calendario D'!O604</f>
        <v/>
      </c>
      <c r="D758" s="68">
        <f>'Calendario D'!P604</f>
        <v/>
      </c>
      <c r="E758" s="68">
        <f>'Calendario D'!Q604</f>
        <v/>
      </c>
      <c r="F758" s="68">
        <f>'Calendario D'!R604</f>
        <v/>
      </c>
      <c r="G758" s="68">
        <f>'Calendario D'!S604</f>
        <v/>
      </c>
      <c r="H758" s="68">
        <f>'Calendario D'!T604</f>
        <v/>
      </c>
      <c r="I758" s="68">
        <f>'Calendario D'!U604</f>
        <v/>
      </c>
      <c r="J758" s="68">
        <f>'Calendario D'!V604</f>
        <v/>
      </c>
      <c r="K758" s="68">
        <f>'Calendario D'!W604</f>
        <v/>
      </c>
      <c r="L758" s="68">
        <f>'Calendario D'!X604</f>
        <v/>
      </c>
      <c r="M758" s="68">
        <f>'Calendario D'!Y604</f>
        <v/>
      </c>
      <c r="N758" s="68">
        <f>'Calendario D'!Z604</f>
        <v/>
      </c>
    </row>
    <row r="759">
      <c r="A759" s="68">
        <f>'Calendario D'!M607</f>
        <v/>
      </c>
      <c r="B759" s="68">
        <f>'Calendario D'!N607</f>
        <v/>
      </c>
      <c r="C759" s="68">
        <f>'Calendario D'!O607</f>
        <v/>
      </c>
      <c r="D759" s="68">
        <f>'Calendario D'!P607</f>
        <v/>
      </c>
      <c r="E759" s="68">
        <f>'Calendario D'!Q607</f>
        <v/>
      </c>
      <c r="F759" s="68">
        <f>'Calendario D'!R607</f>
        <v/>
      </c>
      <c r="G759" s="68">
        <f>'Calendario D'!S607</f>
        <v/>
      </c>
      <c r="H759" s="68">
        <f>'Calendario D'!T607</f>
        <v/>
      </c>
      <c r="I759" s="68">
        <f>'Calendario D'!U607</f>
        <v/>
      </c>
      <c r="J759" s="68">
        <f>'Calendario D'!V607</f>
        <v/>
      </c>
      <c r="K759" s="68">
        <f>'Calendario D'!W607</f>
        <v/>
      </c>
      <c r="L759" s="68">
        <f>'Calendario D'!X607</f>
        <v/>
      </c>
      <c r="M759" s="68">
        <f>'Calendario D'!Y607</f>
        <v/>
      </c>
      <c r="N759" s="68">
        <f>'Calendario D'!Z607</f>
        <v/>
      </c>
    </row>
    <row r="760">
      <c r="A760" s="68">
        <f>'Calendario D'!M610</f>
        <v/>
      </c>
      <c r="B760" s="68">
        <f>'Calendario D'!N610</f>
        <v/>
      </c>
      <c r="C760" s="68">
        <f>'Calendario D'!O610</f>
        <v/>
      </c>
      <c r="D760" s="68">
        <f>'Calendario D'!P610</f>
        <v/>
      </c>
      <c r="E760" s="68">
        <f>'Calendario D'!Q610</f>
        <v/>
      </c>
      <c r="F760" s="68">
        <f>'Calendario D'!R610</f>
        <v/>
      </c>
      <c r="G760" s="68">
        <f>'Calendario D'!S610</f>
        <v/>
      </c>
      <c r="H760" s="68">
        <f>'Calendario D'!T610</f>
        <v/>
      </c>
      <c r="I760" s="68">
        <f>'Calendario D'!U610</f>
        <v/>
      </c>
      <c r="J760" s="68">
        <f>'Calendario D'!V610</f>
        <v/>
      </c>
      <c r="K760" s="68">
        <f>'Calendario D'!W610</f>
        <v/>
      </c>
      <c r="L760" s="68">
        <f>'Calendario D'!X610</f>
        <v/>
      </c>
      <c r="M760" s="68">
        <f>'Calendario D'!Y610</f>
        <v/>
      </c>
      <c r="N760" s="68">
        <f>'Calendario D'!Z610</f>
        <v/>
      </c>
    </row>
    <row r="761">
      <c r="A761" s="68">
        <f>'Calendario D'!M613</f>
        <v/>
      </c>
      <c r="B761" s="68">
        <f>'Calendario D'!N613</f>
        <v/>
      </c>
      <c r="C761" s="68">
        <f>'Calendario D'!O613</f>
        <v/>
      </c>
      <c r="D761" s="68">
        <f>'Calendario D'!P613</f>
        <v/>
      </c>
      <c r="E761" s="68">
        <f>'Calendario D'!Q613</f>
        <v/>
      </c>
      <c r="F761" s="68">
        <f>'Calendario D'!R613</f>
        <v/>
      </c>
      <c r="G761" s="68">
        <f>'Calendario D'!S613</f>
        <v/>
      </c>
      <c r="H761" s="68">
        <f>'Calendario D'!T613</f>
        <v/>
      </c>
      <c r="I761" s="68">
        <f>'Calendario D'!U613</f>
        <v/>
      </c>
      <c r="J761" s="68">
        <f>'Calendario D'!V613</f>
        <v/>
      </c>
      <c r="K761" s="68">
        <f>'Calendario D'!W613</f>
        <v/>
      </c>
      <c r="L761" s="68">
        <f>'Calendario D'!X613</f>
        <v/>
      </c>
      <c r="M761" s="68">
        <f>'Calendario D'!Y613</f>
        <v/>
      </c>
      <c r="N761" s="68">
        <f>'Calendario D'!Z613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2026-10-16T16:04:02Z</dcterms:modified>
</cp:coreProperties>
</file>