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_INPUT" sheetId="1" state="visible" r:id="rId2"/>
    <sheet name="B_ELABORAZIONE" sheetId="2" state="visible" r:id="rId3"/>
    <sheet name="C_OUTPUT" sheetId="3" state="visible" r:id="rId4"/>
  </sheets>
  <definedNames>
    <definedName function="false" hidden="false" name="A_1_INPUT_DATI_TORNEO" vbProcedure="false">A_INPUT!$A$3:$B$4</definedName>
    <definedName function="false" hidden="false" name="A_2_INPUT_SQUADRE" vbProcedure="false">A_INPUT!$D$3:$I$34</definedName>
    <definedName function="false" hidden="false" name="A_3_INPUT_CAMPI" vbProcedure="false">A_INPUT!$K$3:$L$34</definedName>
    <definedName function="false" hidden="false" name="A_4_INPUT_DATE_E_RISULTATI_GIRONI" vbProcedure="false">A_INPUT!$N$3:$X$50</definedName>
    <definedName function="false" hidden="false" name="A_5_INPUT_DATE_E_RISULTATI_2A_FASE" vbProcedure="false">A_INPUT!$Z$1:$AJ$66</definedName>
    <definedName function="false" hidden="false" name="A_SQUADRE_PER_CODICE" vbProcedure="false">A_INPUT!$E$3:$I$34</definedName>
    <definedName function="false" hidden="false" name="B_CLASSIFICA_GIRONE_A" vbProcedure="false">B_ELABORAZIONE!$Y$3:$AS$6</definedName>
    <definedName function="false" hidden="false" name="B_CLASSIFICA_GIRONE_B" vbProcedure="false">B_ELABORAZIONE!$Y$7:$AS$10</definedName>
    <definedName function="false" hidden="false" name="B_CLASSIFICA_GIRONE_C" vbProcedure="false">B_ELABORAZIONE!$Y$11:$AS$14</definedName>
    <definedName function="false" hidden="false" name="B_CLASSIFICA_GIRONE_D" vbProcedure="false">B_ELABORAZIONE!$Y$15:$AS$18</definedName>
    <definedName function="false" hidden="false" name="B_CLASSIFICA_GIRONE_E" vbProcedure="false">B_ELABORAZIONE!$Y$19:$AS$22</definedName>
    <definedName function="false" hidden="false" name="B_CLASSIFICA_GIRONE_F" vbProcedure="false">B_ELABORAZIONE!$Y$23:$AS$26</definedName>
    <definedName function="false" hidden="false" name="B_CLASSIFICA_GIRONE_G" vbProcedure="false">B_ELABORAZIONE!$Y$27:$AS$30</definedName>
    <definedName function="false" hidden="false" name="B_CLASSIFICA_GIRONE_H" vbProcedure="false">B_ELABORAZIONE!$Y$31:$AS$34</definedName>
    <definedName function="false" hidden="false" name="B_CLASSIFICHE_GIRONI" vbProcedure="false">B_ELABORAZIONE!$Y$3:$AS$34</definedName>
    <definedName function="false" hidden="false" name="B_COEFF_GIRONE_A" vbProcedure="false">B_ELABORAZIONE!$AS$3:$AS$6</definedName>
    <definedName function="false" hidden="false" name="B_COEFF_GIRONE_B" vbProcedure="false">B_ELABORAZIONE!$AS$7:$AS$10</definedName>
    <definedName function="false" hidden="false" name="B_COEFF_GIRONE_C" vbProcedure="false">B_ELABORAZIONE!$AS$11:$AS$14</definedName>
    <definedName function="false" hidden="false" name="B_COEFF_GIRONE_D" vbProcedure="false">B_ELABORAZIONE!$AS$15:$AS$18</definedName>
    <definedName function="false" hidden="false" name="B_COEFF_GIRONE_E" vbProcedure="false">B_ELABORAZIONE!$AS$19:$AS$22</definedName>
    <definedName function="false" hidden="false" name="B_COEFF_GIRONE_F" vbProcedure="false">B_ELABORAZIONE!$AS$23:$AS$26</definedName>
    <definedName function="false" hidden="false" name="B_COEFF_GIRONE_G" vbProcedure="false">B_ELABORAZIONE!$AS$27:$AS$30</definedName>
    <definedName function="false" hidden="false" name="B_COEFF_GIRONE_H" vbProcedure="false">B_ELABORAZIONE!$AS$31:$AS$34</definedName>
    <definedName function="false" hidden="false" name="B_DIFF_CANESTRI_SQUADRA_A_GIRONI" vbProcedure="false">B_ELABORAZIONE!$Q$3:$Q$50</definedName>
    <definedName function="false" hidden="false" name="B_DIFF_CANESTRI_SQUADRA_B_GIRONI" vbProcedure="false">B_ELABORAZIONE!$W$3:$W$50</definedName>
    <definedName function="false" hidden="false" name="B_FORFAIT_SQUADRA_A_GIRONI" vbProcedure="false">B_ELABORAZIONE!$N$3:$N$50</definedName>
    <definedName function="false" hidden="false" name="B_FORFAIT_SQUADRA_B_GIRONI" vbProcedure="false">B_ELABORAZIONE!$T$3:$T$50</definedName>
    <definedName function="false" hidden="false" name="B_PARTITE_2A_FASE_PER_CODICE" vbProcedure="false">B_ELABORAZIONE!$AU$1:$BR$66</definedName>
    <definedName function="false" hidden="false" name="B_PARTITE_2A_FASE_PER_NUMERO" vbProcedure="false">B_ELABORAZIONE!$AV$1:$BR$66</definedName>
    <definedName function="false" hidden="false" name="B_PARTITE_GIRONI" vbProcedure="false">B_ELABORAZIONE!$A$3:$W$50</definedName>
    <definedName function="false" hidden="false" name="B_PERSE_SQUADRA_A_GIRONI" vbProcedure="false">B_ELABORAZIONE!$M$3:$M$50</definedName>
    <definedName function="false" hidden="false" name="B_PERSE_SQUADRA_B_GIRONI" vbProcedure="false">B_ELABORAZIONE!$S$3:$S$50</definedName>
    <definedName function="false" hidden="false" name="B_PUNTI_FATTI_SQUADRA_A_GIRONI" vbProcedure="false">B_ELABORAZIONE!$O$3:$O$50</definedName>
    <definedName function="false" hidden="false" name="B_PUNTI_FATTI_SQUADRA_B_GIRONI" vbProcedure="false">B_ELABORAZIONE!$U$3:$U$50</definedName>
    <definedName function="false" hidden="false" name="B_PUNTI_SUBITI_SQUADRA_A_GIRONI" vbProcedure="false">B_ELABORAZIONE!$P$3:$P$50</definedName>
    <definedName function="false" hidden="false" name="B_PUNTI_SUBITI_SQUADRA_B_GIRONI" vbProcedure="false">B_ELABORAZIONE!$V$3:$V$50</definedName>
    <definedName function="false" hidden="false" name="B_SQUADRA_A_GIRONI" vbProcedure="false">B_ELABORAZIONE!$F$3:$F$50</definedName>
    <definedName function="false" hidden="false" name="B_SQUADRA_B_GIRONI" vbProcedure="false">B_ELABORAZIONE!$G$3:$G$50</definedName>
    <definedName function="false" hidden="false" name="B_VINTE_SQUADRA_A_GIRONI" vbProcedure="false">B_ELABORAZIONE!$L$3:$L$50</definedName>
    <definedName function="false" hidden="false" name="B_VINTE_SQUADRA_B_GIRONI" vbProcedure="false">B_ELABORAZIONE!$R$3:$R$50</definedName>
    <definedName function="false" hidden="false" name="CLASSIFICA_GIRONE_A" vbProcedure="false">#REF!</definedName>
    <definedName function="false" hidden="false" name="CLASSIFICA_GIRONE_B" vbProcedure="false">#REF!</definedName>
    <definedName function="false" hidden="false" name="CLASSIFICA_GIRONE_C" vbProcedure="false">#REF!</definedName>
    <definedName function="false" hidden="false" name="CLASSIFICA_GIRONE_D" vbProcedure="false">#REF!</definedName>
    <definedName function="false" hidden="false" name="CLASSIFICA_GIRONE_E" vbProcedure="false">#REF!</definedName>
    <definedName function="false" hidden="false" name="CLASSIFICA_GIRONE_F" vbProcedure="false">#REF!</definedName>
    <definedName function="false" hidden="false" name="CLASSIFICA_GIRONE_G" vbProcedure="false">#REF!</definedName>
    <definedName function="false" hidden="false" name="CLASSIFICA_GIRONE_H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<sst xmlns="http://schemas.openxmlformats.org/spreadsheetml/2006/main" count="944" uniqueCount="448">
  <si>
    <t xml:space="preserve">DATI_TORNEO</t>
  </si>
  <si>
    <t xml:space="preserve">SQUADRE</t>
  </si>
  <si>
    <t xml:space="preserve">CAMPI</t>
  </si>
  <si>
    <t xml:space="preserve">DATE_E_RISULTATI_GIRONI</t>
  </si>
  <si>
    <t xml:space="preserve">DATE_E_RISULTATI_2A_FASE</t>
  </si>
  <si>
    <t xml:space="preserve">ID</t>
  </si>
  <si>
    <t xml:space="preserve">Valore</t>
  </si>
  <si>
    <t xml:space="preserve">Codice</t>
  </si>
  <si>
    <t xml:space="preserve">Nome</t>
  </si>
  <si>
    <t xml:space="preserve">Note</t>
  </si>
  <si>
    <t xml:space="preserve">Girone</t>
  </si>
  <si>
    <t xml:space="preserve">ID Nel Girone</t>
  </si>
  <si>
    <t xml:space="preserve">N.
Gara</t>
  </si>
  <si>
    <t xml:space="preserve">Fase</t>
  </si>
  <si>
    <t xml:space="preserve">Squadra
A</t>
  </si>
  <si>
    <t xml:space="preserve">Squadra
B</t>
  </si>
  <si>
    <t xml:space="preserve">Risultato
Squadra
A</t>
  </si>
  <si>
    <t xml:space="preserve">Risultato
Squadra
B</t>
  </si>
  <si>
    <t xml:space="preserve">Data</t>
  </si>
  <si>
    <t xml:space="preserve">Ora</t>
  </si>
  <si>
    <t xml:space="preserve">ID
Campo</t>
  </si>
  <si>
    <t xml:space="preserve">Nome Campo</t>
  </si>
  <si>
    <t xml:space="preserve">Turno</t>
  </si>
  <si>
    <t xml:space="preserve">NOME_TORNEO</t>
  </si>
  <si>
    <t xml:space="preserve">Torneo dell’Estate</t>
  </si>
  <si>
    <t xml:space="preserve">Leoni</t>
  </si>
  <si>
    <t xml:space="preserve">A</t>
  </si>
  <si>
    <t xml:space="preserve">Cristo Re 1</t>
  </si>
  <si>
    <t xml:space="preserve">STAGIONE</t>
  </si>
  <si>
    <t xml:space="preserve">Pantere</t>
  </si>
  <si>
    <t xml:space="preserve">Cristo Re 2</t>
  </si>
  <si>
    <t xml:space="preserve">Tigri</t>
  </si>
  <si>
    <t xml:space="preserve">Basket Giovane</t>
  </si>
  <si>
    <t xml:space="preserve">Ghepardi</t>
  </si>
  <si>
    <t xml:space="preserve">Nuova Scuola</t>
  </si>
  <si>
    <t xml:space="preserve">Giaguari</t>
  </si>
  <si>
    <t xml:space="preserve">B</t>
  </si>
  <si>
    <t xml:space="preserve">Puma</t>
  </si>
  <si>
    <t xml:space="preserve">Linci</t>
  </si>
  <si>
    <t xml:space="preserve">Serval</t>
  </si>
  <si>
    <t xml:space="preserve">Elefanti</t>
  </si>
  <si>
    <t xml:space="preserve">C</t>
  </si>
  <si>
    <t xml:space="preserve">Giraffe</t>
  </si>
  <si>
    <t xml:space="preserve">Ippopotami</t>
  </si>
  <si>
    <t xml:space="preserve">Iguane</t>
  </si>
  <si>
    <t xml:space="preserve">Coccodrilli</t>
  </si>
  <si>
    <t xml:space="preserve">D</t>
  </si>
  <si>
    <t xml:space="preserve">Pitoni</t>
  </si>
  <si>
    <t xml:space="preserve">Aquile</t>
  </si>
  <si>
    <t xml:space="preserve">Falchi</t>
  </si>
  <si>
    <t xml:space="preserve">Bisonti</t>
  </si>
  <si>
    <t xml:space="preserve">E</t>
  </si>
  <si>
    <t xml:space="preserve">Bufali</t>
  </si>
  <si>
    <t xml:space="preserve">Cervi</t>
  </si>
  <si>
    <t xml:space="preserve">Cinghiali</t>
  </si>
  <si>
    <t xml:space="preserve">Balene</t>
  </si>
  <si>
    <t xml:space="preserve">F</t>
  </si>
  <si>
    <t xml:space="preserve">Gabbiani</t>
  </si>
  <si>
    <t xml:space="preserve">Delfini</t>
  </si>
  <si>
    <t xml:space="preserve">Fenicotteri</t>
  </si>
  <si>
    <t xml:space="preserve">Istrici</t>
  </si>
  <si>
    <t xml:space="preserve">G</t>
  </si>
  <si>
    <t xml:space="preserve">Gorilla</t>
  </si>
  <si>
    <t xml:space="preserve">Muli</t>
  </si>
  <si>
    <t xml:space="preserve">Orche</t>
  </si>
  <si>
    <t xml:space="preserve">Piranha</t>
  </si>
  <si>
    <t xml:space="preserve">H</t>
  </si>
  <si>
    <t xml:space="preserve">Scorpioni</t>
  </si>
  <si>
    <t xml:space="preserve">Tonni</t>
  </si>
  <si>
    <t xml:space="preserve">Zebre</t>
  </si>
  <si>
    <t xml:space="preserve">COLORI</t>
  </si>
  <si>
    <t xml:space="preserve">ROSSO</t>
  </si>
  <si>
    <t xml:space="preserve">ff0000</t>
  </si>
  <si>
    <t xml:space="preserve">ARANCIONE</t>
  </si>
  <si>
    <t xml:space="preserve">ffa500</t>
  </si>
  <si>
    <t xml:space="preserve">GIALLO</t>
  </si>
  <si>
    <t xml:space="preserve">ffff00</t>
  </si>
  <si>
    <t xml:space="preserve">VERDE</t>
  </si>
  <si>
    <t xml:space="preserve">000800</t>
  </si>
  <si>
    <t xml:space="preserve">BLU</t>
  </si>
  <si>
    <t xml:space="preserve">0000ff</t>
  </si>
  <si>
    <t xml:space="preserve">INDACO</t>
  </si>
  <si>
    <t xml:space="preserve">4b0082</t>
  </si>
  <si>
    <t xml:space="preserve">VIOLETTO</t>
  </si>
  <si>
    <t xml:space="preserve">ee82ee</t>
  </si>
  <si>
    <t xml:space="preserve">NERO</t>
  </si>
  <si>
    <t xml:space="preserve">000000</t>
  </si>
  <si>
    <t xml:space="preserve">BLU_SCURO</t>
  </si>
  <si>
    <t xml:space="preserve">1f4e79</t>
  </si>
  <si>
    <t xml:space="preserve">VERDE_MEDIO</t>
  </si>
  <si>
    <t xml:space="preserve">a9d18e</t>
  </si>
  <si>
    <t xml:space="preserve">VERDE_CHIARO</t>
  </si>
  <si>
    <t xml:space="preserve">c5e0b4</t>
  </si>
  <si>
    <t xml:space="preserve">PARTITE_GIRONI</t>
  </si>
  <si>
    <t xml:space="preserve">CLASSIFICHE_GIRONI</t>
  </si>
  <si>
    <t xml:space="preserve">PARTITE_2A_FASE</t>
  </si>
  <si>
    <t xml:space="preserve">Codice
Sq.
A</t>
  </si>
  <si>
    <t xml:space="preserve">Codice
Sq.
B</t>
  </si>
  <si>
    <t xml:space="preserve">Squadra A</t>
  </si>
  <si>
    <t xml:space="preserve">Squadra B</t>
  </si>
  <si>
    <t xml:space="preserve">Squadra
Vincente</t>
  </si>
  <si>
    <t xml:space="preserve">Squadra
Perdente</t>
  </si>
  <si>
    <t xml:space="preserve">Vinta
A</t>
  </si>
  <si>
    <t xml:space="preserve">Persa
A</t>
  </si>
  <si>
    <t xml:space="preserve">Forfait
A</t>
  </si>
  <si>
    <t xml:space="preserve">P. Fatti
A</t>
  </si>
  <si>
    <t xml:space="preserve">P. Subiti
A</t>
  </si>
  <si>
    <t xml:space="preserve">Differenza
Canestri
A</t>
  </si>
  <si>
    <t xml:space="preserve">Vinta
B</t>
  </si>
  <si>
    <t xml:space="preserve">Persa
B</t>
  </si>
  <si>
    <t xml:space="preserve">Forfait
B</t>
  </si>
  <si>
    <t xml:space="preserve">P. Fatti
B</t>
  </si>
  <si>
    <t xml:space="preserve">P. Subiti
B</t>
  </si>
  <si>
    <t xml:space="preserve">Differenza
Canestri
B</t>
  </si>
  <si>
    <t xml:space="preserve">Posiz.</t>
  </si>
  <si>
    <t xml:space="preserve">Codice
Squadra</t>
  </si>
  <si>
    <t xml:space="preserve">Squadra</t>
  </si>
  <si>
    <t xml:space="preserve">Giocate</t>
  </si>
  <si>
    <t xml:space="preserve">Vinte</t>
  </si>
  <si>
    <t xml:space="preserve">Perse</t>
  </si>
  <si>
    <t xml:space="preserve">Forfait</t>
  </si>
  <si>
    <t xml:space="preserve">Punti
Class.</t>
  </si>
  <si>
    <t xml:space="preserve">Punti
Gara
Fatti
Tot.
(4)</t>
  </si>
  <si>
    <t xml:space="preserve">Punti
Gara
Subiti
Tot.</t>
  </si>
  <si>
    <t xml:space="preserve">Diff.
Punti
Gara
Tot.
(3)</t>
  </si>
  <si>
    <t xml:space="preserve">Punti
Gara
Fatti
Scontro
Dir. 1</t>
  </si>
  <si>
    <t xml:space="preserve">Punti
Gara
Fatti
Scontro
Dir. 2</t>
  </si>
  <si>
    <t xml:space="preserve">Punti
Gara
Fatti
Scontro
Dir. 3</t>
  </si>
  <si>
    <t xml:space="preserve">Punti
Gara
Tot.
Sc. Dir.
(2)</t>
  </si>
  <si>
    <t xml:space="preserve">Diff.
Punti
Gara
Scontro
Dir. 1</t>
  </si>
  <si>
    <t xml:space="preserve">Diff.
Punti
Gara
Scontro
Dir. 2</t>
  </si>
  <si>
    <t xml:space="preserve">Diff.
Punti
Gara
Scontro
Dir. 3</t>
  </si>
  <si>
    <t xml:space="preserve">Diff.
Punti
Gara
Tot. Sc.
Dir. (1)</t>
  </si>
  <si>
    <t xml:space="preserve">Coefficiente</t>
  </si>
  <si>
    <t xml:space="preserve">Cod.
Gara</t>
  </si>
  <si>
    <t xml:space="preserve">A1</t>
  </si>
  <si>
    <t xml:space="preserve">A2</t>
  </si>
  <si>
    <t xml:space="preserve">1-16/8</t>
  </si>
  <si>
    <t xml:space="preserve">2aFase</t>
  </si>
  <si>
    <t xml:space="preserve">1-16</t>
  </si>
  <si>
    <t xml:space="preserve">1A</t>
  </si>
  <si>
    <t xml:space="preserve">2C</t>
  </si>
  <si>
    <t xml:space="preserve">A3</t>
  </si>
  <si>
    <t xml:space="preserve">1-16/4</t>
  </si>
  <si>
    <t xml:space="preserve">2A</t>
  </si>
  <si>
    <t xml:space="preserve">1C</t>
  </si>
  <si>
    <t xml:space="preserve">A4</t>
  </si>
  <si>
    <t xml:space="preserve">17-32/8</t>
  </si>
  <si>
    <t xml:space="preserve">17-32</t>
  </si>
  <si>
    <t xml:space="preserve">3A</t>
  </si>
  <si>
    <t xml:space="preserve">4C</t>
  </si>
  <si>
    <t xml:space="preserve">17-32/7</t>
  </si>
  <si>
    <t xml:space="preserve">3C</t>
  </si>
  <si>
    <t xml:space="preserve">4A</t>
  </si>
  <si>
    <t xml:space="preserve">B1</t>
  </si>
  <si>
    <t xml:space="preserve">1-16/7</t>
  </si>
  <si>
    <t xml:space="preserve">1B</t>
  </si>
  <si>
    <t xml:space="preserve">2D</t>
  </si>
  <si>
    <t xml:space="preserve">B2</t>
  </si>
  <si>
    <t xml:space="preserve">1-16/3</t>
  </si>
  <si>
    <t xml:space="preserve">1D</t>
  </si>
  <si>
    <t xml:space="preserve">2B</t>
  </si>
  <si>
    <t xml:space="preserve">B3</t>
  </si>
  <si>
    <t xml:space="preserve">17-32/6</t>
  </si>
  <si>
    <t xml:space="preserve">3B</t>
  </si>
  <si>
    <t xml:space="preserve">4D</t>
  </si>
  <si>
    <t xml:space="preserve">B4</t>
  </si>
  <si>
    <t xml:space="preserve">17-32/5</t>
  </si>
  <si>
    <t xml:space="preserve">3D</t>
  </si>
  <si>
    <t xml:space="preserve">4B</t>
  </si>
  <si>
    <t xml:space="preserve">C1</t>
  </si>
  <si>
    <t xml:space="preserve">1-16/6</t>
  </si>
  <si>
    <t xml:space="preserve">1E</t>
  </si>
  <si>
    <t xml:space="preserve">2G</t>
  </si>
  <si>
    <t xml:space="preserve">C2</t>
  </si>
  <si>
    <t xml:space="preserve">1-16/2</t>
  </si>
  <si>
    <t xml:space="preserve">1G</t>
  </si>
  <si>
    <t xml:space="preserve">2E</t>
  </si>
  <si>
    <t xml:space="preserve">C3</t>
  </si>
  <si>
    <t xml:space="preserve">17-32/4</t>
  </si>
  <si>
    <t xml:space="preserve">3E</t>
  </si>
  <si>
    <t xml:space="preserve">4G</t>
  </si>
  <si>
    <t xml:space="preserve">C4</t>
  </si>
  <si>
    <t xml:space="preserve">17-32/3</t>
  </si>
  <si>
    <t xml:space="preserve">3G</t>
  </si>
  <si>
    <t xml:space="preserve">4E</t>
  </si>
  <si>
    <t xml:space="preserve">D1</t>
  </si>
  <si>
    <t xml:space="preserve">1-16/5</t>
  </si>
  <si>
    <t xml:space="preserve">1F</t>
  </si>
  <si>
    <t xml:space="preserve">2H</t>
  </si>
  <si>
    <t xml:space="preserve">D2</t>
  </si>
  <si>
    <t xml:space="preserve">1-16/1</t>
  </si>
  <si>
    <t xml:space="preserve">1H</t>
  </si>
  <si>
    <t xml:space="preserve">2F</t>
  </si>
  <si>
    <t xml:space="preserve">D3</t>
  </si>
  <si>
    <t xml:space="preserve">17-32/2</t>
  </si>
  <si>
    <t xml:space="preserve">3F</t>
  </si>
  <si>
    <t xml:space="preserve">4H</t>
  </si>
  <si>
    <t xml:space="preserve">D4</t>
  </si>
  <si>
    <t xml:space="preserve">17-32/1</t>
  </si>
  <si>
    <t xml:space="preserve">3H</t>
  </si>
  <si>
    <t xml:space="preserve">4F</t>
  </si>
  <si>
    <t xml:space="preserve">E1</t>
  </si>
  <si>
    <t xml:space="preserve">25-32/4</t>
  </si>
  <si>
    <t xml:space="preserve">25-32</t>
  </si>
  <si>
    <t xml:space="preserve">P51</t>
  </si>
  <si>
    <t xml:space="preserve">P55</t>
  </si>
  <si>
    <t xml:space="preserve">E2</t>
  </si>
  <si>
    <t xml:space="preserve">25-32/3</t>
  </si>
  <si>
    <t xml:space="preserve">P52</t>
  </si>
  <si>
    <t xml:space="preserve">P56</t>
  </si>
  <si>
    <t xml:space="preserve">E3</t>
  </si>
  <si>
    <t xml:space="preserve">25-32/2</t>
  </si>
  <si>
    <t xml:space="preserve">P59</t>
  </si>
  <si>
    <t xml:space="preserve">P63</t>
  </si>
  <si>
    <t xml:space="preserve">E4</t>
  </si>
  <si>
    <t xml:space="preserve">25-32/1</t>
  </si>
  <si>
    <t xml:space="preserve">P60</t>
  </si>
  <si>
    <t xml:space="preserve">P64</t>
  </si>
  <si>
    <t xml:space="preserve">F1</t>
  </si>
  <si>
    <t xml:space="preserve">1-8/4</t>
  </si>
  <si>
    <t xml:space="preserve">1-8</t>
  </si>
  <si>
    <t xml:space="preserve">V49</t>
  </si>
  <si>
    <t xml:space="preserve">V53</t>
  </si>
  <si>
    <t xml:space="preserve">F2</t>
  </si>
  <si>
    <t xml:space="preserve">1-8/3</t>
  </si>
  <si>
    <t xml:space="preserve">V57</t>
  </si>
  <si>
    <t xml:space="preserve">V61</t>
  </si>
  <si>
    <t xml:space="preserve">F3</t>
  </si>
  <si>
    <t xml:space="preserve">17-24/4</t>
  </si>
  <si>
    <t xml:space="preserve">17-24</t>
  </si>
  <si>
    <t xml:space="preserve">V51</t>
  </si>
  <si>
    <t xml:space="preserve">V55</t>
  </si>
  <si>
    <t xml:space="preserve">F4</t>
  </si>
  <si>
    <t xml:space="preserve">17-24/3</t>
  </si>
  <si>
    <t xml:space="preserve">V59</t>
  </si>
  <si>
    <t xml:space="preserve">V63</t>
  </si>
  <si>
    <t xml:space="preserve">G1</t>
  </si>
  <si>
    <t xml:space="preserve">1-8/2</t>
  </si>
  <si>
    <t xml:space="preserve">V50</t>
  </si>
  <si>
    <t xml:space="preserve">V54</t>
  </si>
  <si>
    <t xml:space="preserve">G2</t>
  </si>
  <si>
    <t xml:space="preserve">1-8/1</t>
  </si>
  <si>
    <t xml:space="preserve">V58</t>
  </si>
  <si>
    <t xml:space="preserve">V62</t>
  </si>
  <si>
    <t xml:space="preserve">G3</t>
  </si>
  <si>
    <t xml:space="preserve">17-24/2</t>
  </si>
  <si>
    <t xml:space="preserve">V52</t>
  </si>
  <si>
    <t xml:space="preserve">V56</t>
  </si>
  <si>
    <t xml:space="preserve">G4</t>
  </si>
  <si>
    <t xml:space="preserve">17-24/1</t>
  </si>
  <si>
    <t xml:space="preserve">V60</t>
  </si>
  <si>
    <t xml:space="preserve">V64</t>
  </si>
  <si>
    <t xml:space="preserve">H1</t>
  </si>
  <si>
    <t xml:space="preserve">9-16/4</t>
  </si>
  <si>
    <t xml:space="preserve">9-16</t>
  </si>
  <si>
    <t xml:space="preserve">P49</t>
  </si>
  <si>
    <t xml:space="preserve">P53</t>
  </si>
  <si>
    <t xml:space="preserve">H2</t>
  </si>
  <si>
    <t xml:space="preserve">9-16/3</t>
  </si>
  <si>
    <t xml:space="preserve">P57</t>
  </si>
  <si>
    <t xml:space="preserve">P61</t>
  </si>
  <si>
    <t xml:space="preserve">H3</t>
  </si>
  <si>
    <t xml:space="preserve">9-16/2</t>
  </si>
  <si>
    <t xml:space="preserve">P50</t>
  </si>
  <si>
    <t xml:space="preserve">P54</t>
  </si>
  <si>
    <t xml:space="preserve">H4</t>
  </si>
  <si>
    <t xml:space="preserve">9-16/1</t>
  </si>
  <si>
    <t xml:space="preserve">P58</t>
  </si>
  <si>
    <t xml:space="preserve">P62</t>
  </si>
  <si>
    <t xml:space="preserve">25-28/2</t>
  </si>
  <si>
    <t xml:space="preserve">25-28</t>
  </si>
  <si>
    <t xml:space="preserve">V65</t>
  </si>
  <si>
    <t xml:space="preserve">V67</t>
  </si>
  <si>
    <t xml:space="preserve">25-28/1</t>
  </si>
  <si>
    <t xml:space="preserve">V66</t>
  </si>
  <si>
    <t xml:space="preserve">29-32/2</t>
  </si>
  <si>
    <t xml:space="preserve">29-32</t>
  </si>
  <si>
    <t xml:space="preserve">P65</t>
  </si>
  <si>
    <t xml:space="preserve">P67</t>
  </si>
  <si>
    <t xml:space="preserve">29-32/1</t>
  </si>
  <si>
    <t xml:space="preserve">P66</t>
  </si>
  <si>
    <t xml:space="preserve">5-8/2</t>
  </si>
  <si>
    <t xml:space="preserve">5-8</t>
  </si>
  <si>
    <t xml:space="preserve">P69</t>
  </si>
  <si>
    <t xml:space="preserve">P70</t>
  </si>
  <si>
    <t xml:space="preserve">5-8/1</t>
  </si>
  <si>
    <t xml:space="preserve">P73</t>
  </si>
  <si>
    <t xml:space="preserve">P74</t>
  </si>
  <si>
    <t xml:space="preserve">1-4/2</t>
  </si>
  <si>
    <t xml:space="preserve">1-4</t>
  </si>
  <si>
    <t xml:space="preserve">V69</t>
  </si>
  <si>
    <t xml:space="preserve">V70</t>
  </si>
  <si>
    <t xml:space="preserve">1-4/1</t>
  </si>
  <si>
    <t xml:space="preserve">V73</t>
  </si>
  <si>
    <t xml:space="preserve">V74</t>
  </si>
  <si>
    <t xml:space="preserve">9-12/2</t>
  </si>
  <si>
    <t xml:space="preserve">9-12</t>
  </si>
  <si>
    <t xml:space="preserve">V77</t>
  </si>
  <si>
    <t xml:space="preserve">V78</t>
  </si>
  <si>
    <t xml:space="preserve">9-12/1</t>
  </si>
  <si>
    <t xml:space="preserve">V79</t>
  </si>
  <si>
    <t xml:space="preserve">V80</t>
  </si>
  <si>
    <t xml:space="preserve">13-16/2</t>
  </si>
  <si>
    <t xml:space="preserve">13-16</t>
  </si>
  <si>
    <t xml:space="preserve">P77</t>
  </si>
  <si>
    <t xml:space="preserve">P78</t>
  </si>
  <si>
    <t xml:space="preserve">13-16/1</t>
  </si>
  <si>
    <t xml:space="preserve">P79</t>
  </si>
  <si>
    <t xml:space="preserve">P80</t>
  </si>
  <si>
    <t xml:space="preserve">17-20/2</t>
  </si>
  <si>
    <t xml:space="preserve">17-20</t>
  </si>
  <si>
    <t xml:space="preserve">V71</t>
  </si>
  <si>
    <t xml:space="preserve">V72</t>
  </si>
  <si>
    <t xml:space="preserve">17-20/1</t>
  </si>
  <si>
    <t xml:space="preserve">V75</t>
  </si>
  <si>
    <t xml:space="preserve">V76</t>
  </si>
  <si>
    <t xml:space="preserve">21-24/2</t>
  </si>
  <si>
    <t xml:space="preserve">21-24</t>
  </si>
  <si>
    <t xml:space="preserve">P71</t>
  </si>
  <si>
    <t xml:space="preserve">P72</t>
  </si>
  <si>
    <t xml:space="preserve">21-24/1</t>
  </si>
  <si>
    <t xml:space="preserve">P75</t>
  </si>
  <si>
    <t xml:space="preserve">P76</t>
  </si>
  <si>
    <t xml:space="preserve">31-32/1</t>
  </si>
  <si>
    <t xml:space="preserve">31-32</t>
  </si>
  <si>
    <t xml:space="preserve">P83</t>
  </si>
  <si>
    <t xml:space="preserve">P84</t>
  </si>
  <si>
    <t xml:space="preserve">29-30/1</t>
  </si>
  <si>
    <t xml:space="preserve">29-30</t>
  </si>
  <si>
    <t xml:space="preserve">V83</t>
  </si>
  <si>
    <t xml:space="preserve">V84</t>
  </si>
  <si>
    <t xml:space="preserve">27-28/1</t>
  </si>
  <si>
    <t xml:space="preserve">27-28</t>
  </si>
  <si>
    <t xml:space="preserve">P81</t>
  </si>
  <si>
    <t xml:space="preserve">P82</t>
  </si>
  <si>
    <t xml:space="preserve">25-26/1</t>
  </si>
  <si>
    <t xml:space="preserve">25-26</t>
  </si>
  <si>
    <t xml:space="preserve">V81</t>
  </si>
  <si>
    <t xml:space="preserve">V82</t>
  </si>
  <si>
    <t xml:space="preserve">23-24/1</t>
  </si>
  <si>
    <t xml:space="preserve">23-24</t>
  </si>
  <si>
    <t xml:space="preserve">P95</t>
  </si>
  <si>
    <t xml:space="preserve">P96</t>
  </si>
  <si>
    <t xml:space="preserve">21-22/1</t>
  </si>
  <si>
    <t xml:space="preserve">21-22</t>
  </si>
  <si>
    <t xml:space="preserve">V95</t>
  </si>
  <si>
    <t xml:space="preserve">V96</t>
  </si>
  <si>
    <t xml:space="preserve">19-20/1</t>
  </si>
  <si>
    <t xml:space="preserve">19-20</t>
  </si>
  <si>
    <t xml:space="preserve">P93</t>
  </si>
  <si>
    <t xml:space="preserve">P94</t>
  </si>
  <si>
    <t xml:space="preserve">17-18/1</t>
  </si>
  <si>
    <t xml:space="preserve">17-18</t>
  </si>
  <si>
    <t xml:space="preserve">V93</t>
  </si>
  <si>
    <t xml:space="preserve">V94</t>
  </si>
  <si>
    <t xml:space="preserve">15-16/1</t>
  </si>
  <si>
    <t xml:space="preserve">15-16</t>
  </si>
  <si>
    <t xml:space="preserve">P91</t>
  </si>
  <si>
    <t xml:space="preserve">P92</t>
  </si>
  <si>
    <t xml:space="preserve">13-14/1</t>
  </si>
  <si>
    <t xml:space="preserve">13-14</t>
  </si>
  <si>
    <t xml:space="preserve">V91</t>
  </si>
  <si>
    <t xml:space="preserve">V92</t>
  </si>
  <si>
    <t xml:space="preserve">11-12/1</t>
  </si>
  <si>
    <t xml:space="preserve">11-12</t>
  </si>
  <si>
    <t xml:space="preserve">P89</t>
  </si>
  <si>
    <t xml:space="preserve">P90</t>
  </si>
  <si>
    <t xml:space="preserve">9-10/1</t>
  </si>
  <si>
    <t xml:space="preserve">09-10</t>
  </si>
  <si>
    <t xml:space="preserve">V89</t>
  </si>
  <si>
    <t xml:space="preserve">V90</t>
  </si>
  <si>
    <t xml:space="preserve">5-6/1</t>
  </si>
  <si>
    <t xml:space="preserve">5-6</t>
  </si>
  <si>
    <t xml:space="preserve">V85</t>
  </si>
  <si>
    <t xml:space="preserve">V86</t>
  </si>
  <si>
    <t xml:space="preserve">7-8/1</t>
  </si>
  <si>
    <t xml:space="preserve">7-8</t>
  </si>
  <si>
    <t xml:space="preserve">P85</t>
  </si>
  <si>
    <t xml:space="preserve">P86</t>
  </si>
  <si>
    <t xml:space="preserve">3-4/1</t>
  </si>
  <si>
    <t xml:space="preserve">3-4</t>
  </si>
  <si>
    <t xml:space="preserve">P87</t>
  </si>
  <si>
    <t xml:space="preserve">P88</t>
  </si>
  <si>
    <t xml:space="preserve">1-2/1</t>
  </si>
  <si>
    <t xml:space="preserve">1-2</t>
  </si>
  <si>
    <t xml:space="preserve">V87</t>
  </si>
  <si>
    <t xml:space="preserve">V88</t>
  </si>
  <si>
    <t xml:space="preserve">Fase a Gironi</t>
  </si>
  <si>
    <t xml:space="preserve">Classifiche Gironi</t>
  </si>
  <si>
    <t xml:space="preserve">Tabellone Principale</t>
  </si>
  <si>
    <t xml:space="preserve">Risultato</t>
  </si>
  <si>
    <t xml:space="preserve">Gp</t>
  </si>
  <si>
    <t xml:space="preserve">Campo</t>
  </si>
  <si>
    <t xml:space="preserve">Girone A</t>
  </si>
  <si>
    <t xml:space="preserve">V</t>
  </si>
  <si>
    <t xml:space="preserve">P</t>
  </si>
  <si>
    <t xml:space="preserve">PC</t>
  </si>
  <si>
    <t xml:space="preserve">PGF</t>
  </si>
  <si>
    <t xml:space="preserve">PGS</t>
  </si>
  <si>
    <t xml:space="preserve">Gruppo A</t>
  </si>
  <si>
    <t xml:space="preserve">N</t>
  </si>
  <si>
    <t xml:space="preserve">GF</t>
  </si>
  <si>
    <t xml:space="preserve">GS</t>
  </si>
  <si>
    <t xml:space="preserve">DR</t>
  </si>
  <si>
    <t xml:space="preserve">P.ti</t>
  </si>
  <si>
    <t xml:space="preserve">Rank</t>
  </si>
  <si>
    <t xml:space="preserve">Ottavi di finale</t>
  </si>
  <si>
    <t xml:space="preserve">Quarti di finale</t>
  </si>
  <si>
    <t xml:space="preserve">Semifinali</t>
  </si>
  <si>
    <t xml:space="preserve">Finale</t>
  </si>
  <si>
    <t xml:space="preserve">Francia</t>
  </si>
  <si>
    <t xml:space="preserve">Albania</t>
  </si>
  <si>
    <t xml:space="preserve">Svizzera</t>
  </si>
  <si>
    <t xml:space="preserve">Romania</t>
  </si>
  <si>
    <t xml:space="preserve">Girone B</t>
  </si>
  <si>
    <t xml:space="preserve">Gruppo B</t>
  </si>
  <si>
    <t xml:space="preserve">Inghilterra</t>
  </si>
  <si>
    <t xml:space="preserve">Galles</t>
  </si>
  <si>
    <t xml:space="preserve">Slovacchia</t>
  </si>
  <si>
    <t xml:space="preserve">Russia</t>
  </si>
  <si>
    <t xml:space="preserve">Girone C</t>
  </si>
  <si>
    <t xml:space="preserve">Gruppo C</t>
  </si>
  <si>
    <t xml:space="preserve">Irlanda</t>
  </si>
  <si>
    <t xml:space="preserve">Germania</t>
  </si>
  <si>
    <t xml:space="preserve">Polonia</t>
  </si>
  <si>
    <t xml:space="preserve">Ucraina</t>
  </si>
  <si>
    <t xml:space="preserve">Girone D</t>
  </si>
  <si>
    <t xml:space="preserve">Gruppo D</t>
  </si>
  <si>
    <t xml:space="preserve">Turchia</t>
  </si>
  <si>
    <t xml:space="preserve">Croazia</t>
  </si>
  <si>
    <t xml:space="preserve">Spagna</t>
  </si>
  <si>
    <t xml:space="preserve">Rep. Ceca</t>
  </si>
  <si>
    <t xml:space="preserve">Girone E</t>
  </si>
  <si>
    <t xml:space="preserve">Gruppo E</t>
  </si>
  <si>
    <t xml:space="preserve">Italia</t>
  </si>
  <si>
    <t xml:space="preserve">Belgio</t>
  </si>
  <si>
    <t xml:space="preserve">Svezia</t>
  </si>
  <si>
    <t xml:space="preserve">Rep. d'Irlanda</t>
  </si>
  <si>
    <t xml:space="preserve">Girone F</t>
  </si>
  <si>
    <t xml:space="preserve">Gruppo F</t>
  </si>
  <si>
    <t xml:space="preserve">Portogallo</t>
  </si>
  <si>
    <t xml:space="preserve">Austria</t>
  </si>
  <si>
    <t xml:space="preserve">Ungheria</t>
  </si>
  <si>
    <t xml:space="preserve">Islanda</t>
  </si>
  <si>
    <t xml:space="preserve">Girone G</t>
  </si>
  <si>
    <t xml:space="preserve">Gruppo Terze</t>
  </si>
  <si>
    <t xml:space="preserve">Girone H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</si>
</sst>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General"/>
    <numFmt numFmtId="166" formatCode="ddd\ dd/mm/yyyy"/>
    <numFmt numFmtId="167" formatCode="hh:mm"/>
    <numFmt numFmtId="168" formatCode="\+0;\-0"/>
    <numFmt numFmtId="169" formatCode="#.000000000000"/>
    <numFmt numFmtId="170" formatCode="@"/>
    <numFmt numFmtId="171" formatCode="&quot;VERO&quot;;&quot;VERO&quot;;&quot;FALSO&quot;"/>
    <numFmt numFmtId="172" formatCode="ddd\ d\ mmm"/>
    <numFmt numFmtId="173" formatCode="0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Mangal"/>
      <family val="2"/>
    </font>
    <font>
      <b val="true"/>
      <sz val="10"/>
      <name val="Mangal"/>
      <family val="2"/>
    </font>
    <font>
      <b val="true"/>
      <sz val="16"/>
      <color rgb="FFFFFFFF"/>
      <name val="Arial"/>
      <family val="2"/>
    </font>
    <font>
      <b val="true"/>
      <sz val="10"/>
      <color rgb="FFFFFFFF"/>
      <name val="Arial"/>
      <family val="2"/>
    </font>
    <font>
      <b val="true"/>
      <i val="true"/>
      <sz val="10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sz val="10"/>
      <color rgb="FF0000FF"/>
      <name val="Arial"/>
      <family val="2"/>
    </font>
    <font>
      <b val="true"/>
      <i val="true"/>
      <sz val="10"/>
      <color rgb="FF0000FF"/>
      <name val="Arial"/>
      <family val="2"/>
    </font>
    <font>
      <sz val="10"/>
      <color rgb="FF0000FF"/>
      <name val="Arial"/>
      <family val="2"/>
    </font>
    <font>
      <i val="true"/>
      <sz val="10"/>
      <color rgb="FF0000FF"/>
      <name val="Arial"/>
      <family val="2"/>
    </font>
    <font>
      <i val="true"/>
      <sz val="10"/>
      <color rgb="FF7F7F7F"/>
      <name val="Arial"/>
      <family val="2"/>
    </font>
    <font>
      <sz val="10"/>
      <color rgb="FF7F7F7F"/>
      <name val="Arial"/>
      <family val="2"/>
    </font>
    <font>
      <sz val="10"/>
      <color rgb="FF969696"/>
      <name val="Arial"/>
      <family val="2"/>
    </font>
    <font>
      <b val="true"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A5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4B0082"/>
        <bgColor rgb="FF800080"/>
      </patternFill>
    </fill>
    <fill>
      <patternFill patternType="solid">
        <fgColor rgb="FFEE82EE"/>
        <bgColor rgb="FFFF8080"/>
      </patternFill>
    </fill>
    <fill>
      <patternFill patternType="solid">
        <fgColor rgb="FF000000"/>
        <bgColor rgb="FF003300"/>
      </patternFill>
    </fill>
    <fill>
      <patternFill patternType="solid">
        <fgColor rgb="FF1F4E79"/>
        <bgColor rgb="FF003366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F2CC"/>
        <bgColor rgb="FFFBE5D6"/>
      </patternFill>
    </fill>
    <fill>
      <patternFill patternType="solid">
        <fgColor rgb="FFF2F2F2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9D9D9"/>
        <bgColor rgb="FFDEEBF7"/>
      </patternFill>
    </fill>
    <fill>
      <patternFill patternType="solid">
        <fgColor rgb="FFFFFF99"/>
        <bgColor rgb="FFFFE699"/>
      </patternFill>
    </fill>
    <fill>
      <patternFill patternType="solid">
        <fgColor rgb="FFFFE699"/>
        <bgColor rgb="FFFFFF99"/>
      </patternFill>
    </fill>
    <fill>
      <patternFill patternType="solid">
        <fgColor rgb="FFDEEBF7"/>
        <bgColor rgb="FFE2F0D9"/>
      </patternFill>
    </fill>
    <fill>
      <patternFill patternType="solid">
        <fgColor rgb="FF808000"/>
        <bgColor rgb="FF7F7F7F"/>
      </patternFill>
    </fill>
    <fill>
      <patternFill patternType="solid">
        <fgColor rgb="FFFBE5D6"/>
        <bgColor rgb="FFFFF2CC"/>
      </patternFill>
    </fill>
    <fill>
      <patternFill patternType="solid">
        <fgColor rgb="FF993366"/>
        <bgColor rgb="FF993366"/>
      </patternFill>
    </fill>
    <fill>
      <patternFill patternType="solid">
        <fgColor rgb="FFFF6600"/>
        <bgColor rgb="FFFF8080"/>
      </patternFill>
    </fill>
    <fill>
      <patternFill patternType="solid">
        <fgColor rgb="FF003366"/>
        <bgColor rgb="FF1F4E79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dotted"/>
      <diagonal/>
    </border>
    <border diagonalUp="false" diagonalDown="false">
      <left/>
      <right style="hair"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 style="hair"/>
      <right/>
      <top style="hair"/>
      <bottom style="dotted"/>
      <diagonal/>
    </border>
    <border diagonalUp="false" diagonalDown="false">
      <left/>
      <right/>
      <top style="hair"/>
      <bottom style="dotted"/>
      <diagonal/>
    </border>
    <border diagonalUp="false" diagonalDown="false">
      <left style="hair"/>
      <right style="hair"/>
      <top style="hair"/>
      <bottom style="dotted"/>
      <diagonal/>
    </border>
    <border diagonalUp="false" diagonalDown="false">
      <left/>
      <right style="hair"/>
      <top style="hair"/>
      <bottom style="dotted"/>
      <diagonal/>
    </border>
    <border diagonalUp="false" diagonalDown="false">
      <left style="hair"/>
      <right/>
      <top style="dotted"/>
      <bottom style="hair"/>
      <diagonal/>
    </border>
    <border diagonalUp="false" diagonalDown="false">
      <left/>
      <right style="hair"/>
      <top style="dotted"/>
      <bottom style="hair"/>
      <diagonal/>
    </border>
    <border diagonalUp="false" diagonalDown="false">
      <left style="hair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hair"/>
      <top style="dotted"/>
      <bottom style="dotted"/>
      <diagonal/>
    </border>
    <border diagonalUp="false" diagonalDown="false">
      <left style="hair"/>
      <right style="hair"/>
      <top style="dotted"/>
      <bottom style="dotted"/>
      <diagonal/>
    </border>
    <border diagonalUp="false" diagonalDown="false">
      <left/>
      <right/>
      <top style="dotted"/>
      <bottom style="hair"/>
      <diagonal/>
    </border>
    <border diagonalUp="false" diagonalDown="false">
      <left style="hair"/>
      <right style="hair"/>
      <top style="dotted"/>
      <bottom style="hair"/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>
        <color rgb="FF0000FF"/>
      </left>
      <right style="hair">
        <color rgb="FF0000FF"/>
      </right>
      <top style="hair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dotted"/>
      <diagonal/>
    </border>
    <border diagonalUp="false" diagonalDown="false">
      <left style="hair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 style="hair">
        <color rgb="FF0000FF"/>
      </left>
      <right style="hair">
        <color rgb="FF0000FF"/>
      </right>
      <top style="thin"/>
      <bottom style="dotted"/>
      <diagonal/>
    </border>
    <border diagonalUp="false" diagonalDown="false">
      <left style="hair"/>
      <right/>
      <top style="dotted"/>
      <bottom style="thin"/>
      <diagonal/>
    </border>
    <border diagonalUp="false" diagonalDown="false">
      <left/>
      <right/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thin"/>
      <diagonal/>
    </border>
    <border diagonalUp="false" diagonalDown="false">
      <left style="hair">
        <color rgb="FF0000FF"/>
      </left>
      <right style="hair">
        <color rgb="FF0000FF"/>
      </right>
      <top style="dotted"/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/>
      <right/>
      <top/>
      <bottom style="thin">
        <color rgb="FF3366FF"/>
      </bottom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 diagonalUp="false" diagonalDown="false">
      <left/>
      <right/>
      <top style="thin">
        <color rgb="FF4472C4"/>
      </top>
      <bottom style="hair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thin">
        <color rgb="FF3366FF"/>
      </top>
      <bottom style="hair">
        <color rgb="FF3366FF"/>
      </bottom>
      <diagonal/>
    </border>
    <border diagonalUp="false" diagonalDown="false">
      <left/>
      <right/>
      <top style="hair">
        <color rgb="FF4472C4"/>
      </top>
      <bottom style="thin">
        <color rgb="FF4472C4"/>
      </bottom>
      <diagonal/>
    </border>
    <border diagonalUp="false" diagonalDown="false">
      <left style="hair">
        <color rgb="FF3366FF"/>
      </left>
      <right style="thin">
        <color rgb="FF3366FF"/>
      </right>
      <top style="hair">
        <color rgb="FF3366FF"/>
      </top>
      <bottom style="thin">
        <color rgb="FF3366FF"/>
      </bottom>
      <diagonal/>
    </border>
    <border diagonalUp="false" diagonalDown="false">
      <left/>
      <right style="thin">
        <color rgb="FF8497B0"/>
      </right>
      <top style="thin">
        <color rgb="FF8497B0"/>
      </top>
      <bottom/>
      <diagonal/>
    </border>
    <border diagonalUp="false" diagonalDown="false">
      <left/>
      <right style="thin">
        <color rgb="FF8497B0"/>
      </right>
      <top/>
      <bottom/>
      <diagonal/>
    </border>
    <border diagonalUp="false" diagonalDown="false">
      <left style="thin">
        <color rgb="FF8497B0"/>
      </left>
      <right/>
      <top style="thin">
        <color rgb="FF8497B0"/>
      </top>
      <bottom/>
      <diagonal/>
    </border>
    <border diagonalUp="false" diagonalDown="false">
      <left style="thin">
        <color rgb="FF3366FF"/>
      </left>
      <right/>
      <top style="thin">
        <color rgb="FF3366FF"/>
      </top>
      <bottom style="hair">
        <color rgb="FF3366FF"/>
      </bottom>
      <diagonal/>
    </border>
    <border diagonalUp="false" diagonalDown="false">
      <left/>
      <right style="thin">
        <color rgb="FF8497B0"/>
      </right>
      <top/>
      <bottom style="thin">
        <color rgb="FF8497B0"/>
      </bottom>
      <diagonal/>
    </border>
    <border diagonalUp="false" diagonalDown="false">
      <left style="thin">
        <color rgb="FF3366FF"/>
      </left>
      <right/>
      <top style="hair">
        <color rgb="FF3366FF"/>
      </top>
      <bottom style="thin">
        <color rgb="FF3366FF"/>
      </bottom>
      <diagonal/>
    </border>
    <border diagonalUp="false" diagonalDown="false">
      <left style="thin">
        <color rgb="FF8497B0"/>
      </left>
      <right/>
      <top/>
      <bottom/>
      <diagonal/>
    </border>
    <border diagonalUp="false" diagonalDown="false">
      <left style="thin">
        <color rgb="FF3366FF"/>
      </left>
      <right/>
      <top style="thin">
        <color rgb="FF3366FF"/>
      </top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center" vertical="bottom" textRotation="0" wrapText="false" indent="0" shrinkToFit="false"/>
    </xf>
    <xf numFmtId="164" fontId="4" fillId="3" borderId="0" applyFont="true" applyBorder="false" applyAlignment="true" applyProtection="false">
      <alignment horizontal="center" vertical="bottom" textRotation="0" wrapText="false" indent="0" shrinkToFit="false"/>
    </xf>
    <xf numFmtId="164" fontId="5" fillId="4" borderId="0" applyFont="true" applyBorder="false" applyAlignment="true" applyProtection="false">
      <alignment horizontal="center" vertical="bottom" textRotation="0" wrapText="false" indent="0" shrinkToFit="false"/>
    </xf>
    <xf numFmtId="164" fontId="4" fillId="5" borderId="0" applyFont="true" applyBorder="false" applyAlignment="true" applyProtection="false">
      <alignment horizontal="center" vertical="bottom" textRotation="0" wrapText="false" indent="0" shrinkToFit="false"/>
    </xf>
    <xf numFmtId="164" fontId="4" fillId="6" borderId="0" applyFont="true" applyBorder="false" applyAlignment="true" applyProtection="false">
      <alignment horizontal="center" vertical="bottom" textRotation="0" wrapText="false" indent="0" shrinkToFit="false"/>
    </xf>
    <xf numFmtId="164" fontId="4" fillId="7" borderId="0" applyFont="true" applyBorder="false" applyAlignment="true" applyProtection="false">
      <alignment horizontal="center" vertical="bottom" textRotation="0" wrapText="false" indent="0" shrinkToFit="false"/>
    </xf>
    <xf numFmtId="164" fontId="4" fillId="8" borderId="0" applyFont="true" applyBorder="false" applyAlignment="true" applyProtection="false">
      <alignment horizontal="center" vertical="bottom" textRotation="0" wrapText="false" indent="0" shrinkToFit="false"/>
    </xf>
    <xf numFmtId="164" fontId="4" fillId="9" borderId="0" applyFont="true" applyBorder="false" applyAlignment="true" applyProtection="false">
      <alignment horizontal="center" vertical="bottom" textRotation="0" wrapText="false" indent="0" shrinkToFit="false"/>
    </xf>
    <xf numFmtId="164" fontId="4" fillId="10" borderId="0" applyFont="true" applyBorder="false" applyAlignment="true" applyProtection="false">
      <alignment horizontal="center" vertical="center" textRotation="0" wrapText="false" indent="0" shrinkToFit="false"/>
    </xf>
    <xf numFmtId="164" fontId="6" fillId="10" borderId="0" applyFont="true" applyBorder="true" applyAlignment="true" applyProtection="true">
      <alignment horizontal="center" vertical="center" textRotation="0" wrapText="false" indent="0" shrinkToFit="false"/>
      <protection locked="true" hidden="true"/>
    </xf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28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20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21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9" fillId="4" borderId="4" xfId="22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5" borderId="4" xfId="23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6" borderId="4" xfId="24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7" borderId="4" xfId="25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8" borderId="4" xfId="26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9" borderId="4" xfId="27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10" borderId="4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1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13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1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3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13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4" fillId="13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0" xfId="29" applyFont="false" applyBorder="false" applyAlignment="false" applyProtection="false">
      <alignment horizontal="center" vertical="center" textRotation="0" wrapText="false" indent="0" shrinkToFit="false"/>
      <protection locked="true" hidden="true"/>
    </xf>
    <xf numFmtId="165" fontId="6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14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10" borderId="0" xfId="28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2" xfId="2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2" borderId="33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" borderId="34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7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13" fillId="1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4" borderId="2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0" fillId="14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1" fillId="12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11" fillId="12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11" fillId="12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5" borderId="3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5" fontId="0" fillId="14" borderId="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9" fillId="12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9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9" fillId="12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0" fillId="15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0" fillId="15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73" fontId="0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2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0" fillId="1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4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0" fillId="14" borderId="36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7" fillId="3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3" borderId="3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7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3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3" borderId="3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4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3" borderId="4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4" borderId="4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70" fontId="0" fillId="14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0" fillId="18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14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14" borderId="4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5" fontId="9" fillId="15" borderId="45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5" fontId="16" fillId="14" borderId="46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8" fillId="4" borderId="1" xfId="22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8" fillId="4" borderId="3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8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47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0" fontId="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5" fontId="0" fillId="19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14" borderId="48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5" borderId="1" xfId="23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5" borderId="3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2" xfId="23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14" borderId="43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2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21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4" borderId="0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7" fillId="6" borderId="1" xfId="24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6" borderId="3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2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0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7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1" xfId="25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7" borderId="3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2" xfId="25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9" fillId="15" borderId="49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2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6" fillId="14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8" borderId="1" xfId="26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73" fontId="7" fillId="8" borderId="3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3" fontId="7" fillId="8" borderId="2" xfId="26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9" fillId="14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6" fillId="14" borderId="43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9" borderId="1" xfId="27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7" fillId="9" borderId="3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9" borderId="2" xfId="27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7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4" borderId="0" xfId="0" applyFont="true" applyBorder="false" applyAlignment="true" applyProtection="true">
      <alignment horizontal="general" vertical="center" textRotation="0" wrapText="false" indent="0" shrinkToFit="true"/>
      <protection locked="true" hidden="true"/>
    </xf>
    <xf numFmtId="164" fontId="0" fillId="14" borderId="0" xfId="0" applyFont="true" applyBorder="false" applyAlignment="true" applyProtection="true">
      <alignment horizontal="center" vertical="center" textRotation="0" wrapText="false" indent="0" shrinkToFit="true"/>
      <protection locked="true" hidden="true"/>
    </xf>
    <xf numFmtId="165" fontId="0" fillId="1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IRONE_A" xfId="20"/>
    <cellStyle name="GIRONE_B" xfId="21"/>
    <cellStyle name="GIRONE_C" xfId="22"/>
    <cellStyle name="GIRONE_D" xfId="23"/>
    <cellStyle name="GIRONE_E" xfId="24"/>
    <cellStyle name="GIRONE_F" xfId="25"/>
    <cellStyle name="GIRONE_G" xfId="26"/>
    <cellStyle name="GIRONE_H" xfId="27"/>
    <cellStyle name="INTESTAZIONE" xfId="28"/>
    <cellStyle name="INTESTAZIONE_GRANDE" xfId="29"/>
  </cellStyles>
  <dxfs count="8">
    <dxf>
      <font>
        <name val="Mangal"/>
        <family val="2"/>
        <b val="1"/>
        <color rgb="FFFFFFFF"/>
      </font>
      <fill>
        <patternFill>
          <bgColor rgb="FFFF0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FFA5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</font>
      <fill>
        <patternFill>
          <bgColor rgb="FFFFFF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8000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FF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4B0082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EE82EE"/>
        </patternFill>
      </fill>
      <alignment horizontal="center" vertical="bottom" textRotation="0" wrapText="false" indent="0" shrinkToFit="false"/>
    </dxf>
    <dxf>
      <font>
        <name val="Mangal"/>
        <family val="2"/>
        <b val="1"/>
        <color rgb="FFFFFFFF"/>
      </font>
      <fill>
        <patternFill>
          <bgColor rgb="FF000000"/>
        </patternFill>
      </fill>
      <alignment horizontal="center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497B0"/>
      <rgbColor rgb="FF993366"/>
      <rgbColor rgb="FFFFF2CC"/>
      <rgbColor rgb="FFDEEBF7"/>
      <rgbColor rgb="FF4B0082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FF99"/>
      <rgbColor rgb="FFC5E0B4"/>
      <rgbColor rgb="FFEE82EE"/>
      <rgbColor rgb="FFFBE5D6"/>
      <rgbColor rgb="FFFFE699"/>
      <rgbColor rgb="FF3366FF"/>
      <rgbColor rgb="FF33CCCC"/>
      <rgbColor rgb="FF99CC00"/>
      <rgbColor rgb="FFFFCC00"/>
      <rgbColor rgb="FFFFA500"/>
      <rgbColor rgb="FFFF6600"/>
      <rgbColor rgb="FF4472C4"/>
      <rgbColor rgb="FF969696"/>
      <rgbColor rgb="FF003366"/>
      <rgbColor rgb="FF5B9BD5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6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N3" activeCellId="0" sqref="N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6.3"/>
    <col collapsed="false" customWidth="true" hidden="false" outlineLevel="0" max="4" min="4" style="0" width="3.57"/>
    <col collapsed="false" customWidth="true" hidden="false" outlineLevel="0" max="5" min="5" style="0" width="7.73"/>
    <col collapsed="false" customWidth="true" hidden="false" outlineLevel="0" max="6" min="6" style="0" width="10.62"/>
    <col collapsed="false" customWidth="true" hidden="false" outlineLevel="0" max="7" min="7" style="0" width="15.72"/>
    <col collapsed="false" customWidth="true" hidden="false" outlineLevel="0" max="8" min="8" style="0" width="7.38"/>
    <col collapsed="false" customWidth="true" hidden="false" outlineLevel="0" max="9" min="9" style="0" width="13.06"/>
    <col collapsed="false" customWidth="true" hidden="false" outlineLevel="0" max="11" min="11" style="0" width="3.57"/>
    <col collapsed="false" customWidth="true" hidden="false" outlineLevel="0" max="12" min="12" style="0" width="14.56"/>
    <col collapsed="false" customWidth="true" hidden="false" outlineLevel="0" max="14" min="14" style="0" width="5.64"/>
    <col collapsed="false" customWidth="true" hidden="false" outlineLevel="0" max="16" min="15" style="0" width="7.38"/>
    <col collapsed="false" customWidth="true" hidden="false" outlineLevel="0" max="18" min="17" style="0" width="14.21"/>
    <col collapsed="false" customWidth="true" hidden="false" outlineLevel="0" max="20" min="19" style="0" width="9.35"/>
    <col collapsed="false" customWidth="true" hidden="false" outlineLevel="0" max="21" min="21" style="0" width="14.33"/>
    <col collapsed="false" customWidth="true" hidden="false" outlineLevel="0" max="22" min="22" style="0" width="6.11"/>
    <col collapsed="false" customWidth="true" hidden="false" outlineLevel="0" max="23" min="23" style="1" width="7.85"/>
    <col collapsed="false" customWidth="true" hidden="false" outlineLevel="0" max="24" min="24" style="0" width="14.56"/>
    <col collapsed="false" customWidth="true" hidden="false" outlineLevel="0" max="26" min="26" style="0" width="5.64"/>
    <col collapsed="false" customWidth="true" hidden="false" outlineLevel="0" max="28" min="27" style="0" width="7.38"/>
    <col collapsed="false" customWidth="true" hidden="false" outlineLevel="0" max="30" min="29" style="0" width="14.21"/>
    <col collapsed="false" customWidth="true" hidden="false" outlineLevel="0" max="32" min="31" style="0" width="9.35"/>
    <col collapsed="false" customWidth="true" hidden="false" outlineLevel="0" max="33" min="33" style="0" width="14.33"/>
    <col collapsed="false" customWidth="true" hidden="false" outlineLevel="0" max="34" min="34" style="0" width="6.11"/>
    <col collapsed="false" customWidth="true" hidden="false" outlineLevel="0" max="35" min="35" style="1" width="7.85"/>
    <col collapsed="false" customWidth="true" hidden="false" outlineLevel="0" max="36" min="36" style="0" width="14.56"/>
  </cols>
  <sheetData>
    <row r="1" customFormat="false" ht="12.8" hidden="false" customHeight="false" outlineLevel="0" collapsed="false">
      <c r="A1" s="2" t="s">
        <v>0</v>
      </c>
      <c r="B1" s="2"/>
      <c r="D1" s="2" t="s">
        <v>1</v>
      </c>
      <c r="E1" s="2"/>
      <c r="F1" s="2"/>
      <c r="G1" s="2"/>
      <c r="H1" s="2"/>
      <c r="I1" s="2"/>
      <c r="K1" s="2" t="s">
        <v>2</v>
      </c>
      <c r="L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2"/>
      <c r="Z1" s="2" t="s">
        <v>4</v>
      </c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35.05" hidden="false" customHeight="false" outlineLevel="0" collapsed="false">
      <c r="A2" s="3" t="s">
        <v>5</v>
      </c>
      <c r="B2" s="4" t="s">
        <v>6</v>
      </c>
      <c r="D2" s="3" t="s">
        <v>5</v>
      </c>
      <c r="E2" s="5" t="s">
        <v>7</v>
      </c>
      <c r="F2" s="6" t="s">
        <v>8</v>
      </c>
      <c r="G2" s="6" t="s">
        <v>9</v>
      </c>
      <c r="H2" s="7" t="s">
        <v>10</v>
      </c>
      <c r="I2" s="8" t="s">
        <v>11</v>
      </c>
      <c r="K2" s="3" t="s">
        <v>5</v>
      </c>
      <c r="L2" s="4" t="s">
        <v>8</v>
      </c>
      <c r="N2" s="9" t="s">
        <v>12</v>
      </c>
      <c r="O2" s="7" t="s">
        <v>13</v>
      </c>
      <c r="P2" s="7" t="s">
        <v>10</v>
      </c>
      <c r="Q2" s="10" t="s">
        <v>14</v>
      </c>
      <c r="R2" s="10" t="s">
        <v>15</v>
      </c>
      <c r="S2" s="11" t="s">
        <v>16</v>
      </c>
      <c r="T2" s="11" t="s">
        <v>17</v>
      </c>
      <c r="U2" s="12" t="s">
        <v>18</v>
      </c>
      <c r="V2" s="12" t="s">
        <v>19</v>
      </c>
      <c r="W2" s="10" t="s">
        <v>20</v>
      </c>
      <c r="X2" s="4" t="s">
        <v>21</v>
      </c>
      <c r="Z2" s="9" t="s">
        <v>12</v>
      </c>
      <c r="AA2" s="7" t="s">
        <v>13</v>
      </c>
      <c r="AB2" s="7" t="s">
        <v>22</v>
      </c>
      <c r="AC2" s="10" t="s">
        <v>14</v>
      </c>
      <c r="AD2" s="10" t="s">
        <v>15</v>
      </c>
      <c r="AE2" s="11" t="s">
        <v>16</v>
      </c>
      <c r="AF2" s="11" t="s">
        <v>17</v>
      </c>
      <c r="AG2" s="12" t="s">
        <v>18</v>
      </c>
      <c r="AH2" s="12" t="s">
        <v>19</v>
      </c>
      <c r="AI2" s="10" t="s">
        <v>20</v>
      </c>
      <c r="AJ2" s="4" t="s">
        <v>21</v>
      </c>
    </row>
    <row r="3" customFormat="false" ht="12.8" hidden="false" customHeight="false" outlineLevel="0" collapsed="false">
      <c r="A3" s="13" t="s">
        <v>23</v>
      </c>
      <c r="B3" s="14" t="s">
        <v>24</v>
      </c>
      <c r="D3" s="15" t="n">
        <v>1</v>
      </c>
      <c r="E3" s="16" t="str">
        <f aca="false">H3&amp;I3</f>
        <v>A1</v>
      </c>
      <c r="F3" s="17" t="s">
        <v>25</v>
      </c>
      <c r="G3" s="17"/>
      <c r="H3" s="18" t="s">
        <v>26</v>
      </c>
      <c r="I3" s="19" t="n">
        <v>1</v>
      </c>
      <c r="K3" s="15" t="n">
        <v>1</v>
      </c>
      <c r="L3" s="14" t="s">
        <v>27</v>
      </c>
      <c r="N3" s="20" t="n">
        <v>1</v>
      </c>
      <c r="O3" s="21" t="str">
        <f aca="false">VLOOKUP(N3,B_PARTITE_GIRONI,2,0)</f>
        <v>Girone</v>
      </c>
      <c r="P3" s="21" t="str">
        <f aca="false">VLOOKUP(N3,B_PARTITE_GIRONI,3,0)</f>
        <v>A</v>
      </c>
      <c r="Q3" s="22" t="str">
        <f aca="false">VLOOKUP(N3,B_PARTITE_GIRONI,6,0)</f>
        <v>Leoni</v>
      </c>
      <c r="R3" s="23" t="str">
        <f aca="false">VLOOKUP(N3,B_PARTITE_GIRONI,7,0)</f>
        <v>Pantere</v>
      </c>
      <c r="S3" s="24" t="n">
        <v>72</v>
      </c>
      <c r="T3" s="24" t="n">
        <v>49</v>
      </c>
      <c r="U3" s="25" t="n">
        <v>44354</v>
      </c>
      <c r="V3" s="26" t="n">
        <v>0.666666666666667</v>
      </c>
      <c r="W3" s="27" t="n">
        <v>1</v>
      </c>
      <c r="X3" s="28" t="str">
        <f aca="false">VLOOKUP(W3,A_3_INPUT_CAMPI,2,0)</f>
        <v>Cristo Re 1</v>
      </c>
      <c r="Z3" s="20" t="n">
        <v>49</v>
      </c>
      <c r="AA3" s="21" t="str">
        <f aca="false">VLOOKUP(Z3,B_PARTITE_2A_FASE_PER_NUMERO,2,0)</f>
        <v>2aFase</v>
      </c>
      <c r="AB3" s="29" t="str">
        <f aca="false">VLOOKUP(Z3,B_PARTITE_2A_FASE_PER_NUMERO,3,0)</f>
        <v>1-16</v>
      </c>
      <c r="AC3" s="22" t="str">
        <f aca="false">VLOOKUP(Z3,B_PARTITE_2A_FASE_PER_NUMERO,6,0)</f>
        <v>Leoni</v>
      </c>
      <c r="AD3" s="23" t="str">
        <f aca="false">VLOOKUP(Z3,B_PARTITE_2A_FASE_PER_NUMERO,7,0)</f>
        <v>Elefanti</v>
      </c>
      <c r="AE3" s="24" t="n">
        <v>67</v>
      </c>
      <c r="AF3" s="24" t="n">
        <v>46</v>
      </c>
      <c r="AG3" s="25" t="n">
        <v>44357</v>
      </c>
      <c r="AH3" s="26" t="n">
        <v>0.375</v>
      </c>
      <c r="AI3" s="27" t="n">
        <v>1</v>
      </c>
      <c r="AJ3" s="28" t="str">
        <f aca="false">VLOOKUP(AI3,A_3_INPUT_CAMPI,2,0)</f>
        <v>Cristo Re 1</v>
      </c>
    </row>
    <row r="4" customFormat="false" ht="12.8" hidden="false" customHeight="false" outlineLevel="0" collapsed="false">
      <c r="A4" s="30" t="s">
        <v>28</v>
      </c>
      <c r="B4" s="31" t="n">
        <v>2021</v>
      </c>
      <c r="D4" s="32" t="n">
        <v>2</v>
      </c>
      <c r="E4" s="16" t="str">
        <f aca="false">H4&amp;I4</f>
        <v>A2</v>
      </c>
      <c r="F4" s="33" t="s">
        <v>29</v>
      </c>
      <c r="G4" s="33"/>
      <c r="H4" s="34" t="s">
        <v>26</v>
      </c>
      <c r="I4" s="35" t="n">
        <v>2</v>
      </c>
      <c r="K4" s="32" t="n">
        <v>2</v>
      </c>
      <c r="L4" s="36" t="s">
        <v>30</v>
      </c>
      <c r="N4" s="37" t="n">
        <v>2</v>
      </c>
      <c r="O4" s="34" t="str">
        <f aca="false">VLOOKUP(N4,B_PARTITE_GIRONI,2,0)</f>
        <v>Girone</v>
      </c>
      <c r="P4" s="21" t="str">
        <f aca="false">VLOOKUP(N4,B_PARTITE_GIRONI,3,0)</f>
        <v>A</v>
      </c>
      <c r="Q4" s="38" t="str">
        <f aca="false">VLOOKUP(N4,B_PARTITE_GIRONI,6,0)</f>
        <v>Tigri</v>
      </c>
      <c r="R4" s="38" t="str">
        <f aca="false">VLOOKUP(N4,B_PARTITE_GIRONI,7,0)</f>
        <v>Ghepardi</v>
      </c>
      <c r="S4" s="39" t="n">
        <v>67</v>
      </c>
      <c r="T4" s="39" t="n">
        <v>51</v>
      </c>
      <c r="U4" s="40" t="n">
        <v>44354</v>
      </c>
      <c r="V4" s="41" t="n">
        <v>0.75</v>
      </c>
      <c r="W4" s="42" t="n">
        <v>1</v>
      </c>
      <c r="X4" s="43" t="str">
        <f aca="false">VLOOKUP(W4,A_3_INPUT_CAMPI,2,0)</f>
        <v>Cristo Re 1</v>
      </c>
      <c r="Z4" s="37" t="n">
        <v>50</v>
      </c>
      <c r="AA4" s="34" t="str">
        <f aca="false">VLOOKUP(Z4,B_PARTITE_2A_FASE_PER_NUMERO,2,0)</f>
        <v>2aFase</v>
      </c>
      <c r="AB4" s="44" t="str">
        <f aca="false">VLOOKUP(Z4,B_PARTITE_2A_FASE_PER_NUMERO,3,0)</f>
        <v>1-16</v>
      </c>
      <c r="AC4" s="38" t="str">
        <f aca="false">VLOOKUP(Z4,B_PARTITE_2A_FASE_PER_NUMERO,6,0)</f>
        <v>Pantere</v>
      </c>
      <c r="AD4" s="38" t="str">
        <f aca="false">VLOOKUP(Z4,B_PARTITE_2A_FASE_PER_NUMERO,7,0)</f>
        <v>Giraffe</v>
      </c>
      <c r="AE4" s="39" t="n">
        <v>55</v>
      </c>
      <c r="AF4" s="39" t="n">
        <v>36</v>
      </c>
      <c r="AG4" s="40" t="n">
        <v>44357</v>
      </c>
      <c r="AH4" s="41" t="n">
        <v>0.375</v>
      </c>
      <c r="AI4" s="42" t="n">
        <v>2</v>
      </c>
      <c r="AJ4" s="43" t="str">
        <f aca="false">VLOOKUP(AI4,A_3_INPUT_CAMPI,2,0)</f>
        <v>Cristo Re 2</v>
      </c>
    </row>
    <row r="5" customFormat="false" ht="12.8" hidden="false" customHeight="false" outlineLevel="0" collapsed="false">
      <c r="D5" s="32" t="n">
        <v>3</v>
      </c>
      <c r="E5" s="16" t="str">
        <f aca="false">H5&amp;I5</f>
        <v>A3</v>
      </c>
      <c r="F5" s="33" t="s">
        <v>31</v>
      </c>
      <c r="G5" s="33"/>
      <c r="H5" s="34" t="s">
        <v>26</v>
      </c>
      <c r="I5" s="35" t="n">
        <v>3</v>
      </c>
      <c r="K5" s="32" t="n">
        <v>3</v>
      </c>
      <c r="L5" s="36" t="s">
        <v>32</v>
      </c>
      <c r="N5" s="37" t="n">
        <v>3</v>
      </c>
      <c r="O5" s="34" t="str">
        <f aca="false">VLOOKUP(N5,B_PARTITE_GIRONI,2,0)</f>
        <v>Girone</v>
      </c>
      <c r="P5" s="21" t="str">
        <f aca="false">VLOOKUP(N5,B_PARTITE_GIRONI,3,0)</f>
        <v>B</v>
      </c>
      <c r="Q5" s="38" t="str">
        <f aca="false">VLOOKUP(N5,B_PARTITE_GIRONI,6,0)</f>
        <v>Giaguari</v>
      </c>
      <c r="R5" s="38" t="str">
        <f aca="false">VLOOKUP(N5,B_PARTITE_GIRONI,7,0)</f>
        <v>Puma</v>
      </c>
      <c r="S5" s="39" t="n">
        <v>100</v>
      </c>
      <c r="T5" s="39" t="n">
        <v>51</v>
      </c>
      <c r="U5" s="40" t="n">
        <v>44354</v>
      </c>
      <c r="V5" s="41" t="n">
        <v>0.666666666666667</v>
      </c>
      <c r="W5" s="42" t="n">
        <v>2</v>
      </c>
      <c r="X5" s="43" t="str">
        <f aca="false">VLOOKUP(W5,A_3_INPUT_CAMPI,2,0)</f>
        <v>Cristo Re 2</v>
      </c>
      <c r="Z5" s="37" t="n">
        <v>51</v>
      </c>
      <c r="AA5" s="34" t="str">
        <f aca="false">VLOOKUP(Z5,B_PARTITE_2A_FASE_PER_NUMERO,2,0)</f>
        <v>2aFase</v>
      </c>
      <c r="AB5" s="44" t="str">
        <f aca="false">VLOOKUP(Z5,B_PARTITE_2A_FASE_PER_NUMERO,3,0)</f>
        <v>17-32</v>
      </c>
      <c r="AC5" s="38" t="str">
        <f aca="false">VLOOKUP(Z5,B_PARTITE_2A_FASE_PER_NUMERO,6,0)</f>
        <v>Tigri</v>
      </c>
      <c r="AD5" s="38" t="str">
        <f aca="false">VLOOKUP(Z5,B_PARTITE_2A_FASE_PER_NUMERO,7,0)</f>
        <v>Iguane</v>
      </c>
      <c r="AE5" s="39" t="n">
        <v>56</v>
      </c>
      <c r="AF5" s="39" t="n">
        <v>38</v>
      </c>
      <c r="AG5" s="40" t="n">
        <v>44357</v>
      </c>
      <c r="AH5" s="41" t="n">
        <v>0.375</v>
      </c>
      <c r="AI5" s="42" t="n">
        <v>3</v>
      </c>
      <c r="AJ5" s="43" t="str">
        <f aca="false">VLOOKUP(AI5,A_3_INPUT_CAMPI,2,0)</f>
        <v>Basket Giovane</v>
      </c>
    </row>
    <row r="6" customFormat="false" ht="12.8" hidden="false" customHeight="false" outlineLevel="0" collapsed="false">
      <c r="D6" s="32" t="n">
        <v>4</v>
      </c>
      <c r="E6" s="16" t="str">
        <f aca="false">H6&amp;I6</f>
        <v>A4</v>
      </c>
      <c r="F6" s="33" t="s">
        <v>33</v>
      </c>
      <c r="G6" s="33"/>
      <c r="H6" s="34" t="s">
        <v>26</v>
      </c>
      <c r="I6" s="35" t="n">
        <v>4</v>
      </c>
      <c r="K6" s="32" t="n">
        <v>4</v>
      </c>
      <c r="L6" s="36" t="s">
        <v>34</v>
      </c>
      <c r="N6" s="37" t="n">
        <v>4</v>
      </c>
      <c r="O6" s="34" t="str">
        <f aca="false">VLOOKUP(N6,B_PARTITE_GIRONI,2,0)</f>
        <v>Girone</v>
      </c>
      <c r="P6" s="21" t="str">
        <f aca="false">VLOOKUP(N6,B_PARTITE_GIRONI,3,0)</f>
        <v>B</v>
      </c>
      <c r="Q6" s="38" t="str">
        <f aca="false">VLOOKUP(N6,B_PARTITE_GIRONI,6,0)</f>
        <v>Linci</v>
      </c>
      <c r="R6" s="38" t="str">
        <f aca="false">VLOOKUP(N6,B_PARTITE_GIRONI,7,0)</f>
        <v>Serval</v>
      </c>
      <c r="S6" s="39" t="n">
        <v>96</v>
      </c>
      <c r="T6" s="39" t="n">
        <v>86</v>
      </c>
      <c r="U6" s="40" t="n">
        <v>44354</v>
      </c>
      <c r="V6" s="41" t="n">
        <v>0.75</v>
      </c>
      <c r="W6" s="42" t="n">
        <v>2</v>
      </c>
      <c r="X6" s="43" t="str">
        <f aca="false">VLOOKUP(W6,A_3_INPUT_CAMPI,2,0)</f>
        <v>Cristo Re 2</v>
      </c>
      <c r="Z6" s="37" t="n">
        <v>52</v>
      </c>
      <c r="AA6" s="34" t="str">
        <f aca="false">VLOOKUP(Z6,B_PARTITE_2A_FASE_PER_NUMERO,2,0)</f>
        <v>2aFase</v>
      </c>
      <c r="AB6" s="44" t="str">
        <f aca="false">VLOOKUP(Z6,B_PARTITE_2A_FASE_PER_NUMERO,3,0)</f>
        <v>17-32</v>
      </c>
      <c r="AC6" s="38" t="str">
        <f aca="false">VLOOKUP(Z6,B_PARTITE_2A_FASE_PER_NUMERO,6,0)</f>
        <v>Ippopotami</v>
      </c>
      <c r="AD6" s="38" t="str">
        <f aca="false">VLOOKUP(Z6,B_PARTITE_2A_FASE_PER_NUMERO,7,0)</f>
        <v>Ghepardi</v>
      </c>
      <c r="AE6" s="39" t="n">
        <v>56</v>
      </c>
      <c r="AF6" s="39" t="n">
        <v>43</v>
      </c>
      <c r="AG6" s="40" t="n">
        <v>44357</v>
      </c>
      <c r="AH6" s="41" t="n">
        <v>0.375</v>
      </c>
      <c r="AI6" s="42" t="n">
        <v>4</v>
      </c>
      <c r="AJ6" s="43" t="str">
        <f aca="false">VLOOKUP(AI6,A_3_INPUT_CAMPI,2,0)</f>
        <v>Nuova Scuola</v>
      </c>
    </row>
    <row r="7" customFormat="false" ht="12.8" hidden="false" customHeight="false" outlineLevel="0" collapsed="false">
      <c r="D7" s="32" t="n">
        <v>5</v>
      </c>
      <c r="E7" s="16" t="str">
        <f aca="false">H7&amp;I7</f>
        <v>B1</v>
      </c>
      <c r="F7" s="33" t="s">
        <v>35</v>
      </c>
      <c r="G7" s="33"/>
      <c r="H7" s="34" t="s">
        <v>36</v>
      </c>
      <c r="I7" s="35" t="n">
        <v>1</v>
      </c>
      <c r="K7" s="32" t="n">
        <v>5</v>
      </c>
      <c r="L7" s="36" t="str">
        <f aca="false">"CAMPO "&amp;ROMAN(K7)</f>
        <v>CAMPO V</v>
      </c>
      <c r="N7" s="37" t="n">
        <v>5</v>
      </c>
      <c r="O7" s="34" t="str">
        <f aca="false">VLOOKUP(N7,B_PARTITE_GIRONI,2,0)</f>
        <v>Girone</v>
      </c>
      <c r="P7" s="21" t="str">
        <f aca="false">VLOOKUP(N7,B_PARTITE_GIRONI,3,0)</f>
        <v>C</v>
      </c>
      <c r="Q7" s="38" t="str">
        <f aca="false">VLOOKUP(N7,B_PARTITE_GIRONI,6,0)</f>
        <v>Elefanti</v>
      </c>
      <c r="R7" s="38" t="str">
        <f aca="false">VLOOKUP(N7,B_PARTITE_GIRONI,7,0)</f>
        <v>Giraffe</v>
      </c>
      <c r="S7" s="39" t="n">
        <v>79</v>
      </c>
      <c r="T7" s="39" t="n">
        <v>48</v>
      </c>
      <c r="U7" s="40" t="n">
        <v>44354</v>
      </c>
      <c r="V7" s="41" t="n">
        <v>0.666666666666667</v>
      </c>
      <c r="W7" s="42" t="n">
        <v>3</v>
      </c>
      <c r="X7" s="43" t="str">
        <f aca="false">VLOOKUP(W7,A_3_INPUT_CAMPI,2,0)</f>
        <v>Basket Giovane</v>
      </c>
      <c r="Z7" s="37" t="n">
        <v>53</v>
      </c>
      <c r="AA7" s="34" t="str">
        <f aca="false">VLOOKUP(Z7,B_PARTITE_2A_FASE_PER_NUMERO,2,0)</f>
        <v>2aFase</v>
      </c>
      <c r="AB7" s="44" t="str">
        <f aca="false">VLOOKUP(Z7,B_PARTITE_2A_FASE_PER_NUMERO,3,0)</f>
        <v>1-16</v>
      </c>
      <c r="AC7" s="38" t="str">
        <f aca="false">VLOOKUP(Z7,B_PARTITE_2A_FASE_PER_NUMERO,6,0)</f>
        <v>Giaguari</v>
      </c>
      <c r="AD7" s="38" t="str">
        <f aca="false">VLOOKUP(Z7,B_PARTITE_2A_FASE_PER_NUMERO,7,0)</f>
        <v>Aquile</v>
      </c>
      <c r="AE7" s="39" t="n">
        <v>52</v>
      </c>
      <c r="AF7" s="39" t="n">
        <v>43</v>
      </c>
      <c r="AG7" s="40" t="n">
        <v>44357</v>
      </c>
      <c r="AH7" s="41" t="n">
        <v>0.458333333333333</v>
      </c>
      <c r="AI7" s="42" t="n">
        <v>1</v>
      </c>
      <c r="AJ7" s="43" t="str">
        <f aca="false">VLOOKUP(AI7,A_3_INPUT_CAMPI,2,0)</f>
        <v>Cristo Re 1</v>
      </c>
    </row>
    <row r="8" customFormat="false" ht="12.8" hidden="false" customHeight="false" outlineLevel="0" collapsed="false">
      <c r="D8" s="32" t="n">
        <v>6</v>
      </c>
      <c r="E8" s="16" t="str">
        <f aca="false">H8&amp;I8</f>
        <v>B2</v>
      </c>
      <c r="F8" s="33" t="s">
        <v>37</v>
      </c>
      <c r="G8" s="33"/>
      <c r="H8" s="34" t="s">
        <v>36</v>
      </c>
      <c r="I8" s="35" t="n">
        <v>2</v>
      </c>
      <c r="K8" s="32" t="n">
        <v>6</v>
      </c>
      <c r="L8" s="36" t="str">
        <f aca="false">"CAMPO "&amp;ROMAN(K8)</f>
        <v>CAMPO VI</v>
      </c>
      <c r="N8" s="37" t="n">
        <v>6</v>
      </c>
      <c r="O8" s="34" t="str">
        <f aca="false">VLOOKUP(N8,B_PARTITE_GIRONI,2,0)</f>
        <v>Girone</v>
      </c>
      <c r="P8" s="21" t="str">
        <f aca="false">VLOOKUP(N8,B_PARTITE_GIRONI,3,0)</f>
        <v>C</v>
      </c>
      <c r="Q8" s="38" t="str">
        <f aca="false">VLOOKUP(N8,B_PARTITE_GIRONI,6,0)</f>
        <v>Ippopotami</v>
      </c>
      <c r="R8" s="38" t="str">
        <f aca="false">VLOOKUP(N8,B_PARTITE_GIRONI,7,0)</f>
        <v>Iguane</v>
      </c>
      <c r="S8" s="39" t="n">
        <v>62</v>
      </c>
      <c r="T8" s="39" t="n">
        <v>44</v>
      </c>
      <c r="U8" s="40" t="n">
        <v>44354</v>
      </c>
      <c r="V8" s="41" t="n">
        <v>0.75</v>
      </c>
      <c r="W8" s="42" t="n">
        <v>3</v>
      </c>
      <c r="X8" s="43" t="str">
        <f aca="false">VLOOKUP(W8,A_3_INPUT_CAMPI,2,0)</f>
        <v>Basket Giovane</v>
      </c>
      <c r="Z8" s="37" t="n">
        <v>54</v>
      </c>
      <c r="AA8" s="34" t="str">
        <f aca="false">VLOOKUP(Z8,B_PARTITE_2A_FASE_PER_NUMERO,2,0)</f>
        <v>2aFase</v>
      </c>
      <c r="AB8" s="44" t="str">
        <f aca="false">VLOOKUP(Z8,B_PARTITE_2A_FASE_PER_NUMERO,3,0)</f>
        <v>1-16</v>
      </c>
      <c r="AC8" s="38" t="str">
        <f aca="false">VLOOKUP(Z8,B_PARTITE_2A_FASE_PER_NUMERO,6,0)</f>
        <v>Coccodrilli</v>
      </c>
      <c r="AD8" s="38" t="str">
        <f aca="false">VLOOKUP(Z8,B_PARTITE_2A_FASE_PER_NUMERO,7,0)</f>
        <v>Puma</v>
      </c>
      <c r="AE8" s="39" t="n">
        <v>67</v>
      </c>
      <c r="AF8" s="39" t="n">
        <v>34</v>
      </c>
      <c r="AG8" s="40" t="n">
        <v>44357</v>
      </c>
      <c r="AH8" s="41" t="n">
        <v>0.458333333333333</v>
      </c>
      <c r="AI8" s="42" t="n">
        <v>2</v>
      </c>
      <c r="AJ8" s="43" t="str">
        <f aca="false">VLOOKUP(AI8,A_3_INPUT_CAMPI,2,0)</f>
        <v>Cristo Re 2</v>
      </c>
    </row>
    <row r="9" customFormat="false" ht="12.8" hidden="false" customHeight="false" outlineLevel="0" collapsed="false">
      <c r="D9" s="32" t="n">
        <v>7</v>
      </c>
      <c r="E9" s="16" t="str">
        <f aca="false">H9&amp;I9</f>
        <v>B3</v>
      </c>
      <c r="F9" s="33" t="s">
        <v>38</v>
      </c>
      <c r="G9" s="33"/>
      <c r="H9" s="34" t="s">
        <v>36</v>
      </c>
      <c r="I9" s="35" t="n">
        <v>3</v>
      </c>
      <c r="K9" s="32" t="n">
        <v>7</v>
      </c>
      <c r="L9" s="36" t="str">
        <f aca="false">"CAMPO "&amp;ROMAN(K9)</f>
        <v>CAMPO VII</v>
      </c>
      <c r="N9" s="37" t="n">
        <v>7</v>
      </c>
      <c r="O9" s="34" t="str">
        <f aca="false">VLOOKUP(N9,B_PARTITE_GIRONI,2,0)</f>
        <v>Girone</v>
      </c>
      <c r="P9" s="21" t="str">
        <f aca="false">VLOOKUP(N9,B_PARTITE_GIRONI,3,0)</f>
        <v>D</v>
      </c>
      <c r="Q9" s="38" t="str">
        <f aca="false">VLOOKUP(N9,B_PARTITE_GIRONI,6,0)</f>
        <v>Coccodrilli</v>
      </c>
      <c r="R9" s="38" t="str">
        <f aca="false">VLOOKUP(N9,B_PARTITE_GIRONI,7,0)</f>
        <v>Pitoni</v>
      </c>
      <c r="S9" s="39" t="n">
        <v>96</v>
      </c>
      <c r="T9" s="39" t="n">
        <v>25</v>
      </c>
      <c r="U9" s="40" t="n">
        <v>44354</v>
      </c>
      <c r="V9" s="41" t="n">
        <v>0.666666666666667</v>
      </c>
      <c r="W9" s="42" t="n">
        <v>4</v>
      </c>
      <c r="X9" s="43" t="str">
        <f aca="false">VLOOKUP(W9,A_3_INPUT_CAMPI,2,0)</f>
        <v>Nuova Scuola</v>
      </c>
      <c r="Z9" s="37" t="n">
        <v>55</v>
      </c>
      <c r="AA9" s="34" t="str">
        <f aca="false">VLOOKUP(Z9,B_PARTITE_2A_FASE_PER_NUMERO,2,0)</f>
        <v>2aFase</v>
      </c>
      <c r="AB9" s="44" t="str">
        <f aca="false">VLOOKUP(Z9,B_PARTITE_2A_FASE_PER_NUMERO,3,0)</f>
        <v>17-32</v>
      </c>
      <c r="AC9" s="38" t="str">
        <f aca="false">VLOOKUP(Z9,B_PARTITE_2A_FASE_PER_NUMERO,6,0)</f>
        <v>Linci</v>
      </c>
      <c r="AD9" s="38" t="str">
        <f aca="false">VLOOKUP(Z9,B_PARTITE_2A_FASE_PER_NUMERO,7,0)</f>
        <v>Falchi</v>
      </c>
      <c r="AE9" s="39" t="n">
        <v>59</v>
      </c>
      <c r="AF9" s="39" t="n">
        <v>41</v>
      </c>
      <c r="AG9" s="40" t="n">
        <v>44357</v>
      </c>
      <c r="AH9" s="41" t="n">
        <v>0.458333333333333</v>
      </c>
      <c r="AI9" s="42" t="n">
        <v>3</v>
      </c>
      <c r="AJ9" s="43" t="str">
        <f aca="false">VLOOKUP(AI9,A_3_INPUT_CAMPI,2,0)</f>
        <v>Basket Giovane</v>
      </c>
    </row>
    <row r="10" customFormat="false" ht="12.8" hidden="false" customHeight="false" outlineLevel="0" collapsed="false">
      <c r="D10" s="32" t="n">
        <v>8</v>
      </c>
      <c r="E10" s="16" t="str">
        <f aca="false">H10&amp;I10</f>
        <v>B4</v>
      </c>
      <c r="F10" s="33" t="s">
        <v>39</v>
      </c>
      <c r="G10" s="33"/>
      <c r="H10" s="34" t="s">
        <v>36</v>
      </c>
      <c r="I10" s="35" t="n">
        <v>4</v>
      </c>
      <c r="K10" s="32" t="n">
        <v>8</v>
      </c>
      <c r="L10" s="36" t="str">
        <f aca="false">"CAMPO "&amp;ROMAN(K10)</f>
        <v>CAMPO VIII</v>
      </c>
      <c r="N10" s="37" t="n">
        <v>8</v>
      </c>
      <c r="O10" s="34" t="str">
        <f aca="false">VLOOKUP(N10,B_PARTITE_GIRONI,2,0)</f>
        <v>Girone</v>
      </c>
      <c r="P10" s="21" t="str">
        <f aca="false">VLOOKUP(N10,B_PARTITE_GIRONI,3,0)</f>
        <v>D</v>
      </c>
      <c r="Q10" s="38" t="str">
        <f aca="false">VLOOKUP(N10,B_PARTITE_GIRONI,6,0)</f>
        <v>Aquile</v>
      </c>
      <c r="R10" s="38" t="str">
        <f aca="false">VLOOKUP(N10,B_PARTITE_GIRONI,7,0)</f>
        <v>Falchi</v>
      </c>
      <c r="S10" s="39" t="n">
        <v>72</v>
      </c>
      <c r="T10" s="39" t="n">
        <v>52</v>
      </c>
      <c r="U10" s="40" t="n">
        <v>44354</v>
      </c>
      <c r="V10" s="41" t="n">
        <v>0.75</v>
      </c>
      <c r="W10" s="42" t="n">
        <v>4</v>
      </c>
      <c r="X10" s="43" t="str">
        <f aca="false">VLOOKUP(W10,A_3_INPUT_CAMPI,2,0)</f>
        <v>Nuova Scuola</v>
      </c>
      <c r="Z10" s="37" t="n">
        <v>56</v>
      </c>
      <c r="AA10" s="34" t="str">
        <f aca="false">VLOOKUP(Z10,B_PARTITE_2A_FASE_PER_NUMERO,2,0)</f>
        <v>2aFase</v>
      </c>
      <c r="AB10" s="44" t="str">
        <f aca="false">VLOOKUP(Z10,B_PARTITE_2A_FASE_PER_NUMERO,3,0)</f>
        <v>17-32</v>
      </c>
      <c r="AC10" s="38" t="str">
        <f aca="false">VLOOKUP(Z10,B_PARTITE_2A_FASE_PER_NUMERO,6,0)</f>
        <v>Pitoni</v>
      </c>
      <c r="AD10" s="38" t="str">
        <f aca="false">VLOOKUP(Z10,B_PARTITE_2A_FASE_PER_NUMERO,7,0)</f>
        <v>Serval</v>
      </c>
      <c r="AE10" s="39" t="n">
        <v>52</v>
      </c>
      <c r="AF10" s="39" t="n">
        <v>30</v>
      </c>
      <c r="AG10" s="40" t="n">
        <v>44357</v>
      </c>
      <c r="AH10" s="41" t="n">
        <v>0.458333333333333</v>
      </c>
      <c r="AI10" s="42" t="n">
        <v>4</v>
      </c>
      <c r="AJ10" s="43" t="str">
        <f aca="false">VLOOKUP(AI10,A_3_INPUT_CAMPI,2,0)</f>
        <v>Nuova Scuola</v>
      </c>
    </row>
    <row r="11" customFormat="false" ht="12.8" hidden="false" customHeight="false" outlineLevel="0" collapsed="false">
      <c r="D11" s="32" t="n">
        <v>9</v>
      </c>
      <c r="E11" s="16" t="str">
        <f aca="false">H11&amp;I11</f>
        <v>C1</v>
      </c>
      <c r="F11" s="33" t="s">
        <v>40</v>
      </c>
      <c r="G11" s="33"/>
      <c r="H11" s="34" t="s">
        <v>41</v>
      </c>
      <c r="I11" s="35" t="n">
        <v>1</v>
      </c>
      <c r="K11" s="32" t="n">
        <v>9</v>
      </c>
      <c r="L11" s="36" t="str">
        <f aca="false">"CAMPO "&amp;ROMAN(K11)</f>
        <v>CAMPO IX</v>
      </c>
      <c r="N11" s="37" t="n">
        <v>9</v>
      </c>
      <c r="O11" s="34" t="str">
        <f aca="false">VLOOKUP(N11,B_PARTITE_GIRONI,2,0)</f>
        <v>Girone</v>
      </c>
      <c r="P11" s="21" t="str">
        <f aca="false">VLOOKUP(N11,B_PARTITE_GIRONI,3,0)</f>
        <v>A</v>
      </c>
      <c r="Q11" s="38" t="str">
        <f aca="false">VLOOKUP(N11,B_PARTITE_GIRONI,6,0)</f>
        <v>Leoni</v>
      </c>
      <c r="R11" s="38" t="str">
        <f aca="false">VLOOKUP(N11,B_PARTITE_GIRONI,7,0)</f>
        <v>Tigri</v>
      </c>
      <c r="S11" s="39" t="n">
        <v>90</v>
      </c>
      <c r="T11" s="39" t="n">
        <v>22</v>
      </c>
      <c r="U11" s="40" t="n">
        <v>44355</v>
      </c>
      <c r="V11" s="41" t="n">
        <v>0.375</v>
      </c>
      <c r="W11" s="42" t="n">
        <v>1</v>
      </c>
      <c r="X11" s="43" t="str">
        <f aca="false">VLOOKUP(W11,A_3_INPUT_CAMPI,2,0)</f>
        <v>Cristo Re 1</v>
      </c>
      <c r="Z11" s="37" t="n">
        <v>57</v>
      </c>
      <c r="AA11" s="34" t="str">
        <f aca="false">VLOOKUP(Z11,B_PARTITE_2A_FASE_PER_NUMERO,2,0)</f>
        <v>2aFase</v>
      </c>
      <c r="AB11" s="44" t="str">
        <f aca="false">VLOOKUP(Z11,B_PARTITE_2A_FASE_PER_NUMERO,3,0)</f>
        <v>1-16</v>
      </c>
      <c r="AC11" s="38" t="str">
        <f aca="false">VLOOKUP(Z11,B_PARTITE_2A_FASE_PER_NUMERO,6,0)</f>
        <v>Bisonti</v>
      </c>
      <c r="AD11" s="38" t="str">
        <f aca="false">VLOOKUP(Z11,B_PARTITE_2A_FASE_PER_NUMERO,7,0)</f>
        <v>Gorilla</v>
      </c>
      <c r="AE11" s="39" t="n">
        <v>58</v>
      </c>
      <c r="AF11" s="39" t="n">
        <v>39</v>
      </c>
      <c r="AG11" s="40" t="n">
        <v>44357</v>
      </c>
      <c r="AH11" s="41" t="n">
        <v>0.645833333333333</v>
      </c>
      <c r="AI11" s="42" t="n">
        <v>1</v>
      </c>
      <c r="AJ11" s="43" t="str">
        <f aca="false">VLOOKUP(AI11,A_3_INPUT_CAMPI,2,0)</f>
        <v>Cristo Re 1</v>
      </c>
    </row>
    <row r="12" customFormat="false" ht="12.8" hidden="false" customHeight="false" outlineLevel="0" collapsed="false">
      <c r="D12" s="32" t="n">
        <v>10</v>
      </c>
      <c r="E12" s="16" t="str">
        <f aca="false">H12&amp;I12</f>
        <v>C2</v>
      </c>
      <c r="F12" s="33" t="s">
        <v>42</v>
      </c>
      <c r="G12" s="33"/>
      <c r="H12" s="34" t="s">
        <v>41</v>
      </c>
      <c r="I12" s="35" t="n">
        <v>2</v>
      </c>
      <c r="K12" s="32" t="n">
        <v>10</v>
      </c>
      <c r="L12" s="36" t="str">
        <f aca="false">"CAMPO "&amp;ROMAN(K12)</f>
        <v>CAMPO X</v>
      </c>
      <c r="N12" s="37" t="n">
        <v>10</v>
      </c>
      <c r="O12" s="34" t="str">
        <f aca="false">VLOOKUP(N12,B_PARTITE_GIRONI,2,0)</f>
        <v>Girone</v>
      </c>
      <c r="P12" s="21" t="str">
        <f aca="false">VLOOKUP(N12,B_PARTITE_GIRONI,3,0)</f>
        <v>B</v>
      </c>
      <c r="Q12" s="38" t="str">
        <f aca="false">VLOOKUP(N12,B_PARTITE_GIRONI,6,0)</f>
        <v>Giaguari</v>
      </c>
      <c r="R12" s="38" t="str">
        <f aca="false">VLOOKUP(N12,B_PARTITE_GIRONI,7,0)</f>
        <v>Linci</v>
      </c>
      <c r="S12" s="39" t="n">
        <v>56</v>
      </c>
      <c r="T12" s="39" t="n">
        <v>47</v>
      </c>
      <c r="U12" s="40" t="n">
        <v>44355</v>
      </c>
      <c r="V12" s="41" t="n">
        <v>0.375</v>
      </c>
      <c r="W12" s="42" t="n">
        <v>2</v>
      </c>
      <c r="X12" s="43" t="str">
        <f aca="false">VLOOKUP(W12,A_3_INPUT_CAMPI,2,0)</f>
        <v>Cristo Re 2</v>
      </c>
      <c r="Z12" s="37" t="n">
        <v>58</v>
      </c>
      <c r="AA12" s="34" t="str">
        <f aca="false">VLOOKUP(Z12,B_PARTITE_2A_FASE_PER_NUMERO,2,0)</f>
        <v>2aFase</v>
      </c>
      <c r="AB12" s="44" t="str">
        <f aca="false">VLOOKUP(Z12,B_PARTITE_2A_FASE_PER_NUMERO,3,0)</f>
        <v>1-16</v>
      </c>
      <c r="AC12" s="38" t="str">
        <f aca="false">VLOOKUP(Z12,B_PARTITE_2A_FASE_PER_NUMERO,6,0)</f>
        <v>Istrici</v>
      </c>
      <c r="AD12" s="38" t="str">
        <f aca="false">VLOOKUP(Z12,B_PARTITE_2A_FASE_PER_NUMERO,7,0)</f>
        <v>Bufali</v>
      </c>
      <c r="AE12" s="39" t="n">
        <v>64</v>
      </c>
      <c r="AF12" s="39" t="n">
        <v>43</v>
      </c>
      <c r="AG12" s="40" t="n">
        <v>44357</v>
      </c>
      <c r="AH12" s="41" t="n">
        <v>0.645833333333333</v>
      </c>
      <c r="AI12" s="42" t="n">
        <v>2</v>
      </c>
      <c r="AJ12" s="43" t="str">
        <f aca="false">VLOOKUP(AI12,A_3_INPUT_CAMPI,2,0)</f>
        <v>Cristo Re 2</v>
      </c>
    </row>
    <row r="13" customFormat="false" ht="12.8" hidden="false" customHeight="false" outlineLevel="0" collapsed="false">
      <c r="D13" s="32" t="n">
        <v>11</v>
      </c>
      <c r="E13" s="16" t="str">
        <f aca="false">H13&amp;I13</f>
        <v>C3</v>
      </c>
      <c r="F13" s="33" t="s">
        <v>43</v>
      </c>
      <c r="G13" s="33"/>
      <c r="H13" s="34" t="s">
        <v>41</v>
      </c>
      <c r="I13" s="35" t="n">
        <v>3</v>
      </c>
      <c r="K13" s="32" t="n">
        <v>11</v>
      </c>
      <c r="L13" s="36" t="str">
        <f aca="false">"CAMPO "&amp;ROMAN(K13)</f>
        <v>CAMPO XI</v>
      </c>
      <c r="N13" s="37" t="n">
        <v>11</v>
      </c>
      <c r="O13" s="34" t="str">
        <f aca="false">VLOOKUP(N13,B_PARTITE_GIRONI,2,0)</f>
        <v>Girone</v>
      </c>
      <c r="P13" s="21" t="str">
        <f aca="false">VLOOKUP(N13,B_PARTITE_GIRONI,3,0)</f>
        <v>C</v>
      </c>
      <c r="Q13" s="38" t="str">
        <f aca="false">VLOOKUP(N13,B_PARTITE_GIRONI,6,0)</f>
        <v>Elefanti</v>
      </c>
      <c r="R13" s="38" t="str">
        <f aca="false">VLOOKUP(N13,B_PARTITE_GIRONI,7,0)</f>
        <v>Ippopotami</v>
      </c>
      <c r="S13" s="39" t="n">
        <v>66</v>
      </c>
      <c r="T13" s="39" t="n">
        <v>95</v>
      </c>
      <c r="U13" s="40" t="n">
        <v>44355</v>
      </c>
      <c r="V13" s="41" t="n">
        <v>0.375</v>
      </c>
      <c r="W13" s="42" t="n">
        <v>3</v>
      </c>
      <c r="X13" s="43" t="str">
        <f aca="false">VLOOKUP(W13,A_3_INPUT_CAMPI,2,0)</f>
        <v>Basket Giovane</v>
      </c>
      <c r="Z13" s="37" t="n">
        <v>59</v>
      </c>
      <c r="AA13" s="34" t="str">
        <f aca="false">VLOOKUP(Z13,B_PARTITE_2A_FASE_PER_NUMERO,2,0)</f>
        <v>2aFase</v>
      </c>
      <c r="AB13" s="44" t="str">
        <f aca="false">VLOOKUP(Z13,B_PARTITE_2A_FASE_PER_NUMERO,3,0)</f>
        <v>17-32</v>
      </c>
      <c r="AC13" s="38" t="str">
        <f aca="false">VLOOKUP(Z13,B_PARTITE_2A_FASE_PER_NUMERO,6,0)</f>
        <v>Cervi</v>
      </c>
      <c r="AD13" s="38" t="str">
        <f aca="false">VLOOKUP(Z13,B_PARTITE_2A_FASE_PER_NUMERO,7,0)</f>
        <v>Muli</v>
      </c>
      <c r="AE13" s="39" t="n">
        <v>50</v>
      </c>
      <c r="AF13" s="39" t="n">
        <v>43</v>
      </c>
      <c r="AG13" s="40" t="n">
        <v>44357</v>
      </c>
      <c r="AH13" s="41" t="n">
        <v>0.645833333333333</v>
      </c>
      <c r="AI13" s="42" t="n">
        <v>3</v>
      </c>
      <c r="AJ13" s="43" t="str">
        <f aca="false">VLOOKUP(AI13,A_3_INPUT_CAMPI,2,0)</f>
        <v>Basket Giovane</v>
      </c>
    </row>
    <row r="14" customFormat="false" ht="12.8" hidden="false" customHeight="false" outlineLevel="0" collapsed="false">
      <c r="D14" s="32" t="n">
        <v>12</v>
      </c>
      <c r="E14" s="16" t="str">
        <f aca="false">H14&amp;I14</f>
        <v>C4</v>
      </c>
      <c r="F14" s="33" t="s">
        <v>44</v>
      </c>
      <c r="G14" s="33"/>
      <c r="H14" s="34" t="s">
        <v>41</v>
      </c>
      <c r="I14" s="35" t="n">
        <v>4</v>
      </c>
      <c r="K14" s="32" t="n">
        <v>12</v>
      </c>
      <c r="L14" s="36" t="str">
        <f aca="false">"CAMPO "&amp;ROMAN(K14)</f>
        <v>CAMPO XII</v>
      </c>
      <c r="N14" s="37" t="n">
        <v>12</v>
      </c>
      <c r="O14" s="34" t="str">
        <f aca="false">VLOOKUP(N14,B_PARTITE_GIRONI,2,0)</f>
        <v>Girone</v>
      </c>
      <c r="P14" s="21" t="str">
        <f aca="false">VLOOKUP(N14,B_PARTITE_GIRONI,3,0)</f>
        <v>D</v>
      </c>
      <c r="Q14" s="38" t="str">
        <f aca="false">VLOOKUP(N14,B_PARTITE_GIRONI,6,0)</f>
        <v>Coccodrilli</v>
      </c>
      <c r="R14" s="38" t="str">
        <f aca="false">VLOOKUP(N14,B_PARTITE_GIRONI,7,0)</f>
        <v>Aquile</v>
      </c>
      <c r="S14" s="39" t="n">
        <v>29</v>
      </c>
      <c r="T14" s="39" t="n">
        <v>39</v>
      </c>
      <c r="U14" s="40" t="n">
        <v>44355</v>
      </c>
      <c r="V14" s="41" t="n">
        <v>0.375</v>
      </c>
      <c r="W14" s="42" t="n">
        <v>4</v>
      </c>
      <c r="X14" s="43" t="str">
        <f aca="false">VLOOKUP(W14,A_3_INPUT_CAMPI,2,0)</f>
        <v>Nuova Scuola</v>
      </c>
      <c r="Z14" s="37" t="n">
        <v>60</v>
      </c>
      <c r="AA14" s="34" t="str">
        <f aca="false">VLOOKUP(Z14,B_PARTITE_2A_FASE_PER_NUMERO,2,0)</f>
        <v>2aFase</v>
      </c>
      <c r="AB14" s="44" t="str">
        <f aca="false">VLOOKUP(Z14,B_PARTITE_2A_FASE_PER_NUMERO,3,0)</f>
        <v>17-32</v>
      </c>
      <c r="AC14" s="38" t="str">
        <f aca="false">VLOOKUP(Z14,B_PARTITE_2A_FASE_PER_NUMERO,6,0)</f>
        <v>Orche</v>
      </c>
      <c r="AD14" s="38" t="str">
        <f aca="false">VLOOKUP(Z14,B_PARTITE_2A_FASE_PER_NUMERO,7,0)</f>
        <v>Cinghiali</v>
      </c>
      <c r="AE14" s="39" t="n">
        <v>52</v>
      </c>
      <c r="AF14" s="39" t="n">
        <v>42</v>
      </c>
      <c r="AG14" s="40" t="n">
        <v>44357</v>
      </c>
      <c r="AH14" s="41" t="n">
        <v>0.645833333333333</v>
      </c>
      <c r="AI14" s="42" t="n">
        <v>4</v>
      </c>
      <c r="AJ14" s="43" t="str">
        <f aca="false">VLOOKUP(AI14,A_3_INPUT_CAMPI,2,0)</f>
        <v>Nuova Scuola</v>
      </c>
    </row>
    <row r="15" customFormat="false" ht="12.8" hidden="false" customHeight="false" outlineLevel="0" collapsed="false">
      <c r="D15" s="32" t="n">
        <v>13</v>
      </c>
      <c r="E15" s="16" t="str">
        <f aca="false">H15&amp;I15</f>
        <v>D1</v>
      </c>
      <c r="F15" s="33" t="s">
        <v>45</v>
      </c>
      <c r="G15" s="33"/>
      <c r="H15" s="34" t="s">
        <v>46</v>
      </c>
      <c r="I15" s="35" t="n">
        <v>1</v>
      </c>
      <c r="K15" s="32" t="n">
        <v>13</v>
      </c>
      <c r="L15" s="36" t="str">
        <f aca="false">"CAMPO "&amp;ROMAN(K15)</f>
        <v>CAMPO XIII</v>
      </c>
      <c r="N15" s="37" t="n">
        <v>13</v>
      </c>
      <c r="O15" s="34" t="str">
        <f aca="false">VLOOKUP(N15,B_PARTITE_GIRONI,2,0)</f>
        <v>Girone</v>
      </c>
      <c r="P15" s="21" t="str">
        <f aca="false">VLOOKUP(N15,B_PARTITE_GIRONI,3,0)</f>
        <v>A</v>
      </c>
      <c r="Q15" s="38" t="str">
        <f aca="false">VLOOKUP(N15,B_PARTITE_GIRONI,6,0)</f>
        <v>Pantere</v>
      </c>
      <c r="R15" s="38" t="str">
        <f aca="false">VLOOKUP(N15,B_PARTITE_GIRONI,7,0)</f>
        <v>Ghepardi</v>
      </c>
      <c r="S15" s="39" t="n">
        <v>57</v>
      </c>
      <c r="T15" s="39" t="n">
        <v>21</v>
      </c>
      <c r="U15" s="40" t="n">
        <v>44355</v>
      </c>
      <c r="V15" s="41" t="n">
        <v>0.458333333333333</v>
      </c>
      <c r="W15" s="42" t="n">
        <v>1</v>
      </c>
      <c r="X15" s="43" t="str">
        <f aca="false">VLOOKUP(W15,A_3_INPUT_CAMPI,2,0)</f>
        <v>Cristo Re 1</v>
      </c>
      <c r="Z15" s="37" t="n">
        <v>61</v>
      </c>
      <c r="AA15" s="34" t="str">
        <f aca="false">VLOOKUP(Z15,B_PARTITE_2A_FASE_PER_NUMERO,2,0)</f>
        <v>2aFase</v>
      </c>
      <c r="AB15" s="44" t="str">
        <f aca="false">VLOOKUP(Z15,B_PARTITE_2A_FASE_PER_NUMERO,3,0)</f>
        <v>1-16</v>
      </c>
      <c r="AC15" s="38" t="str">
        <f aca="false">VLOOKUP(Z15,B_PARTITE_2A_FASE_PER_NUMERO,6,0)</f>
        <v>Balene</v>
      </c>
      <c r="AD15" s="38" t="str">
        <f aca="false">VLOOKUP(Z15,B_PARTITE_2A_FASE_PER_NUMERO,7,0)</f>
        <v>Tonni</v>
      </c>
      <c r="AE15" s="39" t="n">
        <v>51</v>
      </c>
      <c r="AF15" s="39" t="n">
        <v>47</v>
      </c>
      <c r="AG15" s="40" t="n">
        <v>44357</v>
      </c>
      <c r="AH15" s="41" t="n">
        <v>0.708333333333333</v>
      </c>
      <c r="AI15" s="42" t="n">
        <v>1</v>
      </c>
      <c r="AJ15" s="43" t="str">
        <f aca="false">VLOOKUP(AI15,A_3_INPUT_CAMPI,2,0)</f>
        <v>Cristo Re 1</v>
      </c>
    </row>
    <row r="16" customFormat="false" ht="12.8" hidden="false" customHeight="false" outlineLevel="0" collapsed="false">
      <c r="D16" s="32" t="n">
        <v>14</v>
      </c>
      <c r="E16" s="16" t="str">
        <f aca="false">H16&amp;I16</f>
        <v>D2</v>
      </c>
      <c r="F16" s="33" t="s">
        <v>47</v>
      </c>
      <c r="G16" s="33"/>
      <c r="H16" s="34" t="s">
        <v>46</v>
      </c>
      <c r="I16" s="35" t="n">
        <v>2</v>
      </c>
      <c r="K16" s="32" t="n">
        <v>14</v>
      </c>
      <c r="L16" s="36" t="str">
        <f aca="false">"CAMPO "&amp;ROMAN(K16)</f>
        <v>CAMPO XIV</v>
      </c>
      <c r="N16" s="37" t="n">
        <v>14</v>
      </c>
      <c r="O16" s="34" t="str">
        <f aca="false">VLOOKUP(N16,B_PARTITE_GIRONI,2,0)</f>
        <v>Girone</v>
      </c>
      <c r="P16" s="21" t="str">
        <f aca="false">VLOOKUP(N16,B_PARTITE_GIRONI,3,0)</f>
        <v>B</v>
      </c>
      <c r="Q16" s="38" t="str">
        <f aca="false">VLOOKUP(N16,B_PARTITE_GIRONI,6,0)</f>
        <v>Puma</v>
      </c>
      <c r="R16" s="38" t="str">
        <f aca="false">VLOOKUP(N16,B_PARTITE_GIRONI,7,0)</f>
        <v>Serval</v>
      </c>
      <c r="S16" s="39" t="n">
        <v>68</v>
      </c>
      <c r="T16" s="39" t="n">
        <v>45</v>
      </c>
      <c r="U16" s="40" t="n">
        <v>44355</v>
      </c>
      <c r="V16" s="41" t="n">
        <v>0.458333333333333</v>
      </c>
      <c r="W16" s="42" t="n">
        <v>2</v>
      </c>
      <c r="X16" s="43" t="str">
        <f aca="false">VLOOKUP(W16,A_3_INPUT_CAMPI,2,0)</f>
        <v>Cristo Re 2</v>
      </c>
      <c r="Z16" s="37" t="n">
        <v>62</v>
      </c>
      <c r="AA16" s="34" t="str">
        <f aca="false">VLOOKUP(Z16,B_PARTITE_2A_FASE_PER_NUMERO,2,0)</f>
        <v>2aFase</v>
      </c>
      <c r="AB16" s="44" t="str">
        <f aca="false">VLOOKUP(Z16,B_PARTITE_2A_FASE_PER_NUMERO,3,0)</f>
        <v>1-16</v>
      </c>
      <c r="AC16" s="38" t="str">
        <f aca="false">VLOOKUP(Z16,B_PARTITE_2A_FASE_PER_NUMERO,6,0)</f>
        <v>Piranha</v>
      </c>
      <c r="AD16" s="38" t="str">
        <f aca="false">VLOOKUP(Z16,B_PARTITE_2A_FASE_PER_NUMERO,7,0)</f>
        <v>Gabbiani</v>
      </c>
      <c r="AE16" s="39" t="n">
        <v>60</v>
      </c>
      <c r="AF16" s="39" t="n">
        <v>30</v>
      </c>
      <c r="AG16" s="40" t="n">
        <v>44357</v>
      </c>
      <c r="AH16" s="41" t="n">
        <v>0.708333333333333</v>
      </c>
      <c r="AI16" s="42" t="n">
        <v>2</v>
      </c>
      <c r="AJ16" s="43" t="str">
        <f aca="false">VLOOKUP(AI16,A_3_INPUT_CAMPI,2,0)</f>
        <v>Cristo Re 2</v>
      </c>
    </row>
    <row r="17" customFormat="false" ht="12.8" hidden="false" customHeight="false" outlineLevel="0" collapsed="false">
      <c r="D17" s="32" t="n">
        <v>15</v>
      </c>
      <c r="E17" s="16" t="str">
        <f aca="false">H17&amp;I17</f>
        <v>D3</v>
      </c>
      <c r="F17" s="33" t="s">
        <v>48</v>
      </c>
      <c r="G17" s="33"/>
      <c r="H17" s="34" t="s">
        <v>46</v>
      </c>
      <c r="I17" s="35" t="n">
        <v>3</v>
      </c>
      <c r="K17" s="32" t="n">
        <v>15</v>
      </c>
      <c r="L17" s="36" t="str">
        <f aca="false">"CAMPO "&amp;ROMAN(K17)</f>
        <v>CAMPO XV</v>
      </c>
      <c r="N17" s="37" t="n">
        <v>15</v>
      </c>
      <c r="O17" s="34" t="str">
        <f aca="false">VLOOKUP(N17,B_PARTITE_GIRONI,2,0)</f>
        <v>Girone</v>
      </c>
      <c r="P17" s="21" t="str">
        <f aca="false">VLOOKUP(N17,B_PARTITE_GIRONI,3,0)</f>
        <v>C</v>
      </c>
      <c r="Q17" s="38" t="str">
        <f aca="false">VLOOKUP(N17,B_PARTITE_GIRONI,6,0)</f>
        <v>Giraffe</v>
      </c>
      <c r="R17" s="38" t="str">
        <f aca="false">VLOOKUP(N17,B_PARTITE_GIRONI,7,0)</f>
        <v>Iguane</v>
      </c>
      <c r="S17" s="39" t="n">
        <v>60</v>
      </c>
      <c r="T17" s="39" t="n">
        <v>34</v>
      </c>
      <c r="U17" s="40" t="n">
        <v>44355</v>
      </c>
      <c r="V17" s="41" t="n">
        <v>0.458333333333333</v>
      </c>
      <c r="W17" s="42" t="n">
        <v>3</v>
      </c>
      <c r="X17" s="43" t="str">
        <f aca="false">VLOOKUP(W17,A_3_INPUT_CAMPI,2,0)</f>
        <v>Basket Giovane</v>
      </c>
      <c r="Z17" s="37" t="n">
        <v>63</v>
      </c>
      <c r="AA17" s="34" t="str">
        <f aca="false">VLOOKUP(Z17,B_PARTITE_2A_FASE_PER_NUMERO,2,0)</f>
        <v>2aFase</v>
      </c>
      <c r="AB17" s="44" t="str">
        <f aca="false">VLOOKUP(Z17,B_PARTITE_2A_FASE_PER_NUMERO,3,0)</f>
        <v>17-32</v>
      </c>
      <c r="AC17" s="38" t="str">
        <f aca="false">VLOOKUP(Z17,B_PARTITE_2A_FASE_PER_NUMERO,6,0)</f>
        <v>Delfini</v>
      </c>
      <c r="AD17" s="38" t="str">
        <f aca="false">VLOOKUP(Z17,B_PARTITE_2A_FASE_PER_NUMERO,7,0)</f>
        <v>Scorpioni</v>
      </c>
      <c r="AE17" s="39" t="n">
        <v>66</v>
      </c>
      <c r="AF17" s="39" t="n">
        <v>39</v>
      </c>
      <c r="AG17" s="40" t="n">
        <v>44357</v>
      </c>
      <c r="AH17" s="41" t="n">
        <v>0.708333333333333</v>
      </c>
      <c r="AI17" s="42" t="n">
        <v>3</v>
      </c>
      <c r="AJ17" s="43" t="str">
        <f aca="false">VLOOKUP(AI17,A_3_INPUT_CAMPI,2,0)</f>
        <v>Basket Giovane</v>
      </c>
    </row>
    <row r="18" customFormat="false" ht="12.8" hidden="false" customHeight="false" outlineLevel="0" collapsed="false">
      <c r="D18" s="32" t="n">
        <v>16</v>
      </c>
      <c r="E18" s="16" t="str">
        <f aca="false">H18&amp;I18</f>
        <v>D4</v>
      </c>
      <c r="F18" s="33" t="s">
        <v>49</v>
      </c>
      <c r="G18" s="33"/>
      <c r="H18" s="34" t="s">
        <v>46</v>
      </c>
      <c r="I18" s="35" t="n">
        <v>4</v>
      </c>
      <c r="K18" s="32" t="n">
        <v>16</v>
      </c>
      <c r="L18" s="36" t="str">
        <f aca="false">"CAMPO "&amp;ROMAN(K18)</f>
        <v>CAMPO XVI</v>
      </c>
      <c r="N18" s="37" t="n">
        <v>16</v>
      </c>
      <c r="O18" s="34" t="str">
        <f aca="false">VLOOKUP(N18,B_PARTITE_GIRONI,2,0)</f>
        <v>Girone</v>
      </c>
      <c r="P18" s="21" t="str">
        <f aca="false">VLOOKUP(N18,B_PARTITE_GIRONI,3,0)</f>
        <v>D</v>
      </c>
      <c r="Q18" s="38" t="str">
        <f aca="false">VLOOKUP(N18,B_PARTITE_GIRONI,6,0)</f>
        <v>Pitoni</v>
      </c>
      <c r="R18" s="38" t="str">
        <f aca="false">VLOOKUP(N18,B_PARTITE_GIRONI,7,0)</f>
        <v>Falchi</v>
      </c>
      <c r="S18" s="39" t="n">
        <v>83</v>
      </c>
      <c r="T18" s="39" t="n">
        <v>57</v>
      </c>
      <c r="U18" s="40" t="n">
        <v>44355</v>
      </c>
      <c r="V18" s="41" t="n">
        <v>0.458333333333333</v>
      </c>
      <c r="W18" s="42" t="n">
        <v>4</v>
      </c>
      <c r="X18" s="43" t="str">
        <f aca="false">VLOOKUP(W18,A_3_INPUT_CAMPI,2,0)</f>
        <v>Nuova Scuola</v>
      </c>
      <c r="Z18" s="37" t="n">
        <v>64</v>
      </c>
      <c r="AA18" s="34" t="str">
        <f aca="false">VLOOKUP(Z18,B_PARTITE_2A_FASE_PER_NUMERO,2,0)</f>
        <v>2aFase</v>
      </c>
      <c r="AB18" s="44" t="str">
        <f aca="false">VLOOKUP(Z18,B_PARTITE_2A_FASE_PER_NUMERO,3,0)</f>
        <v>17-32</v>
      </c>
      <c r="AC18" s="38" t="str">
        <f aca="false">VLOOKUP(Z18,B_PARTITE_2A_FASE_PER_NUMERO,6,0)</f>
        <v>Zebre</v>
      </c>
      <c r="AD18" s="38" t="str">
        <f aca="false">VLOOKUP(Z18,B_PARTITE_2A_FASE_PER_NUMERO,7,0)</f>
        <v>Fenicotteri</v>
      </c>
      <c r="AE18" s="39" t="n">
        <v>62</v>
      </c>
      <c r="AF18" s="39" t="n">
        <v>31</v>
      </c>
      <c r="AG18" s="40" t="n">
        <v>44357</v>
      </c>
      <c r="AH18" s="41" t="n">
        <v>0.708333333333333</v>
      </c>
      <c r="AI18" s="42" t="n">
        <v>4</v>
      </c>
      <c r="AJ18" s="43" t="str">
        <f aca="false">VLOOKUP(AI18,A_3_INPUT_CAMPI,2,0)</f>
        <v>Nuova Scuola</v>
      </c>
    </row>
    <row r="19" customFormat="false" ht="12.8" hidden="false" customHeight="false" outlineLevel="0" collapsed="false">
      <c r="D19" s="32" t="n">
        <v>17</v>
      </c>
      <c r="E19" s="16" t="str">
        <f aca="false">H19&amp;I19</f>
        <v>E1</v>
      </c>
      <c r="F19" s="33" t="s">
        <v>50</v>
      </c>
      <c r="G19" s="33"/>
      <c r="H19" s="34" t="s">
        <v>51</v>
      </c>
      <c r="I19" s="35" t="n">
        <v>1</v>
      </c>
      <c r="K19" s="32" t="n">
        <v>17</v>
      </c>
      <c r="L19" s="36" t="str">
        <f aca="false">"CAMPO "&amp;ROMAN(K19)</f>
        <v>CAMPO XVII</v>
      </c>
      <c r="N19" s="37" t="n">
        <v>17</v>
      </c>
      <c r="O19" s="34" t="str">
        <f aca="false">VLOOKUP(N19,B_PARTITE_GIRONI,2,0)</f>
        <v>Girone</v>
      </c>
      <c r="P19" s="21" t="str">
        <f aca="false">VLOOKUP(N19,B_PARTITE_GIRONI,3,0)</f>
        <v>E</v>
      </c>
      <c r="Q19" s="38" t="str">
        <f aca="false">VLOOKUP(N19,B_PARTITE_GIRONI,6,0)</f>
        <v>Bisonti</v>
      </c>
      <c r="R19" s="38" t="str">
        <f aca="false">VLOOKUP(N19,B_PARTITE_GIRONI,7,0)</f>
        <v>Bufali</v>
      </c>
      <c r="S19" s="39" t="n">
        <v>34</v>
      </c>
      <c r="T19" s="39" t="n">
        <v>33</v>
      </c>
      <c r="U19" s="40" t="n">
        <v>44355</v>
      </c>
      <c r="V19" s="41" t="n">
        <v>0.645833333333333</v>
      </c>
      <c r="W19" s="42" t="n">
        <v>1</v>
      </c>
      <c r="X19" s="43" t="str">
        <f aca="false">VLOOKUP(W19,A_3_INPUT_CAMPI,2,0)</f>
        <v>Cristo Re 1</v>
      </c>
      <c r="Z19" s="37" t="n">
        <v>65</v>
      </c>
      <c r="AA19" s="34" t="str">
        <f aca="false">VLOOKUP(Z19,B_PARTITE_2A_FASE_PER_NUMERO,2,0)</f>
        <v>2aFase</v>
      </c>
      <c r="AB19" s="44" t="str">
        <f aca="false">VLOOKUP(Z19,B_PARTITE_2A_FASE_PER_NUMERO,3,0)</f>
        <v>25-32</v>
      </c>
      <c r="AC19" s="38" t="str">
        <f aca="false">VLOOKUP(Z19,B_PARTITE_2A_FASE_PER_NUMERO,6,0)</f>
        <v>Iguane</v>
      </c>
      <c r="AD19" s="38" t="str">
        <f aca="false">VLOOKUP(Z19,B_PARTITE_2A_FASE_PER_NUMERO,7,0)</f>
        <v>Falchi</v>
      </c>
      <c r="AE19" s="39" t="n">
        <v>63</v>
      </c>
      <c r="AF19" s="39" t="n">
        <v>35</v>
      </c>
      <c r="AG19" s="40" t="n">
        <v>44357</v>
      </c>
      <c r="AH19" s="41" t="n">
        <v>0.770833333333333</v>
      </c>
      <c r="AI19" s="42" t="n">
        <v>1</v>
      </c>
      <c r="AJ19" s="43" t="str">
        <f aca="false">VLOOKUP(AI19,A_3_INPUT_CAMPI,2,0)</f>
        <v>Cristo Re 1</v>
      </c>
    </row>
    <row r="20" customFormat="false" ht="12.8" hidden="false" customHeight="false" outlineLevel="0" collapsed="false">
      <c r="D20" s="32" t="n">
        <v>18</v>
      </c>
      <c r="E20" s="16" t="str">
        <f aca="false">H20&amp;I20</f>
        <v>E2</v>
      </c>
      <c r="F20" s="33" t="s">
        <v>52</v>
      </c>
      <c r="G20" s="33"/>
      <c r="H20" s="34" t="s">
        <v>51</v>
      </c>
      <c r="I20" s="35" t="n">
        <v>2</v>
      </c>
      <c r="K20" s="32" t="n">
        <v>18</v>
      </c>
      <c r="L20" s="36" t="str">
        <f aca="false">"CAMPO "&amp;ROMAN(K20)</f>
        <v>CAMPO XVIII</v>
      </c>
      <c r="N20" s="37" t="n">
        <v>18</v>
      </c>
      <c r="O20" s="34" t="str">
        <f aca="false">VLOOKUP(N20,B_PARTITE_GIRONI,2,0)</f>
        <v>Girone</v>
      </c>
      <c r="P20" s="21" t="str">
        <f aca="false">VLOOKUP(N20,B_PARTITE_GIRONI,3,0)</f>
        <v>F</v>
      </c>
      <c r="Q20" s="38" t="str">
        <f aca="false">VLOOKUP(N20,B_PARTITE_GIRONI,6,0)</f>
        <v>Balene</v>
      </c>
      <c r="R20" s="38" t="str">
        <f aca="false">VLOOKUP(N20,B_PARTITE_GIRONI,7,0)</f>
        <v>Gabbiani</v>
      </c>
      <c r="S20" s="39" t="n">
        <v>34</v>
      </c>
      <c r="T20" s="39" t="n">
        <v>33</v>
      </c>
      <c r="U20" s="40" t="n">
        <v>44355</v>
      </c>
      <c r="V20" s="41" t="n">
        <v>0.645833333333333</v>
      </c>
      <c r="W20" s="42" t="n">
        <v>2</v>
      </c>
      <c r="X20" s="43" t="str">
        <f aca="false">VLOOKUP(W20,A_3_INPUT_CAMPI,2,0)</f>
        <v>Cristo Re 2</v>
      </c>
      <c r="Z20" s="37" t="n">
        <v>66</v>
      </c>
      <c r="AA20" s="34" t="str">
        <f aca="false">VLOOKUP(Z20,B_PARTITE_2A_FASE_PER_NUMERO,2,0)</f>
        <v>2aFase</v>
      </c>
      <c r="AB20" s="44" t="str">
        <f aca="false">VLOOKUP(Z20,B_PARTITE_2A_FASE_PER_NUMERO,3,0)</f>
        <v>25-32</v>
      </c>
      <c r="AC20" s="38" t="str">
        <f aca="false">VLOOKUP(Z20,B_PARTITE_2A_FASE_PER_NUMERO,6,0)</f>
        <v>Ghepardi</v>
      </c>
      <c r="AD20" s="38" t="str">
        <f aca="false">VLOOKUP(Z20,B_PARTITE_2A_FASE_PER_NUMERO,7,0)</f>
        <v>Serval</v>
      </c>
      <c r="AE20" s="39" t="n">
        <v>60</v>
      </c>
      <c r="AF20" s="39" t="n">
        <v>45</v>
      </c>
      <c r="AG20" s="40" t="n">
        <v>44357</v>
      </c>
      <c r="AH20" s="41" t="n">
        <v>0.770833333333333</v>
      </c>
      <c r="AI20" s="42" t="n">
        <v>2</v>
      </c>
      <c r="AJ20" s="43" t="str">
        <f aca="false">VLOOKUP(AI20,A_3_INPUT_CAMPI,2,0)</f>
        <v>Cristo Re 2</v>
      </c>
    </row>
    <row r="21" customFormat="false" ht="12.8" hidden="false" customHeight="false" outlineLevel="0" collapsed="false">
      <c r="D21" s="32" t="n">
        <v>19</v>
      </c>
      <c r="E21" s="16" t="str">
        <f aca="false">H21&amp;I21</f>
        <v>E3</v>
      </c>
      <c r="F21" s="33" t="s">
        <v>53</v>
      </c>
      <c r="G21" s="33"/>
      <c r="H21" s="34" t="s">
        <v>51</v>
      </c>
      <c r="I21" s="35" t="n">
        <v>3</v>
      </c>
      <c r="K21" s="32" t="n">
        <v>19</v>
      </c>
      <c r="L21" s="36" t="str">
        <f aca="false">"CAMPO "&amp;ROMAN(K21)</f>
        <v>CAMPO XIX</v>
      </c>
      <c r="N21" s="37" t="n">
        <v>19</v>
      </c>
      <c r="O21" s="34" t="str">
        <f aca="false">VLOOKUP(N21,B_PARTITE_GIRONI,2,0)</f>
        <v>Girone</v>
      </c>
      <c r="P21" s="21" t="str">
        <f aca="false">VLOOKUP(N21,B_PARTITE_GIRONI,3,0)</f>
        <v>G</v>
      </c>
      <c r="Q21" s="38" t="str">
        <f aca="false">VLOOKUP(N21,B_PARTITE_GIRONI,6,0)</f>
        <v>Istrici</v>
      </c>
      <c r="R21" s="38" t="str">
        <f aca="false">VLOOKUP(N21,B_PARTITE_GIRONI,7,0)</f>
        <v>Gorilla</v>
      </c>
      <c r="S21" s="39" t="n">
        <v>20</v>
      </c>
      <c r="T21" s="39" t="n">
        <v>0</v>
      </c>
      <c r="U21" s="40" t="n">
        <v>44355</v>
      </c>
      <c r="V21" s="41" t="n">
        <v>0.645833333333333</v>
      </c>
      <c r="W21" s="42" t="n">
        <v>3</v>
      </c>
      <c r="X21" s="43" t="str">
        <f aca="false">VLOOKUP(W21,A_3_INPUT_CAMPI,2,0)</f>
        <v>Basket Giovane</v>
      </c>
      <c r="Z21" s="37" t="n">
        <v>67</v>
      </c>
      <c r="AA21" s="34" t="str">
        <f aca="false">VLOOKUP(Z21,B_PARTITE_2A_FASE_PER_NUMERO,2,0)</f>
        <v>2aFase</v>
      </c>
      <c r="AB21" s="44" t="str">
        <f aca="false">VLOOKUP(Z21,B_PARTITE_2A_FASE_PER_NUMERO,3,0)</f>
        <v>25-32</v>
      </c>
      <c r="AC21" s="38" t="str">
        <f aca="false">VLOOKUP(Z21,B_PARTITE_2A_FASE_PER_NUMERO,6,0)</f>
        <v>Muli</v>
      </c>
      <c r="AD21" s="38" t="str">
        <f aca="false">VLOOKUP(Z21,B_PARTITE_2A_FASE_PER_NUMERO,7,0)</f>
        <v>Scorpioni</v>
      </c>
      <c r="AE21" s="39" t="n">
        <v>54</v>
      </c>
      <c r="AF21" s="39" t="n">
        <v>43</v>
      </c>
      <c r="AG21" s="40" t="n">
        <v>44357</v>
      </c>
      <c r="AH21" s="41" t="n">
        <v>0.770833333333333</v>
      </c>
      <c r="AI21" s="42" t="n">
        <v>3</v>
      </c>
      <c r="AJ21" s="43" t="str">
        <f aca="false">VLOOKUP(AI21,A_3_INPUT_CAMPI,2,0)</f>
        <v>Basket Giovane</v>
      </c>
    </row>
    <row r="22" customFormat="false" ht="12.8" hidden="false" customHeight="false" outlineLevel="0" collapsed="false">
      <c r="D22" s="32" t="n">
        <v>20</v>
      </c>
      <c r="E22" s="16" t="str">
        <f aca="false">H22&amp;I22</f>
        <v>E4</v>
      </c>
      <c r="F22" s="33" t="s">
        <v>54</v>
      </c>
      <c r="G22" s="33"/>
      <c r="H22" s="34" t="s">
        <v>51</v>
      </c>
      <c r="I22" s="35" t="n">
        <v>4</v>
      </c>
      <c r="K22" s="32" t="n">
        <v>20</v>
      </c>
      <c r="L22" s="36" t="str">
        <f aca="false">"CAMPO "&amp;ROMAN(K22)</f>
        <v>CAMPO XX</v>
      </c>
      <c r="N22" s="37" t="n">
        <v>20</v>
      </c>
      <c r="O22" s="34" t="str">
        <f aca="false">VLOOKUP(N22,B_PARTITE_GIRONI,2,0)</f>
        <v>Girone</v>
      </c>
      <c r="P22" s="21" t="str">
        <f aca="false">VLOOKUP(N22,B_PARTITE_GIRONI,3,0)</f>
        <v>H</v>
      </c>
      <c r="Q22" s="38" t="str">
        <f aca="false">VLOOKUP(N22,B_PARTITE_GIRONI,6,0)</f>
        <v>Piranha</v>
      </c>
      <c r="R22" s="38" t="str">
        <f aca="false">VLOOKUP(N22,B_PARTITE_GIRONI,7,0)</f>
        <v>Scorpioni</v>
      </c>
      <c r="S22" s="39" t="n">
        <v>100</v>
      </c>
      <c r="T22" s="39" t="n">
        <v>83</v>
      </c>
      <c r="U22" s="40" t="n">
        <v>44355</v>
      </c>
      <c r="V22" s="41" t="n">
        <v>0.645833333333333</v>
      </c>
      <c r="W22" s="42" t="n">
        <v>4</v>
      </c>
      <c r="X22" s="43" t="str">
        <f aca="false">VLOOKUP(W22,A_3_INPUT_CAMPI,2,0)</f>
        <v>Nuova Scuola</v>
      </c>
      <c r="Z22" s="37" t="n">
        <v>68</v>
      </c>
      <c r="AA22" s="34" t="str">
        <f aca="false">VLOOKUP(Z22,B_PARTITE_2A_FASE_PER_NUMERO,2,0)</f>
        <v>2aFase</v>
      </c>
      <c r="AB22" s="44" t="str">
        <f aca="false">VLOOKUP(Z22,B_PARTITE_2A_FASE_PER_NUMERO,3,0)</f>
        <v>25-32</v>
      </c>
      <c r="AC22" s="38" t="str">
        <f aca="false">VLOOKUP(Z22,B_PARTITE_2A_FASE_PER_NUMERO,6,0)</f>
        <v>Cinghiali</v>
      </c>
      <c r="AD22" s="38" t="str">
        <f aca="false">VLOOKUP(Z22,B_PARTITE_2A_FASE_PER_NUMERO,7,0)</f>
        <v>Fenicotteri</v>
      </c>
      <c r="AE22" s="39" t="n">
        <v>52</v>
      </c>
      <c r="AF22" s="39" t="n">
        <v>49</v>
      </c>
      <c r="AG22" s="40" t="n">
        <v>44357</v>
      </c>
      <c r="AH22" s="41" t="n">
        <v>0.770833333333333</v>
      </c>
      <c r="AI22" s="42" t="n">
        <v>4</v>
      </c>
      <c r="AJ22" s="43" t="str">
        <f aca="false">VLOOKUP(AI22,A_3_INPUT_CAMPI,2,0)</f>
        <v>Nuova Scuola</v>
      </c>
    </row>
    <row r="23" customFormat="false" ht="12.8" hidden="false" customHeight="false" outlineLevel="0" collapsed="false">
      <c r="D23" s="32" t="n">
        <v>21</v>
      </c>
      <c r="E23" s="16" t="str">
        <f aca="false">H23&amp;I23</f>
        <v>F1</v>
      </c>
      <c r="F23" s="33" t="s">
        <v>55</v>
      </c>
      <c r="G23" s="33"/>
      <c r="H23" s="34" t="s">
        <v>56</v>
      </c>
      <c r="I23" s="35" t="n">
        <v>1</v>
      </c>
      <c r="K23" s="32" t="n">
        <v>21</v>
      </c>
      <c r="L23" s="36" t="str">
        <f aca="false">"CAMPO "&amp;ROMAN(K23)</f>
        <v>CAMPO XXI</v>
      </c>
      <c r="N23" s="37" t="n">
        <v>21</v>
      </c>
      <c r="O23" s="34" t="str">
        <f aca="false">VLOOKUP(N23,B_PARTITE_GIRONI,2,0)</f>
        <v>Girone</v>
      </c>
      <c r="P23" s="21" t="str">
        <f aca="false">VLOOKUP(N23,B_PARTITE_GIRONI,3,0)</f>
        <v>E</v>
      </c>
      <c r="Q23" s="38" t="str">
        <f aca="false">VLOOKUP(N23,B_PARTITE_GIRONI,6,0)</f>
        <v>Cervi</v>
      </c>
      <c r="R23" s="38" t="str">
        <f aca="false">VLOOKUP(N23,B_PARTITE_GIRONI,7,0)</f>
        <v>Cinghiali</v>
      </c>
      <c r="S23" s="39" t="n">
        <v>34</v>
      </c>
      <c r="T23" s="39" t="n">
        <v>33</v>
      </c>
      <c r="U23" s="40" t="n">
        <v>44355</v>
      </c>
      <c r="V23" s="41" t="n">
        <v>0.708333333333333</v>
      </c>
      <c r="W23" s="42" t="n">
        <v>1</v>
      </c>
      <c r="X23" s="43" t="str">
        <f aca="false">VLOOKUP(W23,A_3_INPUT_CAMPI,2,0)</f>
        <v>Cristo Re 1</v>
      </c>
      <c r="Z23" s="37" t="n">
        <v>69</v>
      </c>
      <c r="AA23" s="34" t="str">
        <f aca="false">VLOOKUP(Z23,B_PARTITE_2A_FASE_PER_NUMERO,2,0)</f>
        <v>2aFase</v>
      </c>
      <c r="AB23" s="44" t="str">
        <f aca="false">VLOOKUP(Z23,B_PARTITE_2A_FASE_PER_NUMERO,3,0)</f>
        <v>1-8</v>
      </c>
      <c r="AC23" s="38" t="str">
        <f aca="false">VLOOKUP(Z23,B_PARTITE_2A_FASE_PER_NUMERO,6,0)</f>
        <v>Leoni</v>
      </c>
      <c r="AD23" s="38" t="str">
        <f aca="false">VLOOKUP(Z23,B_PARTITE_2A_FASE_PER_NUMERO,7,0)</f>
        <v>Giaguari</v>
      </c>
      <c r="AE23" s="39" t="n">
        <v>58</v>
      </c>
      <c r="AF23" s="39" t="n">
        <v>46</v>
      </c>
      <c r="AG23" s="40" t="n">
        <v>44358</v>
      </c>
      <c r="AH23" s="41" t="n">
        <v>0.375</v>
      </c>
      <c r="AI23" s="42" t="n">
        <v>1</v>
      </c>
      <c r="AJ23" s="43" t="str">
        <f aca="false">VLOOKUP(AI23,A_3_INPUT_CAMPI,2,0)</f>
        <v>Cristo Re 1</v>
      </c>
    </row>
    <row r="24" customFormat="false" ht="12.8" hidden="false" customHeight="false" outlineLevel="0" collapsed="false">
      <c r="D24" s="32" t="n">
        <v>22</v>
      </c>
      <c r="E24" s="16" t="str">
        <f aca="false">H24&amp;I24</f>
        <v>F2</v>
      </c>
      <c r="F24" s="33" t="s">
        <v>57</v>
      </c>
      <c r="G24" s="33"/>
      <c r="H24" s="34" t="s">
        <v>56</v>
      </c>
      <c r="I24" s="35" t="n">
        <v>2</v>
      </c>
      <c r="K24" s="32" t="n">
        <v>22</v>
      </c>
      <c r="L24" s="36" t="str">
        <f aca="false">"CAMPO "&amp;ROMAN(K24)</f>
        <v>CAMPO XXII</v>
      </c>
      <c r="N24" s="37" t="n">
        <v>22</v>
      </c>
      <c r="O24" s="34" t="str">
        <f aca="false">VLOOKUP(N24,B_PARTITE_GIRONI,2,0)</f>
        <v>Girone</v>
      </c>
      <c r="P24" s="21" t="str">
        <f aca="false">VLOOKUP(N24,B_PARTITE_GIRONI,3,0)</f>
        <v>F</v>
      </c>
      <c r="Q24" s="38" t="str">
        <f aca="false">VLOOKUP(N24,B_PARTITE_GIRONI,6,0)</f>
        <v>Delfini</v>
      </c>
      <c r="R24" s="38" t="str">
        <f aca="false">VLOOKUP(N24,B_PARTITE_GIRONI,7,0)</f>
        <v>Fenicotteri</v>
      </c>
      <c r="S24" s="39" t="n">
        <v>34</v>
      </c>
      <c r="T24" s="39" t="n">
        <v>33</v>
      </c>
      <c r="U24" s="40" t="n">
        <v>44355</v>
      </c>
      <c r="V24" s="41" t="n">
        <v>0.708333333333333</v>
      </c>
      <c r="W24" s="42" t="n">
        <v>2</v>
      </c>
      <c r="X24" s="43" t="str">
        <f aca="false">VLOOKUP(W24,A_3_INPUT_CAMPI,2,0)</f>
        <v>Cristo Re 2</v>
      </c>
      <c r="Z24" s="37" t="n">
        <v>70</v>
      </c>
      <c r="AA24" s="34" t="str">
        <f aca="false">VLOOKUP(Z24,B_PARTITE_2A_FASE_PER_NUMERO,2,0)</f>
        <v>2aFase</v>
      </c>
      <c r="AB24" s="44" t="str">
        <f aca="false">VLOOKUP(Z24,B_PARTITE_2A_FASE_PER_NUMERO,3,0)</f>
        <v>1-8</v>
      </c>
      <c r="AC24" s="38" t="str">
        <f aca="false">VLOOKUP(Z24,B_PARTITE_2A_FASE_PER_NUMERO,6,0)</f>
        <v>Bisonti</v>
      </c>
      <c r="AD24" s="38" t="str">
        <f aca="false">VLOOKUP(Z24,B_PARTITE_2A_FASE_PER_NUMERO,7,0)</f>
        <v>Balene</v>
      </c>
      <c r="AE24" s="39" t="n">
        <v>60</v>
      </c>
      <c r="AF24" s="39" t="n">
        <v>31</v>
      </c>
      <c r="AG24" s="40" t="n">
        <v>44358</v>
      </c>
      <c r="AH24" s="41" t="n">
        <v>0.375</v>
      </c>
      <c r="AI24" s="42" t="n">
        <v>2</v>
      </c>
      <c r="AJ24" s="43" t="str">
        <f aca="false">VLOOKUP(AI24,A_3_INPUT_CAMPI,2,0)</f>
        <v>Cristo Re 2</v>
      </c>
    </row>
    <row r="25" customFormat="false" ht="12.8" hidden="false" customHeight="false" outlineLevel="0" collapsed="false">
      <c r="D25" s="32" t="n">
        <v>23</v>
      </c>
      <c r="E25" s="16" t="str">
        <f aca="false">H25&amp;I25</f>
        <v>F3</v>
      </c>
      <c r="F25" s="33" t="s">
        <v>58</v>
      </c>
      <c r="G25" s="33"/>
      <c r="H25" s="34" t="s">
        <v>56</v>
      </c>
      <c r="I25" s="35" t="n">
        <v>3</v>
      </c>
      <c r="K25" s="32" t="n">
        <v>23</v>
      </c>
      <c r="L25" s="36" t="str">
        <f aca="false">"CAMPO "&amp;ROMAN(K25)</f>
        <v>CAMPO XXIII</v>
      </c>
      <c r="N25" s="37" t="n">
        <v>23</v>
      </c>
      <c r="O25" s="34" t="str">
        <f aca="false">VLOOKUP(N25,B_PARTITE_GIRONI,2,0)</f>
        <v>Girone</v>
      </c>
      <c r="P25" s="21" t="str">
        <f aca="false">VLOOKUP(N25,B_PARTITE_GIRONI,3,0)</f>
        <v>G</v>
      </c>
      <c r="Q25" s="38" t="str">
        <f aca="false">VLOOKUP(N25,B_PARTITE_GIRONI,6,0)</f>
        <v>Muli</v>
      </c>
      <c r="R25" s="38" t="str">
        <f aca="false">VLOOKUP(N25,B_PARTITE_GIRONI,7,0)</f>
        <v>Orche</v>
      </c>
      <c r="S25" s="39" t="n">
        <v>0</v>
      </c>
      <c r="T25" s="39" t="n">
        <v>20</v>
      </c>
      <c r="U25" s="40" t="n">
        <v>44355</v>
      </c>
      <c r="V25" s="41" t="n">
        <v>0.708333333333333</v>
      </c>
      <c r="W25" s="42" t="n">
        <v>3</v>
      </c>
      <c r="X25" s="43" t="str">
        <f aca="false">VLOOKUP(W25,A_3_INPUT_CAMPI,2,0)</f>
        <v>Basket Giovane</v>
      </c>
      <c r="Z25" s="37" t="n">
        <v>71</v>
      </c>
      <c r="AA25" s="34" t="str">
        <f aca="false">VLOOKUP(Z25,B_PARTITE_2A_FASE_PER_NUMERO,2,0)</f>
        <v>2aFase</v>
      </c>
      <c r="AB25" s="44" t="str">
        <f aca="false">VLOOKUP(Z25,B_PARTITE_2A_FASE_PER_NUMERO,3,0)</f>
        <v>17-24</v>
      </c>
      <c r="AC25" s="38" t="str">
        <f aca="false">VLOOKUP(Z25,B_PARTITE_2A_FASE_PER_NUMERO,6,0)</f>
        <v>Tigri</v>
      </c>
      <c r="AD25" s="38" t="str">
        <f aca="false">VLOOKUP(Z25,B_PARTITE_2A_FASE_PER_NUMERO,7,0)</f>
        <v>Linci</v>
      </c>
      <c r="AE25" s="39" t="n">
        <v>63</v>
      </c>
      <c r="AF25" s="39" t="n">
        <v>42</v>
      </c>
      <c r="AG25" s="40" t="n">
        <v>44358</v>
      </c>
      <c r="AH25" s="41" t="n">
        <v>0.375</v>
      </c>
      <c r="AI25" s="42" t="n">
        <v>3</v>
      </c>
      <c r="AJ25" s="43" t="str">
        <f aca="false">VLOOKUP(AI25,A_3_INPUT_CAMPI,2,0)</f>
        <v>Basket Giovane</v>
      </c>
    </row>
    <row r="26" customFormat="false" ht="12.8" hidden="false" customHeight="false" outlineLevel="0" collapsed="false">
      <c r="D26" s="32" t="n">
        <v>24</v>
      </c>
      <c r="E26" s="16" t="str">
        <f aca="false">H26&amp;I26</f>
        <v>F4</v>
      </c>
      <c r="F26" s="33" t="s">
        <v>59</v>
      </c>
      <c r="G26" s="33"/>
      <c r="H26" s="34" t="s">
        <v>56</v>
      </c>
      <c r="I26" s="35" t="n">
        <v>4</v>
      </c>
      <c r="K26" s="32" t="n">
        <v>24</v>
      </c>
      <c r="L26" s="36" t="str">
        <f aca="false">"CAMPO "&amp;ROMAN(K26)</f>
        <v>CAMPO XXIV</v>
      </c>
      <c r="N26" s="37" t="n">
        <v>24</v>
      </c>
      <c r="O26" s="34" t="str">
        <f aca="false">VLOOKUP(N26,B_PARTITE_GIRONI,2,0)</f>
        <v>Girone</v>
      </c>
      <c r="P26" s="21" t="str">
        <f aca="false">VLOOKUP(N26,B_PARTITE_GIRONI,3,0)</f>
        <v>H</v>
      </c>
      <c r="Q26" s="38" t="str">
        <f aca="false">VLOOKUP(N26,B_PARTITE_GIRONI,6,0)</f>
        <v>Tonni</v>
      </c>
      <c r="R26" s="38" t="str">
        <f aca="false">VLOOKUP(N26,B_PARTITE_GIRONI,7,0)</f>
        <v>Zebre</v>
      </c>
      <c r="S26" s="39" t="n">
        <v>20</v>
      </c>
      <c r="T26" s="39" t="n">
        <v>0</v>
      </c>
      <c r="U26" s="40" t="n">
        <v>44355</v>
      </c>
      <c r="V26" s="41" t="n">
        <v>0.708333333333333</v>
      </c>
      <c r="W26" s="42" t="n">
        <v>4</v>
      </c>
      <c r="X26" s="43" t="str">
        <f aca="false">VLOOKUP(W26,A_3_INPUT_CAMPI,2,0)</f>
        <v>Nuova Scuola</v>
      </c>
      <c r="Z26" s="37" t="n">
        <v>72</v>
      </c>
      <c r="AA26" s="34" t="str">
        <f aca="false">VLOOKUP(Z26,B_PARTITE_2A_FASE_PER_NUMERO,2,0)</f>
        <v>2aFase</v>
      </c>
      <c r="AB26" s="44" t="str">
        <f aca="false">VLOOKUP(Z26,B_PARTITE_2A_FASE_PER_NUMERO,3,0)</f>
        <v>17-24</v>
      </c>
      <c r="AC26" s="38" t="str">
        <f aca="false">VLOOKUP(Z26,B_PARTITE_2A_FASE_PER_NUMERO,6,0)</f>
        <v>Cervi</v>
      </c>
      <c r="AD26" s="38" t="str">
        <f aca="false">VLOOKUP(Z26,B_PARTITE_2A_FASE_PER_NUMERO,7,0)</f>
        <v>Delfini</v>
      </c>
      <c r="AE26" s="39" t="n">
        <v>68</v>
      </c>
      <c r="AF26" s="39" t="n">
        <v>46</v>
      </c>
      <c r="AG26" s="40" t="n">
        <v>44358</v>
      </c>
      <c r="AH26" s="41" t="n">
        <v>0.375</v>
      </c>
      <c r="AI26" s="42" t="n">
        <v>4</v>
      </c>
      <c r="AJ26" s="43" t="str">
        <f aca="false">VLOOKUP(AI26,A_3_INPUT_CAMPI,2,0)</f>
        <v>Nuova Scuola</v>
      </c>
    </row>
    <row r="27" customFormat="false" ht="12.8" hidden="false" customHeight="false" outlineLevel="0" collapsed="false">
      <c r="D27" s="32" t="n">
        <v>25</v>
      </c>
      <c r="E27" s="16" t="str">
        <f aca="false">H27&amp;I27</f>
        <v>G1</v>
      </c>
      <c r="F27" s="33" t="s">
        <v>60</v>
      </c>
      <c r="G27" s="33"/>
      <c r="H27" s="34" t="s">
        <v>61</v>
      </c>
      <c r="I27" s="35" t="n">
        <v>1</v>
      </c>
      <c r="K27" s="32" t="n">
        <v>25</v>
      </c>
      <c r="L27" s="36" t="str">
        <f aca="false">"CAMPO "&amp;ROMAN(K27)</f>
        <v>CAMPO XXV</v>
      </c>
      <c r="N27" s="37" t="n">
        <v>25</v>
      </c>
      <c r="O27" s="34" t="str">
        <f aca="false">VLOOKUP(N27,B_PARTITE_GIRONI,2,0)</f>
        <v>Girone</v>
      </c>
      <c r="P27" s="21" t="str">
        <f aca="false">VLOOKUP(N27,B_PARTITE_GIRONI,3,0)</f>
        <v>A</v>
      </c>
      <c r="Q27" s="38" t="str">
        <f aca="false">VLOOKUP(N27,B_PARTITE_GIRONI,6,0)</f>
        <v>Leoni</v>
      </c>
      <c r="R27" s="38" t="str">
        <f aca="false">VLOOKUP(N27,B_PARTITE_GIRONI,7,0)</f>
        <v>Ghepardi</v>
      </c>
      <c r="S27" s="39" t="n">
        <v>82</v>
      </c>
      <c r="T27" s="39" t="n">
        <v>25</v>
      </c>
      <c r="U27" s="40" t="n">
        <v>44355</v>
      </c>
      <c r="V27" s="41" t="n">
        <v>0.770833333333333</v>
      </c>
      <c r="W27" s="42" t="n">
        <v>1</v>
      </c>
      <c r="X27" s="43" t="str">
        <f aca="false">VLOOKUP(W27,A_3_INPUT_CAMPI,2,0)</f>
        <v>Cristo Re 1</v>
      </c>
      <c r="Z27" s="37" t="n">
        <v>73</v>
      </c>
      <c r="AA27" s="34" t="str">
        <f aca="false">VLOOKUP(Z27,B_PARTITE_2A_FASE_PER_NUMERO,2,0)</f>
        <v>2aFase</v>
      </c>
      <c r="AB27" s="44" t="str">
        <f aca="false">VLOOKUP(Z27,B_PARTITE_2A_FASE_PER_NUMERO,3,0)</f>
        <v>1-8</v>
      </c>
      <c r="AC27" s="38" t="str">
        <f aca="false">VLOOKUP(Z27,B_PARTITE_2A_FASE_PER_NUMERO,6,0)</f>
        <v>Pantere</v>
      </c>
      <c r="AD27" s="38" t="str">
        <f aca="false">VLOOKUP(Z27,B_PARTITE_2A_FASE_PER_NUMERO,7,0)</f>
        <v>Coccodrilli</v>
      </c>
      <c r="AE27" s="39" t="n">
        <v>56</v>
      </c>
      <c r="AF27" s="39" t="n">
        <v>34</v>
      </c>
      <c r="AG27" s="40" t="n">
        <v>44358</v>
      </c>
      <c r="AH27" s="41" t="n">
        <v>0.458333333333333</v>
      </c>
      <c r="AI27" s="42" t="n">
        <v>1</v>
      </c>
      <c r="AJ27" s="43" t="str">
        <f aca="false">VLOOKUP(AI27,A_3_INPUT_CAMPI,2,0)</f>
        <v>Cristo Re 1</v>
      </c>
    </row>
    <row r="28" customFormat="false" ht="12.8" hidden="false" customHeight="false" outlineLevel="0" collapsed="false">
      <c r="D28" s="32" t="n">
        <v>26</v>
      </c>
      <c r="E28" s="16" t="str">
        <f aca="false">H28&amp;I28</f>
        <v>G2</v>
      </c>
      <c r="F28" s="33" t="s">
        <v>62</v>
      </c>
      <c r="G28" s="33"/>
      <c r="H28" s="34" t="s">
        <v>61</v>
      </c>
      <c r="I28" s="35" t="n">
        <v>2</v>
      </c>
      <c r="K28" s="32" t="n">
        <v>26</v>
      </c>
      <c r="L28" s="36" t="str">
        <f aca="false">"CAMPO "&amp;ROMAN(K28)</f>
        <v>CAMPO XXVI</v>
      </c>
      <c r="N28" s="37" t="n">
        <v>26</v>
      </c>
      <c r="O28" s="34" t="str">
        <f aca="false">VLOOKUP(N28,B_PARTITE_GIRONI,2,0)</f>
        <v>Girone</v>
      </c>
      <c r="P28" s="21" t="str">
        <f aca="false">VLOOKUP(N28,B_PARTITE_GIRONI,3,0)</f>
        <v>B</v>
      </c>
      <c r="Q28" s="38" t="str">
        <f aca="false">VLOOKUP(N28,B_PARTITE_GIRONI,6,0)</f>
        <v>Giaguari</v>
      </c>
      <c r="R28" s="38" t="str">
        <f aca="false">VLOOKUP(N28,B_PARTITE_GIRONI,7,0)</f>
        <v>Serval</v>
      </c>
      <c r="S28" s="39" t="n">
        <v>76</v>
      </c>
      <c r="T28" s="39" t="n">
        <v>94</v>
      </c>
      <c r="U28" s="40" t="n">
        <v>44355</v>
      </c>
      <c r="V28" s="41" t="n">
        <v>0.770833333333333</v>
      </c>
      <c r="W28" s="42" t="n">
        <v>2</v>
      </c>
      <c r="X28" s="43" t="str">
        <f aca="false">VLOOKUP(W28,A_3_INPUT_CAMPI,2,0)</f>
        <v>Cristo Re 2</v>
      </c>
      <c r="Z28" s="37" t="n">
        <v>74</v>
      </c>
      <c r="AA28" s="34" t="str">
        <f aca="false">VLOOKUP(Z28,B_PARTITE_2A_FASE_PER_NUMERO,2,0)</f>
        <v>2aFase</v>
      </c>
      <c r="AB28" s="44" t="str">
        <f aca="false">VLOOKUP(Z28,B_PARTITE_2A_FASE_PER_NUMERO,3,0)</f>
        <v>1-8</v>
      </c>
      <c r="AC28" s="38" t="str">
        <f aca="false">VLOOKUP(Z28,B_PARTITE_2A_FASE_PER_NUMERO,6,0)</f>
        <v>Istrici</v>
      </c>
      <c r="AD28" s="38" t="str">
        <f aca="false">VLOOKUP(Z28,B_PARTITE_2A_FASE_PER_NUMERO,7,0)</f>
        <v>Piranha</v>
      </c>
      <c r="AE28" s="39" t="n">
        <v>52</v>
      </c>
      <c r="AF28" s="39" t="n">
        <v>36</v>
      </c>
      <c r="AG28" s="40" t="n">
        <v>44358</v>
      </c>
      <c r="AH28" s="41" t="n">
        <v>0.458333333333333</v>
      </c>
      <c r="AI28" s="42" t="n">
        <v>2</v>
      </c>
      <c r="AJ28" s="43" t="str">
        <f aca="false">VLOOKUP(AI28,A_3_INPUT_CAMPI,2,0)</f>
        <v>Cristo Re 2</v>
      </c>
    </row>
    <row r="29" customFormat="false" ht="12.8" hidden="false" customHeight="false" outlineLevel="0" collapsed="false">
      <c r="D29" s="32" t="n">
        <v>27</v>
      </c>
      <c r="E29" s="16" t="str">
        <f aca="false">H29&amp;I29</f>
        <v>G3</v>
      </c>
      <c r="F29" s="33" t="s">
        <v>63</v>
      </c>
      <c r="G29" s="33"/>
      <c r="H29" s="34" t="s">
        <v>61</v>
      </c>
      <c r="I29" s="35" t="n">
        <v>3</v>
      </c>
      <c r="K29" s="32" t="n">
        <v>27</v>
      </c>
      <c r="L29" s="36" t="str">
        <f aca="false">"CAMPO "&amp;ROMAN(K29)</f>
        <v>CAMPO XXVII</v>
      </c>
      <c r="N29" s="37" t="n">
        <v>27</v>
      </c>
      <c r="O29" s="34" t="str">
        <f aca="false">VLOOKUP(N29,B_PARTITE_GIRONI,2,0)</f>
        <v>Girone</v>
      </c>
      <c r="P29" s="21" t="str">
        <f aca="false">VLOOKUP(N29,B_PARTITE_GIRONI,3,0)</f>
        <v>C</v>
      </c>
      <c r="Q29" s="38" t="str">
        <f aca="false">VLOOKUP(N29,B_PARTITE_GIRONI,6,0)</f>
        <v>Elefanti</v>
      </c>
      <c r="R29" s="38" t="str">
        <f aca="false">VLOOKUP(N29,B_PARTITE_GIRONI,7,0)</f>
        <v>Iguane</v>
      </c>
      <c r="S29" s="39" t="n">
        <v>57</v>
      </c>
      <c r="T29" s="39" t="n">
        <v>42</v>
      </c>
      <c r="U29" s="40" t="n">
        <v>44355</v>
      </c>
      <c r="V29" s="41" t="n">
        <v>0.770833333333333</v>
      </c>
      <c r="W29" s="42" t="n">
        <v>3</v>
      </c>
      <c r="X29" s="43" t="str">
        <f aca="false">VLOOKUP(W29,A_3_INPUT_CAMPI,2,0)</f>
        <v>Basket Giovane</v>
      </c>
      <c r="Z29" s="37" t="n">
        <v>75</v>
      </c>
      <c r="AA29" s="34" t="str">
        <f aca="false">VLOOKUP(Z29,B_PARTITE_2A_FASE_PER_NUMERO,2,0)</f>
        <v>2aFase</v>
      </c>
      <c r="AB29" s="44" t="str">
        <f aca="false">VLOOKUP(Z29,B_PARTITE_2A_FASE_PER_NUMERO,3,0)</f>
        <v>17-24</v>
      </c>
      <c r="AC29" s="38" t="str">
        <f aca="false">VLOOKUP(Z29,B_PARTITE_2A_FASE_PER_NUMERO,6,0)</f>
        <v>Ippopotami</v>
      </c>
      <c r="AD29" s="38" t="str">
        <f aca="false">VLOOKUP(Z29,B_PARTITE_2A_FASE_PER_NUMERO,7,0)</f>
        <v>Pitoni</v>
      </c>
      <c r="AE29" s="39" t="n">
        <v>68</v>
      </c>
      <c r="AF29" s="39" t="n">
        <v>45</v>
      </c>
      <c r="AG29" s="40" t="n">
        <v>44358</v>
      </c>
      <c r="AH29" s="41" t="n">
        <v>0.458333333333333</v>
      </c>
      <c r="AI29" s="42" t="n">
        <v>3</v>
      </c>
      <c r="AJ29" s="43" t="str">
        <f aca="false">VLOOKUP(AI29,A_3_INPUT_CAMPI,2,0)</f>
        <v>Basket Giovane</v>
      </c>
    </row>
    <row r="30" customFormat="false" ht="12.8" hidden="false" customHeight="false" outlineLevel="0" collapsed="false">
      <c r="D30" s="32" t="n">
        <v>28</v>
      </c>
      <c r="E30" s="16" t="str">
        <f aca="false">H30&amp;I30</f>
        <v>G4</v>
      </c>
      <c r="F30" s="33" t="s">
        <v>64</v>
      </c>
      <c r="G30" s="33"/>
      <c r="H30" s="34" t="s">
        <v>61</v>
      </c>
      <c r="I30" s="35" t="n">
        <v>4</v>
      </c>
      <c r="K30" s="32" t="n">
        <v>28</v>
      </c>
      <c r="L30" s="36" t="str">
        <f aca="false">"CAMPO "&amp;ROMAN(K30)</f>
        <v>CAMPO XXVIII</v>
      </c>
      <c r="N30" s="37" t="n">
        <v>28</v>
      </c>
      <c r="O30" s="34" t="str">
        <f aca="false">VLOOKUP(N30,B_PARTITE_GIRONI,2,0)</f>
        <v>Girone</v>
      </c>
      <c r="P30" s="21" t="str">
        <f aca="false">VLOOKUP(N30,B_PARTITE_GIRONI,3,0)</f>
        <v>D</v>
      </c>
      <c r="Q30" s="38" t="str">
        <f aca="false">VLOOKUP(N30,B_PARTITE_GIRONI,6,0)</f>
        <v>Coccodrilli</v>
      </c>
      <c r="R30" s="38" t="str">
        <f aca="false">VLOOKUP(N30,B_PARTITE_GIRONI,7,0)</f>
        <v>Falchi</v>
      </c>
      <c r="S30" s="39" t="n">
        <v>54</v>
      </c>
      <c r="T30" s="39" t="n">
        <v>44</v>
      </c>
      <c r="U30" s="40" t="n">
        <v>44355</v>
      </c>
      <c r="V30" s="41" t="n">
        <v>0.770833333333333</v>
      </c>
      <c r="W30" s="42" t="n">
        <v>4</v>
      </c>
      <c r="X30" s="43" t="str">
        <f aca="false">VLOOKUP(W30,A_3_INPUT_CAMPI,2,0)</f>
        <v>Nuova Scuola</v>
      </c>
      <c r="Z30" s="37" t="n">
        <v>76</v>
      </c>
      <c r="AA30" s="34" t="str">
        <f aca="false">VLOOKUP(Z30,B_PARTITE_2A_FASE_PER_NUMERO,2,0)</f>
        <v>2aFase</v>
      </c>
      <c r="AB30" s="44" t="str">
        <f aca="false">VLOOKUP(Z30,B_PARTITE_2A_FASE_PER_NUMERO,3,0)</f>
        <v>17-24</v>
      </c>
      <c r="AC30" s="38" t="str">
        <f aca="false">VLOOKUP(Z30,B_PARTITE_2A_FASE_PER_NUMERO,6,0)</f>
        <v>Orche</v>
      </c>
      <c r="AD30" s="38" t="str">
        <f aca="false">VLOOKUP(Z30,B_PARTITE_2A_FASE_PER_NUMERO,7,0)</f>
        <v>Zebre</v>
      </c>
      <c r="AE30" s="39" t="n">
        <v>64</v>
      </c>
      <c r="AF30" s="39" t="n">
        <v>32</v>
      </c>
      <c r="AG30" s="40" t="n">
        <v>44358</v>
      </c>
      <c r="AH30" s="41" t="n">
        <v>0.458333333333333</v>
      </c>
      <c r="AI30" s="42" t="n">
        <v>4</v>
      </c>
      <c r="AJ30" s="43" t="str">
        <f aca="false">VLOOKUP(AI30,A_3_INPUT_CAMPI,2,0)</f>
        <v>Nuova Scuola</v>
      </c>
    </row>
    <row r="31" customFormat="false" ht="12.8" hidden="false" customHeight="false" outlineLevel="0" collapsed="false">
      <c r="D31" s="32" t="n">
        <v>29</v>
      </c>
      <c r="E31" s="16" t="str">
        <f aca="false">H31&amp;I31</f>
        <v>H1</v>
      </c>
      <c r="F31" s="33" t="s">
        <v>65</v>
      </c>
      <c r="G31" s="33"/>
      <c r="H31" s="34" t="s">
        <v>66</v>
      </c>
      <c r="I31" s="35" t="n">
        <v>1</v>
      </c>
      <c r="K31" s="32" t="n">
        <v>29</v>
      </c>
      <c r="L31" s="36" t="str">
        <f aca="false">"CAMPO "&amp;ROMAN(K31)</f>
        <v>CAMPO XXIX</v>
      </c>
      <c r="N31" s="37" t="n">
        <v>29</v>
      </c>
      <c r="O31" s="34" t="str">
        <f aca="false">VLOOKUP(N31,B_PARTITE_GIRONI,2,0)</f>
        <v>Girone</v>
      </c>
      <c r="P31" s="21" t="str">
        <f aca="false">VLOOKUP(N31,B_PARTITE_GIRONI,3,0)</f>
        <v>E</v>
      </c>
      <c r="Q31" s="38" t="str">
        <f aca="false">VLOOKUP(N31,B_PARTITE_GIRONI,6,0)</f>
        <v>Bisonti</v>
      </c>
      <c r="R31" s="38" t="str">
        <f aca="false">VLOOKUP(N31,B_PARTITE_GIRONI,7,0)</f>
        <v>Cervi</v>
      </c>
      <c r="S31" s="39" t="n">
        <v>33</v>
      </c>
      <c r="T31" s="39" t="n">
        <v>34</v>
      </c>
      <c r="U31" s="40" t="n">
        <v>44356</v>
      </c>
      <c r="V31" s="41" t="n">
        <v>0.375</v>
      </c>
      <c r="W31" s="42" t="n">
        <v>1</v>
      </c>
      <c r="X31" s="43" t="str">
        <f aca="false">VLOOKUP(W31,A_3_INPUT_CAMPI,2,0)</f>
        <v>Cristo Re 1</v>
      </c>
      <c r="Z31" s="37" t="n">
        <v>77</v>
      </c>
      <c r="AA31" s="34" t="str">
        <f aca="false">VLOOKUP(Z31,B_PARTITE_2A_FASE_PER_NUMERO,2,0)</f>
        <v>2aFase</v>
      </c>
      <c r="AB31" s="44" t="str">
        <f aca="false">VLOOKUP(Z31,B_PARTITE_2A_FASE_PER_NUMERO,3,0)</f>
        <v>9-16</v>
      </c>
      <c r="AC31" s="38" t="str">
        <f aca="false">VLOOKUP(Z31,B_PARTITE_2A_FASE_PER_NUMERO,6,0)</f>
        <v>Elefanti</v>
      </c>
      <c r="AD31" s="38" t="str">
        <f aca="false">VLOOKUP(Z31,B_PARTITE_2A_FASE_PER_NUMERO,7,0)</f>
        <v>Aquile</v>
      </c>
      <c r="AE31" s="39" t="n">
        <v>56</v>
      </c>
      <c r="AF31" s="39" t="n">
        <v>36</v>
      </c>
      <c r="AG31" s="40" t="n">
        <v>44358</v>
      </c>
      <c r="AH31" s="41" t="n">
        <v>0.645833333333333</v>
      </c>
      <c r="AI31" s="42" t="n">
        <v>1</v>
      </c>
      <c r="AJ31" s="43" t="str">
        <f aca="false">VLOOKUP(AI31,A_3_INPUT_CAMPI,2,0)</f>
        <v>Cristo Re 1</v>
      </c>
    </row>
    <row r="32" customFormat="false" ht="12.8" hidden="false" customHeight="false" outlineLevel="0" collapsed="false">
      <c r="D32" s="32" t="n">
        <v>30</v>
      </c>
      <c r="E32" s="16" t="str">
        <f aca="false">H32&amp;I32</f>
        <v>H2</v>
      </c>
      <c r="F32" s="33" t="s">
        <v>67</v>
      </c>
      <c r="G32" s="33"/>
      <c r="H32" s="34" t="s">
        <v>66</v>
      </c>
      <c r="I32" s="35" t="n">
        <v>2</v>
      </c>
      <c r="K32" s="32" t="n">
        <v>30</v>
      </c>
      <c r="L32" s="36" t="str">
        <f aca="false">"CAMPO "&amp;ROMAN(K32)</f>
        <v>CAMPO XXX</v>
      </c>
      <c r="N32" s="37" t="n">
        <v>30</v>
      </c>
      <c r="O32" s="34" t="str">
        <f aca="false">VLOOKUP(N32,B_PARTITE_GIRONI,2,0)</f>
        <v>Girone</v>
      </c>
      <c r="P32" s="21" t="str">
        <f aca="false">VLOOKUP(N32,B_PARTITE_GIRONI,3,0)</f>
        <v>F</v>
      </c>
      <c r="Q32" s="38" t="str">
        <f aca="false">VLOOKUP(N32,B_PARTITE_GIRONI,6,0)</f>
        <v>Balene</v>
      </c>
      <c r="R32" s="38" t="str">
        <f aca="false">VLOOKUP(N32,B_PARTITE_GIRONI,7,0)</f>
        <v>Delfini</v>
      </c>
      <c r="S32" s="39" t="n">
        <v>33</v>
      </c>
      <c r="T32" s="39" t="n">
        <v>34</v>
      </c>
      <c r="U32" s="40" t="n">
        <v>44356</v>
      </c>
      <c r="V32" s="41" t="n">
        <v>0.375</v>
      </c>
      <c r="W32" s="42" t="n">
        <v>2</v>
      </c>
      <c r="X32" s="43" t="str">
        <f aca="false">VLOOKUP(W32,A_3_INPUT_CAMPI,2,0)</f>
        <v>Cristo Re 2</v>
      </c>
      <c r="Z32" s="37" t="n">
        <v>78</v>
      </c>
      <c r="AA32" s="34" t="str">
        <f aca="false">VLOOKUP(Z32,B_PARTITE_2A_FASE_PER_NUMERO,2,0)</f>
        <v>2aFase</v>
      </c>
      <c r="AB32" s="44" t="str">
        <f aca="false">VLOOKUP(Z32,B_PARTITE_2A_FASE_PER_NUMERO,3,0)</f>
        <v>9-16</v>
      </c>
      <c r="AC32" s="38" t="str">
        <f aca="false">VLOOKUP(Z32,B_PARTITE_2A_FASE_PER_NUMERO,6,0)</f>
        <v>Gorilla</v>
      </c>
      <c r="AD32" s="38" t="str">
        <f aca="false">VLOOKUP(Z32,B_PARTITE_2A_FASE_PER_NUMERO,7,0)</f>
        <v>Tonni</v>
      </c>
      <c r="AE32" s="39" t="n">
        <v>64</v>
      </c>
      <c r="AF32" s="39" t="n">
        <v>40</v>
      </c>
      <c r="AG32" s="40" t="n">
        <v>44358</v>
      </c>
      <c r="AH32" s="41" t="n">
        <v>0.645833333333333</v>
      </c>
      <c r="AI32" s="42" t="n">
        <v>2</v>
      </c>
      <c r="AJ32" s="43" t="str">
        <f aca="false">VLOOKUP(AI32,A_3_INPUT_CAMPI,2,0)</f>
        <v>Cristo Re 2</v>
      </c>
    </row>
    <row r="33" customFormat="false" ht="12.8" hidden="false" customHeight="false" outlineLevel="0" collapsed="false">
      <c r="D33" s="32" t="n">
        <v>31</v>
      </c>
      <c r="E33" s="16" t="str">
        <f aca="false">H33&amp;I33</f>
        <v>H3</v>
      </c>
      <c r="F33" s="33" t="s">
        <v>68</v>
      </c>
      <c r="G33" s="33"/>
      <c r="H33" s="34" t="s">
        <v>66</v>
      </c>
      <c r="I33" s="35" t="n">
        <v>3</v>
      </c>
      <c r="K33" s="32" t="n">
        <v>31</v>
      </c>
      <c r="L33" s="36" t="str">
        <f aca="false">"CAMPO "&amp;ROMAN(K33)</f>
        <v>CAMPO XXXI</v>
      </c>
      <c r="N33" s="37" t="n">
        <v>31</v>
      </c>
      <c r="O33" s="34" t="str">
        <f aca="false">VLOOKUP(N33,B_PARTITE_GIRONI,2,0)</f>
        <v>Girone</v>
      </c>
      <c r="P33" s="21" t="str">
        <f aca="false">VLOOKUP(N33,B_PARTITE_GIRONI,3,0)</f>
        <v>G</v>
      </c>
      <c r="Q33" s="38" t="str">
        <f aca="false">VLOOKUP(N33,B_PARTITE_GIRONI,6,0)</f>
        <v>Istrici</v>
      </c>
      <c r="R33" s="38" t="str">
        <f aca="false">VLOOKUP(N33,B_PARTITE_GIRONI,7,0)</f>
        <v>Muli</v>
      </c>
      <c r="S33" s="39" t="n">
        <v>20</v>
      </c>
      <c r="T33" s="39" t="n">
        <v>0</v>
      </c>
      <c r="U33" s="40" t="n">
        <v>44356</v>
      </c>
      <c r="V33" s="41" t="n">
        <v>0.375</v>
      </c>
      <c r="W33" s="42" t="n">
        <v>3</v>
      </c>
      <c r="X33" s="43" t="str">
        <f aca="false">VLOOKUP(W33,A_3_INPUT_CAMPI,2,0)</f>
        <v>Basket Giovane</v>
      </c>
      <c r="Z33" s="37" t="n">
        <v>79</v>
      </c>
      <c r="AA33" s="34" t="str">
        <f aca="false">VLOOKUP(Z33,B_PARTITE_2A_FASE_PER_NUMERO,2,0)</f>
        <v>2aFase</v>
      </c>
      <c r="AB33" s="44" t="str">
        <f aca="false">VLOOKUP(Z33,B_PARTITE_2A_FASE_PER_NUMERO,3,0)</f>
        <v>9-16</v>
      </c>
      <c r="AC33" s="38" t="str">
        <f aca="false">VLOOKUP(Z33,B_PARTITE_2A_FASE_PER_NUMERO,6,0)</f>
        <v>Giraffe</v>
      </c>
      <c r="AD33" s="38" t="str">
        <f aca="false">VLOOKUP(Z33,B_PARTITE_2A_FASE_PER_NUMERO,7,0)</f>
        <v>Puma</v>
      </c>
      <c r="AE33" s="39" t="n">
        <v>63</v>
      </c>
      <c r="AF33" s="39" t="n">
        <v>42</v>
      </c>
      <c r="AG33" s="40" t="n">
        <v>44358</v>
      </c>
      <c r="AH33" s="41" t="n">
        <v>0.645833333333333</v>
      </c>
      <c r="AI33" s="42" t="n">
        <v>3</v>
      </c>
      <c r="AJ33" s="43" t="str">
        <f aca="false">VLOOKUP(AI33,A_3_INPUT_CAMPI,2,0)</f>
        <v>Basket Giovane</v>
      </c>
    </row>
    <row r="34" customFormat="false" ht="12.8" hidden="false" customHeight="false" outlineLevel="0" collapsed="false">
      <c r="D34" s="45" t="n">
        <v>32</v>
      </c>
      <c r="E34" s="16" t="str">
        <f aca="false">H34&amp;I34</f>
        <v>H4</v>
      </c>
      <c r="F34" s="46" t="s">
        <v>69</v>
      </c>
      <c r="G34" s="46"/>
      <c r="H34" s="47" t="s">
        <v>66</v>
      </c>
      <c r="I34" s="48" t="n">
        <v>4</v>
      </c>
      <c r="K34" s="45" t="n">
        <v>32</v>
      </c>
      <c r="L34" s="49" t="str">
        <f aca="false">"CAMPO "&amp;ROMAN(K34)</f>
        <v>CAMPO XXXII</v>
      </c>
      <c r="N34" s="37" t="n">
        <v>32</v>
      </c>
      <c r="O34" s="34" t="str">
        <f aca="false">VLOOKUP(N34,B_PARTITE_GIRONI,2,0)</f>
        <v>Girone</v>
      </c>
      <c r="P34" s="21" t="str">
        <f aca="false">VLOOKUP(N34,B_PARTITE_GIRONI,3,0)</f>
        <v>H</v>
      </c>
      <c r="Q34" s="38" t="str">
        <f aca="false">VLOOKUP(N34,B_PARTITE_GIRONI,6,0)</f>
        <v>Piranha</v>
      </c>
      <c r="R34" s="38" t="str">
        <f aca="false">VLOOKUP(N34,B_PARTITE_GIRONI,7,0)</f>
        <v>Tonni</v>
      </c>
      <c r="S34" s="39" t="n">
        <v>97</v>
      </c>
      <c r="T34" s="39" t="n">
        <v>78</v>
      </c>
      <c r="U34" s="40" t="n">
        <v>44356</v>
      </c>
      <c r="V34" s="41" t="n">
        <v>0.375</v>
      </c>
      <c r="W34" s="42" t="n">
        <v>4</v>
      </c>
      <c r="X34" s="43" t="str">
        <f aca="false">VLOOKUP(W34,A_3_INPUT_CAMPI,2,0)</f>
        <v>Nuova Scuola</v>
      </c>
      <c r="Z34" s="37" t="n">
        <v>80</v>
      </c>
      <c r="AA34" s="34" t="str">
        <f aca="false">VLOOKUP(Z34,B_PARTITE_2A_FASE_PER_NUMERO,2,0)</f>
        <v>2aFase</v>
      </c>
      <c r="AB34" s="44" t="str">
        <f aca="false">VLOOKUP(Z34,B_PARTITE_2A_FASE_PER_NUMERO,3,0)</f>
        <v>9-16</v>
      </c>
      <c r="AC34" s="38" t="str">
        <f aca="false">VLOOKUP(Z34,B_PARTITE_2A_FASE_PER_NUMERO,6,0)</f>
        <v>Bufali</v>
      </c>
      <c r="AD34" s="38" t="str">
        <f aca="false">VLOOKUP(Z34,B_PARTITE_2A_FASE_PER_NUMERO,7,0)</f>
        <v>Gabbiani</v>
      </c>
      <c r="AE34" s="39" t="n">
        <v>65</v>
      </c>
      <c r="AF34" s="39" t="n">
        <v>49</v>
      </c>
      <c r="AG34" s="40" t="n">
        <v>44358</v>
      </c>
      <c r="AH34" s="41" t="n">
        <v>0.645833333333333</v>
      </c>
      <c r="AI34" s="42" t="n">
        <v>4</v>
      </c>
      <c r="AJ34" s="43" t="str">
        <f aca="false">VLOOKUP(AI34,A_3_INPUT_CAMPI,2,0)</f>
        <v>Nuova Scuola</v>
      </c>
    </row>
    <row r="35" customFormat="false" ht="12.8" hidden="false" customHeight="false" outlineLevel="0" collapsed="false">
      <c r="K35" s="50"/>
      <c r="N35" s="37" t="n">
        <v>33</v>
      </c>
      <c r="O35" s="34" t="str">
        <f aca="false">VLOOKUP(N35,B_PARTITE_GIRONI,2,0)</f>
        <v>Girone</v>
      </c>
      <c r="P35" s="21" t="str">
        <f aca="false">VLOOKUP(N35,B_PARTITE_GIRONI,3,0)</f>
        <v>E</v>
      </c>
      <c r="Q35" s="38" t="str">
        <f aca="false">VLOOKUP(N35,B_PARTITE_GIRONI,6,0)</f>
        <v>Bufali</v>
      </c>
      <c r="R35" s="38" t="str">
        <f aca="false">VLOOKUP(N35,B_PARTITE_GIRONI,7,0)</f>
        <v>Cinghiali</v>
      </c>
      <c r="S35" s="39" t="n">
        <v>35</v>
      </c>
      <c r="T35" s="39" t="n">
        <v>33</v>
      </c>
      <c r="U35" s="40" t="n">
        <v>44356</v>
      </c>
      <c r="V35" s="41" t="n">
        <v>0.458333333333333</v>
      </c>
      <c r="W35" s="42" t="n">
        <v>1</v>
      </c>
      <c r="X35" s="43" t="str">
        <f aca="false">VLOOKUP(W35,A_3_INPUT_CAMPI,2,0)</f>
        <v>Cristo Re 1</v>
      </c>
      <c r="Z35" s="37" t="n">
        <v>81</v>
      </c>
      <c r="AA35" s="34" t="str">
        <f aca="false">VLOOKUP(Z35,B_PARTITE_2A_FASE_PER_NUMERO,2,0)</f>
        <v>2aFase</v>
      </c>
      <c r="AB35" s="44" t="str">
        <f aca="false">VLOOKUP(Z35,B_PARTITE_2A_FASE_PER_NUMERO,3,0)</f>
        <v>25-28</v>
      </c>
      <c r="AC35" s="38" t="str">
        <f aca="false">VLOOKUP(Z35,B_PARTITE_2A_FASE_PER_NUMERO,6,0)</f>
        <v>Iguane</v>
      </c>
      <c r="AD35" s="38" t="str">
        <f aca="false">VLOOKUP(Z35,B_PARTITE_2A_FASE_PER_NUMERO,7,0)</f>
        <v>Muli</v>
      </c>
      <c r="AE35" s="39" t="n">
        <v>55</v>
      </c>
      <c r="AF35" s="39" t="n">
        <v>41</v>
      </c>
      <c r="AG35" s="40" t="n">
        <v>44358</v>
      </c>
      <c r="AH35" s="41" t="n">
        <v>0.708333333333333</v>
      </c>
      <c r="AI35" s="42" t="n">
        <v>1</v>
      </c>
      <c r="AJ35" s="43" t="str">
        <f aca="false">VLOOKUP(AI35,A_3_INPUT_CAMPI,2,0)</f>
        <v>Cristo Re 1</v>
      </c>
    </row>
    <row r="36" customFormat="false" ht="12.8" hidden="false" customHeight="false" outlineLevel="0" collapsed="false">
      <c r="N36" s="37" t="n">
        <v>34</v>
      </c>
      <c r="O36" s="34" t="str">
        <f aca="false">VLOOKUP(N36,B_PARTITE_GIRONI,2,0)</f>
        <v>Girone</v>
      </c>
      <c r="P36" s="21" t="str">
        <f aca="false">VLOOKUP(N36,B_PARTITE_GIRONI,3,0)</f>
        <v>F</v>
      </c>
      <c r="Q36" s="38" t="str">
        <f aca="false">VLOOKUP(N36,B_PARTITE_GIRONI,6,0)</f>
        <v>Gabbiani</v>
      </c>
      <c r="R36" s="38" t="str">
        <f aca="false">VLOOKUP(N36,B_PARTITE_GIRONI,7,0)</f>
        <v>Fenicotteri</v>
      </c>
      <c r="S36" s="39" t="n">
        <v>35</v>
      </c>
      <c r="T36" s="39" t="n">
        <v>34</v>
      </c>
      <c r="U36" s="40" t="n">
        <v>44356</v>
      </c>
      <c r="V36" s="41" t="n">
        <v>0.458333333333333</v>
      </c>
      <c r="W36" s="42" t="n">
        <v>2</v>
      </c>
      <c r="X36" s="43" t="str">
        <f aca="false">VLOOKUP(W36,A_3_INPUT_CAMPI,2,0)</f>
        <v>Cristo Re 2</v>
      </c>
      <c r="Z36" s="37" t="n">
        <v>82</v>
      </c>
      <c r="AA36" s="34" t="str">
        <f aca="false">VLOOKUP(Z36,B_PARTITE_2A_FASE_PER_NUMERO,2,0)</f>
        <v>2aFase</v>
      </c>
      <c r="AB36" s="44" t="str">
        <f aca="false">VLOOKUP(Z36,B_PARTITE_2A_FASE_PER_NUMERO,3,0)</f>
        <v>25-28</v>
      </c>
      <c r="AC36" s="38" t="str">
        <f aca="false">VLOOKUP(Z36,B_PARTITE_2A_FASE_PER_NUMERO,6,0)</f>
        <v>Delfini</v>
      </c>
      <c r="AD36" s="38" t="str">
        <f aca="false">VLOOKUP(Z36,B_PARTITE_2A_FASE_PER_NUMERO,7,0)</f>
        <v>Ghepardi</v>
      </c>
      <c r="AE36" s="39" t="n">
        <v>63</v>
      </c>
      <c r="AF36" s="39" t="n">
        <v>37</v>
      </c>
      <c r="AG36" s="40" t="n">
        <v>44358</v>
      </c>
      <c r="AH36" s="41" t="n">
        <v>0.708333333333333</v>
      </c>
      <c r="AI36" s="42" t="n">
        <v>2</v>
      </c>
      <c r="AJ36" s="43" t="str">
        <f aca="false">VLOOKUP(AI36,A_3_INPUT_CAMPI,2,0)</f>
        <v>Cristo Re 2</v>
      </c>
    </row>
    <row r="37" customFormat="false" ht="12.8" hidden="false" customHeight="false" outlineLevel="0" collapsed="false">
      <c r="N37" s="37" t="n">
        <v>35</v>
      </c>
      <c r="O37" s="34" t="str">
        <f aca="false">VLOOKUP(N37,B_PARTITE_GIRONI,2,0)</f>
        <v>Girone</v>
      </c>
      <c r="P37" s="21" t="str">
        <f aca="false">VLOOKUP(N37,B_PARTITE_GIRONI,3,0)</f>
        <v>G</v>
      </c>
      <c r="Q37" s="38" t="str">
        <f aca="false">VLOOKUP(N37,B_PARTITE_GIRONI,6,0)</f>
        <v>Gorilla</v>
      </c>
      <c r="R37" s="38" t="str">
        <f aca="false">VLOOKUP(N37,B_PARTITE_GIRONI,7,0)</f>
        <v>Orche</v>
      </c>
      <c r="S37" s="39" t="n">
        <v>20</v>
      </c>
      <c r="T37" s="39" t="n">
        <v>0</v>
      </c>
      <c r="U37" s="40" t="n">
        <v>44356</v>
      </c>
      <c r="V37" s="41" t="n">
        <v>0.458333333333333</v>
      </c>
      <c r="W37" s="42" t="n">
        <v>3</v>
      </c>
      <c r="X37" s="43" t="str">
        <f aca="false">VLOOKUP(W37,A_3_INPUT_CAMPI,2,0)</f>
        <v>Basket Giovane</v>
      </c>
      <c r="Z37" s="37" t="n">
        <v>83</v>
      </c>
      <c r="AA37" s="34" t="str">
        <f aca="false">VLOOKUP(Z37,B_PARTITE_2A_FASE_PER_NUMERO,2,0)</f>
        <v>2aFase</v>
      </c>
      <c r="AB37" s="44" t="str">
        <f aca="false">VLOOKUP(Z37,B_PARTITE_2A_FASE_PER_NUMERO,3,0)</f>
        <v>29-32</v>
      </c>
      <c r="AC37" s="38" t="str">
        <f aca="false">VLOOKUP(Z37,B_PARTITE_2A_FASE_PER_NUMERO,6,0)</f>
        <v>Falchi</v>
      </c>
      <c r="AD37" s="38" t="str">
        <f aca="false">VLOOKUP(Z37,B_PARTITE_2A_FASE_PER_NUMERO,7,0)</f>
        <v>Scorpioni</v>
      </c>
      <c r="AE37" s="39" t="n">
        <v>52</v>
      </c>
      <c r="AF37" s="39" t="n">
        <v>40</v>
      </c>
      <c r="AG37" s="40" t="n">
        <v>44358</v>
      </c>
      <c r="AH37" s="41" t="n">
        <v>0.708333333333333</v>
      </c>
      <c r="AI37" s="42" t="n">
        <v>3</v>
      </c>
      <c r="AJ37" s="43" t="str">
        <f aca="false">VLOOKUP(AI37,A_3_INPUT_CAMPI,2,0)</f>
        <v>Basket Giovane</v>
      </c>
    </row>
    <row r="38" customFormat="false" ht="12.8" hidden="false" customHeight="false" outlineLevel="0" collapsed="false">
      <c r="N38" s="37" t="n">
        <v>36</v>
      </c>
      <c r="O38" s="34" t="str">
        <f aca="false">VLOOKUP(N38,B_PARTITE_GIRONI,2,0)</f>
        <v>Girone</v>
      </c>
      <c r="P38" s="21" t="str">
        <f aca="false">VLOOKUP(N38,B_PARTITE_GIRONI,3,0)</f>
        <v>H</v>
      </c>
      <c r="Q38" s="38" t="str">
        <f aca="false">VLOOKUP(N38,B_PARTITE_GIRONI,6,0)</f>
        <v>Scorpioni</v>
      </c>
      <c r="R38" s="38" t="str">
        <f aca="false">VLOOKUP(N38,B_PARTITE_GIRONI,7,0)</f>
        <v>Zebre</v>
      </c>
      <c r="S38" s="39" t="n">
        <v>74</v>
      </c>
      <c r="T38" s="39" t="n">
        <v>79</v>
      </c>
      <c r="U38" s="40" t="n">
        <v>44356</v>
      </c>
      <c r="V38" s="41" t="n">
        <v>0.458333333333333</v>
      </c>
      <c r="W38" s="42" t="n">
        <v>4</v>
      </c>
      <c r="X38" s="43" t="str">
        <f aca="false">VLOOKUP(W38,A_3_INPUT_CAMPI,2,0)</f>
        <v>Nuova Scuola</v>
      </c>
      <c r="Z38" s="37" t="n">
        <v>84</v>
      </c>
      <c r="AA38" s="34" t="str">
        <f aca="false">VLOOKUP(Z38,B_PARTITE_2A_FASE_PER_NUMERO,2,0)</f>
        <v>2aFase</v>
      </c>
      <c r="AB38" s="44" t="str">
        <f aca="false">VLOOKUP(Z38,B_PARTITE_2A_FASE_PER_NUMERO,3,0)</f>
        <v>29-32</v>
      </c>
      <c r="AC38" s="38" t="str">
        <f aca="false">VLOOKUP(Z38,B_PARTITE_2A_FASE_PER_NUMERO,6,0)</f>
        <v>Scorpioni</v>
      </c>
      <c r="AD38" s="38" t="str">
        <f aca="false">VLOOKUP(Z38,B_PARTITE_2A_FASE_PER_NUMERO,7,0)</f>
        <v>Serval</v>
      </c>
      <c r="AE38" s="39" t="n">
        <v>52</v>
      </c>
      <c r="AF38" s="39" t="n">
        <v>36</v>
      </c>
      <c r="AG38" s="40" t="n">
        <v>44358</v>
      </c>
      <c r="AH38" s="41" t="n">
        <v>0.708333333333333</v>
      </c>
      <c r="AI38" s="42" t="n">
        <v>4</v>
      </c>
      <c r="AJ38" s="43" t="str">
        <f aca="false">VLOOKUP(AI38,A_3_INPUT_CAMPI,2,0)</f>
        <v>Nuova Scuola</v>
      </c>
    </row>
    <row r="39" customFormat="false" ht="12.8" hidden="false" customHeight="false" outlineLevel="0" collapsed="false">
      <c r="N39" s="37" t="n">
        <v>37</v>
      </c>
      <c r="O39" s="34" t="str">
        <f aca="false">VLOOKUP(N39,B_PARTITE_GIRONI,2,0)</f>
        <v>Girone</v>
      </c>
      <c r="P39" s="21" t="str">
        <f aca="false">VLOOKUP(N39,B_PARTITE_GIRONI,3,0)</f>
        <v>A</v>
      </c>
      <c r="Q39" s="38" t="str">
        <f aca="false">VLOOKUP(N39,B_PARTITE_GIRONI,6,0)</f>
        <v>Pantere</v>
      </c>
      <c r="R39" s="38" t="str">
        <f aca="false">VLOOKUP(N39,B_PARTITE_GIRONI,7,0)</f>
        <v>Tigri</v>
      </c>
      <c r="S39" s="39" t="n">
        <v>93</v>
      </c>
      <c r="T39" s="39" t="n">
        <v>30</v>
      </c>
      <c r="U39" s="40" t="n">
        <v>44356</v>
      </c>
      <c r="V39" s="41" t="n">
        <v>0.645833333333333</v>
      </c>
      <c r="W39" s="42" t="n">
        <v>1</v>
      </c>
      <c r="X39" s="43" t="str">
        <f aca="false">VLOOKUP(W39,A_3_INPUT_CAMPI,2,0)</f>
        <v>Cristo Re 1</v>
      </c>
      <c r="Z39" s="37" t="n">
        <v>85</v>
      </c>
      <c r="AA39" s="34" t="str">
        <f aca="false">VLOOKUP(Z39,B_PARTITE_2A_FASE_PER_NUMERO,2,0)</f>
        <v>2aFase</v>
      </c>
      <c r="AB39" s="44" t="str">
        <f aca="false">VLOOKUP(Z39,B_PARTITE_2A_FASE_PER_NUMERO,3,0)</f>
        <v>5-8</v>
      </c>
      <c r="AC39" s="38" t="str">
        <f aca="false">VLOOKUP(Z39,B_PARTITE_2A_FASE_PER_NUMERO,6,0)</f>
        <v>Giaguari</v>
      </c>
      <c r="AD39" s="38" t="str">
        <f aca="false">VLOOKUP(Z39,B_PARTITE_2A_FASE_PER_NUMERO,7,0)</f>
        <v>Balene</v>
      </c>
      <c r="AE39" s="39" t="n">
        <v>70</v>
      </c>
      <c r="AF39" s="39" t="n">
        <v>42</v>
      </c>
      <c r="AG39" s="40" t="n">
        <v>44358</v>
      </c>
      <c r="AH39" s="41" t="n">
        <v>0.770833333333333</v>
      </c>
      <c r="AI39" s="42" t="n">
        <v>1</v>
      </c>
      <c r="AJ39" s="43" t="str">
        <f aca="false">VLOOKUP(AI39,A_3_INPUT_CAMPI,2,0)</f>
        <v>Cristo Re 1</v>
      </c>
    </row>
    <row r="40" customFormat="false" ht="12.8" hidden="false" customHeight="false" outlineLevel="0" collapsed="false">
      <c r="A40" s="2" t="s">
        <v>70</v>
      </c>
      <c r="B40" s="2"/>
      <c r="N40" s="37" t="n">
        <v>38</v>
      </c>
      <c r="O40" s="34" t="str">
        <f aca="false">VLOOKUP(N40,B_PARTITE_GIRONI,2,0)</f>
        <v>Girone</v>
      </c>
      <c r="P40" s="21" t="str">
        <f aca="false">VLOOKUP(N40,B_PARTITE_GIRONI,3,0)</f>
        <v>B</v>
      </c>
      <c r="Q40" s="38" t="str">
        <f aca="false">VLOOKUP(N40,B_PARTITE_GIRONI,6,0)</f>
        <v>Puma</v>
      </c>
      <c r="R40" s="38" t="str">
        <f aca="false">VLOOKUP(N40,B_PARTITE_GIRONI,7,0)</f>
        <v>Linci</v>
      </c>
      <c r="S40" s="39" t="n">
        <v>97</v>
      </c>
      <c r="T40" s="39" t="n">
        <v>72</v>
      </c>
      <c r="U40" s="40" t="n">
        <v>44356</v>
      </c>
      <c r="V40" s="41" t="n">
        <v>0.645833333333333</v>
      </c>
      <c r="W40" s="42" t="n">
        <v>2</v>
      </c>
      <c r="X40" s="43" t="str">
        <f aca="false">VLOOKUP(W40,A_3_INPUT_CAMPI,2,0)</f>
        <v>Cristo Re 2</v>
      </c>
      <c r="Z40" s="37" t="n">
        <v>86</v>
      </c>
      <c r="AA40" s="34" t="str">
        <f aca="false">VLOOKUP(Z40,B_PARTITE_2A_FASE_PER_NUMERO,2,0)</f>
        <v>2aFase</v>
      </c>
      <c r="AB40" s="44" t="str">
        <f aca="false">VLOOKUP(Z40,B_PARTITE_2A_FASE_PER_NUMERO,3,0)</f>
        <v>5-8</v>
      </c>
      <c r="AC40" s="38" t="str">
        <f aca="false">VLOOKUP(Z40,B_PARTITE_2A_FASE_PER_NUMERO,6,0)</f>
        <v>Coccodrilli</v>
      </c>
      <c r="AD40" s="38" t="str">
        <f aca="false">VLOOKUP(Z40,B_PARTITE_2A_FASE_PER_NUMERO,7,0)</f>
        <v>Piranha</v>
      </c>
      <c r="AE40" s="39" t="n">
        <v>55</v>
      </c>
      <c r="AF40" s="39" t="n">
        <v>35</v>
      </c>
      <c r="AG40" s="40" t="n">
        <v>44358</v>
      </c>
      <c r="AH40" s="41" t="n">
        <v>0.770833333333333</v>
      </c>
      <c r="AI40" s="42" t="n">
        <v>2</v>
      </c>
      <c r="AJ40" s="43" t="str">
        <f aca="false">VLOOKUP(AI40,A_3_INPUT_CAMPI,2,0)</f>
        <v>Cristo Re 2</v>
      </c>
    </row>
    <row r="41" customFormat="false" ht="12.8" hidden="false" customHeight="false" outlineLevel="0" collapsed="false">
      <c r="A41" s="51" t="s">
        <v>71</v>
      </c>
      <c r="B41" s="52" t="s">
        <v>72</v>
      </c>
      <c r="N41" s="37" t="n">
        <v>39</v>
      </c>
      <c r="O41" s="34" t="str">
        <f aca="false">VLOOKUP(N41,B_PARTITE_GIRONI,2,0)</f>
        <v>Girone</v>
      </c>
      <c r="P41" s="21" t="str">
        <f aca="false">VLOOKUP(N41,B_PARTITE_GIRONI,3,0)</f>
        <v>C</v>
      </c>
      <c r="Q41" s="38" t="str">
        <f aca="false">VLOOKUP(N41,B_PARTITE_GIRONI,6,0)</f>
        <v>Giraffe</v>
      </c>
      <c r="R41" s="38" t="str">
        <f aca="false">VLOOKUP(N41,B_PARTITE_GIRONI,7,0)</f>
        <v>Ippopotami</v>
      </c>
      <c r="S41" s="39" t="n">
        <v>98</v>
      </c>
      <c r="T41" s="39" t="n">
        <v>49</v>
      </c>
      <c r="U41" s="40" t="n">
        <v>44356</v>
      </c>
      <c r="V41" s="41" t="n">
        <v>0.645833333333333</v>
      </c>
      <c r="W41" s="42" t="n">
        <v>3</v>
      </c>
      <c r="X41" s="43" t="str">
        <f aca="false">VLOOKUP(W41,A_3_INPUT_CAMPI,2,0)</f>
        <v>Basket Giovane</v>
      </c>
      <c r="Z41" s="37" t="n">
        <v>87</v>
      </c>
      <c r="AA41" s="34" t="str">
        <f aca="false">VLOOKUP(Z41,B_PARTITE_2A_FASE_PER_NUMERO,2,0)</f>
        <v>2aFase</v>
      </c>
      <c r="AB41" s="44" t="str">
        <f aca="false">VLOOKUP(Z41,B_PARTITE_2A_FASE_PER_NUMERO,3,0)</f>
        <v>1-4</v>
      </c>
      <c r="AC41" s="38" t="str">
        <f aca="false">VLOOKUP(Z41,B_PARTITE_2A_FASE_PER_NUMERO,6,0)</f>
        <v>Leoni</v>
      </c>
      <c r="AD41" s="38" t="str">
        <f aca="false">VLOOKUP(Z41,B_PARTITE_2A_FASE_PER_NUMERO,7,0)</f>
        <v>Bisonti</v>
      </c>
      <c r="AE41" s="39" t="n">
        <v>66</v>
      </c>
      <c r="AF41" s="39" t="n">
        <v>31</v>
      </c>
      <c r="AG41" s="40" t="n">
        <v>44358</v>
      </c>
      <c r="AH41" s="41" t="n">
        <v>0.854166666666667</v>
      </c>
      <c r="AI41" s="42" t="n">
        <v>3</v>
      </c>
      <c r="AJ41" s="43" t="str">
        <f aca="false">VLOOKUP(AI41,A_3_INPUT_CAMPI,2,0)</f>
        <v>Basket Giovane</v>
      </c>
    </row>
    <row r="42" customFormat="false" ht="12.8" hidden="false" customHeight="false" outlineLevel="0" collapsed="false">
      <c r="A42" s="53" t="s">
        <v>73</v>
      </c>
      <c r="B42" s="52" t="s">
        <v>74</v>
      </c>
      <c r="N42" s="37" t="n">
        <v>40</v>
      </c>
      <c r="O42" s="34" t="str">
        <f aca="false">VLOOKUP(N42,B_PARTITE_GIRONI,2,0)</f>
        <v>Girone</v>
      </c>
      <c r="P42" s="21" t="str">
        <f aca="false">VLOOKUP(N42,B_PARTITE_GIRONI,3,0)</f>
        <v>D</v>
      </c>
      <c r="Q42" s="38" t="str">
        <f aca="false">VLOOKUP(N42,B_PARTITE_GIRONI,6,0)</f>
        <v>Pitoni</v>
      </c>
      <c r="R42" s="38" t="str">
        <f aca="false">VLOOKUP(N42,B_PARTITE_GIRONI,7,0)</f>
        <v>Aquile</v>
      </c>
      <c r="S42" s="39" t="n">
        <v>25</v>
      </c>
      <c r="T42" s="39" t="n">
        <v>15</v>
      </c>
      <c r="U42" s="40" t="n">
        <v>44356</v>
      </c>
      <c r="V42" s="41" t="n">
        <v>0.645833333333333</v>
      </c>
      <c r="W42" s="42" t="n">
        <v>4</v>
      </c>
      <c r="X42" s="43" t="str">
        <f aca="false">VLOOKUP(W42,A_3_INPUT_CAMPI,2,0)</f>
        <v>Nuova Scuola</v>
      </c>
      <c r="Z42" s="37" t="n">
        <v>88</v>
      </c>
      <c r="AA42" s="34" t="str">
        <f aca="false">VLOOKUP(Z42,B_PARTITE_2A_FASE_PER_NUMERO,2,0)</f>
        <v>2aFase</v>
      </c>
      <c r="AB42" s="44" t="str">
        <f aca="false">VLOOKUP(Z42,B_PARTITE_2A_FASE_PER_NUMERO,3,0)</f>
        <v>1-4</v>
      </c>
      <c r="AC42" s="38" t="str">
        <f aca="false">VLOOKUP(Z42,B_PARTITE_2A_FASE_PER_NUMERO,6,0)</f>
        <v>Pantere</v>
      </c>
      <c r="AD42" s="38" t="str">
        <f aca="false">VLOOKUP(Z42,B_PARTITE_2A_FASE_PER_NUMERO,7,0)</f>
        <v>Istrici</v>
      </c>
      <c r="AE42" s="39" t="n">
        <v>68</v>
      </c>
      <c r="AF42" s="39" t="n">
        <v>47</v>
      </c>
      <c r="AG42" s="40" t="n">
        <v>44358</v>
      </c>
      <c r="AH42" s="41" t="n">
        <v>0.916666666666667</v>
      </c>
      <c r="AI42" s="42" t="n">
        <v>3</v>
      </c>
      <c r="AJ42" s="43" t="str">
        <f aca="false">VLOOKUP(AI42,A_3_INPUT_CAMPI,2,0)</f>
        <v>Basket Giovane</v>
      </c>
    </row>
    <row r="43" customFormat="false" ht="12.8" hidden="false" customHeight="false" outlineLevel="0" collapsed="false">
      <c r="A43" s="54" t="s">
        <v>75</v>
      </c>
      <c r="B43" s="52" t="s">
        <v>76</v>
      </c>
      <c r="N43" s="37" t="n">
        <v>41</v>
      </c>
      <c r="O43" s="34" t="str">
        <f aca="false">VLOOKUP(N43,B_PARTITE_GIRONI,2,0)</f>
        <v>Girone</v>
      </c>
      <c r="P43" s="21" t="str">
        <f aca="false">VLOOKUP(N43,B_PARTITE_GIRONI,3,0)</f>
        <v>E</v>
      </c>
      <c r="Q43" s="38" t="str">
        <f aca="false">VLOOKUP(N43,B_PARTITE_GIRONI,6,0)</f>
        <v>Bisonti</v>
      </c>
      <c r="R43" s="38" t="str">
        <f aca="false">VLOOKUP(N43,B_PARTITE_GIRONI,7,0)</f>
        <v>Cinghiali</v>
      </c>
      <c r="S43" s="39" t="n">
        <v>36</v>
      </c>
      <c r="T43" s="39" t="n">
        <v>33</v>
      </c>
      <c r="U43" s="40" t="n">
        <v>44356</v>
      </c>
      <c r="V43" s="41" t="n">
        <v>0.708333333333333</v>
      </c>
      <c r="W43" s="42" t="n">
        <v>1</v>
      </c>
      <c r="X43" s="43" t="str">
        <f aca="false">VLOOKUP(W43,A_3_INPUT_CAMPI,2,0)</f>
        <v>Cristo Re 1</v>
      </c>
      <c r="Z43" s="37" t="n">
        <v>89</v>
      </c>
      <c r="AA43" s="34" t="str">
        <f aca="false">VLOOKUP(Z43,B_PARTITE_2A_FASE_PER_NUMERO,2,0)</f>
        <v>2aFase</v>
      </c>
      <c r="AB43" s="44" t="str">
        <f aca="false">VLOOKUP(Z43,B_PARTITE_2A_FASE_PER_NUMERO,3,0)</f>
        <v>9-12</v>
      </c>
      <c r="AC43" s="38" t="str">
        <f aca="false">VLOOKUP(Z43,B_PARTITE_2A_FASE_PER_NUMERO,6,0)</f>
        <v>Elefanti</v>
      </c>
      <c r="AD43" s="38" t="str">
        <f aca="false">VLOOKUP(Z43,B_PARTITE_2A_FASE_PER_NUMERO,7,0)</f>
        <v>Gorilla</v>
      </c>
      <c r="AE43" s="39" t="n">
        <v>66</v>
      </c>
      <c r="AF43" s="39" t="n">
        <v>32</v>
      </c>
      <c r="AG43" s="40" t="n">
        <v>44359</v>
      </c>
      <c r="AH43" s="41" t="n">
        <v>0.375</v>
      </c>
      <c r="AI43" s="42" t="n">
        <v>1</v>
      </c>
      <c r="AJ43" s="43" t="str">
        <f aca="false">VLOOKUP(AI43,A_3_INPUT_CAMPI,2,0)</f>
        <v>Cristo Re 1</v>
      </c>
    </row>
    <row r="44" customFormat="false" ht="12.8" hidden="false" customHeight="false" outlineLevel="0" collapsed="false">
      <c r="A44" s="55" t="s">
        <v>77</v>
      </c>
      <c r="B44" s="52" t="s">
        <v>78</v>
      </c>
      <c r="N44" s="37" t="n">
        <v>42</v>
      </c>
      <c r="O44" s="34" t="str">
        <f aca="false">VLOOKUP(N44,B_PARTITE_GIRONI,2,0)</f>
        <v>Girone</v>
      </c>
      <c r="P44" s="21" t="str">
        <f aca="false">VLOOKUP(N44,B_PARTITE_GIRONI,3,0)</f>
        <v>F</v>
      </c>
      <c r="Q44" s="38" t="str">
        <f aca="false">VLOOKUP(N44,B_PARTITE_GIRONI,6,0)</f>
        <v>Balene</v>
      </c>
      <c r="R44" s="38" t="str">
        <f aca="false">VLOOKUP(N44,B_PARTITE_GIRONI,7,0)</f>
        <v>Fenicotteri</v>
      </c>
      <c r="S44" s="39" t="n">
        <v>36</v>
      </c>
      <c r="T44" s="39" t="n">
        <v>35</v>
      </c>
      <c r="U44" s="40" t="n">
        <v>44356</v>
      </c>
      <c r="V44" s="41" t="n">
        <v>0.708333333333333</v>
      </c>
      <c r="W44" s="42" t="n">
        <v>2</v>
      </c>
      <c r="X44" s="43" t="str">
        <f aca="false">VLOOKUP(W44,A_3_INPUT_CAMPI,2,0)</f>
        <v>Cristo Re 2</v>
      </c>
      <c r="Z44" s="37" t="n">
        <v>90</v>
      </c>
      <c r="AA44" s="34" t="str">
        <f aca="false">VLOOKUP(Z44,B_PARTITE_2A_FASE_PER_NUMERO,2,0)</f>
        <v>2aFase</v>
      </c>
      <c r="AB44" s="44" t="str">
        <f aca="false">VLOOKUP(Z44,B_PARTITE_2A_FASE_PER_NUMERO,3,0)</f>
        <v>9-12</v>
      </c>
      <c r="AC44" s="38" t="str">
        <f aca="false">VLOOKUP(Z44,B_PARTITE_2A_FASE_PER_NUMERO,6,0)</f>
        <v>Giraffe</v>
      </c>
      <c r="AD44" s="38" t="str">
        <f aca="false">VLOOKUP(Z44,B_PARTITE_2A_FASE_PER_NUMERO,7,0)</f>
        <v>Bufali</v>
      </c>
      <c r="AE44" s="39" t="n">
        <v>52</v>
      </c>
      <c r="AF44" s="39" t="n">
        <v>30</v>
      </c>
      <c r="AG44" s="40" t="n">
        <v>44359</v>
      </c>
      <c r="AH44" s="41" t="n">
        <v>0.375</v>
      </c>
      <c r="AI44" s="42" t="n">
        <v>2</v>
      </c>
      <c r="AJ44" s="43" t="str">
        <f aca="false">VLOOKUP(AI44,A_3_INPUT_CAMPI,2,0)</f>
        <v>Cristo Re 2</v>
      </c>
    </row>
    <row r="45" customFormat="false" ht="12.8" hidden="false" customHeight="false" outlineLevel="0" collapsed="false">
      <c r="A45" s="56" t="s">
        <v>79</v>
      </c>
      <c r="B45" s="52" t="s">
        <v>80</v>
      </c>
      <c r="N45" s="37" t="n">
        <v>43</v>
      </c>
      <c r="O45" s="34" t="str">
        <f aca="false">VLOOKUP(N45,B_PARTITE_GIRONI,2,0)</f>
        <v>Girone</v>
      </c>
      <c r="P45" s="21" t="str">
        <f aca="false">VLOOKUP(N45,B_PARTITE_GIRONI,3,0)</f>
        <v>G</v>
      </c>
      <c r="Q45" s="38" t="str">
        <f aca="false">VLOOKUP(N45,B_PARTITE_GIRONI,6,0)</f>
        <v>Istrici</v>
      </c>
      <c r="R45" s="38" t="str">
        <f aca="false">VLOOKUP(N45,B_PARTITE_GIRONI,7,0)</f>
        <v>Orche</v>
      </c>
      <c r="S45" s="39" t="n">
        <v>20</v>
      </c>
      <c r="T45" s="39" t="n">
        <v>0</v>
      </c>
      <c r="U45" s="40" t="n">
        <v>44356</v>
      </c>
      <c r="V45" s="41" t="n">
        <v>0.708333333333333</v>
      </c>
      <c r="W45" s="42" t="n">
        <v>3</v>
      </c>
      <c r="X45" s="43" t="str">
        <f aca="false">VLOOKUP(W45,A_3_INPUT_CAMPI,2,0)</f>
        <v>Basket Giovane</v>
      </c>
      <c r="Z45" s="37" t="n">
        <v>91</v>
      </c>
      <c r="AA45" s="34" t="str">
        <f aca="false">VLOOKUP(Z45,B_PARTITE_2A_FASE_PER_NUMERO,2,0)</f>
        <v>2aFase</v>
      </c>
      <c r="AB45" s="44" t="str">
        <f aca="false">VLOOKUP(Z45,B_PARTITE_2A_FASE_PER_NUMERO,3,0)</f>
        <v>13-16</v>
      </c>
      <c r="AC45" s="38" t="str">
        <f aca="false">VLOOKUP(Z45,B_PARTITE_2A_FASE_PER_NUMERO,6,0)</f>
        <v>Aquile</v>
      </c>
      <c r="AD45" s="38" t="str">
        <f aca="false">VLOOKUP(Z45,B_PARTITE_2A_FASE_PER_NUMERO,7,0)</f>
        <v>Tonni</v>
      </c>
      <c r="AE45" s="39" t="n">
        <v>54</v>
      </c>
      <c r="AF45" s="39" t="n">
        <v>36</v>
      </c>
      <c r="AG45" s="40" t="n">
        <v>44359</v>
      </c>
      <c r="AH45" s="41" t="n">
        <v>0.375</v>
      </c>
      <c r="AI45" s="42" t="n">
        <v>3</v>
      </c>
      <c r="AJ45" s="43" t="str">
        <f aca="false">VLOOKUP(AI45,A_3_INPUT_CAMPI,2,0)</f>
        <v>Basket Giovane</v>
      </c>
    </row>
    <row r="46" customFormat="false" ht="12.8" hidden="false" customHeight="false" outlineLevel="0" collapsed="false">
      <c r="A46" s="57" t="s">
        <v>81</v>
      </c>
      <c r="B46" s="52" t="s">
        <v>82</v>
      </c>
      <c r="N46" s="37" t="n">
        <v>44</v>
      </c>
      <c r="O46" s="34" t="str">
        <f aca="false">VLOOKUP(N46,B_PARTITE_GIRONI,2,0)</f>
        <v>Girone</v>
      </c>
      <c r="P46" s="21" t="str">
        <f aca="false">VLOOKUP(N46,B_PARTITE_GIRONI,3,0)</f>
        <v>H</v>
      </c>
      <c r="Q46" s="38" t="str">
        <f aca="false">VLOOKUP(N46,B_PARTITE_GIRONI,6,0)</f>
        <v>Tonni</v>
      </c>
      <c r="R46" s="38" t="str">
        <f aca="false">VLOOKUP(N46,B_PARTITE_GIRONI,7,0)</f>
        <v>Scorpioni</v>
      </c>
      <c r="S46" s="39" t="n">
        <v>65</v>
      </c>
      <c r="T46" s="39" t="n">
        <v>13</v>
      </c>
      <c r="U46" s="40" t="n">
        <v>44356</v>
      </c>
      <c r="V46" s="41" t="n">
        <v>0.708333333333333</v>
      </c>
      <c r="W46" s="42" t="n">
        <v>4</v>
      </c>
      <c r="X46" s="43" t="str">
        <f aca="false">VLOOKUP(W46,A_3_INPUT_CAMPI,2,0)</f>
        <v>Nuova Scuola</v>
      </c>
      <c r="Z46" s="37" t="n">
        <v>92</v>
      </c>
      <c r="AA46" s="34" t="str">
        <f aca="false">VLOOKUP(Z46,B_PARTITE_2A_FASE_PER_NUMERO,2,0)</f>
        <v>2aFase</v>
      </c>
      <c r="AB46" s="44" t="str">
        <f aca="false">VLOOKUP(Z46,B_PARTITE_2A_FASE_PER_NUMERO,3,0)</f>
        <v>13-16</v>
      </c>
      <c r="AC46" s="38" t="str">
        <f aca="false">VLOOKUP(Z46,B_PARTITE_2A_FASE_PER_NUMERO,6,0)</f>
        <v>Puma</v>
      </c>
      <c r="AD46" s="38" t="str">
        <f aca="false">VLOOKUP(Z46,B_PARTITE_2A_FASE_PER_NUMERO,7,0)</f>
        <v>Gabbiani</v>
      </c>
      <c r="AE46" s="39" t="n">
        <v>64</v>
      </c>
      <c r="AF46" s="39" t="n">
        <v>33</v>
      </c>
      <c r="AG46" s="40" t="n">
        <v>44359</v>
      </c>
      <c r="AH46" s="41" t="n">
        <v>0.375</v>
      </c>
      <c r="AI46" s="42" t="n">
        <v>4</v>
      </c>
      <c r="AJ46" s="43" t="str">
        <f aca="false">VLOOKUP(AI46,A_3_INPUT_CAMPI,2,0)</f>
        <v>Nuova Scuola</v>
      </c>
    </row>
    <row r="47" customFormat="false" ht="12.8" hidden="false" customHeight="false" outlineLevel="0" collapsed="false">
      <c r="A47" s="58" t="s">
        <v>83</v>
      </c>
      <c r="B47" s="52" t="s">
        <v>84</v>
      </c>
      <c r="N47" s="37" t="n">
        <v>45</v>
      </c>
      <c r="O47" s="34" t="str">
        <f aca="false">VLOOKUP(N47,B_PARTITE_GIRONI,2,0)</f>
        <v>Girone</v>
      </c>
      <c r="P47" s="21" t="str">
        <f aca="false">VLOOKUP(N47,B_PARTITE_GIRONI,3,0)</f>
        <v>E</v>
      </c>
      <c r="Q47" s="38" t="str">
        <f aca="false">VLOOKUP(N47,B_PARTITE_GIRONI,6,0)</f>
        <v>Bufali</v>
      </c>
      <c r="R47" s="38" t="str">
        <f aca="false">VLOOKUP(N47,B_PARTITE_GIRONI,7,0)</f>
        <v>Cervi</v>
      </c>
      <c r="S47" s="39" t="n">
        <v>34</v>
      </c>
      <c r="T47" s="39" t="n">
        <v>33</v>
      </c>
      <c r="U47" s="40" t="n">
        <v>44356</v>
      </c>
      <c r="V47" s="41" t="n">
        <v>0.770833333333333</v>
      </c>
      <c r="W47" s="42" t="n">
        <v>1</v>
      </c>
      <c r="X47" s="43" t="str">
        <f aca="false">VLOOKUP(W47,A_3_INPUT_CAMPI,2,0)</f>
        <v>Cristo Re 1</v>
      </c>
      <c r="Z47" s="37" t="n">
        <v>93</v>
      </c>
      <c r="AA47" s="34" t="str">
        <f aca="false">VLOOKUP(Z47,B_PARTITE_2A_FASE_PER_NUMERO,2,0)</f>
        <v>2aFase</v>
      </c>
      <c r="AB47" s="44" t="str">
        <f aca="false">VLOOKUP(Z47,B_PARTITE_2A_FASE_PER_NUMERO,3,0)</f>
        <v>17-20</v>
      </c>
      <c r="AC47" s="38" t="str">
        <f aca="false">VLOOKUP(Z47,B_PARTITE_2A_FASE_PER_NUMERO,6,0)</f>
        <v>Tigri</v>
      </c>
      <c r="AD47" s="38" t="str">
        <f aca="false">VLOOKUP(Z47,B_PARTITE_2A_FASE_PER_NUMERO,7,0)</f>
        <v>Cervi</v>
      </c>
      <c r="AE47" s="39" t="n">
        <v>57</v>
      </c>
      <c r="AF47" s="39" t="n">
        <v>49</v>
      </c>
      <c r="AG47" s="40" t="n">
        <v>44359</v>
      </c>
      <c r="AH47" s="41" t="n">
        <v>0.458333333333333</v>
      </c>
      <c r="AI47" s="42" t="n">
        <v>1</v>
      </c>
      <c r="AJ47" s="43" t="str">
        <f aca="false">VLOOKUP(AI47,A_3_INPUT_CAMPI,2,0)</f>
        <v>Cristo Re 1</v>
      </c>
    </row>
    <row r="48" customFormat="false" ht="12.8" hidden="false" customHeight="false" outlineLevel="0" collapsed="false">
      <c r="A48" s="59" t="s">
        <v>85</v>
      </c>
      <c r="B48" s="52" t="s">
        <v>86</v>
      </c>
      <c r="N48" s="37" t="n">
        <v>46</v>
      </c>
      <c r="O48" s="34" t="str">
        <f aca="false">VLOOKUP(N48,B_PARTITE_GIRONI,2,0)</f>
        <v>Girone</v>
      </c>
      <c r="P48" s="21" t="str">
        <f aca="false">VLOOKUP(N48,B_PARTITE_GIRONI,3,0)</f>
        <v>F</v>
      </c>
      <c r="Q48" s="38" t="str">
        <f aca="false">VLOOKUP(N48,B_PARTITE_GIRONI,6,0)</f>
        <v>Gabbiani</v>
      </c>
      <c r="R48" s="38" t="str">
        <f aca="false">VLOOKUP(N48,B_PARTITE_GIRONI,7,0)</f>
        <v>Delfini</v>
      </c>
      <c r="S48" s="39" t="n">
        <v>34</v>
      </c>
      <c r="T48" s="39" t="n">
        <v>33</v>
      </c>
      <c r="U48" s="40" t="n">
        <v>44356</v>
      </c>
      <c r="V48" s="41" t="n">
        <v>0.770833333333333</v>
      </c>
      <c r="W48" s="42" t="n">
        <v>2</v>
      </c>
      <c r="X48" s="43" t="str">
        <f aca="false">VLOOKUP(W48,A_3_INPUT_CAMPI,2,0)</f>
        <v>Cristo Re 2</v>
      </c>
      <c r="Z48" s="37" t="n">
        <v>94</v>
      </c>
      <c r="AA48" s="34" t="str">
        <f aca="false">VLOOKUP(Z48,B_PARTITE_2A_FASE_PER_NUMERO,2,0)</f>
        <v>2aFase</v>
      </c>
      <c r="AB48" s="44" t="str">
        <f aca="false">VLOOKUP(Z48,B_PARTITE_2A_FASE_PER_NUMERO,3,0)</f>
        <v>17-20</v>
      </c>
      <c r="AC48" s="38" t="str">
        <f aca="false">VLOOKUP(Z48,B_PARTITE_2A_FASE_PER_NUMERO,6,0)</f>
        <v>Ippopotami</v>
      </c>
      <c r="AD48" s="38" t="str">
        <f aca="false">VLOOKUP(Z48,B_PARTITE_2A_FASE_PER_NUMERO,7,0)</f>
        <v>Orche</v>
      </c>
      <c r="AE48" s="39" t="n">
        <v>56</v>
      </c>
      <c r="AF48" s="39" t="n">
        <v>42</v>
      </c>
      <c r="AG48" s="40" t="n">
        <v>44359</v>
      </c>
      <c r="AH48" s="41" t="n">
        <v>0.458333333333333</v>
      </c>
      <c r="AI48" s="42" t="n">
        <v>2</v>
      </c>
      <c r="AJ48" s="43" t="str">
        <f aca="false">VLOOKUP(AI48,A_3_INPUT_CAMPI,2,0)</f>
        <v>Cristo Re 2</v>
      </c>
    </row>
    <row r="49" customFormat="false" ht="12.8" hidden="false" customHeight="false" outlineLevel="0" collapsed="false">
      <c r="A49" s="60" t="s">
        <v>87</v>
      </c>
      <c r="B49" s="52" t="s">
        <v>88</v>
      </c>
      <c r="N49" s="37" t="n">
        <v>47</v>
      </c>
      <c r="O49" s="34" t="str">
        <f aca="false">VLOOKUP(N49,B_PARTITE_GIRONI,2,0)</f>
        <v>Girone</v>
      </c>
      <c r="P49" s="21" t="str">
        <f aca="false">VLOOKUP(N49,B_PARTITE_GIRONI,3,0)</f>
        <v>G</v>
      </c>
      <c r="Q49" s="38" t="str">
        <f aca="false">VLOOKUP(N49,B_PARTITE_GIRONI,6,0)</f>
        <v>Gorilla</v>
      </c>
      <c r="R49" s="38" t="str">
        <f aca="false">VLOOKUP(N49,B_PARTITE_GIRONI,7,0)</f>
        <v>Muli</v>
      </c>
      <c r="S49" s="39" t="n">
        <v>20</v>
      </c>
      <c r="T49" s="39" t="n">
        <v>0</v>
      </c>
      <c r="U49" s="40" t="n">
        <v>44356</v>
      </c>
      <c r="V49" s="41" t="n">
        <v>0.770833333333333</v>
      </c>
      <c r="W49" s="42" t="n">
        <v>3</v>
      </c>
      <c r="X49" s="43" t="str">
        <f aca="false">VLOOKUP(W49,A_3_INPUT_CAMPI,2,0)</f>
        <v>Basket Giovane</v>
      </c>
      <c r="Z49" s="37" t="n">
        <v>95</v>
      </c>
      <c r="AA49" s="34" t="str">
        <f aca="false">VLOOKUP(Z49,B_PARTITE_2A_FASE_PER_NUMERO,2,0)</f>
        <v>2aFase</v>
      </c>
      <c r="AB49" s="44" t="str">
        <f aca="false">VLOOKUP(Z49,B_PARTITE_2A_FASE_PER_NUMERO,3,0)</f>
        <v>21-24</v>
      </c>
      <c r="AC49" s="38" t="str">
        <f aca="false">VLOOKUP(Z49,B_PARTITE_2A_FASE_PER_NUMERO,6,0)</f>
        <v>Linci</v>
      </c>
      <c r="AD49" s="38" t="str">
        <f aca="false">VLOOKUP(Z49,B_PARTITE_2A_FASE_PER_NUMERO,7,0)</f>
        <v>Delfini</v>
      </c>
      <c r="AE49" s="39" t="n">
        <v>53</v>
      </c>
      <c r="AF49" s="39" t="n">
        <v>49</v>
      </c>
      <c r="AG49" s="40" t="n">
        <v>44359</v>
      </c>
      <c r="AH49" s="41" t="n">
        <v>0.458333333333333</v>
      </c>
      <c r="AI49" s="42" t="n">
        <v>3</v>
      </c>
      <c r="AJ49" s="43" t="str">
        <f aca="false">VLOOKUP(AI49,A_3_INPUT_CAMPI,2,0)</f>
        <v>Basket Giovane</v>
      </c>
    </row>
    <row r="50" customFormat="false" ht="12.8" hidden="false" customHeight="false" outlineLevel="0" collapsed="false">
      <c r="A50" s="61" t="s">
        <v>89</v>
      </c>
      <c r="B50" s="52" t="s">
        <v>90</v>
      </c>
      <c r="N50" s="30" t="n">
        <v>48</v>
      </c>
      <c r="O50" s="47" t="str">
        <f aca="false">VLOOKUP(N50,B_PARTITE_GIRONI,2,0)</f>
        <v>Girone</v>
      </c>
      <c r="P50" s="21" t="str">
        <f aca="false">VLOOKUP(N50,B_PARTITE_GIRONI,3,0)</f>
        <v>H</v>
      </c>
      <c r="Q50" s="62" t="str">
        <f aca="false">VLOOKUP(N50,B_PARTITE_GIRONI,6,0)</f>
        <v>Zebre</v>
      </c>
      <c r="R50" s="62" t="str">
        <f aca="false">VLOOKUP(N50,B_PARTITE_GIRONI,7,0)</f>
        <v>Piranha</v>
      </c>
      <c r="S50" s="63" t="n">
        <v>54</v>
      </c>
      <c r="T50" s="63" t="n">
        <v>48</v>
      </c>
      <c r="U50" s="64" t="n">
        <v>44356</v>
      </c>
      <c r="V50" s="65" t="n">
        <v>0.770833333333333</v>
      </c>
      <c r="W50" s="66" t="n">
        <v>4</v>
      </c>
      <c r="X50" s="67" t="str">
        <f aca="false">VLOOKUP(W50,A_3_INPUT_CAMPI,2,0)</f>
        <v>Nuova Scuola</v>
      </c>
      <c r="Z50" s="37" t="n">
        <v>96</v>
      </c>
      <c r="AA50" s="34" t="str">
        <f aca="false">VLOOKUP(Z50,B_PARTITE_2A_FASE_PER_NUMERO,2,0)</f>
        <v>2aFase</v>
      </c>
      <c r="AB50" s="44" t="str">
        <f aca="false">VLOOKUP(Z50,B_PARTITE_2A_FASE_PER_NUMERO,3,0)</f>
        <v>21-24</v>
      </c>
      <c r="AC50" s="38" t="str">
        <f aca="false">VLOOKUP(Z50,B_PARTITE_2A_FASE_PER_NUMERO,6,0)</f>
        <v>Pitoni</v>
      </c>
      <c r="AD50" s="38" t="str">
        <f aca="false">VLOOKUP(Z50,B_PARTITE_2A_FASE_PER_NUMERO,7,0)</f>
        <v>Zebre</v>
      </c>
      <c r="AE50" s="39" t="n">
        <v>63</v>
      </c>
      <c r="AF50" s="39" t="n">
        <v>34</v>
      </c>
      <c r="AG50" s="40" t="n">
        <v>44359</v>
      </c>
      <c r="AH50" s="41" t="n">
        <v>0.458333333333333</v>
      </c>
      <c r="AI50" s="42" t="n">
        <v>4</v>
      </c>
      <c r="AJ50" s="43" t="str">
        <f aca="false">VLOOKUP(AI50,A_3_INPUT_CAMPI,2,0)</f>
        <v>Nuova Scuola</v>
      </c>
    </row>
    <row r="51" customFormat="false" ht="12.8" hidden="false" customHeight="false" outlineLevel="0" collapsed="false">
      <c r="A51" s="68" t="s">
        <v>91</v>
      </c>
      <c r="B51" s="52" t="s">
        <v>92</v>
      </c>
      <c r="Z51" s="37" t="n">
        <v>97</v>
      </c>
      <c r="AA51" s="34" t="str">
        <f aca="false">VLOOKUP(Z51,B_PARTITE_2A_FASE_PER_NUMERO,2,0)</f>
        <v>2aFase</v>
      </c>
      <c r="AB51" s="44" t="str">
        <f aca="false">VLOOKUP(Z51,B_PARTITE_2A_FASE_PER_NUMERO,3,0)</f>
        <v>31-32</v>
      </c>
      <c r="AC51" s="38" t="str">
        <f aca="false">VLOOKUP(Z51,B_PARTITE_2A_FASE_PER_NUMERO,6,0)</f>
        <v>Scorpioni</v>
      </c>
      <c r="AD51" s="38" t="str">
        <f aca="false">VLOOKUP(Z51,B_PARTITE_2A_FASE_PER_NUMERO,7,0)</f>
        <v>Serval</v>
      </c>
      <c r="AE51" s="39" t="n">
        <v>53</v>
      </c>
      <c r="AF51" s="39" t="n">
        <v>32</v>
      </c>
      <c r="AG51" s="40" t="n">
        <v>44359</v>
      </c>
      <c r="AH51" s="41" t="n">
        <v>0.645833333333333</v>
      </c>
      <c r="AI51" s="42" t="n">
        <v>1</v>
      </c>
      <c r="AJ51" s="43" t="str">
        <f aca="false">VLOOKUP(AI51,A_3_INPUT_CAMPI,2,0)</f>
        <v>Cristo Re 1</v>
      </c>
    </row>
    <row r="52" customFormat="false" ht="12.8" hidden="false" customHeight="false" outlineLevel="0" collapsed="false">
      <c r="Z52" s="37" t="n">
        <v>98</v>
      </c>
      <c r="AA52" s="34" t="str">
        <f aca="false">VLOOKUP(Z52,B_PARTITE_2A_FASE_PER_NUMERO,2,0)</f>
        <v>2aFase</v>
      </c>
      <c r="AB52" s="44" t="str">
        <f aca="false">VLOOKUP(Z52,B_PARTITE_2A_FASE_PER_NUMERO,3,0)</f>
        <v>29-30</v>
      </c>
      <c r="AC52" s="38" t="str">
        <f aca="false">VLOOKUP(Z52,B_PARTITE_2A_FASE_PER_NUMERO,6,0)</f>
        <v>Falchi</v>
      </c>
      <c r="AD52" s="38" t="str">
        <f aca="false">VLOOKUP(Z52,B_PARTITE_2A_FASE_PER_NUMERO,7,0)</f>
        <v>Scorpioni</v>
      </c>
      <c r="AE52" s="39" t="n">
        <v>50</v>
      </c>
      <c r="AF52" s="39" t="n">
        <v>38</v>
      </c>
      <c r="AG52" s="40" t="n">
        <v>44359</v>
      </c>
      <c r="AH52" s="41" t="n">
        <v>0.645833333333333</v>
      </c>
      <c r="AI52" s="42" t="n">
        <v>2</v>
      </c>
      <c r="AJ52" s="43" t="str">
        <f aca="false">VLOOKUP(AI52,A_3_INPUT_CAMPI,2,0)</f>
        <v>Cristo Re 2</v>
      </c>
    </row>
    <row r="53" customFormat="false" ht="12.8" hidden="false" customHeight="false" outlineLevel="0" collapsed="false">
      <c r="Z53" s="37" t="n">
        <v>99</v>
      </c>
      <c r="AA53" s="34" t="str">
        <f aca="false">VLOOKUP(Z53,B_PARTITE_2A_FASE_PER_NUMERO,2,0)</f>
        <v>2aFase</v>
      </c>
      <c r="AB53" s="44" t="str">
        <f aca="false">VLOOKUP(Z53,B_PARTITE_2A_FASE_PER_NUMERO,3,0)</f>
        <v>27-28</v>
      </c>
      <c r="AC53" s="38" t="str">
        <f aca="false">VLOOKUP(Z53,B_PARTITE_2A_FASE_PER_NUMERO,6,0)</f>
        <v>Muli</v>
      </c>
      <c r="AD53" s="38" t="str">
        <f aca="false">VLOOKUP(Z53,B_PARTITE_2A_FASE_PER_NUMERO,7,0)</f>
        <v>Ghepardi</v>
      </c>
      <c r="AE53" s="39" t="n">
        <v>62</v>
      </c>
      <c r="AF53" s="39" t="n">
        <v>47</v>
      </c>
      <c r="AG53" s="40" t="n">
        <v>44359</v>
      </c>
      <c r="AH53" s="41" t="n">
        <v>0.645833333333333</v>
      </c>
      <c r="AI53" s="42" t="n">
        <v>3</v>
      </c>
      <c r="AJ53" s="43" t="str">
        <f aca="false">VLOOKUP(AI53,A_3_INPUT_CAMPI,2,0)</f>
        <v>Basket Giovane</v>
      </c>
    </row>
    <row r="54" customFormat="false" ht="12.8" hidden="false" customHeight="false" outlineLevel="0" collapsed="false">
      <c r="Z54" s="37" t="n">
        <v>100</v>
      </c>
      <c r="AA54" s="34" t="str">
        <f aca="false">VLOOKUP(Z54,B_PARTITE_2A_FASE_PER_NUMERO,2,0)</f>
        <v>2aFase</v>
      </c>
      <c r="AB54" s="44" t="str">
        <f aca="false">VLOOKUP(Z54,B_PARTITE_2A_FASE_PER_NUMERO,3,0)</f>
        <v>25-26</v>
      </c>
      <c r="AC54" s="38" t="str">
        <f aca="false">VLOOKUP(Z54,B_PARTITE_2A_FASE_PER_NUMERO,6,0)</f>
        <v>Iguane</v>
      </c>
      <c r="AD54" s="38" t="str">
        <f aca="false">VLOOKUP(Z54,B_PARTITE_2A_FASE_PER_NUMERO,7,0)</f>
        <v>Delfini</v>
      </c>
      <c r="AE54" s="39" t="n">
        <v>69</v>
      </c>
      <c r="AF54" s="39" t="n">
        <v>31</v>
      </c>
      <c r="AG54" s="40" t="n">
        <v>44359</v>
      </c>
      <c r="AH54" s="41" t="n">
        <v>0.645833333333333</v>
      </c>
      <c r="AI54" s="42" t="n">
        <v>4</v>
      </c>
      <c r="AJ54" s="43" t="str">
        <f aca="false">VLOOKUP(AI54,A_3_INPUT_CAMPI,2,0)</f>
        <v>Nuova Scuola</v>
      </c>
    </row>
    <row r="55" customFormat="false" ht="12.8" hidden="false" customHeight="false" outlineLevel="0" collapsed="false">
      <c r="Z55" s="37" t="n">
        <v>101</v>
      </c>
      <c r="AA55" s="34" t="str">
        <f aca="false">VLOOKUP(Z55,B_PARTITE_2A_FASE_PER_NUMERO,2,0)</f>
        <v>2aFase</v>
      </c>
      <c r="AB55" s="44" t="str">
        <f aca="false">VLOOKUP(Z55,B_PARTITE_2A_FASE_PER_NUMERO,3,0)</f>
        <v>23-24</v>
      </c>
      <c r="AC55" s="38" t="str">
        <f aca="false">VLOOKUP(Z55,B_PARTITE_2A_FASE_PER_NUMERO,6,0)</f>
        <v>Delfini</v>
      </c>
      <c r="AD55" s="38" t="str">
        <f aca="false">VLOOKUP(Z55,B_PARTITE_2A_FASE_PER_NUMERO,7,0)</f>
        <v>Zebre</v>
      </c>
      <c r="AE55" s="39" t="n">
        <v>62</v>
      </c>
      <c r="AF55" s="39" t="n">
        <v>38</v>
      </c>
      <c r="AG55" s="40" t="n">
        <v>44359</v>
      </c>
      <c r="AH55" s="41" t="n">
        <v>0.708333333333333</v>
      </c>
      <c r="AI55" s="42" t="n">
        <v>1</v>
      </c>
      <c r="AJ55" s="43" t="str">
        <f aca="false">VLOOKUP(AI55,A_3_INPUT_CAMPI,2,0)</f>
        <v>Cristo Re 1</v>
      </c>
    </row>
    <row r="56" customFormat="false" ht="12.8" hidden="false" customHeight="false" outlineLevel="0" collapsed="false">
      <c r="Z56" s="37" t="n">
        <v>102</v>
      </c>
      <c r="AA56" s="34" t="str">
        <f aca="false">VLOOKUP(Z56,B_PARTITE_2A_FASE_PER_NUMERO,2,0)</f>
        <v>2aFase</v>
      </c>
      <c r="AB56" s="44" t="str">
        <f aca="false">VLOOKUP(Z56,B_PARTITE_2A_FASE_PER_NUMERO,3,0)</f>
        <v>21-22</v>
      </c>
      <c r="AC56" s="38" t="str">
        <f aca="false">VLOOKUP(Z56,B_PARTITE_2A_FASE_PER_NUMERO,6,0)</f>
        <v>Linci</v>
      </c>
      <c r="AD56" s="38" t="str">
        <f aca="false">VLOOKUP(Z56,B_PARTITE_2A_FASE_PER_NUMERO,7,0)</f>
        <v>Pitoni</v>
      </c>
      <c r="AE56" s="39" t="n">
        <v>52</v>
      </c>
      <c r="AF56" s="39" t="n">
        <v>39</v>
      </c>
      <c r="AG56" s="40" t="n">
        <v>44359</v>
      </c>
      <c r="AH56" s="41" t="n">
        <v>0.708333333333333</v>
      </c>
      <c r="AI56" s="42" t="n">
        <v>2</v>
      </c>
      <c r="AJ56" s="43" t="str">
        <f aca="false">VLOOKUP(AI56,A_3_INPUT_CAMPI,2,0)</f>
        <v>Cristo Re 2</v>
      </c>
    </row>
    <row r="57" customFormat="false" ht="12.8" hidden="false" customHeight="false" outlineLevel="0" collapsed="false">
      <c r="Z57" s="37" t="n">
        <v>103</v>
      </c>
      <c r="AA57" s="34" t="str">
        <f aca="false">VLOOKUP(Z57,B_PARTITE_2A_FASE_PER_NUMERO,2,0)</f>
        <v>2aFase</v>
      </c>
      <c r="AB57" s="44" t="str">
        <f aca="false">VLOOKUP(Z57,B_PARTITE_2A_FASE_PER_NUMERO,3,0)</f>
        <v>19-20</v>
      </c>
      <c r="AC57" s="38" t="str">
        <f aca="false">VLOOKUP(Z57,B_PARTITE_2A_FASE_PER_NUMERO,6,0)</f>
        <v>Cervi</v>
      </c>
      <c r="AD57" s="38" t="str">
        <f aca="false">VLOOKUP(Z57,B_PARTITE_2A_FASE_PER_NUMERO,7,0)</f>
        <v>Orche</v>
      </c>
      <c r="AE57" s="39" t="n">
        <v>68</v>
      </c>
      <c r="AF57" s="39" t="n">
        <v>37</v>
      </c>
      <c r="AG57" s="40" t="n">
        <v>44359</v>
      </c>
      <c r="AH57" s="41" t="n">
        <v>0.708333333333333</v>
      </c>
      <c r="AI57" s="42" t="n">
        <v>3</v>
      </c>
      <c r="AJ57" s="43" t="str">
        <f aca="false">VLOOKUP(AI57,A_3_INPUT_CAMPI,2,0)</f>
        <v>Basket Giovane</v>
      </c>
    </row>
    <row r="58" customFormat="false" ht="12.8" hidden="false" customHeight="false" outlineLevel="0" collapsed="false">
      <c r="Z58" s="37" t="n">
        <v>104</v>
      </c>
      <c r="AA58" s="34" t="str">
        <f aca="false">VLOOKUP(Z58,B_PARTITE_2A_FASE_PER_NUMERO,2,0)</f>
        <v>2aFase</v>
      </c>
      <c r="AB58" s="44" t="str">
        <f aca="false">VLOOKUP(Z58,B_PARTITE_2A_FASE_PER_NUMERO,3,0)</f>
        <v>17-18</v>
      </c>
      <c r="AC58" s="38" t="str">
        <f aca="false">VLOOKUP(Z58,B_PARTITE_2A_FASE_PER_NUMERO,6,0)</f>
        <v>Tigri</v>
      </c>
      <c r="AD58" s="38" t="str">
        <f aca="false">VLOOKUP(Z58,B_PARTITE_2A_FASE_PER_NUMERO,7,0)</f>
        <v>Ippopotami</v>
      </c>
      <c r="AE58" s="39" t="n">
        <v>52</v>
      </c>
      <c r="AF58" s="39" t="n">
        <v>46</v>
      </c>
      <c r="AG58" s="40" t="n">
        <v>44359</v>
      </c>
      <c r="AH58" s="41" t="n">
        <v>0.708333333333333</v>
      </c>
      <c r="AI58" s="42" t="n">
        <v>4</v>
      </c>
      <c r="AJ58" s="43" t="str">
        <f aca="false">VLOOKUP(AI58,A_3_INPUT_CAMPI,2,0)</f>
        <v>Nuova Scuola</v>
      </c>
    </row>
    <row r="59" customFormat="false" ht="12.8" hidden="false" customHeight="false" outlineLevel="0" collapsed="false">
      <c r="Z59" s="37" t="n">
        <v>105</v>
      </c>
      <c r="AA59" s="34" t="str">
        <f aca="false">VLOOKUP(Z59,B_PARTITE_2A_FASE_PER_NUMERO,2,0)</f>
        <v>2aFase</v>
      </c>
      <c r="AB59" s="44" t="str">
        <f aca="false">VLOOKUP(Z59,B_PARTITE_2A_FASE_PER_NUMERO,3,0)</f>
        <v>15-16</v>
      </c>
      <c r="AC59" s="38" t="str">
        <f aca="false">VLOOKUP(Z59,B_PARTITE_2A_FASE_PER_NUMERO,6,0)</f>
        <v>Tonni</v>
      </c>
      <c r="AD59" s="38" t="str">
        <f aca="false">VLOOKUP(Z59,B_PARTITE_2A_FASE_PER_NUMERO,7,0)</f>
        <v>Gabbiani</v>
      </c>
      <c r="AE59" s="39" t="n">
        <v>60</v>
      </c>
      <c r="AF59" s="39" t="n">
        <v>42</v>
      </c>
      <c r="AG59" s="40" t="n">
        <v>44359</v>
      </c>
      <c r="AH59" s="41" t="n">
        <v>0.770833333333333</v>
      </c>
      <c r="AI59" s="42" t="n">
        <v>1</v>
      </c>
      <c r="AJ59" s="43" t="str">
        <f aca="false">VLOOKUP(AI59,A_3_INPUT_CAMPI,2,0)</f>
        <v>Cristo Re 1</v>
      </c>
    </row>
    <row r="60" customFormat="false" ht="12.8" hidden="false" customHeight="false" outlineLevel="0" collapsed="false">
      <c r="Z60" s="37" t="n">
        <v>106</v>
      </c>
      <c r="AA60" s="34" t="str">
        <f aca="false">VLOOKUP(Z60,B_PARTITE_2A_FASE_PER_NUMERO,2,0)</f>
        <v>2aFase</v>
      </c>
      <c r="AB60" s="44" t="str">
        <f aca="false">VLOOKUP(Z60,B_PARTITE_2A_FASE_PER_NUMERO,3,0)</f>
        <v>13-14</v>
      </c>
      <c r="AC60" s="38" t="str">
        <f aca="false">VLOOKUP(Z60,B_PARTITE_2A_FASE_PER_NUMERO,6,0)</f>
        <v>Aquile</v>
      </c>
      <c r="AD60" s="38" t="str">
        <f aca="false">VLOOKUP(Z60,B_PARTITE_2A_FASE_PER_NUMERO,7,0)</f>
        <v>Puma</v>
      </c>
      <c r="AE60" s="39" t="n">
        <v>65</v>
      </c>
      <c r="AF60" s="39" t="n">
        <v>45</v>
      </c>
      <c r="AG60" s="40" t="n">
        <v>44359</v>
      </c>
      <c r="AH60" s="41" t="n">
        <v>0.770833333333333</v>
      </c>
      <c r="AI60" s="42" t="n">
        <v>2</v>
      </c>
      <c r="AJ60" s="43" t="str">
        <f aca="false">VLOOKUP(AI60,A_3_INPUT_CAMPI,2,0)</f>
        <v>Cristo Re 2</v>
      </c>
    </row>
    <row r="61" customFormat="false" ht="12.8" hidden="false" customHeight="false" outlineLevel="0" collapsed="false">
      <c r="Z61" s="37" t="n">
        <v>107</v>
      </c>
      <c r="AA61" s="34" t="str">
        <f aca="false">VLOOKUP(Z61,B_PARTITE_2A_FASE_PER_NUMERO,2,0)</f>
        <v>2aFase</v>
      </c>
      <c r="AB61" s="44" t="str">
        <f aca="false">VLOOKUP(Z61,B_PARTITE_2A_FASE_PER_NUMERO,3,0)</f>
        <v>11-12</v>
      </c>
      <c r="AC61" s="38" t="str">
        <f aca="false">VLOOKUP(Z61,B_PARTITE_2A_FASE_PER_NUMERO,6,0)</f>
        <v>Gorilla</v>
      </c>
      <c r="AD61" s="38" t="str">
        <f aca="false">VLOOKUP(Z61,B_PARTITE_2A_FASE_PER_NUMERO,7,0)</f>
        <v>Bufali</v>
      </c>
      <c r="AE61" s="39" t="n">
        <v>50</v>
      </c>
      <c r="AF61" s="39" t="n">
        <v>47</v>
      </c>
      <c r="AG61" s="40" t="n">
        <v>44359</v>
      </c>
      <c r="AH61" s="41" t="n">
        <v>0.770833333333333</v>
      </c>
      <c r="AI61" s="42" t="n">
        <v>3</v>
      </c>
      <c r="AJ61" s="43" t="str">
        <f aca="false">VLOOKUP(AI61,A_3_INPUT_CAMPI,2,0)</f>
        <v>Basket Giovane</v>
      </c>
    </row>
    <row r="62" customFormat="false" ht="12.8" hidden="false" customHeight="false" outlineLevel="0" collapsed="false">
      <c r="Z62" s="37" t="n">
        <v>108</v>
      </c>
      <c r="AA62" s="34" t="str">
        <f aca="false">VLOOKUP(Z62,B_PARTITE_2A_FASE_PER_NUMERO,2,0)</f>
        <v>2aFase</v>
      </c>
      <c r="AB62" s="44" t="str">
        <f aca="false">VLOOKUP(Z62,B_PARTITE_2A_FASE_PER_NUMERO,3,0)</f>
        <v>09-10</v>
      </c>
      <c r="AC62" s="38" t="str">
        <f aca="false">VLOOKUP(Z62,B_PARTITE_2A_FASE_PER_NUMERO,6,0)</f>
        <v>Elefanti</v>
      </c>
      <c r="AD62" s="38" t="str">
        <f aca="false">VLOOKUP(Z62,B_PARTITE_2A_FASE_PER_NUMERO,7,0)</f>
        <v>Giraffe</v>
      </c>
      <c r="AE62" s="39" t="n">
        <v>69</v>
      </c>
      <c r="AF62" s="39" t="n">
        <v>40</v>
      </c>
      <c r="AG62" s="40" t="n">
        <v>44359</v>
      </c>
      <c r="AH62" s="41" t="n">
        <v>0.770833333333333</v>
      </c>
      <c r="AI62" s="42" t="n">
        <v>4</v>
      </c>
      <c r="AJ62" s="43" t="str">
        <f aca="false">VLOOKUP(AI62,A_3_INPUT_CAMPI,2,0)</f>
        <v>Nuova Scuola</v>
      </c>
    </row>
    <row r="63" customFormat="false" ht="12.8" hidden="false" customHeight="false" outlineLevel="0" collapsed="false">
      <c r="Z63" s="37" t="n">
        <v>109</v>
      </c>
      <c r="AA63" s="34" t="str">
        <f aca="false">VLOOKUP(Z63,B_PARTITE_2A_FASE_PER_NUMERO,2,0)</f>
        <v>2aFase</v>
      </c>
      <c r="AB63" s="44" t="str">
        <f aca="false">VLOOKUP(Z63,B_PARTITE_2A_FASE_PER_NUMERO,3,0)</f>
        <v>5-6</v>
      </c>
      <c r="AC63" s="38" t="str">
        <f aca="false">VLOOKUP(Z63,B_PARTITE_2A_FASE_PER_NUMERO,6,0)</f>
        <v>Giaguari</v>
      </c>
      <c r="AD63" s="38" t="str">
        <f aca="false">VLOOKUP(Z63,B_PARTITE_2A_FASE_PER_NUMERO,7,0)</f>
        <v>Coccodrilli</v>
      </c>
      <c r="AE63" s="39" t="n">
        <v>55</v>
      </c>
      <c r="AF63" s="39" t="n">
        <v>48</v>
      </c>
      <c r="AG63" s="40" t="n">
        <v>44359</v>
      </c>
      <c r="AH63" s="41" t="n">
        <v>0.875</v>
      </c>
      <c r="AI63" s="42" t="n">
        <v>3</v>
      </c>
      <c r="AJ63" s="43" t="str">
        <f aca="false">VLOOKUP(AI63,A_3_INPUT_CAMPI,2,0)</f>
        <v>Basket Giovane</v>
      </c>
    </row>
    <row r="64" customFormat="false" ht="12.8" hidden="false" customHeight="false" outlineLevel="0" collapsed="false">
      <c r="Z64" s="37" t="n">
        <v>110</v>
      </c>
      <c r="AA64" s="34" t="str">
        <f aca="false">VLOOKUP(Z64,B_PARTITE_2A_FASE_PER_NUMERO,2,0)</f>
        <v>2aFase</v>
      </c>
      <c r="AB64" s="44" t="str">
        <f aca="false">VLOOKUP(Z64,B_PARTITE_2A_FASE_PER_NUMERO,3,0)</f>
        <v>7-8</v>
      </c>
      <c r="AC64" s="38" t="str">
        <f aca="false">VLOOKUP(Z64,B_PARTITE_2A_FASE_PER_NUMERO,6,0)</f>
        <v>Balene</v>
      </c>
      <c r="AD64" s="38" t="str">
        <f aca="false">VLOOKUP(Z64,B_PARTITE_2A_FASE_PER_NUMERO,7,0)</f>
        <v>Piranha</v>
      </c>
      <c r="AE64" s="39" t="n">
        <v>52</v>
      </c>
      <c r="AF64" s="39" t="n">
        <v>49</v>
      </c>
      <c r="AG64" s="40" t="n">
        <v>44359</v>
      </c>
      <c r="AH64" s="41" t="n">
        <v>0.875</v>
      </c>
      <c r="AI64" s="42" t="n">
        <v>4</v>
      </c>
      <c r="AJ64" s="43" t="str">
        <f aca="false">VLOOKUP(AI64,A_3_INPUT_CAMPI,2,0)</f>
        <v>Nuova Scuola</v>
      </c>
    </row>
    <row r="65" customFormat="false" ht="12.8" hidden="false" customHeight="false" outlineLevel="0" collapsed="false">
      <c r="Z65" s="37" t="n">
        <v>111</v>
      </c>
      <c r="AA65" s="34" t="str">
        <f aca="false">VLOOKUP(Z65,B_PARTITE_2A_FASE_PER_NUMERO,2,0)</f>
        <v>2aFase</v>
      </c>
      <c r="AB65" s="44" t="str">
        <f aca="false">VLOOKUP(Z65,B_PARTITE_2A_FASE_PER_NUMERO,3,0)</f>
        <v>3-4</v>
      </c>
      <c r="AC65" s="38" t="str">
        <f aca="false">VLOOKUP(Z65,B_PARTITE_2A_FASE_PER_NUMERO,6,0)</f>
        <v>Bisonti</v>
      </c>
      <c r="AD65" s="38" t="str">
        <f aca="false">VLOOKUP(Z65,B_PARTITE_2A_FASE_PER_NUMERO,7,0)</f>
        <v>Istrici</v>
      </c>
      <c r="AE65" s="39" t="n">
        <v>65</v>
      </c>
      <c r="AF65" s="39" t="n">
        <v>45</v>
      </c>
      <c r="AG65" s="40" t="n">
        <v>44360</v>
      </c>
      <c r="AH65" s="41" t="n">
        <v>0.375</v>
      </c>
      <c r="AI65" s="42" t="n">
        <v>3</v>
      </c>
      <c r="AJ65" s="43" t="str">
        <f aca="false">VLOOKUP(AI65,A_3_INPUT_CAMPI,2,0)</f>
        <v>Basket Giovane</v>
      </c>
    </row>
    <row r="66" customFormat="false" ht="12.8" hidden="false" customHeight="false" outlineLevel="0" collapsed="false">
      <c r="Z66" s="30" t="n">
        <v>112</v>
      </c>
      <c r="AA66" s="47" t="str">
        <f aca="false">VLOOKUP(Z66,B_PARTITE_2A_FASE_PER_NUMERO,2,0)</f>
        <v>2aFase</v>
      </c>
      <c r="AB66" s="69" t="str">
        <f aca="false">VLOOKUP(Z66,B_PARTITE_2A_FASE_PER_NUMERO,3,0)</f>
        <v>1-2</v>
      </c>
      <c r="AC66" s="62" t="str">
        <f aca="false">VLOOKUP(Z66,B_PARTITE_2A_FASE_PER_NUMERO,6,0)</f>
        <v>Leoni</v>
      </c>
      <c r="AD66" s="62" t="str">
        <f aca="false">VLOOKUP(Z66,B_PARTITE_2A_FASE_PER_NUMERO,7,0)</f>
        <v>Pantere</v>
      </c>
      <c r="AE66" s="63" t="n">
        <v>69</v>
      </c>
      <c r="AF66" s="63" t="n">
        <v>42</v>
      </c>
      <c r="AG66" s="64" t="n">
        <v>44360</v>
      </c>
      <c r="AH66" s="65" t="n">
        <v>0.4375</v>
      </c>
      <c r="AI66" s="66" t="n">
        <v>3</v>
      </c>
      <c r="AJ66" s="67" t="str">
        <f aca="false">VLOOKUP(AI66,A_3_INPUT_CAMPI,2,0)</f>
        <v>Basket Giovane</v>
      </c>
    </row>
  </sheetData>
  <mergeCells count="6">
    <mergeCell ref="A1:B1"/>
    <mergeCell ref="D1:I1"/>
    <mergeCell ref="K1:L1"/>
    <mergeCell ref="N1:X1"/>
    <mergeCell ref="Z1:AJ1"/>
    <mergeCell ref="A40:B40"/>
  </mergeCells>
  <conditionalFormatting sqref="H3:H34 O3:P50 AA3:AA66">
    <cfRule type="cellIs" priority="2" operator="equal" aboveAverage="0" equalAverage="0" bottom="0" percent="0" rank="0" text="" dxfId="0">
      <formula>"A"</formula>
    </cfRule>
  </conditionalFormatting>
  <conditionalFormatting sqref="H3:H34 O3:P50 AA3:AA66">
    <cfRule type="cellIs" priority="3" operator="equal" aboveAverage="0" equalAverage="0" bottom="0" percent="0" rank="0" text="" dxfId="1">
      <formula>"B"</formula>
    </cfRule>
  </conditionalFormatting>
  <conditionalFormatting sqref="H3:H34 O3:P50 AA3:AA66">
    <cfRule type="cellIs" priority="4" operator="equal" aboveAverage="0" equalAverage="0" bottom="0" percent="0" rank="0" text="" dxfId="2">
      <formula>"C"</formula>
    </cfRule>
  </conditionalFormatting>
  <conditionalFormatting sqref="H3:H34 O3:P50 AA3:AA66">
    <cfRule type="cellIs" priority="5" operator="equal" aboveAverage="0" equalAverage="0" bottom="0" percent="0" rank="0" text="" dxfId="3">
      <formula>"D"</formula>
    </cfRule>
  </conditionalFormatting>
  <conditionalFormatting sqref="H3:H34 O3:P50 AA3:AA66">
    <cfRule type="cellIs" priority="6" operator="equal" aboveAverage="0" equalAverage="0" bottom="0" percent="0" rank="0" text="" dxfId="4">
      <formula>"E"</formula>
    </cfRule>
  </conditionalFormatting>
  <conditionalFormatting sqref="H3:H34 O3:P50 AA3:AA66">
    <cfRule type="cellIs" priority="7" operator="equal" aboveAverage="0" equalAverage="0" bottom="0" percent="0" rank="0" text="" dxfId="5">
      <formula>"F"</formula>
    </cfRule>
  </conditionalFormatting>
  <conditionalFormatting sqref="H3:H34 O3:P50 AA3:AA66">
    <cfRule type="cellIs" priority="8" operator="equal" aboveAverage="0" equalAverage="0" bottom="0" percent="0" rank="0" text="" dxfId="6">
      <formula>"G"</formula>
    </cfRule>
  </conditionalFormatting>
  <conditionalFormatting sqref="H3:H34 O3:P50 AA3:AA66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colBreaks count="3" manualBreakCount="3">
    <brk id="3" man="true" max="65535" min="0"/>
    <brk id="10" man="true" max="65535" min="0"/>
    <brk id="13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66"/>
  <sheetViews>
    <sheetView showFormulas="false" showGridLines="false" showRowColHeaders="true" showZeros="true" rightToLeft="false" tabSelected="false" showOutlineSymbols="true" defaultGridColor="true" view="normal" topLeftCell="AP1" colorId="64" zoomScale="140" zoomScaleNormal="140" zoomScalePageLayoutView="100" workbookViewId="0">
      <selection pane="topLeft" activeCell="AU17" activeCellId="0" sqref="AU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70" width="7.16"/>
    <col collapsed="false" customWidth="true" hidden="false" outlineLevel="0" max="3" min="3" style="70" width="7.56"/>
    <col collapsed="false" customWidth="true" hidden="false" outlineLevel="0" max="5" min="4" style="0" width="7.86"/>
    <col collapsed="false" customWidth="true" hidden="false" outlineLevel="0" max="7" min="6" style="0" width="11.04"/>
    <col collapsed="false" customWidth="true" hidden="false" outlineLevel="0" max="9" min="8" style="0" width="9.55"/>
    <col collapsed="false" customWidth="true" hidden="false" outlineLevel="0" max="11" min="10" style="0" width="10.93"/>
    <col collapsed="false" customWidth="true" hidden="false" outlineLevel="0" max="12" min="12" style="0" width="6.08"/>
    <col collapsed="false" customWidth="true" hidden="false" outlineLevel="0" max="13" min="13" style="0" width="6.67"/>
    <col collapsed="false" customWidth="true" hidden="false" outlineLevel="0" max="14" min="14" style="0" width="7.26"/>
    <col collapsed="false" customWidth="true" hidden="false" outlineLevel="0" max="15" min="15" style="0" width="7.66"/>
    <col collapsed="false" customWidth="true" hidden="false" outlineLevel="0" max="16" min="16" style="0" width="8.95"/>
    <col collapsed="false" customWidth="true" hidden="false" outlineLevel="0" max="17" min="17" style="0" width="10.64"/>
    <col collapsed="false" customWidth="true" hidden="false" outlineLevel="0" max="18" min="18" style="0" width="6.08"/>
    <col collapsed="false" customWidth="true" hidden="false" outlineLevel="0" max="19" min="19" style="0" width="6.67"/>
    <col collapsed="false" customWidth="true" hidden="false" outlineLevel="0" max="20" min="20" style="0" width="7.26"/>
    <col collapsed="false" customWidth="true" hidden="false" outlineLevel="0" max="21" min="21" style="0" width="7.66"/>
    <col collapsed="false" customWidth="true" hidden="false" outlineLevel="0" max="22" min="22" style="0" width="8.95"/>
    <col collapsed="false" customWidth="true" hidden="false" outlineLevel="0" max="23" min="23" style="0" width="10.64"/>
    <col collapsed="false" customWidth="true" hidden="false" outlineLevel="0" max="25" min="25" style="0" width="6.96"/>
    <col collapsed="false" customWidth="true" hidden="false" outlineLevel="0" max="26" min="26" style="0" width="7.56"/>
    <col collapsed="false" customWidth="true" hidden="false" outlineLevel="0" max="27" min="27" style="0" width="9.15"/>
    <col collapsed="false" customWidth="true" hidden="false" outlineLevel="0" max="28" min="28" style="0" width="10.93"/>
    <col collapsed="false" customWidth="true" hidden="false" outlineLevel="0" max="29" min="29" style="0" width="8.46"/>
    <col collapsed="false" customWidth="true" hidden="false" outlineLevel="0" max="30" min="30" style="0" width="5.97"/>
    <col collapsed="false" customWidth="true" hidden="false" outlineLevel="0" max="31" min="31" style="0" width="6.67"/>
    <col collapsed="false" customWidth="true" hidden="false" outlineLevel="0" max="32" min="32" style="0" width="7.26"/>
    <col collapsed="false" customWidth="true" hidden="false" outlineLevel="0" max="33" min="33" style="0" width="7.07"/>
    <col collapsed="false" customWidth="true" hidden="false" outlineLevel="0" max="34" min="34" style="0" width="6.17"/>
    <col collapsed="false" customWidth="true" hidden="false" outlineLevel="0" max="35" min="35" style="0" width="6.67"/>
    <col collapsed="false" customWidth="true" hidden="false" outlineLevel="0" max="36" min="36" style="0" width="6.17"/>
    <col collapsed="false" customWidth="true" hidden="false" outlineLevel="0" max="39" min="37" style="0" width="8.66"/>
    <col collapsed="false" customWidth="true" hidden="false" outlineLevel="0" max="40" min="40" style="0" width="7.86"/>
    <col collapsed="false" customWidth="true" hidden="false" outlineLevel="0" max="43" min="41" style="0" width="8.66"/>
    <col collapsed="false" customWidth="true" hidden="false" outlineLevel="0" max="44" min="44" style="0" width="8.26"/>
    <col collapsed="false" customWidth="true" hidden="false" outlineLevel="0" max="45" min="45" style="0" width="16.1"/>
    <col collapsed="false" customWidth="true" hidden="false" outlineLevel="0" max="47" min="47" style="0" width="7.95"/>
    <col collapsed="false" customWidth="true" hidden="false" outlineLevel="0" max="48" min="48" style="0" width="5.78"/>
    <col collapsed="false" customWidth="true" hidden="false" outlineLevel="0" max="49" min="49" style="70" width="7.95"/>
    <col collapsed="false" customWidth="true" hidden="false" outlineLevel="0" max="50" min="50" style="70" width="7.56"/>
    <col collapsed="false" customWidth="true" hidden="false" outlineLevel="0" max="52" min="51" style="0" width="7.86"/>
    <col collapsed="false" customWidth="true" hidden="false" outlineLevel="0" max="54" min="53" style="0" width="11.04"/>
    <col collapsed="false" customWidth="true" hidden="false" outlineLevel="0" max="56" min="55" style="0" width="9.55"/>
    <col collapsed="false" customWidth="true" hidden="false" outlineLevel="0" max="58" min="57" style="0" width="10.93"/>
    <col collapsed="false" customWidth="true" hidden="false" outlineLevel="0" max="59" min="59" style="0" width="6.08"/>
    <col collapsed="false" customWidth="true" hidden="false" outlineLevel="0" max="60" min="60" style="0" width="6.67"/>
    <col collapsed="false" customWidth="true" hidden="false" outlineLevel="0" max="61" min="61" style="0" width="7.26"/>
    <col collapsed="false" customWidth="true" hidden="false" outlineLevel="0" max="62" min="62" style="0" width="7.66"/>
    <col collapsed="false" customWidth="true" hidden="false" outlineLevel="0" max="63" min="63" style="0" width="8.95"/>
    <col collapsed="false" customWidth="true" hidden="false" outlineLevel="0" max="64" min="64" style="0" width="10.64"/>
    <col collapsed="false" customWidth="true" hidden="false" outlineLevel="0" max="65" min="65" style="0" width="6.08"/>
    <col collapsed="false" customWidth="true" hidden="false" outlineLevel="0" max="66" min="66" style="0" width="6.67"/>
    <col collapsed="false" customWidth="true" hidden="false" outlineLevel="0" max="67" min="67" style="0" width="7.26"/>
    <col collapsed="false" customWidth="true" hidden="false" outlineLevel="0" max="68" min="68" style="0" width="7.66"/>
    <col collapsed="false" customWidth="true" hidden="false" outlineLevel="0" max="69" min="69" style="0" width="8.95"/>
    <col collapsed="false" customWidth="true" hidden="false" outlineLevel="0" max="70" min="70" style="0" width="10.64"/>
  </cols>
  <sheetData>
    <row r="1" customFormat="false" ht="12.8" hidden="false" customHeight="false" outlineLevel="0" collapsed="false">
      <c r="A1" s="71" t="s">
        <v>93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Y1" s="2" t="s">
        <v>94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U1" s="71" t="s">
        <v>95</v>
      </c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</row>
    <row r="2" customFormat="false" ht="57.45" hidden="false" customHeight="false" outlineLevel="0" collapsed="false">
      <c r="A2" s="9" t="s">
        <v>12</v>
      </c>
      <c r="B2" s="7" t="s">
        <v>13</v>
      </c>
      <c r="C2" s="7" t="s">
        <v>10</v>
      </c>
      <c r="D2" s="10" t="s">
        <v>96</v>
      </c>
      <c r="E2" s="10" t="s">
        <v>97</v>
      </c>
      <c r="F2" s="6" t="s">
        <v>98</v>
      </c>
      <c r="G2" s="6" t="s">
        <v>99</v>
      </c>
      <c r="H2" s="10" t="s">
        <v>16</v>
      </c>
      <c r="I2" s="10" t="s">
        <v>17</v>
      </c>
      <c r="J2" s="72" t="s">
        <v>100</v>
      </c>
      <c r="K2" s="72" t="s">
        <v>101</v>
      </c>
      <c r="L2" s="10" t="s">
        <v>102</v>
      </c>
      <c r="M2" s="10" t="s">
        <v>103</v>
      </c>
      <c r="N2" s="10" t="s">
        <v>104</v>
      </c>
      <c r="O2" s="10" t="s">
        <v>105</v>
      </c>
      <c r="P2" s="10" t="s">
        <v>106</v>
      </c>
      <c r="Q2" s="10" t="s">
        <v>107</v>
      </c>
      <c r="R2" s="10" t="s">
        <v>108</v>
      </c>
      <c r="S2" s="10" t="s">
        <v>109</v>
      </c>
      <c r="T2" s="10" t="s">
        <v>110</v>
      </c>
      <c r="U2" s="10" t="s">
        <v>111</v>
      </c>
      <c r="V2" s="10" t="s">
        <v>112</v>
      </c>
      <c r="W2" s="73" t="s">
        <v>113</v>
      </c>
      <c r="Y2" s="5" t="s">
        <v>114</v>
      </c>
      <c r="Z2" s="7" t="s">
        <v>10</v>
      </c>
      <c r="AA2" s="10" t="s">
        <v>115</v>
      </c>
      <c r="AB2" s="74" t="s">
        <v>116</v>
      </c>
      <c r="AC2" s="6" t="s">
        <v>117</v>
      </c>
      <c r="AD2" s="7" t="s">
        <v>118</v>
      </c>
      <c r="AE2" s="7" t="s">
        <v>119</v>
      </c>
      <c r="AF2" s="7" t="s">
        <v>120</v>
      </c>
      <c r="AG2" s="75" t="s">
        <v>121</v>
      </c>
      <c r="AH2" s="76" t="s">
        <v>122</v>
      </c>
      <c r="AI2" s="10" t="s">
        <v>123</v>
      </c>
      <c r="AJ2" s="76" t="s">
        <v>124</v>
      </c>
      <c r="AK2" s="10" t="s">
        <v>125</v>
      </c>
      <c r="AL2" s="10" t="s">
        <v>126</v>
      </c>
      <c r="AM2" s="10" t="s">
        <v>127</v>
      </c>
      <c r="AN2" s="10" t="s">
        <v>128</v>
      </c>
      <c r="AO2" s="10" t="s">
        <v>129</v>
      </c>
      <c r="AP2" s="10" t="s">
        <v>130</v>
      </c>
      <c r="AQ2" s="10" t="s">
        <v>131</v>
      </c>
      <c r="AR2" s="77" t="s">
        <v>132</v>
      </c>
      <c r="AS2" s="78" t="s">
        <v>133</v>
      </c>
      <c r="AU2" s="79" t="s">
        <v>134</v>
      </c>
      <c r="AV2" s="9" t="s">
        <v>12</v>
      </c>
      <c r="AW2" s="7" t="s">
        <v>13</v>
      </c>
      <c r="AX2" s="7" t="s">
        <v>22</v>
      </c>
      <c r="AY2" s="10" t="s">
        <v>96</v>
      </c>
      <c r="AZ2" s="10" t="s">
        <v>97</v>
      </c>
      <c r="BA2" s="6" t="s">
        <v>98</v>
      </c>
      <c r="BB2" s="6" t="s">
        <v>99</v>
      </c>
      <c r="BC2" s="10" t="s">
        <v>16</v>
      </c>
      <c r="BD2" s="10" t="s">
        <v>17</v>
      </c>
      <c r="BE2" s="72" t="s">
        <v>100</v>
      </c>
      <c r="BF2" s="72" t="s">
        <v>101</v>
      </c>
      <c r="BG2" s="10" t="s">
        <v>102</v>
      </c>
      <c r="BH2" s="10" t="s">
        <v>103</v>
      </c>
      <c r="BI2" s="10" t="s">
        <v>104</v>
      </c>
      <c r="BJ2" s="10" t="s">
        <v>105</v>
      </c>
      <c r="BK2" s="10" t="s">
        <v>106</v>
      </c>
      <c r="BL2" s="10" t="s">
        <v>107</v>
      </c>
      <c r="BM2" s="10" t="s">
        <v>108</v>
      </c>
      <c r="BN2" s="10" t="s">
        <v>109</v>
      </c>
      <c r="BO2" s="10" t="s">
        <v>110</v>
      </c>
      <c r="BP2" s="10" t="s">
        <v>111</v>
      </c>
      <c r="BQ2" s="10" t="s">
        <v>112</v>
      </c>
      <c r="BR2" s="73" t="s">
        <v>113</v>
      </c>
    </row>
    <row r="3" customFormat="false" ht="12.8" hidden="false" customHeight="false" outlineLevel="0" collapsed="false">
      <c r="A3" s="80" t="n">
        <v>1</v>
      </c>
      <c r="B3" s="81" t="s">
        <v>10</v>
      </c>
      <c r="C3" s="81" t="s">
        <v>26</v>
      </c>
      <c r="D3" s="81" t="s">
        <v>135</v>
      </c>
      <c r="E3" s="81" t="s">
        <v>136</v>
      </c>
      <c r="F3" s="82" t="str">
        <f aca="false">IF(B3="Girone",VLOOKUP(D3,A_SQUADRE_PER_CODICE,2),"ERRORE!")</f>
        <v>Leoni</v>
      </c>
      <c r="G3" s="82" t="str">
        <f aca="false">IF(B3="Girone",VLOOKUP(E3,A_SQUADRE_PER_CODICE,2),"ERRORE!")</f>
        <v>Pantere</v>
      </c>
      <c r="H3" s="81" t="n">
        <f aca="false">VLOOKUP(A3,A_4_INPUT_DATE_E_RISULTATI_GIRONI,6,0)</f>
        <v>72</v>
      </c>
      <c r="I3" s="81" t="n">
        <f aca="false">VLOOKUP(A3,A_4_INPUT_DATE_E_RISULTATI_GIRONI,7,0)</f>
        <v>49</v>
      </c>
      <c r="J3" s="83" t="str">
        <f aca="false">IF(H3&gt;I3,F3,G3)</f>
        <v>Leoni</v>
      </c>
      <c r="K3" s="82" t="str">
        <f aca="false">IF(H3&lt;I3,F3,G3)</f>
        <v>Pantere</v>
      </c>
      <c r="L3" s="81" t="n">
        <f aca="false">1*(H3&gt;I3)</f>
        <v>1</v>
      </c>
      <c r="M3" s="29" t="n">
        <f aca="false">1*(H3&lt;I3)*NOT(AND(H3=0,I3=20))</f>
        <v>0</v>
      </c>
      <c r="N3" s="29" t="n">
        <f aca="false">1*AND(H3=0,I3=20)</f>
        <v>0</v>
      </c>
      <c r="O3" s="81" t="n">
        <f aca="false">H3</f>
        <v>72</v>
      </c>
      <c r="P3" s="81" t="n">
        <f aca="false">I3</f>
        <v>49</v>
      </c>
      <c r="Q3" s="84" t="n">
        <f aca="false">O3-P3</f>
        <v>23</v>
      </c>
      <c r="R3" s="81" t="n">
        <f aca="false">1*(I3&gt;H3)</f>
        <v>0</v>
      </c>
      <c r="S3" s="29" t="n">
        <f aca="false">1*(I3&lt;H3)*NOT(AND(H3=20,I3=0))</f>
        <v>1</v>
      </c>
      <c r="T3" s="29" t="n">
        <f aca="false">1*AND(H3=20,I3=0)</f>
        <v>0</v>
      </c>
      <c r="U3" s="81" t="n">
        <f aca="false">I3</f>
        <v>49</v>
      </c>
      <c r="V3" s="81" t="n">
        <f aca="false">H3</f>
        <v>72</v>
      </c>
      <c r="W3" s="85" t="n">
        <f aca="false">U3-V3</f>
        <v>-23</v>
      </c>
      <c r="Y3" s="86" t="str">
        <f aca="false">COUNTIF(B_COEFF_GIRONE_A,"&gt;="&amp;AS3)&amp;Z3</f>
        <v>1A</v>
      </c>
      <c r="Z3" s="21" t="s">
        <v>26</v>
      </c>
      <c r="AA3" s="81" t="s">
        <v>135</v>
      </c>
      <c r="AB3" s="87" t="str">
        <f aca="false">VLOOKUP(AA3,A_SQUADRE_PER_CODICE,2)</f>
        <v>Leoni</v>
      </c>
      <c r="AC3" s="81" t="n">
        <f aca="false">AD3+AE3+AF3</f>
        <v>3</v>
      </c>
      <c r="AD3" s="81" t="n">
        <f aca="false">SUMIF(B_SQUADRA_A_GIRONI,AB3,B_VINTE_SQUADRA_A_GIRONI)+SUMIF(B_SQUADRA_B_GIRONI,AB3,B_VINTE_SQUADRA_B_GIRONI)</f>
        <v>3</v>
      </c>
      <c r="AE3" s="81" t="n">
        <f aca="false">SUMIF(B_SQUADRA_A_GIRONI,AB3,B_PERSE_SQUADRA_A_GIRONI)+SUMIF(B_SQUADRA_B_GIRONI,AB3,B_PERSE_SQUADRA_B_GIRONI)</f>
        <v>0</v>
      </c>
      <c r="AF3" s="81" t="n">
        <f aca="false">SUMIF(B_SQUADRA_A_GIRONI,AB3,B_FORFAIT_SQUADRA_A_GIRONI)+SUMIF(B_SQUADRA_B_GIRONI,AB3,B_FORFAIT_SQUADRA_B_GIRONI)</f>
        <v>0</v>
      </c>
      <c r="AG3" s="88" t="n">
        <f aca="false">2*AD3+1*AE3+0*AF3</f>
        <v>6</v>
      </c>
      <c r="AH3" s="89" t="n">
        <f aca="false">SUMIF(B_SQUADRA_A_GIRONI,AB3,B_PUNTI_FATTI_SQUADRA_A_GIRONI)+SUMIF(B_SQUADRA_B_GIRONI,AB3,B_PUNTI_FATTI_SQUADRA_B_GIRONI)</f>
        <v>244</v>
      </c>
      <c r="AI3" s="81" t="n">
        <f aca="false">SUMIF(B_SQUADRA_A_GIRONI,AB3,B_PUNTI_SUBITI_SQUADRA_A_GIRONI)+SUMIF(B_SQUADRA_B_GIRONI,AB3,B_PUNTI_SUBITI_SQUADRA_B_GIRONI)</f>
        <v>96</v>
      </c>
      <c r="AJ3" s="90" t="n">
        <f aca="false">SUMIF(B_SQUADRA_A_GIRONI,AB3,B_DIFF_CANESTRI_SQUADRA_A_GIRONI)+SUMIF(B_SQUADRA_B_GIRONI,AB3,B_DIFF_CANESTRI_SQUADRA_B_GIRONI)</f>
        <v>148</v>
      </c>
      <c r="AK3" s="29" t="n">
        <f aca="true">IF(AG3=AG4,INDIRECT("O"&amp;3+6*(FIND(Z3,"ABCDEFGH")-1)),0)</f>
        <v>0</v>
      </c>
      <c r="AL3" s="29" t="n">
        <f aca="true">IF(AG3=AG5,INDIRECT("O"&amp;4+6*(FIND(Z3,"ABCDEFGH")-1)),0)</f>
        <v>0</v>
      </c>
      <c r="AM3" s="81" t="n">
        <f aca="true">IF(AG3=AG6,INDIRECT("O"&amp;5+6*(FIND(Z3,"ABCDEFGH")-1)),0)</f>
        <v>0</v>
      </c>
      <c r="AN3" s="89" t="n">
        <f aca="false">AK3+AL3+AM3</f>
        <v>0</v>
      </c>
      <c r="AO3" s="84" t="n">
        <f aca="true">IF(AG3=AG4,INDIRECT("Q"&amp;3+6*(FIND(Z3,"ABCDEFGH")-1)),0)</f>
        <v>0</v>
      </c>
      <c r="AP3" s="84" t="n">
        <f aca="true">IF(AG3=AG5,INDIRECT("Q"&amp;4+6*(FIND(Z3,"ABCDEFGH")-1)),0)</f>
        <v>0</v>
      </c>
      <c r="AQ3" s="84" t="n">
        <f aca="true">IF(AG3=AG6,INDIRECT("Q"&amp;5+6*(FIND(Z3,"ABCDEFGH")-1)),0)</f>
        <v>0</v>
      </c>
      <c r="AR3" s="90" t="n">
        <f aca="false">AO3+AP3+AQ3</f>
        <v>0</v>
      </c>
      <c r="AS3" s="91" t="n">
        <f aca="false">AG3+(500+AR3)*10^-3+AN3*10^-6+(500+AJ3)*10^-9+AH3*10^-12</f>
        <v>6.500000648244</v>
      </c>
      <c r="AU3" s="92" t="s">
        <v>137</v>
      </c>
      <c r="AV3" s="93" t="n">
        <v>49</v>
      </c>
      <c r="AW3" s="94" t="s">
        <v>138</v>
      </c>
      <c r="AX3" s="95" t="s">
        <v>139</v>
      </c>
      <c r="AY3" s="94" t="s">
        <v>140</v>
      </c>
      <c r="AZ3" s="94" t="s">
        <v>141</v>
      </c>
      <c r="BA3" s="83" t="str">
        <f aca="false">IF(LEFT(AY3,1)="V",VLOOKUP(_xlfn.NUMBERVALUE(SUBSTITUTE(AY3,"V","")),B_PARTITE_2A_FASE_PER_NUMERO,10,FALSE()),IF(LEFT(AY3,1)="P",VLOOKUP(_xlfn.NUMBERVALUE(SUBSTITUTE(AY3,"P","")),B_PARTITE_2A_FASE_PER_NUMERO,11,FALSE()),VLOOKUP(AY3,B_CLASSIFICHE_GIRONI,4,FALSE())))</f>
        <v>Leoni</v>
      </c>
      <c r="BB3" s="82" t="str">
        <f aca="false">IF(LEFT(AZ3,1)="V",VLOOKUP(_xlfn.NUMBERVALUE(SUBSTITUTE(AZ3,"V","")),B_PARTITE_2A_FASE_PER_NUMERO,10,FALSE()),IF(LEFT(AZ3,1)="P",VLOOKUP(_xlfn.NUMBERVALUE(SUBSTITUTE(AZ3,"P","")),B_PARTITE_2A_FASE_PER_NUMERO,11,FALSE()),VLOOKUP(AZ3,B_CLASSIFICHE_GIRONI,4,FALSE())))</f>
        <v>Elefanti</v>
      </c>
      <c r="BC3" s="81" t="n">
        <f aca="false">VLOOKUP(AV3,A_5_INPUT_DATE_E_RISULTATI_2A_FASE,6,0)</f>
        <v>67</v>
      </c>
      <c r="BD3" s="81" t="n">
        <f aca="false">VLOOKUP(AV3,A_5_INPUT_DATE_E_RISULTATI_2A_FASE,7,0)</f>
        <v>46</v>
      </c>
      <c r="BE3" s="83" t="str">
        <f aca="false">IF(BC3&gt;BD3,BA3,BB3)</f>
        <v>Leoni</v>
      </c>
      <c r="BF3" s="82" t="str">
        <f aca="false">IF(BC3&lt;BD3,BA3,BB3)</f>
        <v>Elefanti</v>
      </c>
      <c r="BG3" s="81" t="n">
        <f aca="false">1*(BC3&gt;BD3)</f>
        <v>1</v>
      </c>
      <c r="BH3" s="29" t="n">
        <f aca="false">1*(BC3&lt;BD3)*NOT(AND(BC3=0,BD3=20))</f>
        <v>0</v>
      </c>
      <c r="BI3" s="29" t="n">
        <f aca="false">1*AND(BC3=0,BD3=20)</f>
        <v>0</v>
      </c>
      <c r="BJ3" s="81" t="n">
        <f aca="false">BC3</f>
        <v>67</v>
      </c>
      <c r="BK3" s="81" t="n">
        <f aca="false">BD3</f>
        <v>46</v>
      </c>
      <c r="BL3" s="84" t="n">
        <f aca="false">BJ3-BK3</f>
        <v>21</v>
      </c>
      <c r="BM3" s="81" t="n">
        <f aca="false">1*(BD3&gt;BC3)</f>
        <v>0</v>
      </c>
      <c r="BN3" s="29" t="n">
        <f aca="false">1*(BD3&lt;BC3)*NOT(AND(BC3=20,BD3=0))</f>
        <v>1</v>
      </c>
      <c r="BO3" s="29" t="n">
        <f aca="false">1*AND(BC3=20,BD3=0)</f>
        <v>0</v>
      </c>
      <c r="BP3" s="81" t="n">
        <f aca="false">BD3</f>
        <v>46</v>
      </c>
      <c r="BQ3" s="81" t="n">
        <f aca="false">BC3</f>
        <v>67</v>
      </c>
      <c r="BR3" s="85" t="n">
        <f aca="false">BP3-BQ3</f>
        <v>-21</v>
      </c>
    </row>
    <row r="4" customFormat="false" ht="12.8" hidden="false" customHeight="false" outlineLevel="0" collapsed="false">
      <c r="A4" s="32" t="n">
        <v>9</v>
      </c>
      <c r="B4" s="34" t="s">
        <v>10</v>
      </c>
      <c r="C4" s="34" t="s">
        <v>26</v>
      </c>
      <c r="D4" s="44" t="s">
        <v>135</v>
      </c>
      <c r="E4" s="44" t="s">
        <v>142</v>
      </c>
      <c r="F4" s="96" t="str">
        <f aca="false">IF(B4="Girone",VLOOKUP(D4,A_SQUADRE_PER_CODICE,2),"ERRORE!")</f>
        <v>Leoni</v>
      </c>
      <c r="G4" s="96" t="str">
        <f aca="false">IF(B4="Girone",VLOOKUP(E4,A_SQUADRE_PER_CODICE,2),"ERRORE!")</f>
        <v>Tigri</v>
      </c>
      <c r="H4" s="44" t="n">
        <f aca="false">VLOOKUP(A4,A_4_INPUT_DATE_E_RISULTATI_GIRONI,6,0)</f>
        <v>90</v>
      </c>
      <c r="I4" s="44" t="n">
        <f aca="false">VLOOKUP(A4,A_4_INPUT_DATE_E_RISULTATI_GIRONI,7,0)</f>
        <v>22</v>
      </c>
      <c r="J4" s="96" t="str">
        <f aca="false">IF(H4&gt;I4,F4,G4)</f>
        <v>Leoni</v>
      </c>
      <c r="K4" s="96" t="str">
        <f aca="false">IF(H4&lt;I4,F4,G4)</f>
        <v>Tigri</v>
      </c>
      <c r="L4" s="44" t="n">
        <f aca="false">1*(H4&gt;I4)</f>
        <v>1</v>
      </c>
      <c r="M4" s="97" t="n">
        <f aca="false">1*(H4&lt;I4)*NOT(AND(H4=0,I4=20))</f>
        <v>0</v>
      </c>
      <c r="N4" s="97" t="n">
        <f aca="false">1*AND(H4=0,I4=20)</f>
        <v>0</v>
      </c>
      <c r="O4" s="44" t="n">
        <f aca="false">H4</f>
        <v>90</v>
      </c>
      <c r="P4" s="44" t="n">
        <f aca="false">I4</f>
        <v>22</v>
      </c>
      <c r="Q4" s="98" t="n">
        <f aca="false">O4-P4</f>
        <v>68</v>
      </c>
      <c r="R4" s="44" t="n">
        <f aca="false">1*(I4&gt;H4)</f>
        <v>0</v>
      </c>
      <c r="S4" s="44" t="n">
        <f aca="false">1*(I4&lt;H4)*NOT(AND(H4=20,I4=0))</f>
        <v>1</v>
      </c>
      <c r="T4" s="44" t="n">
        <f aca="false">1*AND(H4=20,I4=0)</f>
        <v>0</v>
      </c>
      <c r="U4" s="44" t="n">
        <f aca="false">I4</f>
        <v>22</v>
      </c>
      <c r="V4" s="44" t="n">
        <f aca="false">H4</f>
        <v>90</v>
      </c>
      <c r="W4" s="99" t="n">
        <f aca="false">U4-V4</f>
        <v>-68</v>
      </c>
      <c r="Y4" s="100" t="str">
        <f aca="false">COUNTIF(B_COEFF_GIRONE_A,"&gt;="&amp;AS4)&amp;Z4</f>
        <v>2A</v>
      </c>
      <c r="Z4" s="34" t="s">
        <v>26</v>
      </c>
      <c r="AA4" s="44" t="s">
        <v>136</v>
      </c>
      <c r="AB4" s="101" t="str">
        <f aca="false">VLOOKUP(AA4,A_SQUADRE_PER_CODICE,2)</f>
        <v>Pantere</v>
      </c>
      <c r="AC4" s="44" t="n">
        <f aca="false">AD4+AE4+AF4</f>
        <v>3</v>
      </c>
      <c r="AD4" s="44" t="n">
        <f aca="false">SUMIF(B_SQUADRA_A_GIRONI,AB4,B_VINTE_SQUADRA_A_GIRONI)+SUMIF(B_SQUADRA_B_GIRONI,AB4,B_VINTE_SQUADRA_B_GIRONI)</f>
        <v>2</v>
      </c>
      <c r="AE4" s="44" t="n">
        <f aca="false">SUMIF(B_SQUADRA_A_GIRONI,AB4,B_PERSE_SQUADRA_A_GIRONI)+SUMIF(B_SQUADRA_B_GIRONI,AB4,B_PERSE_SQUADRA_B_GIRONI)</f>
        <v>1</v>
      </c>
      <c r="AF4" s="44" t="n">
        <f aca="false">SUMIF(B_SQUADRA_A_GIRONI,AB4,B_FORFAIT_SQUADRA_A_GIRONI)+SUMIF(B_SQUADRA_B_GIRONI,AB4,B_FORFAIT_SQUADRA_B_GIRONI)</f>
        <v>0</v>
      </c>
      <c r="AG4" s="102" t="n">
        <f aca="false">2*AD4+1*AE4+0*AF4</f>
        <v>5</v>
      </c>
      <c r="AH4" s="103" t="n">
        <f aca="false">SUMIF(B_SQUADRA_A_GIRONI,AB4,B_PUNTI_FATTI_SQUADRA_A_GIRONI)+SUMIF(B_SQUADRA_B_GIRONI,AB4,B_PUNTI_FATTI_SQUADRA_B_GIRONI)</f>
        <v>199</v>
      </c>
      <c r="AI4" s="44" t="n">
        <f aca="false">SUMIF(B_SQUADRA_A_GIRONI,AB4,B_PUNTI_SUBITI_SQUADRA_A_GIRONI)+SUMIF(B_SQUADRA_B_GIRONI,AB4,B_PUNTI_SUBITI_SQUADRA_B_GIRONI)</f>
        <v>123</v>
      </c>
      <c r="AJ4" s="104" t="n">
        <f aca="false">SUMIF(B_SQUADRA_A_GIRONI,AB4,B_DIFF_CANESTRI_SQUADRA_A_GIRONI)+SUMIF(B_SQUADRA_B_GIRONI,AB4,B_DIFF_CANESTRI_SQUADRA_B_GIRONI)</f>
        <v>76</v>
      </c>
      <c r="AK4" s="44" t="n">
        <f aca="true">IF(AG4=AG5,INDIRECT("O"&amp;6+6*(FIND(Z4,"ABCDEFGH")-1)),0)</f>
        <v>0</v>
      </c>
      <c r="AL4" s="44" t="n">
        <f aca="true">IF(AG4=AG6,INDIRECT("O"&amp;7+6*(FIND(Z4,"ABCDEFGH")-1)),0)</f>
        <v>0</v>
      </c>
      <c r="AM4" s="44" t="n">
        <f aca="true">IF(AG4=AG3,INDIRECT("U"&amp;3+6*(FIND(Z4,"ABCDEFGH")-1)),0)</f>
        <v>0</v>
      </c>
      <c r="AN4" s="103" t="n">
        <f aca="false">AK4+AL4+AM4</f>
        <v>0</v>
      </c>
      <c r="AO4" s="98" t="n">
        <f aca="true">IF(AG4=AG5,INDIRECT("Q"&amp;6+6*(FIND(Z4,"ABCDEFGH")-1)),0)</f>
        <v>0</v>
      </c>
      <c r="AP4" s="98" t="n">
        <f aca="true">IF(AG4=AG6,INDIRECT("Q"&amp;7+6*(FIND(Z4,"ABCDEFGH")-1)),0)</f>
        <v>0</v>
      </c>
      <c r="AQ4" s="98" t="n">
        <f aca="true">IF(AG4=AG3,INDIRECT("W"&amp;3+6*(FIND(Z4,"ABCDEFGH")-1)),0)</f>
        <v>0</v>
      </c>
      <c r="AR4" s="104" t="n">
        <f aca="false">AO4+AP4+AQ4</f>
        <v>0</v>
      </c>
      <c r="AS4" s="105" t="n">
        <f aca="false">AG4+(500+AR4)*10^-3+AN4*10^-6+(500+AJ4)*10^-9+AH4*10^-12</f>
        <v>5.500000576199</v>
      </c>
      <c r="AU4" s="106" t="s">
        <v>143</v>
      </c>
      <c r="AV4" s="107" t="n">
        <v>50</v>
      </c>
      <c r="AW4" s="108" t="s">
        <v>138</v>
      </c>
      <c r="AX4" s="109" t="s">
        <v>139</v>
      </c>
      <c r="AY4" s="108" t="s">
        <v>144</v>
      </c>
      <c r="AZ4" s="108" t="s">
        <v>145</v>
      </c>
      <c r="BA4" s="96" t="str">
        <f aca="false">IF(LEFT(AY4,1)="V",VLOOKUP(_xlfn.NUMBERVALUE(SUBSTITUTE(AY4,"V","")),B_PARTITE_2A_FASE_PER_NUMERO,10,FALSE()),IF(LEFT(AY4,1)="P",VLOOKUP(_xlfn.NUMBERVALUE(SUBSTITUTE(AY4,"P","")),B_PARTITE_2A_FASE_PER_NUMERO,11,FALSE()),VLOOKUP(AY4,B_CLASSIFICHE_GIRONI,4,FALSE())))</f>
        <v>Pantere</v>
      </c>
      <c r="BB4" s="96" t="str">
        <f aca="false">IF(LEFT(AZ4,1)="V",VLOOKUP(_xlfn.NUMBERVALUE(SUBSTITUTE(AZ4,"V","")),B_PARTITE_2A_FASE_PER_NUMERO,10,FALSE()),IF(LEFT(AZ4,1)="P",VLOOKUP(_xlfn.NUMBERVALUE(SUBSTITUTE(AZ4,"P","")),B_PARTITE_2A_FASE_PER_NUMERO,11,FALSE()),VLOOKUP(AZ4,B_CLASSIFICHE_GIRONI,4,FALSE())))</f>
        <v>Giraffe</v>
      </c>
      <c r="BC4" s="44" t="n">
        <f aca="false">VLOOKUP(AV4,A_5_INPUT_DATE_E_RISULTATI_2A_FASE,6,0)</f>
        <v>55</v>
      </c>
      <c r="BD4" s="44" t="n">
        <f aca="false">VLOOKUP(AV4,A_5_INPUT_DATE_E_RISULTATI_2A_FASE,7,0)</f>
        <v>36</v>
      </c>
      <c r="BE4" s="96" t="str">
        <f aca="false">IF(BC4&gt;BD4,BA4,BB4)</f>
        <v>Pantere</v>
      </c>
      <c r="BF4" s="96" t="str">
        <f aca="false">IF(BC4&lt;BD4,BA4,BB4)</f>
        <v>Giraffe</v>
      </c>
      <c r="BG4" s="44" t="n">
        <f aca="false">1*(BC4&gt;BD4)</f>
        <v>1</v>
      </c>
      <c r="BH4" s="97" t="n">
        <f aca="false">1*(BC4&lt;BD4)*NOT(AND(BC4=0,BD4=20))</f>
        <v>0</v>
      </c>
      <c r="BI4" s="97" t="n">
        <f aca="false">1*AND(BC4=0,BD4=20)</f>
        <v>0</v>
      </c>
      <c r="BJ4" s="44" t="n">
        <f aca="false">BC4</f>
        <v>55</v>
      </c>
      <c r="BK4" s="44" t="n">
        <f aca="false">BD4</f>
        <v>36</v>
      </c>
      <c r="BL4" s="98" t="n">
        <f aca="false">BJ4-BK4</f>
        <v>19</v>
      </c>
      <c r="BM4" s="44" t="n">
        <f aca="false">1*(BD4&gt;BC4)</f>
        <v>0</v>
      </c>
      <c r="BN4" s="44" t="n">
        <f aca="false">1*(BD4&lt;BC4)*NOT(AND(BC4=20,BD4=0))</f>
        <v>1</v>
      </c>
      <c r="BO4" s="44" t="n">
        <f aca="false">1*AND(BC4=20,BD4=0)</f>
        <v>0</v>
      </c>
      <c r="BP4" s="44" t="n">
        <f aca="false">BD4</f>
        <v>36</v>
      </c>
      <c r="BQ4" s="44" t="n">
        <f aca="false">BC4</f>
        <v>55</v>
      </c>
      <c r="BR4" s="99" t="n">
        <f aca="false">BP4-BQ4</f>
        <v>-19</v>
      </c>
    </row>
    <row r="5" customFormat="false" ht="12.8" hidden="false" customHeight="false" outlineLevel="0" collapsed="false">
      <c r="A5" s="32" t="n">
        <v>25</v>
      </c>
      <c r="B5" s="34" t="s">
        <v>10</v>
      </c>
      <c r="C5" s="34" t="s">
        <v>26</v>
      </c>
      <c r="D5" s="44" t="s">
        <v>135</v>
      </c>
      <c r="E5" s="44" t="s">
        <v>146</v>
      </c>
      <c r="F5" s="96" t="str">
        <f aca="false">IF(B5="Girone",VLOOKUP(D5,A_SQUADRE_PER_CODICE,2),"ERRORE!")</f>
        <v>Leoni</v>
      </c>
      <c r="G5" s="96" t="str">
        <f aca="false">IF(B5="Girone",VLOOKUP(E5,A_SQUADRE_PER_CODICE,2),"ERRORE!")</f>
        <v>Ghepardi</v>
      </c>
      <c r="H5" s="44" t="n">
        <f aca="false">VLOOKUP(A5,A_4_INPUT_DATE_E_RISULTATI_GIRONI,6,0)</f>
        <v>82</v>
      </c>
      <c r="I5" s="44" t="n">
        <f aca="false">VLOOKUP(A5,A_4_INPUT_DATE_E_RISULTATI_GIRONI,7,0)</f>
        <v>25</v>
      </c>
      <c r="J5" s="96" t="str">
        <f aca="false">IF(H5&gt;I5,F5,G5)</f>
        <v>Leoni</v>
      </c>
      <c r="K5" s="96" t="str">
        <f aca="false">IF(H5&lt;I5,F5,G5)</f>
        <v>Ghepardi</v>
      </c>
      <c r="L5" s="44" t="n">
        <f aca="false">1*(H5&gt;I5)</f>
        <v>1</v>
      </c>
      <c r="M5" s="97" t="n">
        <f aca="false">1*(H5&lt;I5)*NOT(AND(H5=0,I5=20))</f>
        <v>0</v>
      </c>
      <c r="N5" s="97" t="n">
        <f aca="false">1*AND(H5=0,I5=20)</f>
        <v>0</v>
      </c>
      <c r="O5" s="44" t="n">
        <f aca="false">H5</f>
        <v>82</v>
      </c>
      <c r="P5" s="44" t="n">
        <f aca="false">I5</f>
        <v>25</v>
      </c>
      <c r="Q5" s="98" t="n">
        <f aca="false">O5-P5</f>
        <v>57</v>
      </c>
      <c r="R5" s="44" t="n">
        <f aca="false">1*(I5&gt;H5)</f>
        <v>0</v>
      </c>
      <c r="S5" s="44" t="n">
        <f aca="false">1*(I5&lt;H5)*NOT(AND(H5=20,I5=0))</f>
        <v>1</v>
      </c>
      <c r="T5" s="44" t="n">
        <f aca="false">1*AND(H5=20,I5=0)</f>
        <v>0</v>
      </c>
      <c r="U5" s="44" t="n">
        <f aca="false">I5</f>
        <v>25</v>
      </c>
      <c r="V5" s="44" t="n">
        <f aca="false">H5</f>
        <v>82</v>
      </c>
      <c r="W5" s="99" t="n">
        <f aca="false">U5-V5</f>
        <v>-57</v>
      </c>
      <c r="Y5" s="100" t="str">
        <f aca="false">COUNTIF(B_COEFF_GIRONE_A,"&gt;="&amp;AS5)&amp;Z5</f>
        <v>3A</v>
      </c>
      <c r="Z5" s="34" t="s">
        <v>26</v>
      </c>
      <c r="AA5" s="44" t="s">
        <v>142</v>
      </c>
      <c r="AB5" s="101" t="str">
        <f aca="false">VLOOKUP(AA5,A_SQUADRE_PER_CODICE,2)</f>
        <v>Tigri</v>
      </c>
      <c r="AC5" s="44" t="n">
        <f aca="false">AD5+AE5+AF5</f>
        <v>3</v>
      </c>
      <c r="AD5" s="44" t="n">
        <f aca="false">SUMIF(B_SQUADRA_A_GIRONI,AB5,B_VINTE_SQUADRA_A_GIRONI)+SUMIF(B_SQUADRA_B_GIRONI,AB5,B_VINTE_SQUADRA_B_GIRONI)</f>
        <v>1</v>
      </c>
      <c r="AE5" s="44" t="n">
        <f aca="false">SUMIF(B_SQUADRA_A_GIRONI,AB5,B_PERSE_SQUADRA_A_GIRONI)+SUMIF(B_SQUADRA_B_GIRONI,AB5,B_PERSE_SQUADRA_B_GIRONI)</f>
        <v>2</v>
      </c>
      <c r="AF5" s="44" t="n">
        <f aca="false">SUMIF(B_SQUADRA_A_GIRONI,AB5,B_FORFAIT_SQUADRA_A_GIRONI)+SUMIF(B_SQUADRA_B_GIRONI,AB5,B_FORFAIT_SQUADRA_B_GIRONI)</f>
        <v>0</v>
      </c>
      <c r="AG5" s="102" t="n">
        <f aca="false">2*AD5+1*AE5+0*AF5</f>
        <v>4</v>
      </c>
      <c r="AH5" s="103" t="n">
        <f aca="false">SUMIF(B_SQUADRA_A_GIRONI,AB5,B_PUNTI_FATTI_SQUADRA_A_GIRONI)+SUMIF(B_SQUADRA_B_GIRONI,AB5,B_PUNTI_FATTI_SQUADRA_B_GIRONI)</f>
        <v>119</v>
      </c>
      <c r="AI5" s="44" t="n">
        <f aca="false">SUMIF(B_SQUADRA_A_GIRONI,AB5,B_PUNTI_SUBITI_SQUADRA_A_GIRONI)+SUMIF(B_SQUADRA_B_GIRONI,AB5,B_PUNTI_SUBITI_SQUADRA_B_GIRONI)</f>
        <v>234</v>
      </c>
      <c r="AJ5" s="104" t="n">
        <f aca="false">SUMIF(B_SQUADRA_A_GIRONI,AB5,B_DIFF_CANESTRI_SQUADRA_A_GIRONI)+SUMIF(B_SQUADRA_B_GIRONI,AB5,B_DIFF_CANESTRI_SQUADRA_B_GIRONI)</f>
        <v>-115</v>
      </c>
      <c r="AK5" s="44" t="n">
        <f aca="true">IF(AG5=AG6,INDIRECT("O"&amp;8+6*(FIND(Z5,"ABCDEFGH")-1)),0)</f>
        <v>0</v>
      </c>
      <c r="AL5" s="44" t="n">
        <f aca="true">IF(AG5=AG3,INDIRECT("U"&amp;4+6*(FIND(Z5,"ABCDEFGH")-1)),0)</f>
        <v>0</v>
      </c>
      <c r="AM5" s="44" t="n">
        <f aca="true">IF(AG5=AG4,INDIRECT("U"&amp;6+6*(FIND(Z5,"ABCDEFGH")-1)),0)</f>
        <v>0</v>
      </c>
      <c r="AN5" s="103" t="n">
        <f aca="false">AK5+AL5+AM5</f>
        <v>0</v>
      </c>
      <c r="AO5" s="98" t="n">
        <f aca="true">IF(AG5=AG6,INDIRECT("Q"&amp;8+6*(FIND(Z5,"ABCDEFGH")-1)),0)</f>
        <v>0</v>
      </c>
      <c r="AP5" s="98" t="n">
        <f aca="true">IF(AG5=AG3,INDIRECT("W"&amp;4+6*(FIND(Z5,"ABCDEFGH")-1)),0)</f>
        <v>0</v>
      </c>
      <c r="AQ5" s="98" t="n">
        <f aca="true">IF(AG5=AG4,INDIRECT("W"&amp;6+6*(FIND(Z5,"ABCDEFGH")-1)),0)</f>
        <v>0</v>
      </c>
      <c r="AR5" s="104" t="n">
        <f aca="false">AO5+AP5+AQ5</f>
        <v>0</v>
      </c>
      <c r="AS5" s="105" t="n">
        <f aca="false">AG5+(500+AR5)*10^-3+AN5*10^-6+(500+AJ5)*10^-9+AH5*10^-12</f>
        <v>4.500000385119</v>
      </c>
      <c r="AU5" s="106" t="s">
        <v>147</v>
      </c>
      <c r="AV5" s="107" t="n">
        <v>51</v>
      </c>
      <c r="AW5" s="108" t="s">
        <v>138</v>
      </c>
      <c r="AX5" s="109" t="s">
        <v>148</v>
      </c>
      <c r="AY5" s="108" t="s">
        <v>149</v>
      </c>
      <c r="AZ5" s="108" t="s">
        <v>150</v>
      </c>
      <c r="BA5" s="96" t="str">
        <f aca="false">IF(LEFT(AY5,1)="V",VLOOKUP(_xlfn.NUMBERVALUE(SUBSTITUTE(AY5,"V","")),B_PARTITE_2A_FASE_PER_NUMERO,10,FALSE()),IF(LEFT(AY5,1)="P",VLOOKUP(_xlfn.NUMBERVALUE(SUBSTITUTE(AY5,"P","")),B_PARTITE_2A_FASE_PER_NUMERO,11,FALSE()),VLOOKUP(AY5,B_CLASSIFICHE_GIRONI,4,FALSE())))</f>
        <v>Tigri</v>
      </c>
      <c r="BB5" s="96" t="str">
        <f aca="false">IF(LEFT(AZ5,1)="V",VLOOKUP(_xlfn.NUMBERVALUE(SUBSTITUTE(AZ5,"V","")),B_PARTITE_2A_FASE_PER_NUMERO,10,FALSE()),IF(LEFT(AZ5,1)="P",VLOOKUP(_xlfn.NUMBERVALUE(SUBSTITUTE(AZ5,"P","")),B_PARTITE_2A_FASE_PER_NUMERO,11,FALSE()),VLOOKUP(AZ5,B_CLASSIFICHE_GIRONI,4,FALSE())))</f>
        <v>Iguane</v>
      </c>
      <c r="BC5" s="44" t="n">
        <f aca="false">VLOOKUP(AV5,A_5_INPUT_DATE_E_RISULTATI_2A_FASE,6,0)</f>
        <v>56</v>
      </c>
      <c r="BD5" s="44" t="n">
        <f aca="false">VLOOKUP(AV5,A_5_INPUT_DATE_E_RISULTATI_2A_FASE,7,0)</f>
        <v>38</v>
      </c>
      <c r="BE5" s="96" t="str">
        <f aca="false">IF(BC5&gt;BD5,BA5,BB5)</f>
        <v>Tigri</v>
      </c>
      <c r="BF5" s="96" t="str">
        <f aca="false">IF(BC5&lt;BD5,BA5,BB5)</f>
        <v>Iguane</v>
      </c>
      <c r="BG5" s="44" t="n">
        <f aca="false">1*(BC5&gt;BD5)</f>
        <v>1</v>
      </c>
      <c r="BH5" s="97" t="n">
        <f aca="false">1*(BC5&lt;BD5)*NOT(AND(BC5=0,BD5=20))</f>
        <v>0</v>
      </c>
      <c r="BI5" s="97" t="n">
        <f aca="false">1*AND(BC5=0,BD5=20)</f>
        <v>0</v>
      </c>
      <c r="BJ5" s="44" t="n">
        <f aca="false">BC5</f>
        <v>56</v>
      </c>
      <c r="BK5" s="44" t="n">
        <f aca="false">BD5</f>
        <v>38</v>
      </c>
      <c r="BL5" s="98" t="n">
        <f aca="false">BJ5-BK5</f>
        <v>18</v>
      </c>
      <c r="BM5" s="44" t="n">
        <f aca="false">1*(BD5&gt;BC5)</f>
        <v>0</v>
      </c>
      <c r="BN5" s="44" t="n">
        <f aca="false">1*(BD5&lt;BC5)*NOT(AND(BC5=20,BD5=0))</f>
        <v>1</v>
      </c>
      <c r="BO5" s="44" t="n">
        <f aca="false">1*AND(BC5=20,BD5=0)</f>
        <v>0</v>
      </c>
      <c r="BP5" s="44" t="n">
        <f aca="false">BD5</f>
        <v>38</v>
      </c>
      <c r="BQ5" s="44" t="n">
        <f aca="false">BC5</f>
        <v>56</v>
      </c>
      <c r="BR5" s="99" t="n">
        <f aca="false">BP5-BQ5</f>
        <v>-18</v>
      </c>
    </row>
    <row r="6" customFormat="false" ht="12.8" hidden="false" customHeight="false" outlineLevel="0" collapsed="false">
      <c r="A6" s="32" t="n">
        <v>37</v>
      </c>
      <c r="B6" s="34" t="s">
        <v>10</v>
      </c>
      <c r="C6" s="34" t="s">
        <v>26</v>
      </c>
      <c r="D6" s="44" t="s">
        <v>136</v>
      </c>
      <c r="E6" s="44" t="s">
        <v>142</v>
      </c>
      <c r="F6" s="96" t="str">
        <f aca="false">IF(B6="Girone",VLOOKUP(D6,A_SQUADRE_PER_CODICE,2),"ERRORE!")</f>
        <v>Pantere</v>
      </c>
      <c r="G6" s="96" t="str">
        <f aca="false">IF(B6="Girone",VLOOKUP(E6,A_SQUADRE_PER_CODICE,2),"ERRORE!")</f>
        <v>Tigri</v>
      </c>
      <c r="H6" s="44" t="n">
        <f aca="false">VLOOKUP(A6,A_4_INPUT_DATE_E_RISULTATI_GIRONI,6,0)</f>
        <v>93</v>
      </c>
      <c r="I6" s="44" t="n">
        <f aca="false">VLOOKUP(A6,A_4_INPUT_DATE_E_RISULTATI_GIRONI,7,0)</f>
        <v>30</v>
      </c>
      <c r="J6" s="96" t="str">
        <f aca="false">IF(H6&gt;I6,F6,G6)</f>
        <v>Pantere</v>
      </c>
      <c r="K6" s="96" t="str">
        <f aca="false">IF(H6&lt;I6,F6,G6)</f>
        <v>Tigri</v>
      </c>
      <c r="L6" s="44" t="n">
        <f aca="false">1*(H6&gt;I6)</f>
        <v>1</v>
      </c>
      <c r="M6" s="97" t="n">
        <f aca="false">1*(H6&lt;I6)*NOT(AND(H6=0,I6=20))</f>
        <v>0</v>
      </c>
      <c r="N6" s="97" t="n">
        <f aca="false">1*AND(H6=0,I6=20)</f>
        <v>0</v>
      </c>
      <c r="O6" s="44" t="n">
        <f aca="false">H6</f>
        <v>93</v>
      </c>
      <c r="P6" s="44" t="n">
        <f aca="false">I6</f>
        <v>30</v>
      </c>
      <c r="Q6" s="98" t="n">
        <f aca="false">O6-P6</f>
        <v>63</v>
      </c>
      <c r="R6" s="44" t="n">
        <f aca="false">1*(I6&gt;H6)</f>
        <v>0</v>
      </c>
      <c r="S6" s="44" t="n">
        <f aca="false">1*(I6&lt;H6)*NOT(AND(H6=20,I6=0))</f>
        <v>1</v>
      </c>
      <c r="T6" s="44" t="n">
        <f aca="false">1*AND(H6=20,I6=0)</f>
        <v>0</v>
      </c>
      <c r="U6" s="44" t="n">
        <f aca="false">I6</f>
        <v>30</v>
      </c>
      <c r="V6" s="44" t="n">
        <f aca="false">H6</f>
        <v>93</v>
      </c>
      <c r="W6" s="99" t="n">
        <f aca="false">U6-V6</f>
        <v>-63</v>
      </c>
      <c r="Y6" s="100" t="str">
        <f aca="false">COUNTIF(B_COEFF_GIRONE_A,"&gt;="&amp;AS6)&amp;Z6</f>
        <v>4A</v>
      </c>
      <c r="Z6" s="34" t="s">
        <v>26</v>
      </c>
      <c r="AA6" s="44" t="s">
        <v>146</v>
      </c>
      <c r="AB6" s="101" t="str">
        <f aca="false">VLOOKUP(AA6,A_SQUADRE_PER_CODICE,2)</f>
        <v>Ghepardi</v>
      </c>
      <c r="AC6" s="44" t="n">
        <f aca="false">AD6+AE6+AF6</f>
        <v>3</v>
      </c>
      <c r="AD6" s="44" t="n">
        <f aca="false">SUMIF(B_SQUADRA_A_GIRONI,AB6,B_VINTE_SQUADRA_A_GIRONI)+SUMIF(B_SQUADRA_B_GIRONI,AB6,B_VINTE_SQUADRA_B_GIRONI)</f>
        <v>0</v>
      </c>
      <c r="AE6" s="44" t="n">
        <f aca="false">SUMIF(B_SQUADRA_A_GIRONI,AB6,B_PERSE_SQUADRA_A_GIRONI)+SUMIF(B_SQUADRA_B_GIRONI,AB6,B_PERSE_SQUADRA_B_GIRONI)</f>
        <v>3</v>
      </c>
      <c r="AF6" s="44" t="n">
        <f aca="false">SUMIF(B_SQUADRA_A_GIRONI,AB6,B_FORFAIT_SQUADRA_A_GIRONI)+SUMIF(B_SQUADRA_B_GIRONI,AB6,B_FORFAIT_SQUADRA_B_GIRONI)</f>
        <v>0</v>
      </c>
      <c r="AG6" s="102" t="n">
        <f aca="false">2*AD6+1*AE6+0*AF6</f>
        <v>3</v>
      </c>
      <c r="AH6" s="103" t="n">
        <f aca="false">SUMIF(B_SQUADRA_A_GIRONI,AB6,B_PUNTI_FATTI_SQUADRA_A_GIRONI)+SUMIF(B_SQUADRA_B_GIRONI,AB6,B_PUNTI_FATTI_SQUADRA_B_GIRONI)</f>
        <v>97</v>
      </c>
      <c r="AI6" s="44" t="n">
        <f aca="false">SUMIF(B_SQUADRA_A_GIRONI,AB6,B_PUNTI_SUBITI_SQUADRA_A_GIRONI)+SUMIF(B_SQUADRA_B_GIRONI,AB6,B_PUNTI_SUBITI_SQUADRA_B_GIRONI)</f>
        <v>206</v>
      </c>
      <c r="AJ6" s="104" t="n">
        <f aca="false">SUMIF(B_SQUADRA_A_GIRONI,AB6,B_DIFF_CANESTRI_SQUADRA_A_GIRONI)+SUMIF(B_SQUADRA_B_GIRONI,AB6,B_DIFF_CANESTRI_SQUADRA_B_GIRONI)</f>
        <v>-109</v>
      </c>
      <c r="AK6" s="44" t="n">
        <f aca="true">IF(AG6=AG3,INDIRECT("U"&amp;5+6*(FIND(Z6,"ABCDEFGH")-1)),0)</f>
        <v>0</v>
      </c>
      <c r="AL6" s="44" t="n">
        <f aca="true">IF(AG6=AG4,INDIRECT("U"&amp;7+6*(FIND(Z6,"ABCDEFGH")-1)),0)</f>
        <v>0</v>
      </c>
      <c r="AM6" s="44" t="n">
        <f aca="true">IF(AG6=AG5,INDIRECT("U"&amp;8+6*(FIND(Z6,"ABCDEFGH")-1)),0)</f>
        <v>0</v>
      </c>
      <c r="AN6" s="103" t="n">
        <f aca="false">AK6+AL6+AM6</f>
        <v>0</v>
      </c>
      <c r="AO6" s="98" t="n">
        <f aca="true">IF(AG6=AG3,INDIRECT("W"&amp;5+6*(FIND(Z6,"ABCDEFGH")-1)),0)</f>
        <v>0</v>
      </c>
      <c r="AP6" s="98" t="n">
        <f aca="true">IF(AG6=AG4,INDIRECT("W"&amp;7+6*(FIND(Z6,"ABCDEFGH")-1)),0)</f>
        <v>0</v>
      </c>
      <c r="AQ6" s="98" t="n">
        <f aca="true">IF(AG6=AG5,INDIRECT("W"&amp;8+6*(FIND(Z6,"ABCDEFGH")-1)),0)</f>
        <v>0</v>
      </c>
      <c r="AR6" s="104" t="n">
        <f aca="false">AO6+AP6+AQ6</f>
        <v>0</v>
      </c>
      <c r="AS6" s="105" t="n">
        <f aca="false">AG6+(500+AR6)*10^-3+AN6*10^-6+(500+AJ6)*10^-9+AH6*10^-12</f>
        <v>3.500000391097</v>
      </c>
      <c r="AU6" s="106" t="s">
        <v>151</v>
      </c>
      <c r="AV6" s="107" t="n">
        <v>52</v>
      </c>
      <c r="AW6" s="108" t="s">
        <v>138</v>
      </c>
      <c r="AX6" s="109" t="s">
        <v>148</v>
      </c>
      <c r="AY6" s="108" t="s">
        <v>152</v>
      </c>
      <c r="AZ6" s="108" t="s">
        <v>153</v>
      </c>
      <c r="BA6" s="96" t="str">
        <f aca="false">IF(LEFT(AY6,1)="V",VLOOKUP(_xlfn.NUMBERVALUE(SUBSTITUTE(AY6,"V","")),B_PARTITE_2A_FASE_PER_NUMERO,10,FALSE()),IF(LEFT(AY6,1)="P",VLOOKUP(_xlfn.NUMBERVALUE(SUBSTITUTE(AY6,"P","")),B_PARTITE_2A_FASE_PER_NUMERO,11,FALSE()),VLOOKUP(AY6,B_CLASSIFICHE_GIRONI,4,FALSE())))</f>
        <v>Ippopotami</v>
      </c>
      <c r="BB6" s="96" t="str">
        <f aca="false">IF(LEFT(AZ6,1)="V",VLOOKUP(_xlfn.NUMBERVALUE(SUBSTITUTE(AZ6,"V","")),B_PARTITE_2A_FASE_PER_NUMERO,10,FALSE()),IF(LEFT(AZ6,1)="P",VLOOKUP(_xlfn.NUMBERVALUE(SUBSTITUTE(AZ6,"P","")),B_PARTITE_2A_FASE_PER_NUMERO,11,FALSE()),VLOOKUP(AZ6,B_CLASSIFICHE_GIRONI,4,FALSE())))</f>
        <v>Ghepardi</v>
      </c>
      <c r="BC6" s="44" t="n">
        <f aca="false">VLOOKUP(AV6,A_5_INPUT_DATE_E_RISULTATI_2A_FASE,6,0)</f>
        <v>56</v>
      </c>
      <c r="BD6" s="44" t="n">
        <f aca="false">VLOOKUP(AV6,A_5_INPUT_DATE_E_RISULTATI_2A_FASE,7,0)</f>
        <v>43</v>
      </c>
      <c r="BE6" s="96" t="str">
        <f aca="false">IF(BC6&gt;BD6,BA6,BB6)</f>
        <v>Ippopotami</v>
      </c>
      <c r="BF6" s="96" t="str">
        <f aca="false">IF(BC6&lt;BD6,BA6,BB6)</f>
        <v>Ghepardi</v>
      </c>
      <c r="BG6" s="44" t="n">
        <f aca="false">1*(BC6&gt;BD6)</f>
        <v>1</v>
      </c>
      <c r="BH6" s="97" t="n">
        <f aca="false">1*(BC6&lt;BD6)*NOT(AND(BC6=0,BD6=20))</f>
        <v>0</v>
      </c>
      <c r="BI6" s="97" t="n">
        <f aca="false">1*AND(BC6=0,BD6=20)</f>
        <v>0</v>
      </c>
      <c r="BJ6" s="44" t="n">
        <f aca="false">BC6</f>
        <v>56</v>
      </c>
      <c r="BK6" s="44" t="n">
        <f aca="false">BD6</f>
        <v>43</v>
      </c>
      <c r="BL6" s="98" t="n">
        <f aca="false">BJ6-BK6</f>
        <v>13</v>
      </c>
      <c r="BM6" s="44" t="n">
        <f aca="false">1*(BD6&gt;BC6)</f>
        <v>0</v>
      </c>
      <c r="BN6" s="44" t="n">
        <f aca="false">1*(BD6&lt;BC6)*NOT(AND(BC6=20,BD6=0))</f>
        <v>1</v>
      </c>
      <c r="BO6" s="44" t="n">
        <f aca="false">1*AND(BC6=20,BD6=0)</f>
        <v>0</v>
      </c>
      <c r="BP6" s="44" t="n">
        <f aca="false">BD6</f>
        <v>43</v>
      </c>
      <c r="BQ6" s="44" t="n">
        <f aca="false">BC6</f>
        <v>56</v>
      </c>
      <c r="BR6" s="99" t="n">
        <f aca="false">BP6-BQ6</f>
        <v>-13</v>
      </c>
    </row>
    <row r="7" customFormat="false" ht="12.8" hidden="false" customHeight="false" outlineLevel="0" collapsed="false">
      <c r="A7" s="32" t="n">
        <v>13</v>
      </c>
      <c r="B7" s="34" t="s">
        <v>10</v>
      </c>
      <c r="C7" s="34" t="s">
        <v>26</v>
      </c>
      <c r="D7" s="44" t="s">
        <v>136</v>
      </c>
      <c r="E7" s="44" t="s">
        <v>146</v>
      </c>
      <c r="F7" s="96" t="str">
        <f aca="false">IF(B7="Girone",VLOOKUP(D7,A_SQUADRE_PER_CODICE,2),"ERRORE!")</f>
        <v>Pantere</v>
      </c>
      <c r="G7" s="96" t="str">
        <f aca="false">IF(B7="Girone",VLOOKUP(E7,A_SQUADRE_PER_CODICE,2),"ERRORE!")</f>
        <v>Ghepardi</v>
      </c>
      <c r="H7" s="44" t="n">
        <f aca="false">VLOOKUP(A7,A_4_INPUT_DATE_E_RISULTATI_GIRONI,6,0)</f>
        <v>57</v>
      </c>
      <c r="I7" s="44" t="n">
        <f aca="false">VLOOKUP(A7,A_4_INPUT_DATE_E_RISULTATI_GIRONI,7,0)</f>
        <v>21</v>
      </c>
      <c r="J7" s="96" t="str">
        <f aca="false">IF(H7&gt;I7,F7,G7)</f>
        <v>Pantere</v>
      </c>
      <c r="K7" s="96" t="str">
        <f aca="false">IF(H7&lt;I7,F7,G7)</f>
        <v>Ghepardi</v>
      </c>
      <c r="L7" s="44" t="n">
        <f aca="false">1*(H7&gt;I7)</f>
        <v>1</v>
      </c>
      <c r="M7" s="97" t="n">
        <f aca="false">1*(H7&lt;I7)*NOT(AND(H7=0,I7=20))</f>
        <v>0</v>
      </c>
      <c r="N7" s="97" t="n">
        <f aca="false">1*AND(H7=0,I7=20)</f>
        <v>0</v>
      </c>
      <c r="O7" s="44" t="n">
        <f aca="false">H7</f>
        <v>57</v>
      </c>
      <c r="P7" s="44" t="n">
        <f aca="false">I7</f>
        <v>21</v>
      </c>
      <c r="Q7" s="98" t="n">
        <f aca="false">O7-P7</f>
        <v>36</v>
      </c>
      <c r="R7" s="44" t="n">
        <f aca="false">1*(I7&gt;H7)</f>
        <v>0</v>
      </c>
      <c r="S7" s="44" t="n">
        <f aca="false">1*(I7&lt;H7)*NOT(AND(H7=20,I7=0))</f>
        <v>1</v>
      </c>
      <c r="T7" s="44" t="n">
        <f aca="false">1*AND(H7=20,I7=0)</f>
        <v>0</v>
      </c>
      <c r="U7" s="44" t="n">
        <f aca="false">I7</f>
        <v>21</v>
      </c>
      <c r="V7" s="44" t="n">
        <f aca="false">H7</f>
        <v>57</v>
      </c>
      <c r="W7" s="99" t="n">
        <f aca="false">U7-V7</f>
        <v>-36</v>
      </c>
      <c r="Y7" s="110" t="str">
        <f aca="false">COUNTIF(B_COEFF_GIRONE_B,"&gt;="&amp;AS7)&amp;Z7</f>
        <v>1B</v>
      </c>
      <c r="Z7" s="111" t="s">
        <v>36</v>
      </c>
      <c r="AA7" s="111" t="s">
        <v>154</v>
      </c>
      <c r="AB7" s="112" t="str">
        <f aca="false">VLOOKUP(AA7,A_SQUADRE_PER_CODICE,2)</f>
        <v>Giaguari</v>
      </c>
      <c r="AC7" s="111" t="n">
        <f aca="false">AD7+AE7+AF7</f>
        <v>3</v>
      </c>
      <c r="AD7" s="111" t="n">
        <f aca="false">SUMIF(B_SQUADRA_A_GIRONI,AB7,B_VINTE_SQUADRA_A_GIRONI)+SUMIF(B_SQUADRA_B_GIRONI,AB7,B_VINTE_SQUADRA_B_GIRONI)</f>
        <v>2</v>
      </c>
      <c r="AE7" s="111" t="n">
        <f aca="false">SUMIF(B_SQUADRA_A_GIRONI,AB7,B_PERSE_SQUADRA_A_GIRONI)+SUMIF(B_SQUADRA_B_GIRONI,AB7,B_PERSE_SQUADRA_B_GIRONI)</f>
        <v>1</v>
      </c>
      <c r="AF7" s="111" t="n">
        <f aca="false">SUMIF(B_SQUADRA_A_GIRONI,AB7,B_FORFAIT_SQUADRA_A_GIRONI)+SUMIF(B_SQUADRA_B_GIRONI,AB7,B_FORFAIT_SQUADRA_B_GIRONI)</f>
        <v>0</v>
      </c>
      <c r="AG7" s="113" t="n">
        <f aca="false">2*AD7+1*AE7+0*AF7</f>
        <v>5</v>
      </c>
      <c r="AH7" s="114" t="n">
        <f aca="false">SUMIF(B_SQUADRA_A_GIRONI,AB7,B_PUNTI_FATTI_SQUADRA_A_GIRONI)+SUMIF(B_SQUADRA_B_GIRONI,AB7,B_PUNTI_FATTI_SQUADRA_B_GIRONI)</f>
        <v>232</v>
      </c>
      <c r="AI7" s="111" t="n">
        <f aca="false">SUMIF(B_SQUADRA_A_GIRONI,AB7,B_PUNTI_SUBITI_SQUADRA_A_GIRONI)+SUMIF(B_SQUADRA_B_GIRONI,AB7,B_PUNTI_SUBITI_SQUADRA_B_GIRONI)</f>
        <v>192</v>
      </c>
      <c r="AJ7" s="115" t="n">
        <f aca="false">SUMIF(B_SQUADRA_A_GIRONI,AB7,B_DIFF_CANESTRI_SQUADRA_A_GIRONI)+SUMIF(B_SQUADRA_B_GIRONI,AB7,B_DIFF_CANESTRI_SQUADRA_B_GIRONI)</f>
        <v>40</v>
      </c>
      <c r="AK7" s="111" t="n">
        <f aca="true">IF(AG7=AG8,INDIRECT("O"&amp;3+6*(FIND(Z7,"ABCDEFGH")-1)),0)</f>
        <v>100</v>
      </c>
      <c r="AL7" s="116" t="n">
        <f aca="true">IF(AG7=AG9,INDIRECT("O"&amp;4+6*(FIND(Z7,"ABCDEFGH")-1)),0)</f>
        <v>0</v>
      </c>
      <c r="AM7" s="111" t="n">
        <f aca="true">IF(AG7=AG10,INDIRECT("O"&amp;5+6*(FIND(Z7,"ABCDEFGH")-1)),0)</f>
        <v>0</v>
      </c>
      <c r="AN7" s="114" t="n">
        <f aca="false">AK7+AL7+AM7</f>
        <v>100</v>
      </c>
      <c r="AO7" s="117" t="n">
        <f aca="true">IF(AG7=AG8,INDIRECT("Q"&amp;3+6*(FIND(Z7,"ABCDEFGH")-1)),0)</f>
        <v>49</v>
      </c>
      <c r="AP7" s="117" t="n">
        <f aca="true">IF(AG7=AG9,INDIRECT("Q"&amp;4+6*(FIND(Z7,"ABCDEFGH")-1)),0)</f>
        <v>0</v>
      </c>
      <c r="AQ7" s="117" t="n">
        <f aca="true">IF(AG7=AG10,INDIRECT("Q"&amp;5+6*(FIND(Z7,"ABCDEFGH")-1)),0)</f>
        <v>0</v>
      </c>
      <c r="AR7" s="115" t="n">
        <f aca="false">AO7+AP7+AQ7</f>
        <v>49</v>
      </c>
      <c r="AS7" s="118" t="n">
        <f aca="false">AG7+(500+AR7)*10^-3+AN7*10^-6+(500+AJ7)*10^-9+AH7*10^-12</f>
        <v>5.549100540232</v>
      </c>
      <c r="AU7" s="106" t="s">
        <v>155</v>
      </c>
      <c r="AV7" s="107" t="n">
        <v>53</v>
      </c>
      <c r="AW7" s="108" t="s">
        <v>138</v>
      </c>
      <c r="AX7" s="109" t="s">
        <v>139</v>
      </c>
      <c r="AY7" s="108" t="s">
        <v>156</v>
      </c>
      <c r="AZ7" s="108" t="s">
        <v>157</v>
      </c>
      <c r="BA7" s="96" t="str">
        <f aca="false">IF(LEFT(AY7,1)="V",VLOOKUP(_xlfn.NUMBERVALUE(SUBSTITUTE(AY7,"V","")),B_PARTITE_2A_FASE_PER_NUMERO,10,FALSE()),IF(LEFT(AY7,1)="P",VLOOKUP(_xlfn.NUMBERVALUE(SUBSTITUTE(AY7,"P","")),B_PARTITE_2A_FASE_PER_NUMERO,11,FALSE()),VLOOKUP(AY7,B_CLASSIFICHE_GIRONI,4,FALSE())))</f>
        <v>Giaguari</v>
      </c>
      <c r="BB7" s="96" t="str">
        <f aca="false">IF(LEFT(AZ7,1)="V",VLOOKUP(_xlfn.NUMBERVALUE(SUBSTITUTE(AZ7,"V","")),B_PARTITE_2A_FASE_PER_NUMERO,10,FALSE()),IF(LEFT(AZ7,1)="P",VLOOKUP(_xlfn.NUMBERVALUE(SUBSTITUTE(AZ7,"P","")),B_PARTITE_2A_FASE_PER_NUMERO,11,FALSE()),VLOOKUP(AZ7,B_CLASSIFICHE_GIRONI,4,FALSE())))</f>
        <v>Aquile</v>
      </c>
      <c r="BC7" s="44" t="n">
        <f aca="false">VLOOKUP(AV7,A_5_INPUT_DATE_E_RISULTATI_2A_FASE,6,0)</f>
        <v>52</v>
      </c>
      <c r="BD7" s="44" t="n">
        <f aca="false">VLOOKUP(AV7,A_5_INPUT_DATE_E_RISULTATI_2A_FASE,7,0)</f>
        <v>43</v>
      </c>
      <c r="BE7" s="96" t="str">
        <f aca="false">IF(BC7&gt;BD7,BA7,BB7)</f>
        <v>Giaguari</v>
      </c>
      <c r="BF7" s="96" t="str">
        <f aca="false">IF(BC7&lt;BD7,BA7,BB7)</f>
        <v>Aquile</v>
      </c>
      <c r="BG7" s="44" t="n">
        <f aca="false">1*(BC7&gt;BD7)</f>
        <v>1</v>
      </c>
      <c r="BH7" s="97" t="n">
        <f aca="false">1*(BC7&lt;BD7)*NOT(AND(BC7=0,BD7=20))</f>
        <v>0</v>
      </c>
      <c r="BI7" s="97" t="n">
        <f aca="false">1*AND(BC7=0,BD7=20)</f>
        <v>0</v>
      </c>
      <c r="BJ7" s="44" t="n">
        <f aca="false">BC7</f>
        <v>52</v>
      </c>
      <c r="BK7" s="44" t="n">
        <f aca="false">BD7</f>
        <v>43</v>
      </c>
      <c r="BL7" s="98" t="n">
        <f aca="false">BJ7-BK7</f>
        <v>9</v>
      </c>
      <c r="BM7" s="44" t="n">
        <f aca="false">1*(BD7&gt;BC7)</f>
        <v>0</v>
      </c>
      <c r="BN7" s="44" t="n">
        <f aca="false">1*(BD7&lt;BC7)*NOT(AND(BC7=20,BD7=0))</f>
        <v>1</v>
      </c>
      <c r="BO7" s="44" t="n">
        <f aca="false">1*AND(BC7=20,BD7=0)</f>
        <v>0</v>
      </c>
      <c r="BP7" s="44" t="n">
        <f aca="false">BD7</f>
        <v>43</v>
      </c>
      <c r="BQ7" s="44" t="n">
        <f aca="false">BC7</f>
        <v>52</v>
      </c>
      <c r="BR7" s="99" t="n">
        <f aca="false">BP7-BQ7</f>
        <v>-9</v>
      </c>
    </row>
    <row r="8" customFormat="false" ht="12.8" hidden="false" customHeight="false" outlineLevel="0" collapsed="false">
      <c r="A8" s="32" t="n">
        <v>2</v>
      </c>
      <c r="B8" s="34" t="s">
        <v>10</v>
      </c>
      <c r="C8" s="34" t="s">
        <v>26</v>
      </c>
      <c r="D8" s="44" t="s">
        <v>142</v>
      </c>
      <c r="E8" s="44" t="s">
        <v>146</v>
      </c>
      <c r="F8" s="96" t="str">
        <f aca="false">IF(B8="Girone",VLOOKUP(D8,A_SQUADRE_PER_CODICE,2),"ERRORE!")</f>
        <v>Tigri</v>
      </c>
      <c r="G8" s="96" t="str">
        <f aca="false">IF(B8="Girone",VLOOKUP(E8,A_SQUADRE_PER_CODICE,2),"ERRORE!")</f>
        <v>Ghepardi</v>
      </c>
      <c r="H8" s="44" t="n">
        <f aca="false">VLOOKUP(A8,A_4_INPUT_DATE_E_RISULTATI_GIRONI,6,0)</f>
        <v>67</v>
      </c>
      <c r="I8" s="44" t="n">
        <f aca="false">VLOOKUP(A8,A_4_INPUT_DATE_E_RISULTATI_GIRONI,7,0)</f>
        <v>51</v>
      </c>
      <c r="J8" s="96" t="str">
        <f aca="false">IF(H8&gt;I8,F8,G8)</f>
        <v>Tigri</v>
      </c>
      <c r="K8" s="96" t="str">
        <f aca="false">IF(H8&lt;I8,F8,G8)</f>
        <v>Ghepardi</v>
      </c>
      <c r="L8" s="44" t="n">
        <f aca="false">1*(H8&gt;I8)</f>
        <v>1</v>
      </c>
      <c r="M8" s="97" t="n">
        <f aca="false">1*(H8&lt;I8)*NOT(AND(H8=0,I8=20))</f>
        <v>0</v>
      </c>
      <c r="N8" s="97" t="n">
        <f aca="false">1*AND(H8=0,I8=20)</f>
        <v>0</v>
      </c>
      <c r="O8" s="44" t="n">
        <f aca="false">H8</f>
        <v>67</v>
      </c>
      <c r="P8" s="44" t="n">
        <f aca="false">I8</f>
        <v>51</v>
      </c>
      <c r="Q8" s="98" t="n">
        <f aca="false">O8-P8</f>
        <v>16</v>
      </c>
      <c r="R8" s="44" t="n">
        <f aca="false">1*(I8&gt;H8)</f>
        <v>0</v>
      </c>
      <c r="S8" s="44" t="n">
        <f aca="false">1*(I8&lt;H8)*NOT(AND(H8=20,I8=0))</f>
        <v>1</v>
      </c>
      <c r="T8" s="44" t="n">
        <f aca="false">1*AND(H8=20,I8=0)</f>
        <v>0</v>
      </c>
      <c r="U8" s="44" t="n">
        <f aca="false">I8</f>
        <v>51</v>
      </c>
      <c r="V8" s="44" t="n">
        <f aca="false">H8</f>
        <v>67</v>
      </c>
      <c r="W8" s="99" t="n">
        <f aca="false">U8-V8</f>
        <v>-16</v>
      </c>
      <c r="Y8" s="100" t="str">
        <f aca="false">COUNTIF(B_COEFF_GIRONE_B,"&gt;="&amp;AS8)&amp;Z8</f>
        <v>2B</v>
      </c>
      <c r="Z8" s="34" t="s">
        <v>36</v>
      </c>
      <c r="AA8" s="44" t="s">
        <v>158</v>
      </c>
      <c r="AB8" s="101" t="str">
        <f aca="false">VLOOKUP(AA8,A_SQUADRE_PER_CODICE,2)</f>
        <v>Puma</v>
      </c>
      <c r="AC8" s="44" t="n">
        <f aca="false">AD8+AE8+AF8</f>
        <v>3</v>
      </c>
      <c r="AD8" s="44" t="n">
        <f aca="false">SUMIF(B_SQUADRA_A_GIRONI,AB8,B_VINTE_SQUADRA_A_GIRONI)+SUMIF(B_SQUADRA_B_GIRONI,AB8,B_VINTE_SQUADRA_B_GIRONI)</f>
        <v>2</v>
      </c>
      <c r="AE8" s="44" t="n">
        <f aca="false">SUMIF(B_SQUADRA_A_GIRONI,AB8,B_PERSE_SQUADRA_A_GIRONI)+SUMIF(B_SQUADRA_B_GIRONI,AB8,B_PERSE_SQUADRA_B_GIRONI)</f>
        <v>1</v>
      </c>
      <c r="AF8" s="44" t="n">
        <f aca="false">SUMIF(B_SQUADRA_A_GIRONI,AB8,B_FORFAIT_SQUADRA_A_GIRONI)+SUMIF(B_SQUADRA_B_GIRONI,AB8,B_FORFAIT_SQUADRA_B_GIRONI)</f>
        <v>0</v>
      </c>
      <c r="AG8" s="102" t="n">
        <f aca="false">2*AD8+1*AE8+0*AF8</f>
        <v>5</v>
      </c>
      <c r="AH8" s="103" t="n">
        <f aca="false">SUMIF(B_SQUADRA_A_GIRONI,AB8,B_PUNTI_FATTI_SQUADRA_A_GIRONI)+SUMIF(B_SQUADRA_B_GIRONI,AB8,B_PUNTI_FATTI_SQUADRA_B_GIRONI)</f>
        <v>216</v>
      </c>
      <c r="AI8" s="44" t="n">
        <f aca="false">SUMIF(B_SQUADRA_A_GIRONI,AB8,B_PUNTI_SUBITI_SQUADRA_A_GIRONI)+SUMIF(B_SQUADRA_B_GIRONI,AB8,B_PUNTI_SUBITI_SQUADRA_B_GIRONI)</f>
        <v>217</v>
      </c>
      <c r="AJ8" s="104" t="n">
        <f aca="false">SUMIF(B_SQUADRA_A_GIRONI,AB8,B_DIFF_CANESTRI_SQUADRA_A_GIRONI)+SUMIF(B_SQUADRA_B_GIRONI,AB8,B_DIFF_CANESTRI_SQUADRA_B_GIRONI)</f>
        <v>-1</v>
      </c>
      <c r="AK8" s="44" t="n">
        <f aca="true">IF(AG8=AG9,INDIRECT("O"&amp;6+6*(FIND(Z8,"ABCDEFGH")-1)),0)</f>
        <v>0</v>
      </c>
      <c r="AL8" s="44" t="n">
        <f aca="true">IF(AG8=AG10,INDIRECT("O"&amp;7+6*(FIND(Z8,"ABCDEFGH")-1)),0)</f>
        <v>0</v>
      </c>
      <c r="AM8" s="44" t="n">
        <f aca="true">IF(AG8=AG7,INDIRECT("U"&amp;3+6*(FIND(Z8,"ABCDEFGH")-1)),0)</f>
        <v>51</v>
      </c>
      <c r="AN8" s="103" t="n">
        <f aca="false">AK8+AL8+AM8</f>
        <v>51</v>
      </c>
      <c r="AO8" s="98" t="n">
        <f aca="true">IF(AG8=AG9,INDIRECT("Q"&amp;6+6*(FIND(Z8,"ABCDEFGH")-1)),0)</f>
        <v>0</v>
      </c>
      <c r="AP8" s="98" t="n">
        <f aca="true">IF(AG8=AG10,INDIRECT("Q"&amp;7+6*(FIND(Z8,"ABCDEFGH")-1)),0)</f>
        <v>0</v>
      </c>
      <c r="AQ8" s="98" t="n">
        <f aca="true">IF(AG8=AG7,INDIRECT("W"&amp;3+6*(FIND(Z8,"ABCDEFGH")-1)),0)</f>
        <v>-49</v>
      </c>
      <c r="AR8" s="104" t="n">
        <f aca="false">AO8+AP8+AQ8</f>
        <v>-49</v>
      </c>
      <c r="AS8" s="105" t="n">
        <f aca="false">AG8+(500+AR8)*10^-3+AN8*10^-6+(500+AJ8)*10^-9+AH8*10^-12</f>
        <v>5.451051499216</v>
      </c>
      <c r="AU8" s="106" t="s">
        <v>159</v>
      </c>
      <c r="AV8" s="107" t="n">
        <v>54</v>
      </c>
      <c r="AW8" s="108" t="s">
        <v>138</v>
      </c>
      <c r="AX8" s="109" t="s">
        <v>139</v>
      </c>
      <c r="AY8" s="108" t="s">
        <v>160</v>
      </c>
      <c r="AZ8" s="108" t="s">
        <v>161</v>
      </c>
      <c r="BA8" s="96" t="str">
        <f aca="false">IF(LEFT(AY8,1)="V",VLOOKUP(_xlfn.NUMBERVALUE(SUBSTITUTE(AY8,"V","")),B_PARTITE_2A_FASE_PER_NUMERO,10,FALSE()),IF(LEFT(AY8,1)="P",VLOOKUP(_xlfn.NUMBERVALUE(SUBSTITUTE(AY8,"P","")),B_PARTITE_2A_FASE_PER_NUMERO,11,FALSE()),VLOOKUP(AY8,B_CLASSIFICHE_GIRONI,4,FALSE())))</f>
        <v>Coccodrilli</v>
      </c>
      <c r="BB8" s="96" t="str">
        <f aca="false">IF(LEFT(AZ8,1)="V",VLOOKUP(_xlfn.NUMBERVALUE(SUBSTITUTE(AZ8,"V","")),B_PARTITE_2A_FASE_PER_NUMERO,10,FALSE()),IF(LEFT(AZ8,1)="P",VLOOKUP(_xlfn.NUMBERVALUE(SUBSTITUTE(AZ8,"P","")),B_PARTITE_2A_FASE_PER_NUMERO,11,FALSE()),VLOOKUP(AZ8,B_CLASSIFICHE_GIRONI,4,FALSE())))</f>
        <v>Puma</v>
      </c>
      <c r="BC8" s="44" t="n">
        <f aca="false">VLOOKUP(AV8,A_5_INPUT_DATE_E_RISULTATI_2A_FASE,6,0)</f>
        <v>67</v>
      </c>
      <c r="BD8" s="44" t="n">
        <f aca="false">VLOOKUP(AV8,A_5_INPUT_DATE_E_RISULTATI_2A_FASE,7,0)</f>
        <v>34</v>
      </c>
      <c r="BE8" s="96" t="str">
        <f aca="false">IF(BC8&gt;BD8,BA8,BB8)</f>
        <v>Coccodrilli</v>
      </c>
      <c r="BF8" s="96" t="str">
        <f aca="false">IF(BC8&lt;BD8,BA8,BB8)</f>
        <v>Puma</v>
      </c>
      <c r="BG8" s="44" t="n">
        <f aca="false">1*(BC8&gt;BD8)</f>
        <v>1</v>
      </c>
      <c r="BH8" s="97" t="n">
        <f aca="false">1*(BC8&lt;BD8)*NOT(AND(BC8=0,BD8=20))</f>
        <v>0</v>
      </c>
      <c r="BI8" s="97" t="n">
        <f aca="false">1*AND(BC8=0,BD8=20)</f>
        <v>0</v>
      </c>
      <c r="BJ8" s="44" t="n">
        <f aca="false">BC8</f>
        <v>67</v>
      </c>
      <c r="BK8" s="44" t="n">
        <f aca="false">BD8</f>
        <v>34</v>
      </c>
      <c r="BL8" s="98" t="n">
        <f aca="false">BJ8-BK8</f>
        <v>33</v>
      </c>
      <c r="BM8" s="44" t="n">
        <f aca="false">1*(BD8&gt;BC8)</f>
        <v>0</v>
      </c>
      <c r="BN8" s="44" t="n">
        <f aca="false">1*(BD8&lt;BC8)*NOT(AND(BC8=20,BD8=0))</f>
        <v>1</v>
      </c>
      <c r="BO8" s="44" t="n">
        <f aca="false">1*AND(BC8=20,BD8=0)</f>
        <v>0</v>
      </c>
      <c r="BP8" s="44" t="n">
        <f aca="false">BD8</f>
        <v>34</v>
      </c>
      <c r="BQ8" s="44" t="n">
        <f aca="false">BC8</f>
        <v>67</v>
      </c>
      <c r="BR8" s="99" t="n">
        <f aca="false">BP8-BQ8</f>
        <v>-33</v>
      </c>
    </row>
    <row r="9" customFormat="false" ht="12.8" hidden="false" customHeight="false" outlineLevel="0" collapsed="false">
      <c r="A9" s="32" t="n">
        <v>3</v>
      </c>
      <c r="B9" s="34" t="s">
        <v>10</v>
      </c>
      <c r="C9" s="34" t="s">
        <v>36</v>
      </c>
      <c r="D9" s="44" t="s">
        <v>154</v>
      </c>
      <c r="E9" s="44" t="s">
        <v>158</v>
      </c>
      <c r="F9" s="96" t="str">
        <f aca="false">IF(B9="Girone",VLOOKUP(D9,A_SQUADRE_PER_CODICE,2),"ERRORE!")</f>
        <v>Giaguari</v>
      </c>
      <c r="G9" s="96" t="str">
        <f aca="false">IF(B9="Girone",VLOOKUP(E9,A_SQUADRE_PER_CODICE,2),"ERRORE!")</f>
        <v>Puma</v>
      </c>
      <c r="H9" s="44" t="n">
        <f aca="false">VLOOKUP(A9,A_4_INPUT_DATE_E_RISULTATI_GIRONI,6,0)</f>
        <v>100</v>
      </c>
      <c r="I9" s="44" t="n">
        <f aca="false">VLOOKUP(A9,A_4_INPUT_DATE_E_RISULTATI_GIRONI,7,0)</f>
        <v>51</v>
      </c>
      <c r="J9" s="96" t="str">
        <f aca="false">IF(H9&gt;I9,F9,G9)</f>
        <v>Giaguari</v>
      </c>
      <c r="K9" s="96" t="str">
        <f aca="false">IF(H9&lt;I9,F9,G9)</f>
        <v>Puma</v>
      </c>
      <c r="L9" s="44" t="n">
        <f aca="false">1*(H9&gt;I9)</f>
        <v>1</v>
      </c>
      <c r="M9" s="97" t="n">
        <f aca="false">1*(H9&lt;I9)*NOT(AND(H9=0,I9=20))</f>
        <v>0</v>
      </c>
      <c r="N9" s="97" t="n">
        <f aca="false">1*AND(H9=0,I9=20)</f>
        <v>0</v>
      </c>
      <c r="O9" s="44" t="n">
        <f aca="false">H9</f>
        <v>100</v>
      </c>
      <c r="P9" s="44" t="n">
        <f aca="false">I9</f>
        <v>51</v>
      </c>
      <c r="Q9" s="98" t="n">
        <f aca="false">O9-P9</f>
        <v>49</v>
      </c>
      <c r="R9" s="44" t="n">
        <f aca="false">1*(I9&gt;H9)</f>
        <v>0</v>
      </c>
      <c r="S9" s="44" t="n">
        <f aca="false">1*(I9&lt;H9)*NOT(AND(H9=20,I9=0))</f>
        <v>1</v>
      </c>
      <c r="T9" s="44" t="n">
        <f aca="false">1*AND(H9=20,I9=0)</f>
        <v>0</v>
      </c>
      <c r="U9" s="44" t="n">
        <f aca="false">I9</f>
        <v>51</v>
      </c>
      <c r="V9" s="44" t="n">
        <f aca="false">H9</f>
        <v>100</v>
      </c>
      <c r="W9" s="99" t="n">
        <f aca="false">U9-V9</f>
        <v>-49</v>
      </c>
      <c r="Y9" s="100" t="str">
        <f aca="false">COUNTIF(B_COEFF_GIRONE_B,"&gt;="&amp;AS9)&amp;Z9</f>
        <v>3B</v>
      </c>
      <c r="Z9" s="34" t="s">
        <v>36</v>
      </c>
      <c r="AA9" s="44" t="s">
        <v>162</v>
      </c>
      <c r="AB9" s="101" t="str">
        <f aca="false">VLOOKUP(AA9,A_SQUADRE_PER_CODICE,2)</f>
        <v>Linci</v>
      </c>
      <c r="AC9" s="44" t="n">
        <f aca="false">AD9+AE9+AF9</f>
        <v>3</v>
      </c>
      <c r="AD9" s="44" t="n">
        <f aca="false">SUMIF(B_SQUADRA_A_GIRONI,AB9,B_VINTE_SQUADRA_A_GIRONI)+SUMIF(B_SQUADRA_B_GIRONI,AB9,B_VINTE_SQUADRA_B_GIRONI)</f>
        <v>1</v>
      </c>
      <c r="AE9" s="44" t="n">
        <f aca="false">SUMIF(B_SQUADRA_A_GIRONI,AB9,B_PERSE_SQUADRA_A_GIRONI)+SUMIF(B_SQUADRA_B_GIRONI,AB9,B_PERSE_SQUADRA_B_GIRONI)</f>
        <v>2</v>
      </c>
      <c r="AF9" s="44" t="n">
        <f aca="false">SUMIF(B_SQUADRA_A_GIRONI,AB9,B_FORFAIT_SQUADRA_A_GIRONI)+SUMIF(B_SQUADRA_B_GIRONI,AB9,B_FORFAIT_SQUADRA_B_GIRONI)</f>
        <v>0</v>
      </c>
      <c r="AG9" s="102" t="n">
        <f aca="false">2*AD9+1*AE9+0*AF9</f>
        <v>4</v>
      </c>
      <c r="AH9" s="103" t="n">
        <f aca="false">SUMIF(B_SQUADRA_A_GIRONI,AB9,B_PUNTI_FATTI_SQUADRA_A_GIRONI)+SUMIF(B_SQUADRA_B_GIRONI,AB9,B_PUNTI_FATTI_SQUADRA_B_GIRONI)</f>
        <v>215</v>
      </c>
      <c r="AI9" s="44" t="n">
        <f aca="false">SUMIF(B_SQUADRA_A_GIRONI,AB9,B_PUNTI_SUBITI_SQUADRA_A_GIRONI)+SUMIF(B_SQUADRA_B_GIRONI,AB9,B_PUNTI_SUBITI_SQUADRA_B_GIRONI)</f>
        <v>239</v>
      </c>
      <c r="AJ9" s="104" t="n">
        <f aca="false">SUMIF(B_SQUADRA_A_GIRONI,AB9,B_DIFF_CANESTRI_SQUADRA_A_GIRONI)+SUMIF(B_SQUADRA_B_GIRONI,AB9,B_DIFF_CANESTRI_SQUADRA_B_GIRONI)</f>
        <v>-24</v>
      </c>
      <c r="AK9" s="44" t="n">
        <f aca="true">IF(AG9=AG10,INDIRECT("O"&amp;8+6*(FIND(Z9,"ABCDEFGH")-1)),0)</f>
        <v>96</v>
      </c>
      <c r="AL9" s="44" t="n">
        <f aca="true">IF(AG9=AG7,INDIRECT("U"&amp;4+6*(FIND(Z9,"ABCDEFGH")-1)),0)</f>
        <v>0</v>
      </c>
      <c r="AM9" s="44" t="n">
        <f aca="true">IF(AG9=AG8,INDIRECT("U"&amp;6+6*(FIND(Z9,"ABCDEFGH")-1)),0)</f>
        <v>0</v>
      </c>
      <c r="AN9" s="103" t="n">
        <f aca="false">AK9+AL9+AM9</f>
        <v>96</v>
      </c>
      <c r="AO9" s="98" t="n">
        <f aca="true">IF(AG9=AG10,INDIRECT("Q"&amp;8+6*(FIND(Z9,"ABCDEFGH")-1)),0)</f>
        <v>10</v>
      </c>
      <c r="AP9" s="98" t="n">
        <f aca="true">IF(AG9=AG7,INDIRECT("W"&amp;4+6*(FIND(Z9,"ABCDEFGH")-1)),0)</f>
        <v>0</v>
      </c>
      <c r="AQ9" s="98" t="n">
        <f aca="true">IF(AG9=AG8,INDIRECT("W"&amp;6+6*(FIND(Z9,"ABCDEFGH")-1)),0)</f>
        <v>0</v>
      </c>
      <c r="AR9" s="104" t="n">
        <f aca="false">AO9+AP9+AQ9</f>
        <v>10</v>
      </c>
      <c r="AS9" s="105" t="n">
        <f aca="false">AG9+(500+AR9)*10^-3+AN9*10^-6+(500+AJ9)*10^-9+AH9*10^-12</f>
        <v>4.510096476215</v>
      </c>
      <c r="AU9" s="106" t="s">
        <v>163</v>
      </c>
      <c r="AV9" s="107" t="n">
        <v>55</v>
      </c>
      <c r="AW9" s="108" t="s">
        <v>138</v>
      </c>
      <c r="AX9" s="109" t="s">
        <v>148</v>
      </c>
      <c r="AY9" s="108" t="s">
        <v>164</v>
      </c>
      <c r="AZ9" s="108" t="s">
        <v>165</v>
      </c>
      <c r="BA9" s="96" t="str">
        <f aca="false">IF(LEFT(AY9,1)="V",VLOOKUP(_xlfn.NUMBERVALUE(SUBSTITUTE(AY9,"V","")),B_PARTITE_2A_FASE_PER_NUMERO,10,FALSE()),IF(LEFT(AY9,1)="P",VLOOKUP(_xlfn.NUMBERVALUE(SUBSTITUTE(AY9,"P","")),B_PARTITE_2A_FASE_PER_NUMERO,11,FALSE()),VLOOKUP(AY9,B_CLASSIFICHE_GIRONI,4,FALSE())))</f>
        <v>Linci</v>
      </c>
      <c r="BB9" s="96" t="str">
        <f aca="false">IF(LEFT(AZ9,1)="V",VLOOKUP(_xlfn.NUMBERVALUE(SUBSTITUTE(AZ9,"V","")),B_PARTITE_2A_FASE_PER_NUMERO,10,FALSE()),IF(LEFT(AZ9,1)="P",VLOOKUP(_xlfn.NUMBERVALUE(SUBSTITUTE(AZ9,"P","")),B_PARTITE_2A_FASE_PER_NUMERO,11,FALSE()),VLOOKUP(AZ9,B_CLASSIFICHE_GIRONI,4,FALSE())))</f>
        <v>Falchi</v>
      </c>
      <c r="BC9" s="44" t="n">
        <f aca="false">VLOOKUP(AV9,A_5_INPUT_DATE_E_RISULTATI_2A_FASE,6,0)</f>
        <v>59</v>
      </c>
      <c r="BD9" s="44" t="n">
        <f aca="false">VLOOKUP(AV9,A_5_INPUT_DATE_E_RISULTATI_2A_FASE,7,0)</f>
        <v>41</v>
      </c>
      <c r="BE9" s="96" t="str">
        <f aca="false">IF(BC9&gt;BD9,BA9,BB9)</f>
        <v>Linci</v>
      </c>
      <c r="BF9" s="96" t="str">
        <f aca="false">IF(BC9&lt;BD9,BA9,BB9)</f>
        <v>Falchi</v>
      </c>
      <c r="BG9" s="44" t="n">
        <f aca="false">1*(BC9&gt;BD9)</f>
        <v>1</v>
      </c>
      <c r="BH9" s="97" t="n">
        <f aca="false">1*(BC9&lt;BD9)*NOT(AND(BC9=0,BD9=20))</f>
        <v>0</v>
      </c>
      <c r="BI9" s="97" t="n">
        <f aca="false">1*AND(BC9=0,BD9=20)</f>
        <v>0</v>
      </c>
      <c r="BJ9" s="44" t="n">
        <f aca="false">BC9</f>
        <v>59</v>
      </c>
      <c r="BK9" s="44" t="n">
        <f aca="false">BD9</f>
        <v>41</v>
      </c>
      <c r="BL9" s="98" t="n">
        <f aca="false">BJ9-BK9</f>
        <v>18</v>
      </c>
      <c r="BM9" s="44" t="n">
        <f aca="false">1*(BD9&gt;BC9)</f>
        <v>0</v>
      </c>
      <c r="BN9" s="44" t="n">
        <f aca="false">1*(BD9&lt;BC9)*NOT(AND(BC9=20,BD9=0))</f>
        <v>1</v>
      </c>
      <c r="BO9" s="44" t="n">
        <f aca="false">1*AND(BC9=20,BD9=0)</f>
        <v>0</v>
      </c>
      <c r="BP9" s="44" t="n">
        <f aca="false">BD9</f>
        <v>41</v>
      </c>
      <c r="BQ9" s="44" t="n">
        <f aca="false">BC9</f>
        <v>59</v>
      </c>
      <c r="BR9" s="99" t="n">
        <f aca="false">BP9-BQ9</f>
        <v>-18</v>
      </c>
    </row>
    <row r="10" customFormat="false" ht="12.8" hidden="false" customHeight="false" outlineLevel="0" collapsed="false">
      <c r="A10" s="32" t="n">
        <v>10</v>
      </c>
      <c r="B10" s="34" t="s">
        <v>10</v>
      </c>
      <c r="C10" s="34" t="s">
        <v>36</v>
      </c>
      <c r="D10" s="44" t="s">
        <v>154</v>
      </c>
      <c r="E10" s="44" t="s">
        <v>162</v>
      </c>
      <c r="F10" s="96" t="str">
        <f aca="false">IF(B10="Girone",VLOOKUP(D10,A_SQUADRE_PER_CODICE,2),"ERRORE!")</f>
        <v>Giaguari</v>
      </c>
      <c r="G10" s="96" t="str">
        <f aca="false">IF(B10="Girone",VLOOKUP(E10,A_SQUADRE_PER_CODICE,2),"ERRORE!")</f>
        <v>Linci</v>
      </c>
      <c r="H10" s="44" t="n">
        <f aca="false">VLOOKUP(A10,A_4_INPUT_DATE_E_RISULTATI_GIRONI,6,0)</f>
        <v>56</v>
      </c>
      <c r="I10" s="44" t="n">
        <f aca="false">VLOOKUP(A10,A_4_INPUT_DATE_E_RISULTATI_GIRONI,7,0)</f>
        <v>47</v>
      </c>
      <c r="J10" s="96" t="str">
        <f aca="false">IF(H10&gt;I10,F10,G10)</f>
        <v>Giaguari</v>
      </c>
      <c r="K10" s="96" t="str">
        <f aca="false">IF(H10&lt;I10,F10,G10)</f>
        <v>Linci</v>
      </c>
      <c r="L10" s="44" t="n">
        <f aca="false">1*(H10&gt;I10)</f>
        <v>1</v>
      </c>
      <c r="M10" s="97" t="n">
        <f aca="false">1*(H10&lt;I10)*NOT(AND(H10=0,I10=20))</f>
        <v>0</v>
      </c>
      <c r="N10" s="97" t="n">
        <f aca="false">1*AND(H10=0,I10=20)</f>
        <v>0</v>
      </c>
      <c r="O10" s="44" t="n">
        <f aca="false">H10</f>
        <v>56</v>
      </c>
      <c r="P10" s="44" t="n">
        <f aca="false">I10</f>
        <v>47</v>
      </c>
      <c r="Q10" s="98" t="n">
        <f aca="false">O10-P10</f>
        <v>9</v>
      </c>
      <c r="R10" s="44" t="n">
        <f aca="false">1*(I10&gt;H10)</f>
        <v>0</v>
      </c>
      <c r="S10" s="44" t="n">
        <f aca="false">1*(I10&lt;H10)*NOT(AND(H10=20,I10=0))</f>
        <v>1</v>
      </c>
      <c r="T10" s="44" t="n">
        <f aca="false">1*AND(H10=20,I10=0)</f>
        <v>0</v>
      </c>
      <c r="U10" s="44" t="n">
        <f aca="false">I10</f>
        <v>47</v>
      </c>
      <c r="V10" s="44" t="n">
        <f aca="false">H10</f>
        <v>56</v>
      </c>
      <c r="W10" s="99" t="n">
        <f aca="false">U10-V10</f>
        <v>-9</v>
      </c>
      <c r="Y10" s="119" t="str">
        <f aca="false">COUNTIF(B_COEFF_GIRONE_B,"&gt;="&amp;AS10)&amp;Z10</f>
        <v>4B</v>
      </c>
      <c r="Z10" s="120" t="s">
        <v>36</v>
      </c>
      <c r="AA10" s="120" t="s">
        <v>166</v>
      </c>
      <c r="AB10" s="121" t="str">
        <f aca="false">VLOOKUP(AA10,A_SQUADRE_PER_CODICE,2)</f>
        <v>Serval</v>
      </c>
      <c r="AC10" s="120" t="n">
        <f aca="false">AD10+AE10+AF10</f>
        <v>3</v>
      </c>
      <c r="AD10" s="120" t="n">
        <f aca="false">SUMIF(B_SQUADRA_A_GIRONI,AB10,B_VINTE_SQUADRA_A_GIRONI)+SUMIF(B_SQUADRA_B_GIRONI,AB10,B_VINTE_SQUADRA_B_GIRONI)</f>
        <v>1</v>
      </c>
      <c r="AE10" s="120" t="n">
        <f aca="false">SUMIF(B_SQUADRA_A_GIRONI,AB10,B_PERSE_SQUADRA_A_GIRONI)+SUMIF(B_SQUADRA_B_GIRONI,AB10,B_PERSE_SQUADRA_B_GIRONI)</f>
        <v>2</v>
      </c>
      <c r="AF10" s="120" t="n">
        <f aca="false">SUMIF(B_SQUADRA_A_GIRONI,AB10,B_FORFAIT_SQUADRA_A_GIRONI)+SUMIF(B_SQUADRA_B_GIRONI,AB10,B_FORFAIT_SQUADRA_B_GIRONI)</f>
        <v>0</v>
      </c>
      <c r="AG10" s="122" t="n">
        <f aca="false">2*AD10+1*AE10+0*AF10</f>
        <v>4</v>
      </c>
      <c r="AH10" s="123" t="n">
        <f aca="false">SUMIF(B_SQUADRA_A_GIRONI,AB10,B_PUNTI_FATTI_SQUADRA_A_GIRONI)+SUMIF(B_SQUADRA_B_GIRONI,AB10,B_PUNTI_FATTI_SQUADRA_B_GIRONI)</f>
        <v>225</v>
      </c>
      <c r="AI10" s="120" t="n">
        <f aca="false">SUMIF(B_SQUADRA_A_GIRONI,AB10,B_PUNTI_SUBITI_SQUADRA_A_GIRONI)+SUMIF(B_SQUADRA_B_GIRONI,AB10,B_PUNTI_SUBITI_SQUADRA_B_GIRONI)</f>
        <v>240</v>
      </c>
      <c r="AJ10" s="124" t="n">
        <f aca="false">SUMIF(B_SQUADRA_A_GIRONI,AB10,B_DIFF_CANESTRI_SQUADRA_A_GIRONI)+SUMIF(B_SQUADRA_B_GIRONI,AB10,B_DIFF_CANESTRI_SQUADRA_B_GIRONI)</f>
        <v>-15</v>
      </c>
      <c r="AK10" s="120" t="n">
        <f aca="true">IF(AG10=AG7,INDIRECT("U"&amp;5+6*(FIND(Z10,"ABCDEFGH")-1)),0)</f>
        <v>0</v>
      </c>
      <c r="AL10" s="120" t="n">
        <f aca="true">IF(AG10=AG8,INDIRECT("U"&amp;7+6*(FIND(Z10,"ABCDEFGH")-1)),0)</f>
        <v>0</v>
      </c>
      <c r="AM10" s="120" t="n">
        <f aca="true">IF(AG10=AG9,INDIRECT("U"&amp;8+6*(FIND(Z10,"ABCDEFGH")-1)),0)</f>
        <v>86</v>
      </c>
      <c r="AN10" s="123" t="n">
        <f aca="false">AK10+AL10+AM10</f>
        <v>86</v>
      </c>
      <c r="AO10" s="125" t="n">
        <f aca="true">IF(AG10=AG7,INDIRECT("W"&amp;5+6*(FIND(Z10,"ABCDEFGH")-1)),0)</f>
        <v>0</v>
      </c>
      <c r="AP10" s="125" t="n">
        <f aca="true">IF(AG10=AG8,INDIRECT("W"&amp;7+6*(FIND(Z10,"ABCDEFGH")-1)),0)</f>
        <v>0</v>
      </c>
      <c r="AQ10" s="125" t="n">
        <f aca="true">IF(AG10=AG9,INDIRECT("W"&amp;8+6*(FIND(Z10,"ABCDEFGH")-1)),0)</f>
        <v>-10</v>
      </c>
      <c r="AR10" s="124" t="n">
        <f aca="false">AO10+AP10+AQ10</f>
        <v>-10</v>
      </c>
      <c r="AS10" s="126" t="n">
        <f aca="false">AG10+(500+AR10)*10^-3+AN10*10^-6+(500+AJ10)*10^-9+AH10*10^-12</f>
        <v>4.490086485225</v>
      </c>
      <c r="AU10" s="106" t="s">
        <v>167</v>
      </c>
      <c r="AV10" s="107" t="n">
        <v>56</v>
      </c>
      <c r="AW10" s="108" t="s">
        <v>138</v>
      </c>
      <c r="AX10" s="109" t="s">
        <v>148</v>
      </c>
      <c r="AY10" s="108" t="s">
        <v>168</v>
      </c>
      <c r="AZ10" s="108" t="s">
        <v>169</v>
      </c>
      <c r="BA10" s="96" t="str">
        <f aca="false">IF(LEFT(AY10,1)="V",VLOOKUP(_xlfn.NUMBERVALUE(SUBSTITUTE(AY10,"V","")),B_PARTITE_2A_FASE_PER_NUMERO,10,FALSE()),IF(LEFT(AY10,1)="P",VLOOKUP(_xlfn.NUMBERVALUE(SUBSTITUTE(AY10,"P","")),B_PARTITE_2A_FASE_PER_NUMERO,11,FALSE()),VLOOKUP(AY10,B_CLASSIFICHE_GIRONI,4,FALSE())))</f>
        <v>Pitoni</v>
      </c>
      <c r="BB10" s="96" t="str">
        <f aca="false">IF(LEFT(AZ10,1)="V",VLOOKUP(_xlfn.NUMBERVALUE(SUBSTITUTE(AZ10,"V","")),B_PARTITE_2A_FASE_PER_NUMERO,10,FALSE()),IF(LEFT(AZ10,1)="P",VLOOKUP(_xlfn.NUMBERVALUE(SUBSTITUTE(AZ10,"P","")),B_PARTITE_2A_FASE_PER_NUMERO,11,FALSE()),VLOOKUP(AZ10,B_CLASSIFICHE_GIRONI,4,FALSE())))</f>
        <v>Serval</v>
      </c>
      <c r="BC10" s="44" t="n">
        <f aca="false">VLOOKUP(AV10,A_5_INPUT_DATE_E_RISULTATI_2A_FASE,6,0)</f>
        <v>52</v>
      </c>
      <c r="BD10" s="44" t="n">
        <f aca="false">VLOOKUP(AV10,A_5_INPUT_DATE_E_RISULTATI_2A_FASE,7,0)</f>
        <v>30</v>
      </c>
      <c r="BE10" s="96" t="str">
        <f aca="false">IF(BC10&gt;BD10,BA10,BB10)</f>
        <v>Pitoni</v>
      </c>
      <c r="BF10" s="96" t="str">
        <f aca="false">IF(BC10&lt;BD10,BA10,BB10)</f>
        <v>Serval</v>
      </c>
      <c r="BG10" s="44" t="n">
        <f aca="false">1*(BC10&gt;BD10)</f>
        <v>1</v>
      </c>
      <c r="BH10" s="97" t="n">
        <f aca="false">1*(BC10&lt;BD10)*NOT(AND(BC10=0,BD10=20))</f>
        <v>0</v>
      </c>
      <c r="BI10" s="97" t="n">
        <f aca="false">1*AND(BC10=0,BD10=20)</f>
        <v>0</v>
      </c>
      <c r="BJ10" s="44" t="n">
        <f aca="false">BC10</f>
        <v>52</v>
      </c>
      <c r="BK10" s="44" t="n">
        <f aca="false">BD10</f>
        <v>30</v>
      </c>
      <c r="BL10" s="98" t="n">
        <f aca="false">BJ10-BK10</f>
        <v>22</v>
      </c>
      <c r="BM10" s="44" t="n">
        <f aca="false">1*(BD10&gt;BC10)</f>
        <v>0</v>
      </c>
      <c r="BN10" s="44" t="n">
        <f aca="false">1*(BD10&lt;BC10)*NOT(AND(BC10=20,BD10=0))</f>
        <v>1</v>
      </c>
      <c r="BO10" s="44" t="n">
        <f aca="false">1*AND(BC10=20,BD10=0)</f>
        <v>0</v>
      </c>
      <c r="BP10" s="44" t="n">
        <f aca="false">BD10</f>
        <v>30</v>
      </c>
      <c r="BQ10" s="44" t="n">
        <f aca="false">BC10</f>
        <v>52</v>
      </c>
      <c r="BR10" s="99" t="n">
        <f aca="false">BP10-BQ10</f>
        <v>-22</v>
      </c>
    </row>
    <row r="11" customFormat="false" ht="12.8" hidden="false" customHeight="false" outlineLevel="0" collapsed="false">
      <c r="A11" s="32" t="n">
        <v>26</v>
      </c>
      <c r="B11" s="34" t="s">
        <v>10</v>
      </c>
      <c r="C11" s="34" t="s">
        <v>36</v>
      </c>
      <c r="D11" s="44" t="s">
        <v>154</v>
      </c>
      <c r="E11" s="44" t="s">
        <v>166</v>
      </c>
      <c r="F11" s="96" t="str">
        <f aca="false">IF(B11="Girone",VLOOKUP(D11,A_SQUADRE_PER_CODICE,2),"ERRORE!")</f>
        <v>Giaguari</v>
      </c>
      <c r="G11" s="96" t="str">
        <f aca="false">IF(B11="Girone",VLOOKUP(E11,A_SQUADRE_PER_CODICE,2),"ERRORE!")</f>
        <v>Serval</v>
      </c>
      <c r="H11" s="44" t="n">
        <f aca="false">VLOOKUP(A11,A_4_INPUT_DATE_E_RISULTATI_GIRONI,6,0)</f>
        <v>76</v>
      </c>
      <c r="I11" s="44" t="n">
        <f aca="false">VLOOKUP(A11,A_4_INPUT_DATE_E_RISULTATI_GIRONI,7,0)</f>
        <v>94</v>
      </c>
      <c r="J11" s="96" t="str">
        <f aca="false">IF(H11&gt;I11,F11,G11)</f>
        <v>Serval</v>
      </c>
      <c r="K11" s="96" t="str">
        <f aca="false">IF(H11&lt;I11,F11,G11)</f>
        <v>Giaguari</v>
      </c>
      <c r="L11" s="44" t="n">
        <f aca="false">1*(H11&gt;I11)</f>
        <v>0</v>
      </c>
      <c r="M11" s="97" t="n">
        <f aca="false">1*(H11&lt;I11)*NOT(AND(H11=0,I11=20))</f>
        <v>1</v>
      </c>
      <c r="N11" s="97" t="n">
        <f aca="false">1*AND(H11=0,I11=20)</f>
        <v>0</v>
      </c>
      <c r="O11" s="44" t="n">
        <f aca="false">H11</f>
        <v>76</v>
      </c>
      <c r="P11" s="44" t="n">
        <f aca="false">I11</f>
        <v>94</v>
      </c>
      <c r="Q11" s="98" t="n">
        <f aca="false">O11-P11</f>
        <v>-18</v>
      </c>
      <c r="R11" s="44" t="n">
        <f aca="false">1*(I11&gt;H11)</f>
        <v>1</v>
      </c>
      <c r="S11" s="44" t="n">
        <f aca="false">1*(I11&lt;H11)*NOT(AND(H11=20,I11=0))</f>
        <v>0</v>
      </c>
      <c r="T11" s="44" t="n">
        <f aca="false">1*AND(H11=20,I11=0)</f>
        <v>0</v>
      </c>
      <c r="U11" s="44" t="n">
        <f aca="false">I11</f>
        <v>94</v>
      </c>
      <c r="V11" s="44" t="n">
        <f aca="false">H11</f>
        <v>76</v>
      </c>
      <c r="W11" s="99" t="n">
        <f aca="false">U11-V11</f>
        <v>18</v>
      </c>
      <c r="Y11" s="100" t="str">
        <f aca="false">COUNTIF(B_COEFF_GIRONE_C,"&gt;="&amp;AS11)&amp;Z11</f>
        <v>2C</v>
      </c>
      <c r="Z11" s="34" t="s">
        <v>41</v>
      </c>
      <c r="AA11" s="44" t="s">
        <v>170</v>
      </c>
      <c r="AB11" s="101" t="str">
        <f aca="false">VLOOKUP(AA11,A_SQUADRE_PER_CODICE,2)</f>
        <v>Elefanti</v>
      </c>
      <c r="AC11" s="44" t="n">
        <f aca="false">AD11+AE11+AF11</f>
        <v>3</v>
      </c>
      <c r="AD11" s="44" t="n">
        <f aca="false">SUMIF(B_SQUADRA_A_GIRONI,AB11,B_VINTE_SQUADRA_A_GIRONI)+SUMIF(B_SQUADRA_B_GIRONI,AB11,B_VINTE_SQUADRA_B_GIRONI)</f>
        <v>2</v>
      </c>
      <c r="AE11" s="44" t="n">
        <f aca="false">SUMIF(B_SQUADRA_A_GIRONI,AB11,B_PERSE_SQUADRA_A_GIRONI)+SUMIF(B_SQUADRA_B_GIRONI,AB11,B_PERSE_SQUADRA_B_GIRONI)</f>
        <v>1</v>
      </c>
      <c r="AF11" s="44" t="n">
        <f aca="false">SUMIF(B_SQUADRA_A_GIRONI,AB11,B_FORFAIT_SQUADRA_A_GIRONI)+SUMIF(B_SQUADRA_B_GIRONI,AB11,B_FORFAIT_SQUADRA_B_GIRONI)</f>
        <v>0</v>
      </c>
      <c r="AG11" s="102" t="n">
        <f aca="false">2*AD11+1*AE11+0*AF11</f>
        <v>5</v>
      </c>
      <c r="AH11" s="103" t="n">
        <f aca="false">SUMIF(B_SQUADRA_A_GIRONI,AB11,B_PUNTI_FATTI_SQUADRA_A_GIRONI)+SUMIF(B_SQUADRA_B_GIRONI,AB11,B_PUNTI_FATTI_SQUADRA_B_GIRONI)</f>
        <v>202</v>
      </c>
      <c r="AI11" s="44" t="n">
        <f aca="false">SUMIF(B_SQUADRA_A_GIRONI,AB11,B_PUNTI_SUBITI_SQUADRA_A_GIRONI)+SUMIF(B_SQUADRA_B_GIRONI,AB11,B_PUNTI_SUBITI_SQUADRA_B_GIRONI)</f>
        <v>185</v>
      </c>
      <c r="AJ11" s="104" t="n">
        <f aca="false">SUMIF(B_SQUADRA_A_GIRONI,AB11,B_DIFF_CANESTRI_SQUADRA_A_GIRONI)+SUMIF(B_SQUADRA_B_GIRONI,AB11,B_DIFF_CANESTRI_SQUADRA_B_GIRONI)</f>
        <v>17</v>
      </c>
      <c r="AK11" s="44" t="n">
        <f aca="true">IF(AG11=AG12,INDIRECT("O"&amp;3+6*(FIND(Z11,"ABCDEFGH")-1)),0)</f>
        <v>79</v>
      </c>
      <c r="AL11" s="97" t="n">
        <f aca="true">IF(AG11=AG13,INDIRECT("O"&amp;4+6*(FIND(Z11,"ABCDEFGH")-1)),0)</f>
        <v>66</v>
      </c>
      <c r="AM11" s="44" t="n">
        <f aca="true">IF(AG11=AG14,INDIRECT("O"&amp;5+6*(FIND(Z11,"ABCDEFGH")-1)),0)</f>
        <v>0</v>
      </c>
      <c r="AN11" s="103" t="n">
        <f aca="false">AK11+AL11+AM11</f>
        <v>145</v>
      </c>
      <c r="AO11" s="98" t="n">
        <f aca="true">IF(AG11=AG12,INDIRECT("Q"&amp;3+6*(FIND(Z11,"ABCDEFGH")-1)),0)</f>
        <v>31</v>
      </c>
      <c r="AP11" s="98" t="n">
        <f aca="true">IF(AG11=AG13,INDIRECT("Q"&amp;4+6*(FIND(Z11,"ABCDEFGH")-1)),0)</f>
        <v>-29</v>
      </c>
      <c r="AQ11" s="98" t="n">
        <f aca="true">IF(AG11=AG14,INDIRECT("Q"&amp;5+6*(FIND(Z11,"ABCDEFGH")-1)),0)</f>
        <v>0</v>
      </c>
      <c r="AR11" s="104" t="n">
        <f aca="false">AO11+AP11+AQ11</f>
        <v>2</v>
      </c>
      <c r="AS11" s="105" t="n">
        <f aca="false">AG11+(500+AR11)*10^-3+AN11*10^-6+(500+AJ11)*10^-9+AH11*10^-12</f>
        <v>5.502145517202</v>
      </c>
      <c r="AU11" s="106" t="s">
        <v>171</v>
      </c>
      <c r="AV11" s="107" t="n">
        <v>57</v>
      </c>
      <c r="AW11" s="108" t="s">
        <v>138</v>
      </c>
      <c r="AX11" s="109" t="s">
        <v>139</v>
      </c>
      <c r="AY11" s="108" t="s">
        <v>172</v>
      </c>
      <c r="AZ11" s="127" t="s">
        <v>173</v>
      </c>
      <c r="BA11" s="96" t="str">
        <f aca="false">IF(LEFT(AY11,1)="V",VLOOKUP(_xlfn.NUMBERVALUE(SUBSTITUTE(AY11,"V","")),B_PARTITE_2A_FASE_PER_NUMERO,10,FALSE()),IF(LEFT(AY11,1)="P",VLOOKUP(_xlfn.NUMBERVALUE(SUBSTITUTE(AY11,"P","")),B_PARTITE_2A_FASE_PER_NUMERO,11,FALSE()),VLOOKUP(AY11,B_CLASSIFICHE_GIRONI,4,FALSE())))</f>
        <v>Bisonti</v>
      </c>
      <c r="BB11" s="96" t="str">
        <f aca="false">IF(LEFT(AZ11,1)="V",VLOOKUP(_xlfn.NUMBERVALUE(SUBSTITUTE(AZ11,"V","")),B_PARTITE_2A_FASE_PER_NUMERO,10,FALSE()),IF(LEFT(AZ11,1)="P",VLOOKUP(_xlfn.NUMBERVALUE(SUBSTITUTE(AZ11,"P","")),B_PARTITE_2A_FASE_PER_NUMERO,11,FALSE()),VLOOKUP(AZ11,B_CLASSIFICHE_GIRONI,4,FALSE())))</f>
        <v>Gorilla</v>
      </c>
      <c r="BC11" s="44" t="n">
        <f aca="false">VLOOKUP(AV11,A_5_INPUT_DATE_E_RISULTATI_2A_FASE,6,0)</f>
        <v>58</v>
      </c>
      <c r="BD11" s="44" t="n">
        <f aca="false">VLOOKUP(AV11,A_5_INPUT_DATE_E_RISULTATI_2A_FASE,7,0)</f>
        <v>39</v>
      </c>
      <c r="BE11" s="96" t="str">
        <f aca="false">IF(BC11&gt;BD11,BA11,BB11)</f>
        <v>Bisonti</v>
      </c>
      <c r="BF11" s="96" t="str">
        <f aca="false">IF(BC11&lt;BD11,BA11,BB11)</f>
        <v>Gorilla</v>
      </c>
      <c r="BG11" s="44" t="n">
        <f aca="false">1*(BC11&gt;BD11)</f>
        <v>1</v>
      </c>
      <c r="BH11" s="97" t="n">
        <f aca="false">1*(BC11&lt;BD11)*NOT(AND(BC11=0,BD11=20))</f>
        <v>0</v>
      </c>
      <c r="BI11" s="97" t="n">
        <f aca="false">1*AND(BC11=0,BD11=20)</f>
        <v>0</v>
      </c>
      <c r="BJ11" s="44" t="n">
        <f aca="false">BC11</f>
        <v>58</v>
      </c>
      <c r="BK11" s="44" t="n">
        <f aca="false">BD11</f>
        <v>39</v>
      </c>
      <c r="BL11" s="98" t="n">
        <f aca="false">BJ11-BK11</f>
        <v>19</v>
      </c>
      <c r="BM11" s="44" t="n">
        <f aca="false">1*(BD11&gt;BC11)</f>
        <v>0</v>
      </c>
      <c r="BN11" s="44" t="n">
        <f aca="false">1*(BD11&lt;BC11)*NOT(AND(BC11=20,BD11=0))</f>
        <v>1</v>
      </c>
      <c r="BO11" s="44" t="n">
        <f aca="false">1*AND(BC11=20,BD11=0)</f>
        <v>0</v>
      </c>
      <c r="BP11" s="44" t="n">
        <f aca="false">BD11</f>
        <v>39</v>
      </c>
      <c r="BQ11" s="44" t="n">
        <f aca="false">BC11</f>
        <v>58</v>
      </c>
      <c r="BR11" s="99" t="n">
        <f aca="false">BP11-BQ11</f>
        <v>-19</v>
      </c>
    </row>
    <row r="12" customFormat="false" ht="12.8" hidden="false" customHeight="false" outlineLevel="0" collapsed="false">
      <c r="A12" s="32" t="n">
        <v>38</v>
      </c>
      <c r="B12" s="34" t="s">
        <v>10</v>
      </c>
      <c r="C12" s="34" t="s">
        <v>36</v>
      </c>
      <c r="D12" s="44" t="s">
        <v>158</v>
      </c>
      <c r="E12" s="44" t="s">
        <v>162</v>
      </c>
      <c r="F12" s="96" t="str">
        <f aca="false">IF(B12="Girone",VLOOKUP(D12,A_SQUADRE_PER_CODICE,2),"ERRORE!")</f>
        <v>Puma</v>
      </c>
      <c r="G12" s="96" t="str">
        <f aca="false">IF(B12="Girone",VLOOKUP(E12,A_SQUADRE_PER_CODICE,2),"ERRORE!")</f>
        <v>Linci</v>
      </c>
      <c r="H12" s="44" t="n">
        <f aca="false">VLOOKUP(A12,A_4_INPUT_DATE_E_RISULTATI_GIRONI,6,0)</f>
        <v>97</v>
      </c>
      <c r="I12" s="44" t="n">
        <f aca="false">VLOOKUP(A12,A_4_INPUT_DATE_E_RISULTATI_GIRONI,7,0)</f>
        <v>72</v>
      </c>
      <c r="J12" s="96" t="str">
        <f aca="false">IF(H12&gt;I12,F12,G12)</f>
        <v>Puma</v>
      </c>
      <c r="K12" s="96" t="str">
        <f aca="false">IF(H12&lt;I12,F12,G12)</f>
        <v>Linci</v>
      </c>
      <c r="L12" s="44" t="n">
        <f aca="false">1*(H12&gt;I12)</f>
        <v>1</v>
      </c>
      <c r="M12" s="97" t="n">
        <f aca="false">1*(H12&lt;I12)*NOT(AND(H12=0,I12=20))</f>
        <v>0</v>
      </c>
      <c r="N12" s="97" t="n">
        <f aca="false">1*AND(H12=0,I12=20)</f>
        <v>0</v>
      </c>
      <c r="O12" s="44" t="n">
        <f aca="false">H12</f>
        <v>97</v>
      </c>
      <c r="P12" s="44" t="n">
        <f aca="false">I12</f>
        <v>72</v>
      </c>
      <c r="Q12" s="98" t="n">
        <f aca="false">O12-P12</f>
        <v>25</v>
      </c>
      <c r="R12" s="44" t="n">
        <f aca="false">1*(I12&gt;H12)</f>
        <v>0</v>
      </c>
      <c r="S12" s="44" t="n">
        <f aca="false">1*(I12&lt;H12)*NOT(AND(H12=20,I12=0))</f>
        <v>1</v>
      </c>
      <c r="T12" s="44" t="n">
        <f aca="false">1*AND(H12=20,I12=0)</f>
        <v>0</v>
      </c>
      <c r="U12" s="44" t="n">
        <f aca="false">I12</f>
        <v>72</v>
      </c>
      <c r="V12" s="44" t="n">
        <f aca="false">H12</f>
        <v>97</v>
      </c>
      <c r="W12" s="99" t="n">
        <f aca="false">U12-V12</f>
        <v>-25</v>
      </c>
      <c r="Y12" s="100" t="str">
        <f aca="false">COUNTIF(B_COEFF_GIRONE_C,"&gt;="&amp;AS12)&amp;Z12</f>
        <v>1C</v>
      </c>
      <c r="Z12" s="34" t="s">
        <v>41</v>
      </c>
      <c r="AA12" s="44" t="s">
        <v>174</v>
      </c>
      <c r="AB12" s="101" t="str">
        <f aca="false">VLOOKUP(AA12,A_SQUADRE_PER_CODICE,2)</f>
        <v>Giraffe</v>
      </c>
      <c r="AC12" s="44" t="n">
        <f aca="false">AD12+AE12+AF12</f>
        <v>3</v>
      </c>
      <c r="AD12" s="44" t="n">
        <f aca="false">SUMIF(B_SQUADRA_A_GIRONI,AB12,B_VINTE_SQUADRA_A_GIRONI)+SUMIF(B_SQUADRA_B_GIRONI,AB12,B_VINTE_SQUADRA_B_GIRONI)</f>
        <v>2</v>
      </c>
      <c r="AE12" s="44" t="n">
        <f aca="false">SUMIF(B_SQUADRA_A_GIRONI,AB12,B_PERSE_SQUADRA_A_GIRONI)+SUMIF(B_SQUADRA_B_GIRONI,AB12,B_PERSE_SQUADRA_B_GIRONI)</f>
        <v>1</v>
      </c>
      <c r="AF12" s="44" t="n">
        <f aca="false">SUMIF(B_SQUADRA_A_GIRONI,AB12,B_FORFAIT_SQUADRA_A_GIRONI)+SUMIF(B_SQUADRA_B_GIRONI,AB12,B_FORFAIT_SQUADRA_B_GIRONI)</f>
        <v>0</v>
      </c>
      <c r="AG12" s="102" t="n">
        <f aca="false">2*AD12+1*AE12+0*AF12</f>
        <v>5</v>
      </c>
      <c r="AH12" s="103" t="n">
        <f aca="false">SUMIF(B_SQUADRA_A_GIRONI,AB12,B_PUNTI_FATTI_SQUADRA_A_GIRONI)+SUMIF(B_SQUADRA_B_GIRONI,AB12,B_PUNTI_FATTI_SQUADRA_B_GIRONI)</f>
        <v>206</v>
      </c>
      <c r="AI12" s="44" t="n">
        <f aca="false">SUMIF(B_SQUADRA_A_GIRONI,AB12,B_PUNTI_SUBITI_SQUADRA_A_GIRONI)+SUMIF(B_SQUADRA_B_GIRONI,AB12,B_PUNTI_SUBITI_SQUADRA_B_GIRONI)</f>
        <v>162</v>
      </c>
      <c r="AJ12" s="104" t="n">
        <f aca="false">SUMIF(B_SQUADRA_A_GIRONI,AB12,B_DIFF_CANESTRI_SQUADRA_A_GIRONI)+SUMIF(B_SQUADRA_B_GIRONI,AB12,B_DIFF_CANESTRI_SQUADRA_B_GIRONI)</f>
        <v>44</v>
      </c>
      <c r="AK12" s="44" t="n">
        <f aca="true">IF(AG12=AG13,INDIRECT("O"&amp;6+6*(FIND(Z12,"ABCDEFGH")-1)),0)</f>
        <v>98</v>
      </c>
      <c r="AL12" s="44" t="n">
        <f aca="true">IF(AG12=AG14,INDIRECT("O"&amp;7+6*(FIND(Z12,"ABCDEFGH")-1)),0)</f>
        <v>0</v>
      </c>
      <c r="AM12" s="44" t="n">
        <f aca="true">IF(AG12=AG11,INDIRECT("U"&amp;3+6*(FIND(Z12,"ABCDEFGH")-1)),0)</f>
        <v>48</v>
      </c>
      <c r="AN12" s="103" t="n">
        <f aca="false">AK12+AL12+AM12</f>
        <v>146</v>
      </c>
      <c r="AO12" s="98" t="n">
        <f aca="true">IF(AG12=AG13,INDIRECT("Q"&amp;6+6*(FIND(Z12,"ABCDEFGH")-1)),0)</f>
        <v>49</v>
      </c>
      <c r="AP12" s="98" t="n">
        <f aca="true">IF(AG12=AG14,INDIRECT("Q"&amp;7+6*(FIND(Z12,"ABCDEFGH")-1)),0)</f>
        <v>0</v>
      </c>
      <c r="AQ12" s="98" t="n">
        <f aca="true">IF(AG12=AG11,INDIRECT("W"&amp;3+6*(FIND(Z12,"ABCDEFGH")-1)),0)</f>
        <v>-31</v>
      </c>
      <c r="AR12" s="104" t="n">
        <f aca="false">AO12+AP12+AQ12</f>
        <v>18</v>
      </c>
      <c r="AS12" s="105" t="n">
        <f aca="false">AG12+(500+AR12)*10^-3+AN12*10^-6+(500+AJ12)*10^-9+AH12*10^-12</f>
        <v>5.518146544206</v>
      </c>
      <c r="AU12" s="106" t="s">
        <v>175</v>
      </c>
      <c r="AV12" s="107" t="n">
        <v>58</v>
      </c>
      <c r="AW12" s="108" t="s">
        <v>138</v>
      </c>
      <c r="AX12" s="109" t="s">
        <v>139</v>
      </c>
      <c r="AY12" s="108" t="s">
        <v>176</v>
      </c>
      <c r="AZ12" s="108" t="s">
        <v>177</v>
      </c>
      <c r="BA12" s="96" t="str">
        <f aca="false">IF(LEFT(AY12,1)="V",VLOOKUP(_xlfn.NUMBERVALUE(SUBSTITUTE(AY12,"V","")),B_PARTITE_2A_FASE_PER_NUMERO,10,FALSE()),IF(LEFT(AY12,1)="P",VLOOKUP(_xlfn.NUMBERVALUE(SUBSTITUTE(AY12,"P","")),B_PARTITE_2A_FASE_PER_NUMERO,11,FALSE()),VLOOKUP(AY12,B_CLASSIFICHE_GIRONI,4,FALSE())))</f>
        <v>Istrici</v>
      </c>
      <c r="BB12" s="96" t="str">
        <f aca="false">IF(LEFT(AZ12,1)="V",VLOOKUP(_xlfn.NUMBERVALUE(SUBSTITUTE(AZ12,"V","")),B_PARTITE_2A_FASE_PER_NUMERO,10,FALSE()),IF(LEFT(AZ12,1)="P",VLOOKUP(_xlfn.NUMBERVALUE(SUBSTITUTE(AZ12,"P","")),B_PARTITE_2A_FASE_PER_NUMERO,11,FALSE()),VLOOKUP(AZ12,B_CLASSIFICHE_GIRONI,4,FALSE())))</f>
        <v>Bufali</v>
      </c>
      <c r="BC12" s="44" t="n">
        <f aca="false">VLOOKUP(AV12,A_5_INPUT_DATE_E_RISULTATI_2A_FASE,6,0)</f>
        <v>64</v>
      </c>
      <c r="BD12" s="44" t="n">
        <f aca="false">VLOOKUP(AV12,A_5_INPUT_DATE_E_RISULTATI_2A_FASE,7,0)</f>
        <v>43</v>
      </c>
      <c r="BE12" s="96" t="str">
        <f aca="false">IF(BC12&gt;BD12,BA12,BB12)</f>
        <v>Istrici</v>
      </c>
      <c r="BF12" s="96" t="str">
        <f aca="false">IF(BC12&lt;BD12,BA12,BB12)</f>
        <v>Bufali</v>
      </c>
      <c r="BG12" s="44" t="n">
        <f aca="false">1*(BC12&gt;BD12)</f>
        <v>1</v>
      </c>
      <c r="BH12" s="97" t="n">
        <f aca="false">1*(BC12&lt;BD12)*NOT(AND(BC12=0,BD12=20))</f>
        <v>0</v>
      </c>
      <c r="BI12" s="97" t="n">
        <f aca="false">1*AND(BC12=0,BD12=20)</f>
        <v>0</v>
      </c>
      <c r="BJ12" s="44" t="n">
        <f aca="false">BC12</f>
        <v>64</v>
      </c>
      <c r="BK12" s="44" t="n">
        <f aca="false">BD12</f>
        <v>43</v>
      </c>
      <c r="BL12" s="98" t="n">
        <f aca="false">BJ12-BK12</f>
        <v>21</v>
      </c>
      <c r="BM12" s="44" t="n">
        <f aca="false">1*(BD12&gt;BC12)</f>
        <v>0</v>
      </c>
      <c r="BN12" s="44" t="n">
        <f aca="false">1*(BD12&lt;BC12)*NOT(AND(BC12=20,BD12=0))</f>
        <v>1</v>
      </c>
      <c r="BO12" s="44" t="n">
        <f aca="false">1*AND(BC12=20,BD12=0)</f>
        <v>0</v>
      </c>
      <c r="BP12" s="44" t="n">
        <f aca="false">BD12</f>
        <v>43</v>
      </c>
      <c r="BQ12" s="44" t="n">
        <f aca="false">BC12</f>
        <v>64</v>
      </c>
      <c r="BR12" s="99" t="n">
        <f aca="false">BP12-BQ12</f>
        <v>-21</v>
      </c>
    </row>
    <row r="13" customFormat="false" ht="12.8" hidden="false" customHeight="false" outlineLevel="0" collapsed="false">
      <c r="A13" s="32" t="n">
        <v>14</v>
      </c>
      <c r="B13" s="34" t="s">
        <v>10</v>
      </c>
      <c r="C13" s="34" t="s">
        <v>36</v>
      </c>
      <c r="D13" s="44" t="s">
        <v>158</v>
      </c>
      <c r="E13" s="44" t="s">
        <v>166</v>
      </c>
      <c r="F13" s="96" t="str">
        <f aca="false">IF(B13="Girone",VLOOKUP(D13,A_SQUADRE_PER_CODICE,2),"ERRORE!")</f>
        <v>Puma</v>
      </c>
      <c r="G13" s="96" t="str">
        <f aca="false">IF(B13="Girone",VLOOKUP(E13,A_SQUADRE_PER_CODICE,2),"ERRORE!")</f>
        <v>Serval</v>
      </c>
      <c r="H13" s="44" t="n">
        <f aca="false">VLOOKUP(A13,A_4_INPUT_DATE_E_RISULTATI_GIRONI,6,0)</f>
        <v>68</v>
      </c>
      <c r="I13" s="44" t="n">
        <f aca="false">VLOOKUP(A13,A_4_INPUT_DATE_E_RISULTATI_GIRONI,7,0)</f>
        <v>45</v>
      </c>
      <c r="J13" s="96" t="str">
        <f aca="false">IF(H13&gt;I13,F13,G13)</f>
        <v>Puma</v>
      </c>
      <c r="K13" s="96" t="str">
        <f aca="false">IF(H13&lt;I13,F13,G13)</f>
        <v>Serval</v>
      </c>
      <c r="L13" s="44" t="n">
        <f aca="false">1*(H13&gt;I13)</f>
        <v>1</v>
      </c>
      <c r="M13" s="97" t="n">
        <f aca="false">1*(H13&lt;I13)*NOT(AND(H13=0,I13=20))</f>
        <v>0</v>
      </c>
      <c r="N13" s="97" t="n">
        <f aca="false">1*AND(H13=0,I13=20)</f>
        <v>0</v>
      </c>
      <c r="O13" s="44" t="n">
        <f aca="false">H13</f>
        <v>68</v>
      </c>
      <c r="P13" s="44" t="n">
        <f aca="false">I13</f>
        <v>45</v>
      </c>
      <c r="Q13" s="98" t="n">
        <f aca="false">O13-P13</f>
        <v>23</v>
      </c>
      <c r="R13" s="44" t="n">
        <f aca="false">1*(I13&gt;H13)</f>
        <v>0</v>
      </c>
      <c r="S13" s="44" t="n">
        <f aca="false">1*(I13&lt;H13)*NOT(AND(H13=20,I13=0))</f>
        <v>1</v>
      </c>
      <c r="T13" s="44" t="n">
        <f aca="false">1*AND(H13=20,I13=0)</f>
        <v>0</v>
      </c>
      <c r="U13" s="44" t="n">
        <f aca="false">I13</f>
        <v>45</v>
      </c>
      <c r="V13" s="44" t="n">
        <f aca="false">H13</f>
        <v>68</v>
      </c>
      <c r="W13" s="99" t="n">
        <f aca="false">U13-V13</f>
        <v>-23</v>
      </c>
      <c r="Y13" s="100" t="str">
        <f aca="false">COUNTIF(B_COEFF_GIRONE_C,"&gt;="&amp;AS13)&amp;Z13</f>
        <v>3C</v>
      </c>
      <c r="Z13" s="34" t="s">
        <v>41</v>
      </c>
      <c r="AA13" s="44" t="s">
        <v>178</v>
      </c>
      <c r="AB13" s="101" t="str">
        <f aca="false">VLOOKUP(AA13,A_SQUADRE_PER_CODICE,2)</f>
        <v>Ippopotami</v>
      </c>
      <c r="AC13" s="44" t="n">
        <f aca="false">AD13+AE13+AF13</f>
        <v>3</v>
      </c>
      <c r="AD13" s="44" t="n">
        <f aca="false">SUMIF(B_SQUADRA_A_GIRONI,AB13,B_VINTE_SQUADRA_A_GIRONI)+SUMIF(B_SQUADRA_B_GIRONI,AB13,B_VINTE_SQUADRA_B_GIRONI)</f>
        <v>2</v>
      </c>
      <c r="AE13" s="44" t="n">
        <f aca="false">SUMIF(B_SQUADRA_A_GIRONI,AB13,B_PERSE_SQUADRA_A_GIRONI)+SUMIF(B_SQUADRA_B_GIRONI,AB13,B_PERSE_SQUADRA_B_GIRONI)</f>
        <v>1</v>
      </c>
      <c r="AF13" s="44" t="n">
        <f aca="false">SUMIF(B_SQUADRA_A_GIRONI,AB13,B_FORFAIT_SQUADRA_A_GIRONI)+SUMIF(B_SQUADRA_B_GIRONI,AB13,B_FORFAIT_SQUADRA_B_GIRONI)</f>
        <v>0</v>
      </c>
      <c r="AG13" s="102" t="n">
        <f aca="false">2*AD13+1*AE13+0*AF13</f>
        <v>5</v>
      </c>
      <c r="AH13" s="103" t="n">
        <f aca="false">SUMIF(B_SQUADRA_A_GIRONI,AB13,B_PUNTI_FATTI_SQUADRA_A_GIRONI)+SUMIF(B_SQUADRA_B_GIRONI,AB13,B_PUNTI_FATTI_SQUADRA_B_GIRONI)</f>
        <v>206</v>
      </c>
      <c r="AI13" s="44" t="n">
        <f aca="false">SUMIF(B_SQUADRA_A_GIRONI,AB13,B_PUNTI_SUBITI_SQUADRA_A_GIRONI)+SUMIF(B_SQUADRA_B_GIRONI,AB13,B_PUNTI_SUBITI_SQUADRA_B_GIRONI)</f>
        <v>208</v>
      </c>
      <c r="AJ13" s="104" t="n">
        <f aca="false">SUMIF(B_SQUADRA_A_GIRONI,AB13,B_DIFF_CANESTRI_SQUADRA_A_GIRONI)+SUMIF(B_SQUADRA_B_GIRONI,AB13,B_DIFF_CANESTRI_SQUADRA_B_GIRONI)</f>
        <v>-2</v>
      </c>
      <c r="AK13" s="44" t="n">
        <f aca="true">IF(AG13=AG14,INDIRECT("O"&amp;8+6*(FIND(Z13,"ABCDEFGH")-1)),0)</f>
        <v>0</v>
      </c>
      <c r="AL13" s="44" t="n">
        <f aca="true">IF(AG13=AG11,INDIRECT("U"&amp;4+6*(FIND(Z13,"ABCDEFGH")-1)),0)</f>
        <v>95</v>
      </c>
      <c r="AM13" s="44" t="n">
        <f aca="true">IF(AG13=AG12,INDIRECT("U"&amp;6+6*(FIND(Z13,"ABCDEFGH")-1)),0)</f>
        <v>49</v>
      </c>
      <c r="AN13" s="103" t="n">
        <f aca="false">AK13+AL13+AM13</f>
        <v>144</v>
      </c>
      <c r="AO13" s="98" t="n">
        <f aca="true">IF(AG13=AG14,INDIRECT("Q"&amp;8+6*(FIND(Z13,"ABCDEFGH")-1)),0)</f>
        <v>0</v>
      </c>
      <c r="AP13" s="98" t="n">
        <f aca="true">IF(AG13=AG11,INDIRECT("W"&amp;4+6*(FIND(Z13,"ABCDEFGH")-1)),0)</f>
        <v>29</v>
      </c>
      <c r="AQ13" s="98" t="n">
        <f aca="true">IF(AG13=AG12,INDIRECT("W"&amp;6+6*(FIND(Z13,"ABCDEFGH")-1)),0)</f>
        <v>-49</v>
      </c>
      <c r="AR13" s="104" t="n">
        <f aca="false">AO13+AP13+AQ13</f>
        <v>-20</v>
      </c>
      <c r="AS13" s="105" t="n">
        <f aca="false">AG13+(500+AR13)*10^-3+AN13*10^-6+(500+AJ13)*10^-9+AH13*10^-12</f>
        <v>5.480144498206</v>
      </c>
      <c r="AU13" s="106" t="s">
        <v>179</v>
      </c>
      <c r="AV13" s="107" t="n">
        <v>59</v>
      </c>
      <c r="AW13" s="108" t="s">
        <v>138</v>
      </c>
      <c r="AX13" s="109" t="s">
        <v>148</v>
      </c>
      <c r="AY13" s="108" t="s">
        <v>180</v>
      </c>
      <c r="AZ13" s="108" t="s">
        <v>181</v>
      </c>
      <c r="BA13" s="96" t="str">
        <f aca="false">IF(LEFT(AY13,1)="V",VLOOKUP(_xlfn.NUMBERVALUE(SUBSTITUTE(AY13,"V","")),B_PARTITE_2A_FASE_PER_NUMERO,10,FALSE()),IF(LEFT(AY13,1)="P",VLOOKUP(_xlfn.NUMBERVALUE(SUBSTITUTE(AY13,"P","")),B_PARTITE_2A_FASE_PER_NUMERO,11,FALSE()),VLOOKUP(AY13,B_CLASSIFICHE_GIRONI,4,FALSE())))</f>
        <v>Cervi</v>
      </c>
      <c r="BB13" s="96" t="str">
        <f aca="false">IF(LEFT(AZ13,1)="V",VLOOKUP(_xlfn.NUMBERVALUE(SUBSTITUTE(AZ13,"V","")),B_PARTITE_2A_FASE_PER_NUMERO,10,FALSE()),IF(LEFT(AZ13,1)="P",VLOOKUP(_xlfn.NUMBERVALUE(SUBSTITUTE(AZ13,"P","")),B_PARTITE_2A_FASE_PER_NUMERO,11,FALSE()),VLOOKUP(AZ13,B_CLASSIFICHE_GIRONI,4,FALSE())))</f>
        <v>Muli</v>
      </c>
      <c r="BC13" s="44" t="n">
        <f aca="false">VLOOKUP(AV13,A_5_INPUT_DATE_E_RISULTATI_2A_FASE,6,0)</f>
        <v>50</v>
      </c>
      <c r="BD13" s="44" t="n">
        <f aca="false">VLOOKUP(AV13,A_5_INPUT_DATE_E_RISULTATI_2A_FASE,7,0)</f>
        <v>43</v>
      </c>
      <c r="BE13" s="96" t="str">
        <f aca="false">IF(BC13&gt;BD13,BA13,BB13)</f>
        <v>Cervi</v>
      </c>
      <c r="BF13" s="96" t="str">
        <f aca="false">IF(BC13&lt;BD13,BA13,BB13)</f>
        <v>Muli</v>
      </c>
      <c r="BG13" s="44" t="n">
        <f aca="false">1*(BC13&gt;BD13)</f>
        <v>1</v>
      </c>
      <c r="BH13" s="97" t="n">
        <f aca="false">1*(BC13&lt;BD13)*NOT(AND(BC13=0,BD13=20))</f>
        <v>0</v>
      </c>
      <c r="BI13" s="97" t="n">
        <f aca="false">1*AND(BC13=0,BD13=20)</f>
        <v>0</v>
      </c>
      <c r="BJ13" s="44" t="n">
        <f aca="false">BC13</f>
        <v>50</v>
      </c>
      <c r="BK13" s="44" t="n">
        <f aca="false">BD13</f>
        <v>43</v>
      </c>
      <c r="BL13" s="98" t="n">
        <f aca="false">BJ13-BK13</f>
        <v>7</v>
      </c>
      <c r="BM13" s="44" t="n">
        <f aca="false">1*(BD13&gt;BC13)</f>
        <v>0</v>
      </c>
      <c r="BN13" s="44" t="n">
        <f aca="false">1*(BD13&lt;BC13)*NOT(AND(BC13=20,BD13=0))</f>
        <v>1</v>
      </c>
      <c r="BO13" s="44" t="n">
        <f aca="false">1*AND(BC13=20,BD13=0)</f>
        <v>0</v>
      </c>
      <c r="BP13" s="44" t="n">
        <f aca="false">BD13</f>
        <v>43</v>
      </c>
      <c r="BQ13" s="44" t="n">
        <f aca="false">BC13</f>
        <v>50</v>
      </c>
      <c r="BR13" s="99" t="n">
        <f aca="false">BP13-BQ13</f>
        <v>-7</v>
      </c>
    </row>
    <row r="14" customFormat="false" ht="12.8" hidden="false" customHeight="false" outlineLevel="0" collapsed="false">
      <c r="A14" s="32" t="n">
        <v>4</v>
      </c>
      <c r="B14" s="34" t="s">
        <v>10</v>
      </c>
      <c r="C14" s="34" t="s">
        <v>36</v>
      </c>
      <c r="D14" s="44" t="s">
        <v>162</v>
      </c>
      <c r="E14" s="44" t="s">
        <v>166</v>
      </c>
      <c r="F14" s="96" t="str">
        <f aca="false">IF(B14="Girone",VLOOKUP(D14,A_SQUADRE_PER_CODICE,2),"ERRORE!")</f>
        <v>Linci</v>
      </c>
      <c r="G14" s="96" t="str">
        <f aca="false">IF(B14="Girone",VLOOKUP(E14,A_SQUADRE_PER_CODICE,2),"ERRORE!")</f>
        <v>Serval</v>
      </c>
      <c r="H14" s="44" t="n">
        <f aca="false">VLOOKUP(A14,A_4_INPUT_DATE_E_RISULTATI_GIRONI,6,0)</f>
        <v>96</v>
      </c>
      <c r="I14" s="44" t="n">
        <f aca="false">VLOOKUP(A14,A_4_INPUT_DATE_E_RISULTATI_GIRONI,7,0)</f>
        <v>86</v>
      </c>
      <c r="J14" s="96" t="str">
        <f aca="false">IF(H14&gt;I14,F14,G14)</f>
        <v>Linci</v>
      </c>
      <c r="K14" s="96" t="str">
        <f aca="false">IF(H14&lt;I14,F14,G14)</f>
        <v>Serval</v>
      </c>
      <c r="L14" s="44" t="n">
        <f aca="false">1*(H14&gt;I14)</f>
        <v>1</v>
      </c>
      <c r="M14" s="97" t="n">
        <f aca="false">1*(H14&lt;I14)*NOT(AND(H14=0,I14=20))</f>
        <v>0</v>
      </c>
      <c r="N14" s="97" t="n">
        <f aca="false">1*AND(H14=0,I14=20)</f>
        <v>0</v>
      </c>
      <c r="O14" s="44" t="n">
        <f aca="false">H14</f>
        <v>96</v>
      </c>
      <c r="P14" s="44" t="n">
        <f aca="false">I14</f>
        <v>86</v>
      </c>
      <c r="Q14" s="98" t="n">
        <f aca="false">O14-P14</f>
        <v>10</v>
      </c>
      <c r="R14" s="44" t="n">
        <f aca="false">1*(I14&gt;H14)</f>
        <v>0</v>
      </c>
      <c r="S14" s="44" t="n">
        <f aca="false">1*(I14&lt;H14)*NOT(AND(H14=20,I14=0))</f>
        <v>1</v>
      </c>
      <c r="T14" s="44" t="n">
        <f aca="false">1*AND(H14=20,I14=0)</f>
        <v>0</v>
      </c>
      <c r="U14" s="44" t="n">
        <f aca="false">I14</f>
        <v>86</v>
      </c>
      <c r="V14" s="44" t="n">
        <f aca="false">H14</f>
        <v>96</v>
      </c>
      <c r="W14" s="99" t="n">
        <f aca="false">U14-V14</f>
        <v>-10</v>
      </c>
      <c r="Y14" s="100" t="str">
        <f aca="false">COUNTIF(B_COEFF_GIRONE_C,"&gt;="&amp;AS14)&amp;Z14</f>
        <v>4C</v>
      </c>
      <c r="Z14" s="34" t="s">
        <v>41</v>
      </c>
      <c r="AA14" s="44" t="s">
        <v>182</v>
      </c>
      <c r="AB14" s="101" t="str">
        <f aca="false">VLOOKUP(AA14,A_SQUADRE_PER_CODICE,2)</f>
        <v>Iguane</v>
      </c>
      <c r="AC14" s="44" t="n">
        <f aca="false">AD14+AE14+AF14</f>
        <v>3</v>
      </c>
      <c r="AD14" s="44" t="n">
        <f aca="false">SUMIF(B_SQUADRA_A_GIRONI,AB14,B_VINTE_SQUADRA_A_GIRONI)+SUMIF(B_SQUADRA_B_GIRONI,AB14,B_VINTE_SQUADRA_B_GIRONI)</f>
        <v>0</v>
      </c>
      <c r="AE14" s="44" t="n">
        <f aca="false">SUMIF(B_SQUADRA_A_GIRONI,AB14,B_PERSE_SQUADRA_A_GIRONI)+SUMIF(B_SQUADRA_B_GIRONI,AB14,B_PERSE_SQUADRA_B_GIRONI)</f>
        <v>3</v>
      </c>
      <c r="AF14" s="44" t="n">
        <f aca="false">SUMIF(B_SQUADRA_A_GIRONI,AB14,B_FORFAIT_SQUADRA_A_GIRONI)+SUMIF(B_SQUADRA_B_GIRONI,AB14,B_FORFAIT_SQUADRA_B_GIRONI)</f>
        <v>0</v>
      </c>
      <c r="AG14" s="102" t="n">
        <f aca="false">2*AD14+1*AE14+0*AF14</f>
        <v>3</v>
      </c>
      <c r="AH14" s="103" t="n">
        <f aca="false">SUMIF(B_SQUADRA_A_GIRONI,AB14,B_PUNTI_FATTI_SQUADRA_A_GIRONI)+SUMIF(B_SQUADRA_B_GIRONI,AB14,B_PUNTI_FATTI_SQUADRA_B_GIRONI)</f>
        <v>120</v>
      </c>
      <c r="AI14" s="44" t="n">
        <f aca="false">SUMIF(B_SQUADRA_A_GIRONI,AB14,B_PUNTI_SUBITI_SQUADRA_A_GIRONI)+SUMIF(B_SQUADRA_B_GIRONI,AB14,B_PUNTI_SUBITI_SQUADRA_B_GIRONI)</f>
        <v>179</v>
      </c>
      <c r="AJ14" s="104" t="n">
        <f aca="false">SUMIF(B_SQUADRA_A_GIRONI,AB14,B_DIFF_CANESTRI_SQUADRA_A_GIRONI)+SUMIF(B_SQUADRA_B_GIRONI,AB14,B_DIFF_CANESTRI_SQUADRA_B_GIRONI)</f>
        <v>-59</v>
      </c>
      <c r="AK14" s="44" t="n">
        <f aca="true">IF(AG14=AG11,INDIRECT("U"&amp;5+6*(FIND(Z14,"ABCDEFGH")-1)),0)</f>
        <v>0</v>
      </c>
      <c r="AL14" s="44" t="n">
        <f aca="true">IF(AG14=AG12,INDIRECT("U"&amp;7+6*(FIND(Z14,"ABCDEFGH")-1)),0)</f>
        <v>0</v>
      </c>
      <c r="AM14" s="44" t="n">
        <f aca="true">IF(AG14=AG13,INDIRECT("U"&amp;8+6*(FIND(Z14,"ABCDEFGH")-1)),0)</f>
        <v>0</v>
      </c>
      <c r="AN14" s="103" t="n">
        <f aca="false">AK14+AL14+AM14</f>
        <v>0</v>
      </c>
      <c r="AO14" s="98" t="n">
        <f aca="true">IF(AG14=AG11,INDIRECT("W"&amp;5+6*(FIND(Z14,"ABCDEFGH")-1)),0)</f>
        <v>0</v>
      </c>
      <c r="AP14" s="98" t="n">
        <f aca="true">IF(AG14=AG12,INDIRECT("W"&amp;7+6*(FIND(Z14,"ABCDEFGH")-1)),0)</f>
        <v>0</v>
      </c>
      <c r="AQ14" s="98" t="n">
        <f aca="true">IF(AG14=AG13,INDIRECT("W"&amp;8+6*(FIND(Z14,"ABCDEFGH")-1)),0)</f>
        <v>0</v>
      </c>
      <c r="AR14" s="104" t="n">
        <f aca="false">AO14+AP14+AQ14</f>
        <v>0</v>
      </c>
      <c r="AS14" s="105" t="n">
        <f aca="false">AG14+(500+AR14)*10^-3+AN14*10^-6+(500+AJ14)*10^-9+AH14*10^-12</f>
        <v>3.50000044112</v>
      </c>
      <c r="AU14" s="106" t="s">
        <v>183</v>
      </c>
      <c r="AV14" s="107" t="n">
        <v>60</v>
      </c>
      <c r="AW14" s="108" t="s">
        <v>138</v>
      </c>
      <c r="AX14" s="109" t="s">
        <v>148</v>
      </c>
      <c r="AY14" s="108" t="s">
        <v>184</v>
      </c>
      <c r="AZ14" s="108" t="s">
        <v>185</v>
      </c>
      <c r="BA14" s="96" t="str">
        <f aca="false">IF(LEFT(AY14,1)="V",VLOOKUP(_xlfn.NUMBERVALUE(SUBSTITUTE(AY14,"V","")),B_PARTITE_2A_FASE_PER_NUMERO,10,FALSE()),IF(LEFT(AY14,1)="P",VLOOKUP(_xlfn.NUMBERVALUE(SUBSTITUTE(AY14,"P","")),B_PARTITE_2A_FASE_PER_NUMERO,11,FALSE()),VLOOKUP(AY14,B_CLASSIFICHE_GIRONI,4,FALSE())))</f>
        <v>Orche</v>
      </c>
      <c r="BB14" s="96" t="str">
        <f aca="false">IF(LEFT(AZ14,1)="V",VLOOKUP(_xlfn.NUMBERVALUE(SUBSTITUTE(AZ14,"V","")),B_PARTITE_2A_FASE_PER_NUMERO,10,FALSE()),IF(LEFT(AZ14,1)="P",VLOOKUP(_xlfn.NUMBERVALUE(SUBSTITUTE(AZ14,"P","")),B_PARTITE_2A_FASE_PER_NUMERO,11,FALSE()),VLOOKUP(AZ14,B_CLASSIFICHE_GIRONI,4,FALSE())))</f>
        <v>Cinghiali</v>
      </c>
      <c r="BC14" s="44" t="n">
        <f aca="false">VLOOKUP(AV14,A_5_INPUT_DATE_E_RISULTATI_2A_FASE,6,0)</f>
        <v>52</v>
      </c>
      <c r="BD14" s="44" t="n">
        <f aca="false">VLOOKUP(AV14,A_5_INPUT_DATE_E_RISULTATI_2A_FASE,7,0)</f>
        <v>42</v>
      </c>
      <c r="BE14" s="96" t="str">
        <f aca="false">IF(BC14&gt;BD14,BA14,BB14)</f>
        <v>Orche</v>
      </c>
      <c r="BF14" s="96" t="str">
        <f aca="false">IF(BC14&lt;BD14,BA14,BB14)</f>
        <v>Cinghiali</v>
      </c>
      <c r="BG14" s="44" t="n">
        <f aca="false">1*(BC14&gt;BD14)</f>
        <v>1</v>
      </c>
      <c r="BH14" s="97" t="n">
        <f aca="false">1*(BC14&lt;BD14)*NOT(AND(BC14=0,BD14=20))</f>
        <v>0</v>
      </c>
      <c r="BI14" s="97" t="n">
        <f aca="false">1*AND(BC14=0,BD14=20)</f>
        <v>0</v>
      </c>
      <c r="BJ14" s="44" t="n">
        <f aca="false">BC14</f>
        <v>52</v>
      </c>
      <c r="BK14" s="44" t="n">
        <f aca="false">BD14</f>
        <v>42</v>
      </c>
      <c r="BL14" s="98" t="n">
        <f aca="false">BJ14-BK14</f>
        <v>10</v>
      </c>
      <c r="BM14" s="44" t="n">
        <f aca="false">1*(BD14&gt;BC14)</f>
        <v>0</v>
      </c>
      <c r="BN14" s="44" t="n">
        <f aca="false">1*(BD14&lt;BC14)*NOT(AND(BC14=20,BD14=0))</f>
        <v>1</v>
      </c>
      <c r="BO14" s="44" t="n">
        <f aca="false">1*AND(BC14=20,BD14=0)</f>
        <v>0</v>
      </c>
      <c r="BP14" s="44" t="n">
        <f aca="false">BD14</f>
        <v>42</v>
      </c>
      <c r="BQ14" s="44" t="n">
        <f aca="false">BC14</f>
        <v>52</v>
      </c>
      <c r="BR14" s="99" t="n">
        <f aca="false">BP14-BQ14</f>
        <v>-10</v>
      </c>
    </row>
    <row r="15" customFormat="false" ht="12.8" hidden="false" customHeight="false" outlineLevel="0" collapsed="false">
      <c r="A15" s="32" t="n">
        <v>5</v>
      </c>
      <c r="B15" s="34" t="s">
        <v>10</v>
      </c>
      <c r="C15" s="34" t="s">
        <v>41</v>
      </c>
      <c r="D15" s="44" t="s">
        <v>170</v>
      </c>
      <c r="E15" s="44" t="s">
        <v>174</v>
      </c>
      <c r="F15" s="96" t="str">
        <f aca="false">IF(B15="Girone",VLOOKUP(D15,A_SQUADRE_PER_CODICE,2),"ERRORE!")</f>
        <v>Elefanti</v>
      </c>
      <c r="G15" s="96" t="str">
        <f aca="false">IF(B15="Girone",VLOOKUP(E15,A_SQUADRE_PER_CODICE,2),"ERRORE!")</f>
        <v>Giraffe</v>
      </c>
      <c r="H15" s="44" t="n">
        <f aca="false">VLOOKUP(A15,A_4_INPUT_DATE_E_RISULTATI_GIRONI,6,0)</f>
        <v>79</v>
      </c>
      <c r="I15" s="44" t="n">
        <f aca="false">VLOOKUP(A15,A_4_INPUT_DATE_E_RISULTATI_GIRONI,7,0)</f>
        <v>48</v>
      </c>
      <c r="J15" s="96" t="str">
        <f aca="false">IF(H15&gt;I15,F15,G15)</f>
        <v>Elefanti</v>
      </c>
      <c r="K15" s="96" t="str">
        <f aca="false">IF(H15&lt;I15,F15,G15)</f>
        <v>Giraffe</v>
      </c>
      <c r="L15" s="44" t="n">
        <f aca="false">1*(H15&gt;I15)</f>
        <v>1</v>
      </c>
      <c r="M15" s="97" t="n">
        <f aca="false">1*(H15&lt;I15)*NOT(AND(H15=0,I15=20))</f>
        <v>0</v>
      </c>
      <c r="N15" s="97" t="n">
        <f aca="false">1*AND(H15=0,I15=20)</f>
        <v>0</v>
      </c>
      <c r="O15" s="44" t="n">
        <f aca="false">H15</f>
        <v>79</v>
      </c>
      <c r="P15" s="44" t="n">
        <f aca="false">I15</f>
        <v>48</v>
      </c>
      <c r="Q15" s="98" t="n">
        <f aca="false">O15-P15</f>
        <v>31</v>
      </c>
      <c r="R15" s="44" t="n">
        <f aca="false">1*(I15&gt;H15)</f>
        <v>0</v>
      </c>
      <c r="S15" s="44" t="n">
        <f aca="false">1*(I15&lt;H15)*NOT(AND(H15=20,I15=0))</f>
        <v>1</v>
      </c>
      <c r="T15" s="44" t="n">
        <f aca="false">1*AND(H15=20,I15=0)</f>
        <v>0</v>
      </c>
      <c r="U15" s="44" t="n">
        <f aca="false">I15</f>
        <v>48</v>
      </c>
      <c r="V15" s="44" t="n">
        <f aca="false">H15</f>
        <v>79</v>
      </c>
      <c r="W15" s="99" t="n">
        <f aca="false">U15-V15</f>
        <v>-31</v>
      </c>
      <c r="Y15" s="110" t="str">
        <f aca="false">COUNTIF(B_COEFF_GIRONE_D,"&gt;="&amp;AS15)&amp;Z15</f>
        <v>1D</v>
      </c>
      <c r="Z15" s="111" t="s">
        <v>46</v>
      </c>
      <c r="AA15" s="111" t="s">
        <v>186</v>
      </c>
      <c r="AB15" s="112" t="str">
        <f aca="false">VLOOKUP(AA15,A_SQUADRE_PER_CODICE,2)</f>
        <v>Coccodrilli</v>
      </c>
      <c r="AC15" s="111" t="n">
        <f aca="false">AD15+AE15+AF15</f>
        <v>3</v>
      </c>
      <c r="AD15" s="111" t="n">
        <f aca="false">SUMIF(B_SQUADRA_A_GIRONI,AB15,B_VINTE_SQUADRA_A_GIRONI)+SUMIF(B_SQUADRA_B_GIRONI,AB15,B_VINTE_SQUADRA_B_GIRONI)</f>
        <v>2</v>
      </c>
      <c r="AE15" s="111" t="n">
        <f aca="false">SUMIF(B_SQUADRA_A_GIRONI,AB15,B_PERSE_SQUADRA_A_GIRONI)+SUMIF(B_SQUADRA_B_GIRONI,AB15,B_PERSE_SQUADRA_B_GIRONI)</f>
        <v>1</v>
      </c>
      <c r="AF15" s="111" t="n">
        <f aca="false">SUMIF(B_SQUADRA_A_GIRONI,AB15,B_FORFAIT_SQUADRA_A_GIRONI)+SUMIF(B_SQUADRA_B_GIRONI,AB15,B_FORFAIT_SQUADRA_B_GIRONI)</f>
        <v>0</v>
      </c>
      <c r="AG15" s="113" t="n">
        <f aca="false">2*AD15+1*AE15+0*AF15</f>
        <v>5</v>
      </c>
      <c r="AH15" s="114" t="n">
        <f aca="false">SUMIF(B_SQUADRA_A_GIRONI,AB15,B_PUNTI_FATTI_SQUADRA_A_GIRONI)+SUMIF(B_SQUADRA_B_GIRONI,AB15,B_PUNTI_FATTI_SQUADRA_B_GIRONI)</f>
        <v>179</v>
      </c>
      <c r="AI15" s="111" t="n">
        <f aca="false">SUMIF(B_SQUADRA_A_GIRONI,AB15,B_PUNTI_SUBITI_SQUADRA_A_GIRONI)+SUMIF(B_SQUADRA_B_GIRONI,AB15,B_PUNTI_SUBITI_SQUADRA_B_GIRONI)</f>
        <v>108</v>
      </c>
      <c r="AJ15" s="115" t="n">
        <f aca="false">SUMIF(B_SQUADRA_A_GIRONI,AB15,B_DIFF_CANESTRI_SQUADRA_A_GIRONI)+SUMIF(B_SQUADRA_B_GIRONI,AB15,B_DIFF_CANESTRI_SQUADRA_B_GIRONI)</f>
        <v>71</v>
      </c>
      <c r="AK15" s="111" t="n">
        <f aca="true">IF(AG15=AG16,INDIRECT("O"&amp;3+6*(FIND(Z15,"ABCDEFGH")-1)),0)</f>
        <v>96</v>
      </c>
      <c r="AL15" s="116" t="n">
        <f aca="true">IF(AG15=AG17,INDIRECT("O"&amp;4+6*(FIND(Z15,"ABCDEFGH")-1)),0)</f>
        <v>29</v>
      </c>
      <c r="AM15" s="111" t="n">
        <f aca="true">IF(AG15=AG18,INDIRECT("O"&amp;5+6*(FIND(Z15,"ABCDEFGH")-1)),0)</f>
        <v>0</v>
      </c>
      <c r="AN15" s="114" t="n">
        <f aca="false">AK15+AL15+AM15</f>
        <v>125</v>
      </c>
      <c r="AO15" s="117" t="n">
        <f aca="true">IF(AG15=AG16,INDIRECT("Q"&amp;3+6*(FIND(Z15,"ABCDEFGH")-1)),0)</f>
        <v>71</v>
      </c>
      <c r="AP15" s="117" t="n">
        <f aca="true">IF(AG15=AG17,INDIRECT("Q"&amp;4+6*(FIND(Z15,"ABCDEFGH")-1)),0)</f>
        <v>-10</v>
      </c>
      <c r="AQ15" s="117" t="n">
        <f aca="true">IF(AG15=AG18,INDIRECT("Q"&amp;5+6*(FIND(Z15,"ABCDEFGH")-1)),0)</f>
        <v>0</v>
      </c>
      <c r="AR15" s="115" t="n">
        <f aca="false">AO15+AP15+AQ15</f>
        <v>61</v>
      </c>
      <c r="AS15" s="118" t="n">
        <f aca="false">AG15+(500+AR15)*10^-3+AN15*10^-6+(500+AJ15)*10^-9+AH15*10^-12</f>
        <v>5.561125571179</v>
      </c>
      <c r="AU15" s="106" t="s">
        <v>187</v>
      </c>
      <c r="AV15" s="107" t="n">
        <v>61</v>
      </c>
      <c r="AW15" s="108" t="s">
        <v>138</v>
      </c>
      <c r="AX15" s="109" t="s">
        <v>139</v>
      </c>
      <c r="AY15" s="108" t="s">
        <v>188</v>
      </c>
      <c r="AZ15" s="108" t="s">
        <v>189</v>
      </c>
      <c r="BA15" s="96" t="str">
        <f aca="false">IF(LEFT(AY15,1)="V",VLOOKUP(_xlfn.NUMBERVALUE(SUBSTITUTE(AY15,"V","")),B_PARTITE_2A_FASE_PER_NUMERO,10,FALSE()),IF(LEFT(AY15,1)="P",VLOOKUP(_xlfn.NUMBERVALUE(SUBSTITUTE(AY15,"P","")),B_PARTITE_2A_FASE_PER_NUMERO,11,FALSE()),VLOOKUP(AY15,B_CLASSIFICHE_GIRONI,4,FALSE())))</f>
        <v>Balene</v>
      </c>
      <c r="BB15" s="96" t="str">
        <f aca="false">IF(LEFT(AZ15,1)="V",VLOOKUP(_xlfn.NUMBERVALUE(SUBSTITUTE(AZ15,"V","")),B_PARTITE_2A_FASE_PER_NUMERO,10,FALSE()),IF(LEFT(AZ15,1)="P",VLOOKUP(_xlfn.NUMBERVALUE(SUBSTITUTE(AZ15,"P","")),B_PARTITE_2A_FASE_PER_NUMERO,11,FALSE()),VLOOKUP(AZ15,B_CLASSIFICHE_GIRONI,4,FALSE())))</f>
        <v>Tonni</v>
      </c>
      <c r="BC15" s="44" t="n">
        <f aca="false">VLOOKUP(AV15,A_5_INPUT_DATE_E_RISULTATI_2A_FASE,6,0)</f>
        <v>51</v>
      </c>
      <c r="BD15" s="44" t="n">
        <f aca="false">VLOOKUP(AV15,A_5_INPUT_DATE_E_RISULTATI_2A_FASE,7,0)</f>
        <v>47</v>
      </c>
      <c r="BE15" s="96" t="str">
        <f aca="false">IF(BC15&gt;BD15,BA15,BB15)</f>
        <v>Balene</v>
      </c>
      <c r="BF15" s="96" t="str">
        <f aca="false">IF(BC15&lt;BD15,BA15,BB15)</f>
        <v>Tonni</v>
      </c>
      <c r="BG15" s="44" t="n">
        <f aca="false">1*(BC15&gt;BD15)</f>
        <v>1</v>
      </c>
      <c r="BH15" s="97" t="n">
        <f aca="false">1*(BC15&lt;BD15)*NOT(AND(BC15=0,BD15=20))</f>
        <v>0</v>
      </c>
      <c r="BI15" s="97" t="n">
        <f aca="false">1*AND(BC15=0,BD15=20)</f>
        <v>0</v>
      </c>
      <c r="BJ15" s="44" t="n">
        <f aca="false">BC15</f>
        <v>51</v>
      </c>
      <c r="BK15" s="44" t="n">
        <f aca="false">BD15</f>
        <v>47</v>
      </c>
      <c r="BL15" s="98" t="n">
        <f aca="false">BJ15-BK15</f>
        <v>4</v>
      </c>
      <c r="BM15" s="44" t="n">
        <f aca="false">1*(BD15&gt;BC15)</f>
        <v>0</v>
      </c>
      <c r="BN15" s="44" t="n">
        <f aca="false">1*(BD15&lt;BC15)*NOT(AND(BC15=20,BD15=0))</f>
        <v>1</v>
      </c>
      <c r="BO15" s="44" t="n">
        <f aca="false">1*AND(BC15=20,BD15=0)</f>
        <v>0</v>
      </c>
      <c r="BP15" s="44" t="n">
        <f aca="false">BD15</f>
        <v>47</v>
      </c>
      <c r="BQ15" s="44" t="n">
        <f aca="false">BC15</f>
        <v>51</v>
      </c>
      <c r="BR15" s="99" t="n">
        <f aca="false">BP15-BQ15</f>
        <v>-4</v>
      </c>
    </row>
    <row r="16" customFormat="false" ht="12.8" hidden="false" customHeight="false" outlineLevel="0" collapsed="false">
      <c r="A16" s="32" t="n">
        <v>11</v>
      </c>
      <c r="B16" s="34" t="s">
        <v>10</v>
      </c>
      <c r="C16" s="34" t="s">
        <v>41</v>
      </c>
      <c r="D16" s="44" t="s">
        <v>170</v>
      </c>
      <c r="E16" s="44" t="s">
        <v>178</v>
      </c>
      <c r="F16" s="96" t="str">
        <f aca="false">IF(B16="Girone",VLOOKUP(D16,A_SQUADRE_PER_CODICE,2),"ERRORE!")</f>
        <v>Elefanti</v>
      </c>
      <c r="G16" s="96" t="str">
        <f aca="false">IF(B16="Girone",VLOOKUP(E16,A_SQUADRE_PER_CODICE,2),"ERRORE!")</f>
        <v>Ippopotami</v>
      </c>
      <c r="H16" s="44" t="n">
        <f aca="false">VLOOKUP(A16,A_4_INPUT_DATE_E_RISULTATI_GIRONI,6,0)</f>
        <v>66</v>
      </c>
      <c r="I16" s="44" t="n">
        <f aca="false">VLOOKUP(A16,A_4_INPUT_DATE_E_RISULTATI_GIRONI,7,0)</f>
        <v>95</v>
      </c>
      <c r="J16" s="96" t="str">
        <f aca="false">IF(H16&gt;I16,F16,G16)</f>
        <v>Ippopotami</v>
      </c>
      <c r="K16" s="96" t="str">
        <f aca="false">IF(H16&lt;I16,F16,G16)</f>
        <v>Elefanti</v>
      </c>
      <c r="L16" s="44" t="n">
        <f aca="false">1*(H16&gt;I16)</f>
        <v>0</v>
      </c>
      <c r="M16" s="97" t="n">
        <f aca="false">1*(H16&lt;I16)*NOT(AND(H16=0,I16=20))</f>
        <v>1</v>
      </c>
      <c r="N16" s="97" t="n">
        <f aca="false">1*AND(H16=0,I16=20)</f>
        <v>0</v>
      </c>
      <c r="O16" s="44" t="n">
        <f aca="false">H16</f>
        <v>66</v>
      </c>
      <c r="P16" s="44" t="n">
        <f aca="false">I16</f>
        <v>95</v>
      </c>
      <c r="Q16" s="98" t="n">
        <f aca="false">O16-P16</f>
        <v>-29</v>
      </c>
      <c r="R16" s="44" t="n">
        <f aca="false">1*(I16&gt;H16)</f>
        <v>1</v>
      </c>
      <c r="S16" s="44" t="n">
        <f aca="false">1*(I16&lt;H16)*NOT(AND(H16=20,I16=0))</f>
        <v>0</v>
      </c>
      <c r="T16" s="44" t="n">
        <f aca="false">1*AND(H16=20,I16=0)</f>
        <v>0</v>
      </c>
      <c r="U16" s="44" t="n">
        <f aca="false">I16</f>
        <v>95</v>
      </c>
      <c r="V16" s="44" t="n">
        <f aca="false">H16</f>
        <v>66</v>
      </c>
      <c r="W16" s="99" t="n">
        <f aca="false">U16-V16</f>
        <v>29</v>
      </c>
      <c r="Y16" s="100" t="str">
        <f aca="false">COUNTIF(B_COEFF_GIRONE_D,"&gt;="&amp;AS16)&amp;Z16</f>
        <v>3D</v>
      </c>
      <c r="Z16" s="34" t="s">
        <v>46</v>
      </c>
      <c r="AA16" s="44" t="s">
        <v>190</v>
      </c>
      <c r="AB16" s="101" t="str">
        <f aca="false">VLOOKUP(AA16,A_SQUADRE_PER_CODICE,2)</f>
        <v>Pitoni</v>
      </c>
      <c r="AC16" s="44" t="n">
        <f aca="false">AD16+AE16+AF16</f>
        <v>3</v>
      </c>
      <c r="AD16" s="44" t="n">
        <f aca="false">SUMIF(B_SQUADRA_A_GIRONI,AB16,B_VINTE_SQUADRA_A_GIRONI)+SUMIF(B_SQUADRA_B_GIRONI,AB16,B_VINTE_SQUADRA_B_GIRONI)</f>
        <v>2</v>
      </c>
      <c r="AE16" s="44" t="n">
        <f aca="false">SUMIF(B_SQUADRA_A_GIRONI,AB16,B_PERSE_SQUADRA_A_GIRONI)+SUMIF(B_SQUADRA_B_GIRONI,AB16,B_PERSE_SQUADRA_B_GIRONI)</f>
        <v>1</v>
      </c>
      <c r="AF16" s="44" t="n">
        <f aca="false">SUMIF(B_SQUADRA_A_GIRONI,AB16,B_FORFAIT_SQUADRA_A_GIRONI)+SUMIF(B_SQUADRA_B_GIRONI,AB16,B_FORFAIT_SQUADRA_B_GIRONI)</f>
        <v>0</v>
      </c>
      <c r="AG16" s="102" t="n">
        <f aca="false">2*AD16+1*AE16+0*AF16</f>
        <v>5</v>
      </c>
      <c r="AH16" s="103" t="n">
        <f aca="false">SUMIF(B_SQUADRA_A_GIRONI,AB16,B_PUNTI_FATTI_SQUADRA_A_GIRONI)+SUMIF(B_SQUADRA_B_GIRONI,AB16,B_PUNTI_FATTI_SQUADRA_B_GIRONI)</f>
        <v>133</v>
      </c>
      <c r="AI16" s="44" t="n">
        <f aca="false">SUMIF(B_SQUADRA_A_GIRONI,AB16,B_PUNTI_SUBITI_SQUADRA_A_GIRONI)+SUMIF(B_SQUADRA_B_GIRONI,AB16,B_PUNTI_SUBITI_SQUADRA_B_GIRONI)</f>
        <v>168</v>
      </c>
      <c r="AJ16" s="104" t="n">
        <f aca="false">SUMIF(B_SQUADRA_A_GIRONI,AB16,B_DIFF_CANESTRI_SQUADRA_A_GIRONI)+SUMIF(B_SQUADRA_B_GIRONI,AB16,B_DIFF_CANESTRI_SQUADRA_B_GIRONI)</f>
        <v>-35</v>
      </c>
      <c r="AK16" s="44" t="n">
        <f aca="true">IF(AG16=AG17,INDIRECT("O"&amp;6+6*(FIND(Z16,"ABCDEFGH")-1)),0)</f>
        <v>25</v>
      </c>
      <c r="AL16" s="44" t="n">
        <f aca="true">IF(AG16=AG18,INDIRECT("O"&amp;7+6*(FIND(Z16,"ABCDEFGH")-1)),0)</f>
        <v>0</v>
      </c>
      <c r="AM16" s="44" t="n">
        <f aca="true">IF(AG16=AG15,INDIRECT("U"&amp;3+6*(FIND(Z16,"ABCDEFGH")-1)),0)</f>
        <v>25</v>
      </c>
      <c r="AN16" s="103" t="n">
        <f aca="false">AK16+AL16+AM16</f>
        <v>50</v>
      </c>
      <c r="AO16" s="98" t="n">
        <f aca="true">IF(AG16=AG17,INDIRECT("Q"&amp;6+6*(FIND(Z16,"ABCDEFGH")-1)),0)</f>
        <v>10</v>
      </c>
      <c r="AP16" s="98" t="n">
        <f aca="true">IF(AG16=AG18,INDIRECT("Q"&amp;7+6*(FIND(Z16,"ABCDEFGH")-1)),0)</f>
        <v>0</v>
      </c>
      <c r="AQ16" s="98" t="n">
        <f aca="true">IF(AG16=AG15,INDIRECT("W"&amp;3+6*(FIND(Z16,"ABCDEFGH")-1)),0)</f>
        <v>-71</v>
      </c>
      <c r="AR16" s="104" t="n">
        <f aca="false">AO16+AP16+AQ16</f>
        <v>-61</v>
      </c>
      <c r="AS16" s="105" t="n">
        <f aca="false">AG16+(500+AR16)*10^-3+AN16*10^-6+(500+AJ16)*10^-9+AH16*10^-12</f>
        <v>5.439050465133</v>
      </c>
      <c r="AU16" s="106" t="s">
        <v>191</v>
      </c>
      <c r="AV16" s="107" t="n">
        <v>62</v>
      </c>
      <c r="AW16" s="108" t="s">
        <v>138</v>
      </c>
      <c r="AX16" s="109" t="s">
        <v>139</v>
      </c>
      <c r="AY16" s="108" t="s">
        <v>192</v>
      </c>
      <c r="AZ16" s="108" t="s">
        <v>193</v>
      </c>
      <c r="BA16" s="96" t="str">
        <f aca="false">IF(LEFT(AY16,1)="V",VLOOKUP(_xlfn.NUMBERVALUE(SUBSTITUTE(AY16,"V","")),B_PARTITE_2A_FASE_PER_NUMERO,10,FALSE()),IF(LEFT(AY16,1)="P",VLOOKUP(_xlfn.NUMBERVALUE(SUBSTITUTE(AY16,"P","")),B_PARTITE_2A_FASE_PER_NUMERO,11,FALSE()),VLOOKUP(AY16,B_CLASSIFICHE_GIRONI,4,FALSE())))</f>
        <v>Piranha</v>
      </c>
      <c r="BB16" s="96" t="str">
        <f aca="false">IF(LEFT(AZ16,1)="V",VLOOKUP(_xlfn.NUMBERVALUE(SUBSTITUTE(AZ16,"V","")),B_PARTITE_2A_FASE_PER_NUMERO,10,FALSE()),IF(LEFT(AZ16,1)="P",VLOOKUP(_xlfn.NUMBERVALUE(SUBSTITUTE(AZ16,"P","")),B_PARTITE_2A_FASE_PER_NUMERO,11,FALSE()),VLOOKUP(AZ16,B_CLASSIFICHE_GIRONI,4,FALSE())))</f>
        <v>Gabbiani</v>
      </c>
      <c r="BC16" s="44" t="n">
        <f aca="false">VLOOKUP(AV16,A_5_INPUT_DATE_E_RISULTATI_2A_FASE,6,0)</f>
        <v>60</v>
      </c>
      <c r="BD16" s="44" t="n">
        <f aca="false">VLOOKUP(AV16,A_5_INPUT_DATE_E_RISULTATI_2A_FASE,7,0)</f>
        <v>30</v>
      </c>
      <c r="BE16" s="96" t="str">
        <f aca="false">IF(BC16&gt;BD16,BA16,BB16)</f>
        <v>Piranha</v>
      </c>
      <c r="BF16" s="96" t="str">
        <f aca="false">IF(BC16&lt;BD16,BA16,BB16)</f>
        <v>Gabbiani</v>
      </c>
      <c r="BG16" s="44" t="n">
        <f aca="false">1*(BC16&gt;BD16)</f>
        <v>1</v>
      </c>
      <c r="BH16" s="97" t="n">
        <f aca="false">1*(BC16&lt;BD16)*NOT(AND(BC16=0,BD16=20))</f>
        <v>0</v>
      </c>
      <c r="BI16" s="97" t="n">
        <f aca="false">1*AND(BC16=0,BD16=20)</f>
        <v>0</v>
      </c>
      <c r="BJ16" s="44" t="n">
        <f aca="false">BC16</f>
        <v>60</v>
      </c>
      <c r="BK16" s="44" t="n">
        <f aca="false">BD16</f>
        <v>30</v>
      </c>
      <c r="BL16" s="98" t="n">
        <f aca="false">BJ16-BK16</f>
        <v>30</v>
      </c>
      <c r="BM16" s="44" t="n">
        <f aca="false">1*(BD16&gt;BC16)</f>
        <v>0</v>
      </c>
      <c r="BN16" s="44" t="n">
        <f aca="false">1*(BD16&lt;BC16)*NOT(AND(BC16=20,BD16=0))</f>
        <v>1</v>
      </c>
      <c r="BO16" s="44" t="n">
        <f aca="false">1*AND(BC16=20,BD16=0)</f>
        <v>0</v>
      </c>
      <c r="BP16" s="44" t="n">
        <f aca="false">BD16</f>
        <v>30</v>
      </c>
      <c r="BQ16" s="44" t="n">
        <f aca="false">BC16</f>
        <v>60</v>
      </c>
      <c r="BR16" s="99" t="n">
        <f aca="false">BP16-BQ16</f>
        <v>-30</v>
      </c>
    </row>
    <row r="17" customFormat="false" ht="12.8" hidden="false" customHeight="false" outlineLevel="0" collapsed="false">
      <c r="A17" s="32" t="n">
        <v>27</v>
      </c>
      <c r="B17" s="34" t="s">
        <v>10</v>
      </c>
      <c r="C17" s="34" t="s">
        <v>41</v>
      </c>
      <c r="D17" s="44" t="s">
        <v>170</v>
      </c>
      <c r="E17" s="44" t="s">
        <v>182</v>
      </c>
      <c r="F17" s="96" t="str">
        <f aca="false">IF(B17="Girone",VLOOKUP(D17,A_SQUADRE_PER_CODICE,2),"ERRORE!")</f>
        <v>Elefanti</v>
      </c>
      <c r="G17" s="96" t="str">
        <f aca="false">IF(B17="Girone",VLOOKUP(E17,A_SQUADRE_PER_CODICE,2),"ERRORE!")</f>
        <v>Iguane</v>
      </c>
      <c r="H17" s="44" t="n">
        <f aca="false">VLOOKUP(A17,A_4_INPUT_DATE_E_RISULTATI_GIRONI,6,0)</f>
        <v>57</v>
      </c>
      <c r="I17" s="44" t="n">
        <f aca="false">VLOOKUP(A17,A_4_INPUT_DATE_E_RISULTATI_GIRONI,7,0)</f>
        <v>42</v>
      </c>
      <c r="J17" s="96" t="str">
        <f aca="false">IF(H17&gt;I17,F17,G17)</f>
        <v>Elefanti</v>
      </c>
      <c r="K17" s="96" t="str">
        <f aca="false">IF(H17&lt;I17,F17,G17)</f>
        <v>Iguane</v>
      </c>
      <c r="L17" s="44" t="n">
        <f aca="false">1*(H17&gt;I17)</f>
        <v>1</v>
      </c>
      <c r="M17" s="97" t="n">
        <f aca="false">1*(H17&lt;I17)*NOT(AND(H17=0,I17=20))</f>
        <v>0</v>
      </c>
      <c r="N17" s="97" t="n">
        <f aca="false">1*AND(H17=0,I17=20)</f>
        <v>0</v>
      </c>
      <c r="O17" s="44" t="n">
        <f aca="false">H17</f>
        <v>57</v>
      </c>
      <c r="P17" s="44" t="n">
        <f aca="false">I17</f>
        <v>42</v>
      </c>
      <c r="Q17" s="98" t="n">
        <f aca="false">O17-P17</f>
        <v>15</v>
      </c>
      <c r="R17" s="44" t="n">
        <f aca="false">1*(I17&gt;H17)</f>
        <v>0</v>
      </c>
      <c r="S17" s="44" t="n">
        <f aca="false">1*(I17&lt;H17)*NOT(AND(H17=20,I17=0))</f>
        <v>1</v>
      </c>
      <c r="T17" s="44" t="n">
        <f aca="false">1*AND(H17=20,I17=0)</f>
        <v>0</v>
      </c>
      <c r="U17" s="44" t="n">
        <f aca="false">I17</f>
        <v>42</v>
      </c>
      <c r="V17" s="44" t="n">
        <f aca="false">H17</f>
        <v>57</v>
      </c>
      <c r="W17" s="99" t="n">
        <f aca="false">U17-V17</f>
        <v>-15</v>
      </c>
      <c r="Y17" s="100" t="str">
        <f aca="false">COUNTIF(B_COEFF_GIRONE_D,"&gt;="&amp;AS17)&amp;Z17</f>
        <v>2D</v>
      </c>
      <c r="Z17" s="34" t="s">
        <v>46</v>
      </c>
      <c r="AA17" s="44" t="s">
        <v>194</v>
      </c>
      <c r="AB17" s="101" t="str">
        <f aca="false">VLOOKUP(AA17,A_SQUADRE_PER_CODICE,2)</f>
        <v>Aquile</v>
      </c>
      <c r="AC17" s="44" t="n">
        <f aca="false">AD17+AE17+AF17</f>
        <v>3</v>
      </c>
      <c r="AD17" s="44" t="n">
        <f aca="false">SUMIF(B_SQUADRA_A_GIRONI,AB17,B_VINTE_SQUADRA_A_GIRONI)+SUMIF(B_SQUADRA_B_GIRONI,AB17,B_VINTE_SQUADRA_B_GIRONI)</f>
        <v>2</v>
      </c>
      <c r="AE17" s="44" t="n">
        <f aca="false">SUMIF(B_SQUADRA_A_GIRONI,AB17,B_PERSE_SQUADRA_A_GIRONI)+SUMIF(B_SQUADRA_B_GIRONI,AB17,B_PERSE_SQUADRA_B_GIRONI)</f>
        <v>1</v>
      </c>
      <c r="AF17" s="44" t="n">
        <f aca="false">SUMIF(B_SQUADRA_A_GIRONI,AB17,B_FORFAIT_SQUADRA_A_GIRONI)+SUMIF(B_SQUADRA_B_GIRONI,AB17,B_FORFAIT_SQUADRA_B_GIRONI)</f>
        <v>0</v>
      </c>
      <c r="AG17" s="102" t="n">
        <f aca="false">2*AD17+1*AE17+0*AF17</f>
        <v>5</v>
      </c>
      <c r="AH17" s="103" t="n">
        <f aca="false">SUMIF(B_SQUADRA_A_GIRONI,AB17,B_PUNTI_FATTI_SQUADRA_A_GIRONI)+SUMIF(B_SQUADRA_B_GIRONI,AB17,B_PUNTI_FATTI_SQUADRA_B_GIRONI)</f>
        <v>126</v>
      </c>
      <c r="AI17" s="44" t="n">
        <f aca="false">SUMIF(B_SQUADRA_A_GIRONI,AB17,B_PUNTI_SUBITI_SQUADRA_A_GIRONI)+SUMIF(B_SQUADRA_B_GIRONI,AB17,B_PUNTI_SUBITI_SQUADRA_B_GIRONI)</f>
        <v>106</v>
      </c>
      <c r="AJ17" s="104" t="n">
        <f aca="false">SUMIF(B_SQUADRA_A_GIRONI,AB17,B_DIFF_CANESTRI_SQUADRA_A_GIRONI)+SUMIF(B_SQUADRA_B_GIRONI,AB17,B_DIFF_CANESTRI_SQUADRA_B_GIRONI)</f>
        <v>20</v>
      </c>
      <c r="AK17" s="44" t="n">
        <f aca="true">IF(AG17=AG18,INDIRECT("O"&amp;8+6*(FIND(Z17,"ABCDEFGH")-1)),0)</f>
        <v>0</v>
      </c>
      <c r="AL17" s="44" t="n">
        <f aca="true">IF(AG17=AG15,INDIRECT("U"&amp;4+6*(FIND(Z17,"ABCDEFGH")-1)),0)</f>
        <v>39</v>
      </c>
      <c r="AM17" s="44" t="n">
        <f aca="true">IF(AG17=AG16,INDIRECT("U"&amp;6+6*(FIND(Z17,"ABCDEFGH")-1)),0)</f>
        <v>15</v>
      </c>
      <c r="AN17" s="103" t="n">
        <f aca="false">AK17+AL17+AM17</f>
        <v>54</v>
      </c>
      <c r="AO17" s="98" t="n">
        <f aca="true">IF(AG17=AG18,INDIRECT("Q"&amp;8+6*(FIND(Z17,"ABCDEFGH")-1)),0)</f>
        <v>0</v>
      </c>
      <c r="AP17" s="98" t="n">
        <f aca="true">IF(AG17=AG15,INDIRECT("W"&amp;4+6*(FIND(Z17,"ABCDEFGH")-1)),0)</f>
        <v>10</v>
      </c>
      <c r="AQ17" s="98" t="n">
        <f aca="true">IF(AG17=AG16,INDIRECT("W"&amp;6+6*(FIND(Z17,"ABCDEFGH")-1)),0)</f>
        <v>-10</v>
      </c>
      <c r="AR17" s="104" t="n">
        <f aca="false">AO17+AP17+AQ17</f>
        <v>0</v>
      </c>
      <c r="AS17" s="105" t="n">
        <f aca="false">AG17+(500+AR17)*10^-3+AN17*10^-6+(500+AJ17)*10^-9+AH17*10^-12</f>
        <v>5.500054520126</v>
      </c>
      <c r="AU17" s="106" t="s">
        <v>195</v>
      </c>
      <c r="AV17" s="107" t="n">
        <v>63</v>
      </c>
      <c r="AW17" s="108" t="s">
        <v>138</v>
      </c>
      <c r="AX17" s="109" t="s">
        <v>148</v>
      </c>
      <c r="AY17" s="108" t="s">
        <v>196</v>
      </c>
      <c r="AZ17" s="108" t="s">
        <v>197</v>
      </c>
      <c r="BA17" s="96" t="str">
        <f aca="false">IF(LEFT(AY17,1)="V",VLOOKUP(_xlfn.NUMBERVALUE(SUBSTITUTE(AY17,"V","")),B_PARTITE_2A_FASE_PER_NUMERO,10,FALSE()),IF(LEFT(AY17,1)="P",VLOOKUP(_xlfn.NUMBERVALUE(SUBSTITUTE(AY17,"P","")),B_PARTITE_2A_FASE_PER_NUMERO,11,FALSE()),VLOOKUP(AY17,B_CLASSIFICHE_GIRONI,4,FALSE())))</f>
        <v>Delfini</v>
      </c>
      <c r="BB17" s="96" t="str">
        <f aca="false">IF(LEFT(AZ17,1)="V",VLOOKUP(_xlfn.NUMBERVALUE(SUBSTITUTE(AZ17,"V","")),B_PARTITE_2A_FASE_PER_NUMERO,10,FALSE()),IF(LEFT(AZ17,1)="P",VLOOKUP(_xlfn.NUMBERVALUE(SUBSTITUTE(AZ17,"P","")),B_PARTITE_2A_FASE_PER_NUMERO,11,FALSE()),VLOOKUP(AZ17,B_CLASSIFICHE_GIRONI,4,FALSE())))</f>
        <v>Scorpioni</v>
      </c>
      <c r="BC17" s="44" t="n">
        <f aca="false">VLOOKUP(AV17,A_5_INPUT_DATE_E_RISULTATI_2A_FASE,6,0)</f>
        <v>66</v>
      </c>
      <c r="BD17" s="44" t="n">
        <f aca="false">VLOOKUP(AV17,A_5_INPUT_DATE_E_RISULTATI_2A_FASE,7,0)</f>
        <v>39</v>
      </c>
      <c r="BE17" s="96" t="str">
        <f aca="false">IF(BC17&gt;BD17,BA17,BB17)</f>
        <v>Delfini</v>
      </c>
      <c r="BF17" s="96" t="str">
        <f aca="false">IF(BC17&lt;BD17,BA17,BB17)</f>
        <v>Scorpioni</v>
      </c>
      <c r="BG17" s="44" t="n">
        <f aca="false">1*(BC17&gt;BD17)</f>
        <v>1</v>
      </c>
      <c r="BH17" s="97" t="n">
        <f aca="false">1*(BC17&lt;BD17)*NOT(AND(BC17=0,BD17=20))</f>
        <v>0</v>
      </c>
      <c r="BI17" s="97" t="n">
        <f aca="false">1*AND(BC17=0,BD17=20)</f>
        <v>0</v>
      </c>
      <c r="BJ17" s="44" t="n">
        <f aca="false">BC17</f>
        <v>66</v>
      </c>
      <c r="BK17" s="44" t="n">
        <f aca="false">BD17</f>
        <v>39</v>
      </c>
      <c r="BL17" s="98" t="n">
        <f aca="false">BJ17-BK17</f>
        <v>27</v>
      </c>
      <c r="BM17" s="44" t="n">
        <f aca="false">1*(BD17&gt;BC17)</f>
        <v>0</v>
      </c>
      <c r="BN17" s="44" t="n">
        <f aca="false">1*(BD17&lt;BC17)*NOT(AND(BC17=20,BD17=0))</f>
        <v>1</v>
      </c>
      <c r="BO17" s="44" t="n">
        <f aca="false">1*AND(BC17=20,BD17=0)</f>
        <v>0</v>
      </c>
      <c r="BP17" s="44" t="n">
        <f aca="false">BD17</f>
        <v>39</v>
      </c>
      <c r="BQ17" s="44" t="n">
        <f aca="false">BC17</f>
        <v>66</v>
      </c>
      <c r="BR17" s="99" t="n">
        <f aca="false">BP17-BQ17</f>
        <v>-27</v>
      </c>
    </row>
    <row r="18" customFormat="false" ht="12.8" hidden="false" customHeight="false" outlineLevel="0" collapsed="false">
      <c r="A18" s="32" t="n">
        <v>39</v>
      </c>
      <c r="B18" s="34" t="s">
        <v>10</v>
      </c>
      <c r="C18" s="34" t="s">
        <v>41</v>
      </c>
      <c r="D18" s="44" t="s">
        <v>174</v>
      </c>
      <c r="E18" s="44" t="s">
        <v>178</v>
      </c>
      <c r="F18" s="96" t="str">
        <f aca="false">IF(B18="Girone",VLOOKUP(D18,A_SQUADRE_PER_CODICE,2),"ERRORE!")</f>
        <v>Giraffe</v>
      </c>
      <c r="G18" s="96" t="str">
        <f aca="false">IF(B18="Girone",VLOOKUP(E18,A_SQUADRE_PER_CODICE,2),"ERRORE!")</f>
        <v>Ippopotami</v>
      </c>
      <c r="H18" s="44" t="n">
        <f aca="false">VLOOKUP(A18,A_4_INPUT_DATE_E_RISULTATI_GIRONI,6,0)</f>
        <v>98</v>
      </c>
      <c r="I18" s="44" t="n">
        <f aca="false">VLOOKUP(A18,A_4_INPUT_DATE_E_RISULTATI_GIRONI,7,0)</f>
        <v>49</v>
      </c>
      <c r="J18" s="96" t="str">
        <f aca="false">IF(H18&gt;I18,F18,G18)</f>
        <v>Giraffe</v>
      </c>
      <c r="K18" s="96" t="str">
        <f aca="false">IF(H18&lt;I18,F18,G18)</f>
        <v>Ippopotami</v>
      </c>
      <c r="L18" s="44" t="n">
        <f aca="false">1*(H18&gt;I18)</f>
        <v>1</v>
      </c>
      <c r="M18" s="97" t="n">
        <f aca="false">1*(H18&lt;I18)*NOT(AND(H18=0,I18=20))</f>
        <v>0</v>
      </c>
      <c r="N18" s="97" t="n">
        <f aca="false">1*AND(H18=0,I18=20)</f>
        <v>0</v>
      </c>
      <c r="O18" s="44" t="n">
        <f aca="false">H18</f>
        <v>98</v>
      </c>
      <c r="P18" s="44" t="n">
        <f aca="false">I18</f>
        <v>49</v>
      </c>
      <c r="Q18" s="98" t="n">
        <f aca="false">O18-P18</f>
        <v>49</v>
      </c>
      <c r="R18" s="44" t="n">
        <f aca="false">1*(I18&gt;H18)</f>
        <v>0</v>
      </c>
      <c r="S18" s="44" t="n">
        <f aca="false">1*(I18&lt;H18)*NOT(AND(H18=20,I18=0))</f>
        <v>1</v>
      </c>
      <c r="T18" s="44" t="n">
        <f aca="false">1*AND(H18=20,I18=0)</f>
        <v>0</v>
      </c>
      <c r="U18" s="44" t="n">
        <f aca="false">I18</f>
        <v>49</v>
      </c>
      <c r="V18" s="44" t="n">
        <f aca="false">H18</f>
        <v>98</v>
      </c>
      <c r="W18" s="99" t="n">
        <f aca="false">U18-V18</f>
        <v>-49</v>
      </c>
      <c r="Y18" s="119" t="str">
        <f aca="false">COUNTIF(B_COEFF_GIRONE_D,"&gt;="&amp;AS18)&amp;Z18</f>
        <v>4D</v>
      </c>
      <c r="Z18" s="120" t="s">
        <v>46</v>
      </c>
      <c r="AA18" s="120" t="s">
        <v>198</v>
      </c>
      <c r="AB18" s="121" t="str">
        <f aca="false">VLOOKUP(AA18,A_SQUADRE_PER_CODICE,2)</f>
        <v>Falchi</v>
      </c>
      <c r="AC18" s="120" t="n">
        <f aca="false">AD18+AE18+AF18</f>
        <v>3</v>
      </c>
      <c r="AD18" s="120" t="n">
        <f aca="false">SUMIF(B_SQUADRA_A_GIRONI,AB18,B_VINTE_SQUADRA_A_GIRONI)+SUMIF(B_SQUADRA_B_GIRONI,AB18,B_VINTE_SQUADRA_B_GIRONI)</f>
        <v>0</v>
      </c>
      <c r="AE18" s="120" t="n">
        <f aca="false">SUMIF(B_SQUADRA_A_GIRONI,AB18,B_PERSE_SQUADRA_A_GIRONI)+SUMIF(B_SQUADRA_B_GIRONI,AB18,B_PERSE_SQUADRA_B_GIRONI)</f>
        <v>3</v>
      </c>
      <c r="AF18" s="120" t="n">
        <f aca="false">SUMIF(B_SQUADRA_A_GIRONI,AB18,B_FORFAIT_SQUADRA_A_GIRONI)+SUMIF(B_SQUADRA_B_GIRONI,AB18,B_FORFAIT_SQUADRA_B_GIRONI)</f>
        <v>0</v>
      </c>
      <c r="AG18" s="122" t="n">
        <f aca="false">2*AD18+1*AE18+0*AF18</f>
        <v>3</v>
      </c>
      <c r="AH18" s="123" t="n">
        <f aca="false">SUMIF(B_SQUADRA_A_GIRONI,AB18,B_PUNTI_FATTI_SQUADRA_A_GIRONI)+SUMIF(B_SQUADRA_B_GIRONI,AB18,B_PUNTI_FATTI_SQUADRA_B_GIRONI)</f>
        <v>153</v>
      </c>
      <c r="AI18" s="120" t="n">
        <f aca="false">SUMIF(B_SQUADRA_A_GIRONI,AB18,B_PUNTI_SUBITI_SQUADRA_A_GIRONI)+SUMIF(B_SQUADRA_B_GIRONI,AB18,B_PUNTI_SUBITI_SQUADRA_B_GIRONI)</f>
        <v>209</v>
      </c>
      <c r="AJ18" s="124" t="n">
        <f aca="false">SUMIF(B_SQUADRA_A_GIRONI,AB18,B_DIFF_CANESTRI_SQUADRA_A_GIRONI)+SUMIF(B_SQUADRA_B_GIRONI,AB18,B_DIFF_CANESTRI_SQUADRA_B_GIRONI)</f>
        <v>-56</v>
      </c>
      <c r="AK18" s="120" t="n">
        <f aca="true">IF(AG18=AG15,INDIRECT("U"&amp;5+6*(FIND(Z18,"ABCDEFGH")-1)),0)</f>
        <v>0</v>
      </c>
      <c r="AL18" s="120" t="n">
        <f aca="true">IF(AG18=AG16,INDIRECT("U"&amp;7+6*(FIND(Z18,"ABCDEFGH")-1)),0)</f>
        <v>0</v>
      </c>
      <c r="AM18" s="120" t="n">
        <f aca="true">IF(AG18=AG17,INDIRECT("U"&amp;8+6*(FIND(Z18,"ABCDEFGH")-1)),0)</f>
        <v>0</v>
      </c>
      <c r="AN18" s="123" t="n">
        <f aca="false">AK18+AL18+AM18</f>
        <v>0</v>
      </c>
      <c r="AO18" s="125" t="n">
        <f aca="true">IF(AG18=AG15,INDIRECT("W"&amp;5+6*(FIND(Z18,"ABCDEFGH")-1)),0)</f>
        <v>0</v>
      </c>
      <c r="AP18" s="125" t="n">
        <f aca="true">IF(AG18=AG16,INDIRECT("W"&amp;7+6*(FIND(Z18,"ABCDEFGH")-1)),0)</f>
        <v>0</v>
      </c>
      <c r="AQ18" s="125" t="n">
        <f aca="true">IF(AG18=AG17,INDIRECT("W"&amp;8+6*(FIND(Z18,"ABCDEFGH")-1)),0)</f>
        <v>0</v>
      </c>
      <c r="AR18" s="124" t="n">
        <f aca="false">AO18+AP18+AQ18</f>
        <v>0</v>
      </c>
      <c r="AS18" s="126" t="n">
        <f aca="false">AG18+(500+AR18)*10^-3+AN18*10^-6+(500+AJ18)*10^-9+AH18*10^-12</f>
        <v>3.500000444153</v>
      </c>
      <c r="AU18" s="106" t="s">
        <v>199</v>
      </c>
      <c r="AV18" s="107" t="n">
        <v>64</v>
      </c>
      <c r="AW18" s="108" t="s">
        <v>138</v>
      </c>
      <c r="AX18" s="109" t="s">
        <v>148</v>
      </c>
      <c r="AY18" s="108" t="s">
        <v>200</v>
      </c>
      <c r="AZ18" s="108" t="s">
        <v>201</v>
      </c>
      <c r="BA18" s="96" t="str">
        <f aca="false">IF(LEFT(AY18,1)="V",VLOOKUP(_xlfn.NUMBERVALUE(SUBSTITUTE(AY18,"V","")),B_PARTITE_2A_FASE_PER_NUMERO,10,FALSE()),IF(LEFT(AY18,1)="P",VLOOKUP(_xlfn.NUMBERVALUE(SUBSTITUTE(AY18,"P","")),B_PARTITE_2A_FASE_PER_NUMERO,11,FALSE()),VLOOKUP(AY18,B_CLASSIFICHE_GIRONI,4,FALSE())))</f>
        <v>Zebre</v>
      </c>
      <c r="BB18" s="96" t="str">
        <f aca="false">IF(LEFT(AZ18,1)="V",VLOOKUP(_xlfn.NUMBERVALUE(SUBSTITUTE(AZ18,"V","")),B_PARTITE_2A_FASE_PER_NUMERO,10,FALSE()),IF(LEFT(AZ18,1)="P",VLOOKUP(_xlfn.NUMBERVALUE(SUBSTITUTE(AZ18,"P","")),B_PARTITE_2A_FASE_PER_NUMERO,11,FALSE()),VLOOKUP(AZ18,B_CLASSIFICHE_GIRONI,4,FALSE())))</f>
        <v>Fenicotteri</v>
      </c>
      <c r="BC18" s="44" t="n">
        <f aca="false">VLOOKUP(AV18,A_5_INPUT_DATE_E_RISULTATI_2A_FASE,6,0)</f>
        <v>62</v>
      </c>
      <c r="BD18" s="44" t="n">
        <f aca="false">VLOOKUP(AV18,A_5_INPUT_DATE_E_RISULTATI_2A_FASE,7,0)</f>
        <v>31</v>
      </c>
      <c r="BE18" s="96" t="str">
        <f aca="false">IF(BC18&gt;BD18,BA18,BB18)</f>
        <v>Zebre</v>
      </c>
      <c r="BF18" s="96" t="str">
        <f aca="false">IF(BC18&lt;BD18,BA18,BB18)</f>
        <v>Fenicotteri</v>
      </c>
      <c r="BG18" s="44" t="n">
        <f aca="false">1*(BC18&gt;BD18)</f>
        <v>1</v>
      </c>
      <c r="BH18" s="97" t="n">
        <f aca="false">1*(BC18&lt;BD18)*NOT(AND(BC18=0,BD18=20))</f>
        <v>0</v>
      </c>
      <c r="BI18" s="97" t="n">
        <f aca="false">1*AND(BC18=0,BD18=20)</f>
        <v>0</v>
      </c>
      <c r="BJ18" s="44" t="n">
        <f aca="false">BC18</f>
        <v>62</v>
      </c>
      <c r="BK18" s="44" t="n">
        <f aca="false">BD18</f>
        <v>31</v>
      </c>
      <c r="BL18" s="98" t="n">
        <f aca="false">BJ18-BK18</f>
        <v>31</v>
      </c>
      <c r="BM18" s="44" t="n">
        <f aca="false">1*(BD18&gt;BC18)</f>
        <v>0</v>
      </c>
      <c r="BN18" s="44" t="n">
        <f aca="false">1*(BD18&lt;BC18)*NOT(AND(BC18=20,BD18=0))</f>
        <v>1</v>
      </c>
      <c r="BO18" s="44" t="n">
        <f aca="false">1*AND(BC18=20,BD18=0)</f>
        <v>0</v>
      </c>
      <c r="BP18" s="44" t="n">
        <f aca="false">BD18</f>
        <v>31</v>
      </c>
      <c r="BQ18" s="44" t="n">
        <f aca="false">BC18</f>
        <v>62</v>
      </c>
      <c r="BR18" s="99" t="n">
        <f aca="false">BP18-BQ18</f>
        <v>-31</v>
      </c>
    </row>
    <row r="19" customFormat="false" ht="12.8" hidden="false" customHeight="false" outlineLevel="0" collapsed="false">
      <c r="A19" s="32" t="n">
        <v>15</v>
      </c>
      <c r="B19" s="34" t="s">
        <v>10</v>
      </c>
      <c r="C19" s="34" t="s">
        <v>41</v>
      </c>
      <c r="D19" s="44" t="s">
        <v>174</v>
      </c>
      <c r="E19" s="44" t="s">
        <v>182</v>
      </c>
      <c r="F19" s="96" t="str">
        <f aca="false">IF(B19="Girone",VLOOKUP(D19,A_SQUADRE_PER_CODICE,2),"ERRORE!")</f>
        <v>Giraffe</v>
      </c>
      <c r="G19" s="96" t="str">
        <f aca="false">IF(B19="Girone",VLOOKUP(E19,A_SQUADRE_PER_CODICE,2),"ERRORE!")</f>
        <v>Iguane</v>
      </c>
      <c r="H19" s="44" t="n">
        <f aca="false">VLOOKUP(A19,A_4_INPUT_DATE_E_RISULTATI_GIRONI,6,0)</f>
        <v>60</v>
      </c>
      <c r="I19" s="44" t="n">
        <f aca="false">VLOOKUP(A19,A_4_INPUT_DATE_E_RISULTATI_GIRONI,7,0)</f>
        <v>34</v>
      </c>
      <c r="J19" s="96" t="str">
        <f aca="false">IF(H19&gt;I19,F19,G19)</f>
        <v>Giraffe</v>
      </c>
      <c r="K19" s="96" t="str">
        <f aca="false">IF(H19&lt;I19,F19,G19)</f>
        <v>Iguane</v>
      </c>
      <c r="L19" s="44" t="n">
        <f aca="false">1*(H19&gt;I19)</f>
        <v>1</v>
      </c>
      <c r="M19" s="97" t="n">
        <f aca="false">1*(H19&lt;I19)*NOT(AND(H19=0,I19=20))</f>
        <v>0</v>
      </c>
      <c r="N19" s="97" t="n">
        <f aca="false">1*AND(H19=0,I19=20)</f>
        <v>0</v>
      </c>
      <c r="O19" s="44" t="n">
        <f aca="false">H19</f>
        <v>60</v>
      </c>
      <c r="P19" s="44" t="n">
        <f aca="false">I19</f>
        <v>34</v>
      </c>
      <c r="Q19" s="98" t="n">
        <f aca="false">O19-P19</f>
        <v>26</v>
      </c>
      <c r="R19" s="44" t="n">
        <f aca="false">1*(I19&gt;H19)</f>
        <v>0</v>
      </c>
      <c r="S19" s="44" t="n">
        <f aca="false">1*(I19&lt;H19)*NOT(AND(H19=20,I19=0))</f>
        <v>1</v>
      </c>
      <c r="T19" s="44" t="n">
        <f aca="false">1*AND(H19=20,I19=0)</f>
        <v>0</v>
      </c>
      <c r="U19" s="44" t="n">
        <f aca="false">I19</f>
        <v>34</v>
      </c>
      <c r="V19" s="44" t="n">
        <f aca="false">H19</f>
        <v>60</v>
      </c>
      <c r="W19" s="99" t="n">
        <f aca="false">U19-V19</f>
        <v>-26</v>
      </c>
      <c r="Y19" s="100" t="str">
        <f aca="false">COUNTIF(B_COEFF_GIRONE_E,"&gt;="&amp;AS19)&amp;Z19</f>
        <v>1E</v>
      </c>
      <c r="Z19" s="34" t="s">
        <v>51</v>
      </c>
      <c r="AA19" s="44" t="s">
        <v>202</v>
      </c>
      <c r="AB19" s="101" t="str">
        <f aca="false">VLOOKUP(AA19,A_SQUADRE_PER_CODICE,2)</f>
        <v>Bisonti</v>
      </c>
      <c r="AC19" s="44" t="n">
        <f aca="false">AD19+AE19+AF19</f>
        <v>3</v>
      </c>
      <c r="AD19" s="44" t="n">
        <f aca="false">SUMIF(B_SQUADRA_A_GIRONI,AB19,B_VINTE_SQUADRA_A_GIRONI)+SUMIF(B_SQUADRA_B_GIRONI,AB19,B_VINTE_SQUADRA_B_GIRONI)</f>
        <v>2</v>
      </c>
      <c r="AE19" s="44" t="n">
        <f aca="false">SUMIF(B_SQUADRA_A_GIRONI,AB19,B_PERSE_SQUADRA_A_GIRONI)+SUMIF(B_SQUADRA_B_GIRONI,AB19,B_PERSE_SQUADRA_B_GIRONI)</f>
        <v>1</v>
      </c>
      <c r="AF19" s="44" t="n">
        <f aca="false">SUMIF(B_SQUADRA_A_GIRONI,AB19,B_FORFAIT_SQUADRA_A_GIRONI)+SUMIF(B_SQUADRA_B_GIRONI,AB19,B_FORFAIT_SQUADRA_B_GIRONI)</f>
        <v>0</v>
      </c>
      <c r="AG19" s="102" t="n">
        <f aca="false">2*AD19+1*AE19+0*AF19</f>
        <v>5</v>
      </c>
      <c r="AH19" s="103" t="n">
        <f aca="false">SUMIF(B_SQUADRA_A_GIRONI,AB19,B_PUNTI_FATTI_SQUADRA_A_GIRONI)+SUMIF(B_SQUADRA_B_GIRONI,AB19,B_PUNTI_FATTI_SQUADRA_B_GIRONI)</f>
        <v>103</v>
      </c>
      <c r="AI19" s="44" t="n">
        <f aca="false">SUMIF(B_SQUADRA_A_GIRONI,AB19,B_PUNTI_SUBITI_SQUADRA_A_GIRONI)+SUMIF(B_SQUADRA_B_GIRONI,AB19,B_PUNTI_SUBITI_SQUADRA_B_GIRONI)</f>
        <v>100</v>
      </c>
      <c r="AJ19" s="104" t="n">
        <f aca="false">SUMIF(B_SQUADRA_A_GIRONI,AB19,B_DIFF_CANESTRI_SQUADRA_A_GIRONI)+SUMIF(B_SQUADRA_B_GIRONI,AB19,B_DIFF_CANESTRI_SQUADRA_B_GIRONI)</f>
        <v>3</v>
      </c>
      <c r="AK19" s="44" t="n">
        <f aca="true">IF(AG19=AG20,INDIRECT("O"&amp;3+6*(FIND(Z19,"ABCDEFGH")-1)),0)</f>
        <v>34</v>
      </c>
      <c r="AL19" s="97" t="n">
        <f aca="true">IF(AG19=AG21,INDIRECT("O"&amp;4+6*(FIND(Z19,"ABCDEFGH")-1)),0)</f>
        <v>33</v>
      </c>
      <c r="AM19" s="44" t="n">
        <f aca="true">IF(AG19=AG22,INDIRECT("O"&amp;5+6*(FIND(Z19,"ABCDEFGH")-1)),0)</f>
        <v>0</v>
      </c>
      <c r="AN19" s="103" t="n">
        <f aca="false">AK19+AL19+AM19</f>
        <v>67</v>
      </c>
      <c r="AO19" s="98" t="n">
        <f aca="true">IF(AG19=AG20,INDIRECT("Q"&amp;3+6*(FIND(Z19,"ABCDEFGH")-1)),0)</f>
        <v>1</v>
      </c>
      <c r="AP19" s="98" t="n">
        <f aca="true">IF(AG19=AG21,INDIRECT("Q"&amp;4+6*(FIND(Z19,"ABCDEFGH")-1)),0)</f>
        <v>-1</v>
      </c>
      <c r="AQ19" s="98" t="n">
        <f aca="true">IF(AG19=AG22,INDIRECT("Q"&amp;5+6*(FIND(Z19,"ABCDEFGH")-1)),0)</f>
        <v>0</v>
      </c>
      <c r="AR19" s="104" t="n">
        <f aca="false">AO19+AP19+AQ19</f>
        <v>0</v>
      </c>
      <c r="AS19" s="105" t="n">
        <f aca="false">AG19+(500+AR19)*10^-3+AN19*10^-6+(500+AJ19)*10^-9+AH19*10^-12</f>
        <v>5.500067503103</v>
      </c>
      <c r="AU19" s="106" t="s">
        <v>203</v>
      </c>
      <c r="AV19" s="107" t="n">
        <v>65</v>
      </c>
      <c r="AW19" s="108" t="s">
        <v>138</v>
      </c>
      <c r="AX19" s="109" t="s">
        <v>204</v>
      </c>
      <c r="AY19" s="108" t="s">
        <v>205</v>
      </c>
      <c r="AZ19" s="108" t="s">
        <v>206</v>
      </c>
      <c r="BA19" s="128" t="str">
        <f aca="false">IF(LEFT(AY19,1)="V",VLOOKUP(_xlfn.NUMBERVALUE(SUBSTITUTE(AY19,"V","")),B_PARTITE_2A_FASE_PER_NUMERO,10,FALSE()),IF(LEFT(AY19,1)="P",VLOOKUP(_xlfn.NUMBERVALUE(SUBSTITUTE(AY19,"P","")),B_PARTITE_2A_FASE_PER_NUMERO,11,FALSE()),VLOOKUP(AY19,B_CLASSIFICHE_GIRONI,4,FALSE())))</f>
        <v>Iguane</v>
      </c>
      <c r="BB19" s="96" t="str">
        <f aca="false">IF(LEFT(AZ19,1)="V",VLOOKUP(_xlfn.NUMBERVALUE(SUBSTITUTE(AZ19,"V","")),B_PARTITE_2A_FASE_PER_NUMERO,10,FALSE()),IF(LEFT(AZ19,1)="P",VLOOKUP(_xlfn.NUMBERVALUE(SUBSTITUTE(AZ19,"P","")),B_PARTITE_2A_FASE_PER_NUMERO,11,FALSE()),VLOOKUP(AZ19,B_CLASSIFICHE_GIRONI,4,FALSE())))</f>
        <v>Falchi</v>
      </c>
      <c r="BC19" s="44" t="n">
        <f aca="false">VLOOKUP(AV19,A_5_INPUT_DATE_E_RISULTATI_2A_FASE,6,0)</f>
        <v>63</v>
      </c>
      <c r="BD19" s="44" t="n">
        <f aca="false">VLOOKUP(AV19,A_5_INPUT_DATE_E_RISULTATI_2A_FASE,7,0)</f>
        <v>35</v>
      </c>
      <c r="BE19" s="96" t="str">
        <f aca="false">IF(BC19&gt;BD19,BA19,BB19)</f>
        <v>Iguane</v>
      </c>
      <c r="BF19" s="96" t="str">
        <f aca="false">IF(BC19&lt;BD19,BA19,BB19)</f>
        <v>Falchi</v>
      </c>
      <c r="BG19" s="44" t="n">
        <f aca="false">1*(BC19&gt;BD19)</f>
        <v>1</v>
      </c>
      <c r="BH19" s="97" t="n">
        <f aca="false">1*(BC19&lt;BD19)*NOT(AND(BC19=0,BD19=20))</f>
        <v>0</v>
      </c>
      <c r="BI19" s="97" t="n">
        <f aca="false">1*AND(BC19=0,BD19=20)</f>
        <v>0</v>
      </c>
      <c r="BJ19" s="44" t="n">
        <f aca="false">BC19</f>
        <v>63</v>
      </c>
      <c r="BK19" s="44" t="n">
        <f aca="false">BD19</f>
        <v>35</v>
      </c>
      <c r="BL19" s="98" t="n">
        <f aca="false">BJ19-BK19</f>
        <v>28</v>
      </c>
      <c r="BM19" s="44" t="n">
        <f aca="false">1*(BD19&gt;BC19)</f>
        <v>0</v>
      </c>
      <c r="BN19" s="44" t="n">
        <f aca="false">1*(BD19&lt;BC19)*NOT(AND(BC19=20,BD19=0))</f>
        <v>1</v>
      </c>
      <c r="BO19" s="44" t="n">
        <f aca="false">1*AND(BC19=20,BD19=0)</f>
        <v>0</v>
      </c>
      <c r="BP19" s="44" t="n">
        <f aca="false">BD19</f>
        <v>35</v>
      </c>
      <c r="BQ19" s="44" t="n">
        <f aca="false">BC19</f>
        <v>63</v>
      </c>
      <c r="BR19" s="99" t="n">
        <f aca="false">BP19-BQ19</f>
        <v>-28</v>
      </c>
    </row>
    <row r="20" customFormat="false" ht="12.8" hidden="false" customHeight="false" outlineLevel="0" collapsed="false">
      <c r="A20" s="32" t="n">
        <v>6</v>
      </c>
      <c r="B20" s="34" t="s">
        <v>10</v>
      </c>
      <c r="C20" s="34" t="s">
        <v>41</v>
      </c>
      <c r="D20" s="44" t="s">
        <v>178</v>
      </c>
      <c r="E20" s="44" t="s">
        <v>182</v>
      </c>
      <c r="F20" s="96" t="str">
        <f aca="false">IF(B20="Girone",VLOOKUP(D20,A_SQUADRE_PER_CODICE,2),"ERRORE!")</f>
        <v>Ippopotami</v>
      </c>
      <c r="G20" s="96" t="str">
        <f aca="false">IF(B20="Girone",VLOOKUP(E20,A_SQUADRE_PER_CODICE,2),"ERRORE!")</f>
        <v>Iguane</v>
      </c>
      <c r="H20" s="44" t="n">
        <f aca="false">VLOOKUP(A20,A_4_INPUT_DATE_E_RISULTATI_GIRONI,6,0)</f>
        <v>62</v>
      </c>
      <c r="I20" s="44" t="n">
        <f aca="false">VLOOKUP(A20,A_4_INPUT_DATE_E_RISULTATI_GIRONI,7,0)</f>
        <v>44</v>
      </c>
      <c r="J20" s="96" t="str">
        <f aca="false">IF(H20&gt;I20,F20,G20)</f>
        <v>Ippopotami</v>
      </c>
      <c r="K20" s="96" t="str">
        <f aca="false">IF(H20&lt;I20,F20,G20)</f>
        <v>Iguane</v>
      </c>
      <c r="L20" s="44" t="n">
        <f aca="false">1*(H20&gt;I20)</f>
        <v>1</v>
      </c>
      <c r="M20" s="97" t="n">
        <f aca="false">1*(H20&lt;I20)*NOT(AND(H20=0,I20=20))</f>
        <v>0</v>
      </c>
      <c r="N20" s="97" t="n">
        <f aca="false">1*AND(H20=0,I20=20)</f>
        <v>0</v>
      </c>
      <c r="O20" s="44" t="n">
        <f aca="false">H20</f>
        <v>62</v>
      </c>
      <c r="P20" s="44" t="n">
        <f aca="false">I20</f>
        <v>44</v>
      </c>
      <c r="Q20" s="98" t="n">
        <f aca="false">O20-P20</f>
        <v>18</v>
      </c>
      <c r="R20" s="44" t="n">
        <f aca="false">1*(I20&gt;H20)</f>
        <v>0</v>
      </c>
      <c r="S20" s="44" t="n">
        <f aca="false">1*(I20&lt;H20)*NOT(AND(H20=20,I20=0))</f>
        <v>1</v>
      </c>
      <c r="T20" s="44" t="n">
        <f aca="false">1*AND(H20=20,I20=0)</f>
        <v>0</v>
      </c>
      <c r="U20" s="44" t="n">
        <f aca="false">I20</f>
        <v>44</v>
      </c>
      <c r="V20" s="44" t="n">
        <f aca="false">H20</f>
        <v>62</v>
      </c>
      <c r="W20" s="99" t="n">
        <f aca="false">U20-V20</f>
        <v>-18</v>
      </c>
      <c r="Y20" s="100" t="str">
        <f aca="false">COUNTIF(B_COEFF_GIRONE_E,"&gt;="&amp;AS20)&amp;Z20</f>
        <v>2E</v>
      </c>
      <c r="Z20" s="34" t="s">
        <v>51</v>
      </c>
      <c r="AA20" s="44" t="s">
        <v>207</v>
      </c>
      <c r="AB20" s="101" t="str">
        <f aca="false">VLOOKUP(AA20,A_SQUADRE_PER_CODICE,2)</f>
        <v>Bufali</v>
      </c>
      <c r="AC20" s="44" t="n">
        <f aca="false">AD20+AE20+AF20</f>
        <v>3</v>
      </c>
      <c r="AD20" s="44" t="n">
        <f aca="false">SUMIF(B_SQUADRA_A_GIRONI,AB20,B_VINTE_SQUADRA_A_GIRONI)+SUMIF(B_SQUADRA_B_GIRONI,AB20,B_VINTE_SQUADRA_B_GIRONI)</f>
        <v>2</v>
      </c>
      <c r="AE20" s="44" t="n">
        <f aca="false">SUMIF(B_SQUADRA_A_GIRONI,AB20,B_PERSE_SQUADRA_A_GIRONI)+SUMIF(B_SQUADRA_B_GIRONI,AB20,B_PERSE_SQUADRA_B_GIRONI)</f>
        <v>1</v>
      </c>
      <c r="AF20" s="44" t="n">
        <f aca="false">SUMIF(B_SQUADRA_A_GIRONI,AB20,B_FORFAIT_SQUADRA_A_GIRONI)+SUMIF(B_SQUADRA_B_GIRONI,AB20,B_FORFAIT_SQUADRA_B_GIRONI)</f>
        <v>0</v>
      </c>
      <c r="AG20" s="102" t="n">
        <f aca="false">2*AD20+1*AE20+0*AF20</f>
        <v>5</v>
      </c>
      <c r="AH20" s="103" t="n">
        <f aca="false">SUMIF(B_SQUADRA_A_GIRONI,AB20,B_PUNTI_FATTI_SQUADRA_A_GIRONI)+SUMIF(B_SQUADRA_B_GIRONI,AB20,B_PUNTI_FATTI_SQUADRA_B_GIRONI)</f>
        <v>102</v>
      </c>
      <c r="AI20" s="44" t="n">
        <f aca="false">SUMIF(B_SQUADRA_A_GIRONI,AB20,B_PUNTI_SUBITI_SQUADRA_A_GIRONI)+SUMIF(B_SQUADRA_B_GIRONI,AB20,B_PUNTI_SUBITI_SQUADRA_B_GIRONI)</f>
        <v>100</v>
      </c>
      <c r="AJ20" s="104" t="n">
        <f aca="false">SUMIF(B_SQUADRA_A_GIRONI,AB20,B_DIFF_CANESTRI_SQUADRA_A_GIRONI)+SUMIF(B_SQUADRA_B_GIRONI,AB20,B_DIFF_CANESTRI_SQUADRA_B_GIRONI)</f>
        <v>2</v>
      </c>
      <c r="AK20" s="44" t="n">
        <f aca="true">IF(AG20=AG21,INDIRECT("O"&amp;6+6*(FIND(Z20,"ABCDEFGH")-1)),0)</f>
        <v>34</v>
      </c>
      <c r="AL20" s="44" t="n">
        <f aca="true">IF(AG20=AG22,INDIRECT("O"&amp;7+6*(FIND(Z20,"ABCDEFGH")-1)),0)</f>
        <v>0</v>
      </c>
      <c r="AM20" s="44" t="n">
        <f aca="true">IF(AG20=AG19,INDIRECT("U"&amp;3+6*(FIND(Z20,"ABCDEFGH")-1)),0)</f>
        <v>33</v>
      </c>
      <c r="AN20" s="103" t="n">
        <f aca="false">AK20+AL20+AM20</f>
        <v>67</v>
      </c>
      <c r="AO20" s="98" t="n">
        <f aca="true">IF(AG20=AG21,INDIRECT("Q"&amp;6+6*(FIND(Z20,"ABCDEFGH")-1)),0)</f>
        <v>1</v>
      </c>
      <c r="AP20" s="98" t="n">
        <f aca="true">IF(AG20=AG22,INDIRECT("Q"&amp;7+6*(FIND(Z20,"ABCDEFGH")-1)),0)</f>
        <v>0</v>
      </c>
      <c r="AQ20" s="98" t="n">
        <f aca="true">IF(AG20=AG19,INDIRECT("W"&amp;3+6*(FIND(Z20,"ABCDEFGH")-1)),0)</f>
        <v>-1</v>
      </c>
      <c r="AR20" s="104" t="n">
        <f aca="false">AO20+AP20+AQ20</f>
        <v>0</v>
      </c>
      <c r="AS20" s="105" t="n">
        <f aca="false">AG20+(500+AR20)*10^-3+AN20*10^-6+(500+AJ20)*10^-9+AH20*10^-12</f>
        <v>5.500067502102</v>
      </c>
      <c r="AU20" s="106" t="s">
        <v>208</v>
      </c>
      <c r="AV20" s="107" t="n">
        <v>66</v>
      </c>
      <c r="AW20" s="108" t="s">
        <v>138</v>
      </c>
      <c r="AX20" s="109" t="s">
        <v>204</v>
      </c>
      <c r="AY20" s="108" t="s">
        <v>209</v>
      </c>
      <c r="AZ20" s="108" t="s">
        <v>210</v>
      </c>
      <c r="BA20" s="96" t="str">
        <f aca="false">IF(LEFT(AY20,1)="V",VLOOKUP(_xlfn.NUMBERVALUE(SUBSTITUTE(AY20,"V","")),B_PARTITE_2A_FASE_PER_NUMERO,10,FALSE()),IF(LEFT(AY20,1)="P",VLOOKUP(_xlfn.NUMBERVALUE(SUBSTITUTE(AY20,"P","")),B_PARTITE_2A_FASE_PER_NUMERO,11,FALSE()),VLOOKUP(AY20,B_CLASSIFICHE_GIRONI,4,FALSE())))</f>
        <v>Ghepardi</v>
      </c>
      <c r="BB20" s="96" t="str">
        <f aca="false">IF(LEFT(AZ20,1)="V",VLOOKUP(_xlfn.NUMBERVALUE(SUBSTITUTE(AZ20,"V","")),B_PARTITE_2A_FASE_PER_NUMERO,10,FALSE()),IF(LEFT(AZ20,1)="P",VLOOKUP(_xlfn.NUMBERVALUE(SUBSTITUTE(AZ20,"P","")),B_PARTITE_2A_FASE_PER_NUMERO,11,FALSE()),VLOOKUP(AZ20,B_CLASSIFICHE_GIRONI,4,FALSE())))</f>
        <v>Serval</v>
      </c>
      <c r="BC20" s="44" t="n">
        <f aca="false">VLOOKUP(AV20,A_5_INPUT_DATE_E_RISULTATI_2A_FASE,6,0)</f>
        <v>60</v>
      </c>
      <c r="BD20" s="44" t="n">
        <f aca="false">VLOOKUP(AV20,A_5_INPUT_DATE_E_RISULTATI_2A_FASE,7,0)</f>
        <v>45</v>
      </c>
      <c r="BE20" s="96" t="str">
        <f aca="false">IF(BC20&gt;BD20,BA20,BB20)</f>
        <v>Ghepardi</v>
      </c>
      <c r="BF20" s="96" t="str">
        <f aca="false">IF(BC20&lt;BD20,BA20,BB20)</f>
        <v>Serval</v>
      </c>
      <c r="BG20" s="44" t="n">
        <f aca="false">1*(BC20&gt;BD20)</f>
        <v>1</v>
      </c>
      <c r="BH20" s="97" t="n">
        <f aca="false">1*(BC20&lt;BD20)*NOT(AND(BC20=0,BD20=20))</f>
        <v>0</v>
      </c>
      <c r="BI20" s="97" t="n">
        <f aca="false">1*AND(BC20=0,BD20=20)</f>
        <v>0</v>
      </c>
      <c r="BJ20" s="44" t="n">
        <f aca="false">BC20</f>
        <v>60</v>
      </c>
      <c r="BK20" s="44" t="n">
        <f aca="false">BD20</f>
        <v>45</v>
      </c>
      <c r="BL20" s="98" t="n">
        <f aca="false">BJ20-BK20</f>
        <v>15</v>
      </c>
      <c r="BM20" s="44" t="n">
        <f aca="false">1*(BD20&gt;BC20)</f>
        <v>0</v>
      </c>
      <c r="BN20" s="44" t="n">
        <f aca="false">1*(BD20&lt;BC20)*NOT(AND(BC20=20,BD20=0))</f>
        <v>1</v>
      </c>
      <c r="BO20" s="44" t="n">
        <f aca="false">1*AND(BC20=20,BD20=0)</f>
        <v>0</v>
      </c>
      <c r="BP20" s="44" t="n">
        <f aca="false">BD20</f>
        <v>45</v>
      </c>
      <c r="BQ20" s="44" t="n">
        <f aca="false">BC20</f>
        <v>60</v>
      </c>
      <c r="BR20" s="99" t="n">
        <f aca="false">BP20-BQ20</f>
        <v>-15</v>
      </c>
    </row>
    <row r="21" customFormat="false" ht="12.8" hidden="false" customHeight="false" outlineLevel="0" collapsed="false">
      <c r="A21" s="32" t="n">
        <v>7</v>
      </c>
      <c r="B21" s="34" t="s">
        <v>10</v>
      </c>
      <c r="C21" s="34" t="s">
        <v>46</v>
      </c>
      <c r="D21" s="44" t="s">
        <v>186</v>
      </c>
      <c r="E21" s="44" t="s">
        <v>190</v>
      </c>
      <c r="F21" s="96" t="str">
        <f aca="false">IF(B21="Girone",VLOOKUP(D21,A_SQUADRE_PER_CODICE,2),"ERRORE!")</f>
        <v>Coccodrilli</v>
      </c>
      <c r="G21" s="96" t="str">
        <f aca="false">IF(B21="Girone",VLOOKUP(E21,A_SQUADRE_PER_CODICE,2),"ERRORE!")</f>
        <v>Pitoni</v>
      </c>
      <c r="H21" s="44" t="n">
        <f aca="false">VLOOKUP(A21,A_4_INPUT_DATE_E_RISULTATI_GIRONI,6,0)</f>
        <v>96</v>
      </c>
      <c r="I21" s="44" t="n">
        <f aca="false">VLOOKUP(A21,A_4_INPUT_DATE_E_RISULTATI_GIRONI,7,0)</f>
        <v>25</v>
      </c>
      <c r="J21" s="96" t="str">
        <f aca="false">IF(H21&gt;I21,F21,G21)</f>
        <v>Coccodrilli</v>
      </c>
      <c r="K21" s="96" t="str">
        <f aca="false">IF(H21&lt;I21,F21,G21)</f>
        <v>Pitoni</v>
      </c>
      <c r="L21" s="44" t="n">
        <f aca="false">1*(H21&gt;I21)</f>
        <v>1</v>
      </c>
      <c r="M21" s="97" t="n">
        <f aca="false">1*(H21&lt;I21)*NOT(AND(H21=0,I21=20))</f>
        <v>0</v>
      </c>
      <c r="N21" s="97" t="n">
        <f aca="false">1*AND(H21=0,I21=20)</f>
        <v>0</v>
      </c>
      <c r="O21" s="44" t="n">
        <f aca="false">H21</f>
        <v>96</v>
      </c>
      <c r="P21" s="44" t="n">
        <f aca="false">I21</f>
        <v>25</v>
      </c>
      <c r="Q21" s="98" t="n">
        <f aca="false">O21-P21</f>
        <v>71</v>
      </c>
      <c r="R21" s="44" t="n">
        <f aca="false">1*(I21&gt;H21)</f>
        <v>0</v>
      </c>
      <c r="S21" s="44" t="n">
        <f aca="false">1*(I21&lt;H21)*NOT(AND(H21=20,I21=0))</f>
        <v>1</v>
      </c>
      <c r="T21" s="44" t="n">
        <f aca="false">1*AND(H21=20,I21=0)</f>
        <v>0</v>
      </c>
      <c r="U21" s="44" t="n">
        <f aca="false">I21</f>
        <v>25</v>
      </c>
      <c r="V21" s="44" t="n">
        <f aca="false">H21</f>
        <v>96</v>
      </c>
      <c r="W21" s="99" t="n">
        <f aca="false">U21-V21</f>
        <v>-71</v>
      </c>
      <c r="Y21" s="100" t="str">
        <f aca="false">COUNTIF(B_COEFF_GIRONE_E,"&gt;="&amp;AS21)&amp;Z21</f>
        <v>3E</v>
      </c>
      <c r="Z21" s="34" t="s">
        <v>51</v>
      </c>
      <c r="AA21" s="44" t="s">
        <v>211</v>
      </c>
      <c r="AB21" s="101" t="str">
        <f aca="false">VLOOKUP(AA21,A_SQUADRE_PER_CODICE,2)</f>
        <v>Cervi</v>
      </c>
      <c r="AC21" s="44" t="n">
        <f aca="false">AD21+AE21+AF21</f>
        <v>3</v>
      </c>
      <c r="AD21" s="44" t="n">
        <f aca="false">SUMIF(B_SQUADRA_A_GIRONI,AB21,B_VINTE_SQUADRA_A_GIRONI)+SUMIF(B_SQUADRA_B_GIRONI,AB21,B_VINTE_SQUADRA_B_GIRONI)</f>
        <v>2</v>
      </c>
      <c r="AE21" s="44" t="n">
        <f aca="false">SUMIF(B_SQUADRA_A_GIRONI,AB21,B_PERSE_SQUADRA_A_GIRONI)+SUMIF(B_SQUADRA_B_GIRONI,AB21,B_PERSE_SQUADRA_B_GIRONI)</f>
        <v>1</v>
      </c>
      <c r="AF21" s="44" t="n">
        <f aca="false">SUMIF(B_SQUADRA_A_GIRONI,AB21,B_FORFAIT_SQUADRA_A_GIRONI)+SUMIF(B_SQUADRA_B_GIRONI,AB21,B_FORFAIT_SQUADRA_B_GIRONI)</f>
        <v>0</v>
      </c>
      <c r="AG21" s="102" t="n">
        <f aca="false">2*AD21+1*AE21+0*AF21</f>
        <v>5</v>
      </c>
      <c r="AH21" s="103" t="n">
        <f aca="false">SUMIF(B_SQUADRA_A_GIRONI,AB21,B_PUNTI_FATTI_SQUADRA_A_GIRONI)+SUMIF(B_SQUADRA_B_GIRONI,AB21,B_PUNTI_FATTI_SQUADRA_B_GIRONI)</f>
        <v>101</v>
      </c>
      <c r="AI21" s="44" t="n">
        <f aca="false">SUMIF(B_SQUADRA_A_GIRONI,AB21,B_PUNTI_SUBITI_SQUADRA_A_GIRONI)+SUMIF(B_SQUADRA_B_GIRONI,AB21,B_PUNTI_SUBITI_SQUADRA_B_GIRONI)</f>
        <v>100</v>
      </c>
      <c r="AJ21" s="104" t="n">
        <f aca="false">SUMIF(B_SQUADRA_A_GIRONI,AB21,B_DIFF_CANESTRI_SQUADRA_A_GIRONI)+SUMIF(B_SQUADRA_B_GIRONI,AB21,B_DIFF_CANESTRI_SQUADRA_B_GIRONI)</f>
        <v>1</v>
      </c>
      <c r="AK21" s="44" t="n">
        <f aca="true">IF(AG21=AG22,INDIRECT("O"&amp;8+6*(FIND(Z21,"ABCDEFGH")-1)),0)</f>
        <v>0</v>
      </c>
      <c r="AL21" s="44" t="n">
        <f aca="true">IF(AG21=AG19,INDIRECT("U"&amp;4+6*(FIND(Z21,"ABCDEFGH")-1)),0)</f>
        <v>34</v>
      </c>
      <c r="AM21" s="44" t="n">
        <f aca="true">IF(AG21=AG20,INDIRECT("U"&amp;6+6*(FIND(Z21,"ABCDEFGH")-1)),0)</f>
        <v>33</v>
      </c>
      <c r="AN21" s="103" t="n">
        <f aca="false">AK21+AL21+AM21</f>
        <v>67</v>
      </c>
      <c r="AO21" s="98" t="n">
        <f aca="true">IF(AG21=AG22,INDIRECT("Q"&amp;8+6*(FIND(Z21,"ABCDEFGH")-1)),0)</f>
        <v>0</v>
      </c>
      <c r="AP21" s="98" t="n">
        <f aca="true">IF(AG21=AG19,INDIRECT("W"&amp;4+6*(FIND(Z21,"ABCDEFGH")-1)),0)</f>
        <v>1</v>
      </c>
      <c r="AQ21" s="98" t="n">
        <f aca="true">IF(AG21=AG20,INDIRECT("W"&amp;6+6*(FIND(Z21,"ABCDEFGH")-1)),0)</f>
        <v>-1</v>
      </c>
      <c r="AR21" s="104" t="n">
        <f aca="false">AO21+AP21+AQ21</f>
        <v>0</v>
      </c>
      <c r="AS21" s="105" t="n">
        <f aca="false">AG21+(500+AR21)*10^-3+AN21*10^-6+(500+AJ21)*10^-9+AH21*10^-12</f>
        <v>5.500067501101</v>
      </c>
      <c r="AU21" s="106" t="s">
        <v>212</v>
      </c>
      <c r="AV21" s="107" t="n">
        <v>67</v>
      </c>
      <c r="AW21" s="108" t="s">
        <v>138</v>
      </c>
      <c r="AX21" s="109" t="s">
        <v>204</v>
      </c>
      <c r="AY21" s="108" t="s">
        <v>213</v>
      </c>
      <c r="AZ21" s="108" t="s">
        <v>214</v>
      </c>
      <c r="BA21" s="96" t="str">
        <f aca="false">IF(LEFT(AY21,1)="V",VLOOKUP(_xlfn.NUMBERVALUE(SUBSTITUTE(AY21,"V","")),B_PARTITE_2A_FASE_PER_NUMERO,10,FALSE()),IF(LEFT(AY21,1)="P",VLOOKUP(_xlfn.NUMBERVALUE(SUBSTITUTE(AY21,"P","")),B_PARTITE_2A_FASE_PER_NUMERO,11,FALSE()),VLOOKUP(AY21,B_CLASSIFICHE_GIRONI,4,FALSE())))</f>
        <v>Muli</v>
      </c>
      <c r="BB21" s="96" t="str">
        <f aca="false">IF(LEFT(AZ21,1)="V",VLOOKUP(_xlfn.NUMBERVALUE(SUBSTITUTE(AZ21,"V","")),B_PARTITE_2A_FASE_PER_NUMERO,10,FALSE()),IF(LEFT(AZ21,1)="P",VLOOKUP(_xlfn.NUMBERVALUE(SUBSTITUTE(AZ21,"P","")),B_PARTITE_2A_FASE_PER_NUMERO,11,FALSE()),VLOOKUP(AZ21,B_CLASSIFICHE_GIRONI,4,FALSE())))</f>
        <v>Scorpioni</v>
      </c>
      <c r="BC21" s="44" t="n">
        <f aca="false">VLOOKUP(AV21,A_5_INPUT_DATE_E_RISULTATI_2A_FASE,6,0)</f>
        <v>54</v>
      </c>
      <c r="BD21" s="44" t="n">
        <f aca="false">VLOOKUP(AV21,A_5_INPUT_DATE_E_RISULTATI_2A_FASE,7,0)</f>
        <v>43</v>
      </c>
      <c r="BE21" s="96" t="str">
        <f aca="false">IF(BC21&gt;BD21,BA21,BB21)</f>
        <v>Muli</v>
      </c>
      <c r="BF21" s="96" t="str">
        <f aca="false">IF(BC21&lt;BD21,BA21,BB21)</f>
        <v>Scorpioni</v>
      </c>
      <c r="BG21" s="44" t="n">
        <f aca="false">1*(BC21&gt;BD21)</f>
        <v>1</v>
      </c>
      <c r="BH21" s="97" t="n">
        <f aca="false">1*(BC21&lt;BD21)*NOT(AND(BC21=0,BD21=20))</f>
        <v>0</v>
      </c>
      <c r="BI21" s="97" t="n">
        <f aca="false">1*AND(BC21=0,BD21=20)</f>
        <v>0</v>
      </c>
      <c r="BJ21" s="44" t="n">
        <f aca="false">BC21</f>
        <v>54</v>
      </c>
      <c r="BK21" s="44" t="n">
        <f aca="false">BD21</f>
        <v>43</v>
      </c>
      <c r="BL21" s="98" t="n">
        <f aca="false">BJ21-BK21</f>
        <v>11</v>
      </c>
      <c r="BM21" s="44" t="n">
        <f aca="false">1*(BD21&gt;BC21)</f>
        <v>0</v>
      </c>
      <c r="BN21" s="44" t="n">
        <f aca="false">1*(BD21&lt;BC21)*NOT(AND(BC21=20,BD21=0))</f>
        <v>1</v>
      </c>
      <c r="BO21" s="44" t="n">
        <f aca="false">1*AND(BC21=20,BD21=0)</f>
        <v>0</v>
      </c>
      <c r="BP21" s="44" t="n">
        <f aca="false">BD21</f>
        <v>43</v>
      </c>
      <c r="BQ21" s="44" t="n">
        <f aca="false">BC21</f>
        <v>54</v>
      </c>
      <c r="BR21" s="99" t="n">
        <f aca="false">BP21-BQ21</f>
        <v>-11</v>
      </c>
    </row>
    <row r="22" customFormat="false" ht="12.8" hidden="false" customHeight="false" outlineLevel="0" collapsed="false">
      <c r="A22" s="32" t="n">
        <v>12</v>
      </c>
      <c r="B22" s="34" t="s">
        <v>10</v>
      </c>
      <c r="C22" s="34" t="s">
        <v>46</v>
      </c>
      <c r="D22" s="44" t="s">
        <v>186</v>
      </c>
      <c r="E22" s="44" t="s">
        <v>194</v>
      </c>
      <c r="F22" s="96" t="str">
        <f aca="false">IF(B22="Girone",VLOOKUP(D22,A_SQUADRE_PER_CODICE,2),"ERRORE!")</f>
        <v>Coccodrilli</v>
      </c>
      <c r="G22" s="96" t="str">
        <f aca="false">IF(B22="Girone",VLOOKUP(E22,A_SQUADRE_PER_CODICE,2),"ERRORE!")</f>
        <v>Aquile</v>
      </c>
      <c r="H22" s="44" t="n">
        <f aca="false">VLOOKUP(A22,A_4_INPUT_DATE_E_RISULTATI_GIRONI,6,0)</f>
        <v>29</v>
      </c>
      <c r="I22" s="44" t="n">
        <f aca="false">VLOOKUP(A22,A_4_INPUT_DATE_E_RISULTATI_GIRONI,7,0)</f>
        <v>39</v>
      </c>
      <c r="J22" s="96" t="str">
        <f aca="false">IF(H22&gt;I22,F22,G22)</f>
        <v>Aquile</v>
      </c>
      <c r="K22" s="96" t="str">
        <f aca="false">IF(H22&lt;I22,F22,G22)</f>
        <v>Coccodrilli</v>
      </c>
      <c r="L22" s="44" t="n">
        <f aca="false">1*(H22&gt;I22)</f>
        <v>0</v>
      </c>
      <c r="M22" s="97" t="n">
        <f aca="false">1*(H22&lt;I22)*NOT(AND(H22=0,I22=20))</f>
        <v>1</v>
      </c>
      <c r="N22" s="97" t="n">
        <f aca="false">1*AND(H22=0,I22=20)</f>
        <v>0</v>
      </c>
      <c r="O22" s="44" t="n">
        <f aca="false">H22</f>
        <v>29</v>
      </c>
      <c r="P22" s="44" t="n">
        <f aca="false">I22</f>
        <v>39</v>
      </c>
      <c r="Q22" s="98" t="n">
        <f aca="false">O22-P22</f>
        <v>-10</v>
      </c>
      <c r="R22" s="44" t="n">
        <f aca="false">1*(I22&gt;H22)</f>
        <v>1</v>
      </c>
      <c r="S22" s="44" t="n">
        <f aca="false">1*(I22&lt;H22)*NOT(AND(H22=20,I22=0))</f>
        <v>0</v>
      </c>
      <c r="T22" s="44" t="n">
        <f aca="false">1*AND(H22=20,I22=0)</f>
        <v>0</v>
      </c>
      <c r="U22" s="44" t="n">
        <f aca="false">I22</f>
        <v>39</v>
      </c>
      <c r="V22" s="44" t="n">
        <f aca="false">H22</f>
        <v>29</v>
      </c>
      <c r="W22" s="99" t="n">
        <f aca="false">U22-V22</f>
        <v>10</v>
      </c>
      <c r="Y22" s="100" t="str">
        <f aca="false">COUNTIF(B_COEFF_GIRONE_E,"&gt;="&amp;AS22)&amp;Z22</f>
        <v>4E</v>
      </c>
      <c r="Z22" s="34" t="s">
        <v>51</v>
      </c>
      <c r="AA22" s="44" t="s">
        <v>215</v>
      </c>
      <c r="AB22" s="101" t="str">
        <f aca="false">VLOOKUP(AA22,A_SQUADRE_PER_CODICE,2)</f>
        <v>Cinghiali</v>
      </c>
      <c r="AC22" s="44" t="n">
        <f aca="false">AD22+AE22+AF22</f>
        <v>3</v>
      </c>
      <c r="AD22" s="44" t="n">
        <f aca="false">SUMIF(B_SQUADRA_A_GIRONI,AB22,B_VINTE_SQUADRA_A_GIRONI)+SUMIF(B_SQUADRA_B_GIRONI,AB22,B_VINTE_SQUADRA_B_GIRONI)</f>
        <v>0</v>
      </c>
      <c r="AE22" s="44" t="n">
        <f aca="false">SUMIF(B_SQUADRA_A_GIRONI,AB22,B_PERSE_SQUADRA_A_GIRONI)+SUMIF(B_SQUADRA_B_GIRONI,AB22,B_PERSE_SQUADRA_B_GIRONI)</f>
        <v>3</v>
      </c>
      <c r="AF22" s="44" t="n">
        <f aca="false">SUMIF(B_SQUADRA_A_GIRONI,AB22,B_FORFAIT_SQUADRA_A_GIRONI)+SUMIF(B_SQUADRA_B_GIRONI,AB22,B_FORFAIT_SQUADRA_B_GIRONI)</f>
        <v>0</v>
      </c>
      <c r="AG22" s="102" t="n">
        <f aca="false">2*AD22+1*AE22+0*AF22</f>
        <v>3</v>
      </c>
      <c r="AH22" s="103" t="n">
        <f aca="false">SUMIF(B_SQUADRA_A_GIRONI,AB22,B_PUNTI_FATTI_SQUADRA_A_GIRONI)+SUMIF(B_SQUADRA_B_GIRONI,AB22,B_PUNTI_FATTI_SQUADRA_B_GIRONI)</f>
        <v>99</v>
      </c>
      <c r="AI22" s="44" t="n">
        <f aca="false">SUMIF(B_SQUADRA_A_GIRONI,AB22,B_PUNTI_SUBITI_SQUADRA_A_GIRONI)+SUMIF(B_SQUADRA_B_GIRONI,AB22,B_PUNTI_SUBITI_SQUADRA_B_GIRONI)</f>
        <v>105</v>
      </c>
      <c r="AJ22" s="104" t="n">
        <f aca="false">SUMIF(B_SQUADRA_A_GIRONI,AB22,B_DIFF_CANESTRI_SQUADRA_A_GIRONI)+SUMIF(B_SQUADRA_B_GIRONI,AB22,B_DIFF_CANESTRI_SQUADRA_B_GIRONI)</f>
        <v>-6</v>
      </c>
      <c r="AK22" s="44" t="n">
        <f aca="true">IF(AG22=AG19,INDIRECT("U"&amp;5+6*(FIND(Z22,"ABCDEFGH")-1)),0)</f>
        <v>0</v>
      </c>
      <c r="AL22" s="44" t="n">
        <f aca="true">IF(AG22=AG20,INDIRECT("U"&amp;7+6*(FIND(Z22,"ABCDEFGH")-1)),0)</f>
        <v>0</v>
      </c>
      <c r="AM22" s="44" t="n">
        <f aca="true">IF(AG22=AG21,INDIRECT("U"&amp;8+6*(FIND(Z22,"ABCDEFGH")-1)),0)</f>
        <v>0</v>
      </c>
      <c r="AN22" s="103" t="n">
        <f aca="false">AK22+AL22+AM22</f>
        <v>0</v>
      </c>
      <c r="AO22" s="98" t="n">
        <f aca="true">IF(AG22=AG19,INDIRECT("W"&amp;5+6*(FIND(Z22,"ABCDEFGH")-1)),0)</f>
        <v>0</v>
      </c>
      <c r="AP22" s="98" t="n">
        <f aca="true">IF(AG22=AG20,INDIRECT("W"&amp;7+6*(FIND(Z22,"ABCDEFGH")-1)),0)</f>
        <v>0</v>
      </c>
      <c r="AQ22" s="98" t="n">
        <f aca="true">IF(AG22=AG21,INDIRECT("W"&amp;8+6*(FIND(Z22,"ABCDEFGH")-1)),0)</f>
        <v>0</v>
      </c>
      <c r="AR22" s="104" t="n">
        <f aca="false">AO22+AP22+AQ22</f>
        <v>0</v>
      </c>
      <c r="AS22" s="105" t="n">
        <f aca="false">AG22+(500+AR22)*10^-3+AN22*10^-6+(500+AJ22)*10^-9+AH22*10^-12</f>
        <v>3.500000494099</v>
      </c>
      <c r="AU22" s="106" t="s">
        <v>216</v>
      </c>
      <c r="AV22" s="107" t="n">
        <v>68</v>
      </c>
      <c r="AW22" s="108" t="s">
        <v>138</v>
      </c>
      <c r="AX22" s="109" t="s">
        <v>204</v>
      </c>
      <c r="AY22" s="108" t="s">
        <v>217</v>
      </c>
      <c r="AZ22" s="108" t="s">
        <v>218</v>
      </c>
      <c r="BA22" s="96" t="str">
        <f aca="false">IF(LEFT(AY22,1)="V",VLOOKUP(_xlfn.NUMBERVALUE(SUBSTITUTE(AY22,"V","")),B_PARTITE_2A_FASE_PER_NUMERO,10,FALSE()),IF(LEFT(AY22,1)="P",VLOOKUP(_xlfn.NUMBERVALUE(SUBSTITUTE(AY22,"P","")),B_PARTITE_2A_FASE_PER_NUMERO,11,FALSE()),VLOOKUP(AY22,B_CLASSIFICHE_GIRONI,4,FALSE())))</f>
        <v>Cinghiali</v>
      </c>
      <c r="BB22" s="96" t="str">
        <f aca="false">IF(LEFT(AZ22,1)="V",VLOOKUP(_xlfn.NUMBERVALUE(SUBSTITUTE(AZ22,"V","")),B_PARTITE_2A_FASE_PER_NUMERO,10,FALSE()),IF(LEFT(AZ22,1)="P",VLOOKUP(_xlfn.NUMBERVALUE(SUBSTITUTE(AZ22,"P","")),B_PARTITE_2A_FASE_PER_NUMERO,11,FALSE()),VLOOKUP(AZ22,B_CLASSIFICHE_GIRONI,4,FALSE())))</f>
        <v>Fenicotteri</v>
      </c>
      <c r="BC22" s="44" t="n">
        <f aca="false">VLOOKUP(AV22,A_5_INPUT_DATE_E_RISULTATI_2A_FASE,6,0)</f>
        <v>52</v>
      </c>
      <c r="BD22" s="44" t="n">
        <f aca="false">VLOOKUP(AV22,A_5_INPUT_DATE_E_RISULTATI_2A_FASE,7,0)</f>
        <v>49</v>
      </c>
      <c r="BE22" s="96" t="str">
        <f aca="false">IF(BC22&gt;BD22,BA22,BB22)</f>
        <v>Cinghiali</v>
      </c>
      <c r="BF22" s="96" t="str">
        <f aca="false">IF(BC22&lt;BD22,BA22,BB22)</f>
        <v>Fenicotteri</v>
      </c>
      <c r="BG22" s="44" t="n">
        <f aca="false">1*(BC22&gt;BD22)</f>
        <v>1</v>
      </c>
      <c r="BH22" s="97" t="n">
        <f aca="false">1*(BC22&lt;BD22)*NOT(AND(BC22=0,BD22=20))</f>
        <v>0</v>
      </c>
      <c r="BI22" s="97" t="n">
        <f aca="false">1*AND(BC22=0,BD22=20)</f>
        <v>0</v>
      </c>
      <c r="BJ22" s="44" t="n">
        <f aca="false">BC22</f>
        <v>52</v>
      </c>
      <c r="BK22" s="44" t="n">
        <f aca="false">BD22</f>
        <v>49</v>
      </c>
      <c r="BL22" s="98" t="n">
        <f aca="false">BJ22-BK22</f>
        <v>3</v>
      </c>
      <c r="BM22" s="44" t="n">
        <f aca="false">1*(BD22&gt;BC22)</f>
        <v>0</v>
      </c>
      <c r="BN22" s="44" t="n">
        <f aca="false">1*(BD22&lt;BC22)*NOT(AND(BC22=20,BD22=0))</f>
        <v>1</v>
      </c>
      <c r="BO22" s="44" t="n">
        <f aca="false">1*AND(BC22=20,BD22=0)</f>
        <v>0</v>
      </c>
      <c r="BP22" s="44" t="n">
        <f aca="false">BD22</f>
        <v>49</v>
      </c>
      <c r="BQ22" s="44" t="n">
        <f aca="false">BC22</f>
        <v>52</v>
      </c>
      <c r="BR22" s="99" t="n">
        <f aca="false">BP22-BQ22</f>
        <v>-3</v>
      </c>
    </row>
    <row r="23" customFormat="false" ht="12.8" hidden="false" customHeight="false" outlineLevel="0" collapsed="false">
      <c r="A23" s="32" t="n">
        <v>28</v>
      </c>
      <c r="B23" s="34" t="s">
        <v>10</v>
      </c>
      <c r="C23" s="34" t="s">
        <v>46</v>
      </c>
      <c r="D23" s="44" t="s">
        <v>186</v>
      </c>
      <c r="E23" s="44" t="s">
        <v>198</v>
      </c>
      <c r="F23" s="96" t="str">
        <f aca="false">IF(B23="Girone",VLOOKUP(D23,A_SQUADRE_PER_CODICE,2),"ERRORE!")</f>
        <v>Coccodrilli</v>
      </c>
      <c r="G23" s="96" t="str">
        <f aca="false">IF(B23="Girone",VLOOKUP(E23,A_SQUADRE_PER_CODICE,2),"ERRORE!")</f>
        <v>Falchi</v>
      </c>
      <c r="H23" s="44" t="n">
        <f aca="false">VLOOKUP(A23,A_4_INPUT_DATE_E_RISULTATI_GIRONI,6,0)</f>
        <v>54</v>
      </c>
      <c r="I23" s="44" t="n">
        <f aca="false">VLOOKUP(A23,A_4_INPUT_DATE_E_RISULTATI_GIRONI,7,0)</f>
        <v>44</v>
      </c>
      <c r="J23" s="96" t="str">
        <f aca="false">IF(H23&gt;I23,F23,G23)</f>
        <v>Coccodrilli</v>
      </c>
      <c r="K23" s="96" t="str">
        <f aca="false">IF(H23&lt;I23,F23,G23)</f>
        <v>Falchi</v>
      </c>
      <c r="L23" s="44" t="n">
        <f aca="false">1*(H23&gt;I23)</f>
        <v>1</v>
      </c>
      <c r="M23" s="97" t="n">
        <f aca="false">1*(H23&lt;I23)*NOT(AND(H23=0,I23=20))</f>
        <v>0</v>
      </c>
      <c r="N23" s="97" t="n">
        <f aca="false">1*AND(H23=0,I23=20)</f>
        <v>0</v>
      </c>
      <c r="O23" s="44" t="n">
        <f aca="false">H23</f>
        <v>54</v>
      </c>
      <c r="P23" s="44" t="n">
        <f aca="false">I23</f>
        <v>44</v>
      </c>
      <c r="Q23" s="98" t="n">
        <f aca="false">O23-P23</f>
        <v>10</v>
      </c>
      <c r="R23" s="44" t="n">
        <f aca="false">1*(I23&gt;H23)</f>
        <v>0</v>
      </c>
      <c r="S23" s="44" t="n">
        <f aca="false">1*(I23&lt;H23)*NOT(AND(H23=20,I23=0))</f>
        <v>1</v>
      </c>
      <c r="T23" s="44" t="n">
        <f aca="false">1*AND(H23=20,I23=0)</f>
        <v>0</v>
      </c>
      <c r="U23" s="44" t="n">
        <f aca="false">I23</f>
        <v>44</v>
      </c>
      <c r="V23" s="44" t="n">
        <f aca="false">H23</f>
        <v>54</v>
      </c>
      <c r="W23" s="99" t="n">
        <f aca="false">U23-V23</f>
        <v>-10</v>
      </c>
      <c r="Y23" s="110" t="str">
        <f aca="false">COUNTIF(B_COEFF_GIRONE_F,"&gt;="&amp;AS23)&amp;Z23</f>
        <v>1F</v>
      </c>
      <c r="Z23" s="111" t="s">
        <v>56</v>
      </c>
      <c r="AA23" s="111" t="s">
        <v>219</v>
      </c>
      <c r="AB23" s="112" t="str">
        <f aca="false">VLOOKUP(AA23,A_SQUADRE_PER_CODICE,2)</f>
        <v>Balene</v>
      </c>
      <c r="AC23" s="111" t="n">
        <f aca="false">AD23+AE23+AF23</f>
        <v>3</v>
      </c>
      <c r="AD23" s="111" t="n">
        <f aca="false">SUMIF(B_SQUADRA_A_GIRONI,AB23,B_VINTE_SQUADRA_A_GIRONI)+SUMIF(B_SQUADRA_B_GIRONI,AB23,B_VINTE_SQUADRA_B_GIRONI)</f>
        <v>2</v>
      </c>
      <c r="AE23" s="111" t="n">
        <f aca="false">SUMIF(B_SQUADRA_A_GIRONI,AB23,B_PERSE_SQUADRA_A_GIRONI)+SUMIF(B_SQUADRA_B_GIRONI,AB23,B_PERSE_SQUADRA_B_GIRONI)</f>
        <v>1</v>
      </c>
      <c r="AF23" s="111" t="n">
        <f aca="false">SUMIF(B_SQUADRA_A_GIRONI,AB23,B_FORFAIT_SQUADRA_A_GIRONI)+SUMIF(B_SQUADRA_B_GIRONI,AB23,B_FORFAIT_SQUADRA_B_GIRONI)</f>
        <v>0</v>
      </c>
      <c r="AG23" s="113" t="n">
        <f aca="false">2*AD23+1*AE23+0*AF23</f>
        <v>5</v>
      </c>
      <c r="AH23" s="114" t="n">
        <f aca="false">SUMIF(B_SQUADRA_A_GIRONI,AB23,B_PUNTI_FATTI_SQUADRA_A_GIRONI)+SUMIF(B_SQUADRA_B_GIRONI,AB23,B_PUNTI_FATTI_SQUADRA_B_GIRONI)</f>
        <v>103</v>
      </c>
      <c r="AI23" s="111" t="n">
        <f aca="false">SUMIF(B_SQUADRA_A_GIRONI,AB23,B_PUNTI_SUBITI_SQUADRA_A_GIRONI)+SUMIF(B_SQUADRA_B_GIRONI,AB23,B_PUNTI_SUBITI_SQUADRA_B_GIRONI)</f>
        <v>102</v>
      </c>
      <c r="AJ23" s="115" t="n">
        <f aca="false">SUMIF(B_SQUADRA_A_GIRONI,AB23,B_DIFF_CANESTRI_SQUADRA_A_GIRONI)+SUMIF(B_SQUADRA_B_GIRONI,AB23,B_DIFF_CANESTRI_SQUADRA_B_GIRONI)</f>
        <v>1</v>
      </c>
      <c r="AK23" s="111" t="n">
        <f aca="true">IF(AG23=AG24,INDIRECT("O"&amp;3+6*(FIND(Z23,"ABCDEFGH")-1)),0)</f>
        <v>34</v>
      </c>
      <c r="AL23" s="116" t="n">
        <f aca="true">IF(AG23=AG25,INDIRECT("O"&amp;4+6*(FIND(Z23,"ABCDEFGH")-1)),0)</f>
        <v>33</v>
      </c>
      <c r="AM23" s="111" t="n">
        <f aca="true">IF(AG23=AG26,INDIRECT("O"&amp;5+6*(FIND(Z23,"ABCDEFGH")-1)),0)</f>
        <v>0</v>
      </c>
      <c r="AN23" s="114" t="n">
        <f aca="false">AK23+AL23+AM23</f>
        <v>67</v>
      </c>
      <c r="AO23" s="117" t="n">
        <f aca="true">IF(AG23=AG24,INDIRECT("Q"&amp;3+6*(FIND(Z23,"ABCDEFGH")-1)),0)</f>
        <v>1</v>
      </c>
      <c r="AP23" s="117" t="n">
        <f aca="true">IF(AG23=AG25,INDIRECT("Q"&amp;4+6*(FIND(Z23,"ABCDEFGH")-1)),0)</f>
        <v>-1</v>
      </c>
      <c r="AQ23" s="117" t="n">
        <f aca="true">IF(AG23=AG26,INDIRECT("Q"&amp;5+6*(FIND(Z23,"ABCDEFGH")-1)),0)</f>
        <v>0</v>
      </c>
      <c r="AR23" s="115" t="n">
        <f aca="false">AO23+AP23+AQ23</f>
        <v>0</v>
      </c>
      <c r="AS23" s="118" t="n">
        <f aca="false">AG23+(500+AR23)*10^-3+AN23*10^-6+(500+AJ23)*10^-9+AH23*10^-12</f>
        <v>5.500067501103</v>
      </c>
      <c r="AU23" s="106" t="s">
        <v>220</v>
      </c>
      <c r="AV23" s="107" t="n">
        <v>69</v>
      </c>
      <c r="AW23" s="108" t="s">
        <v>138</v>
      </c>
      <c r="AX23" s="109" t="s">
        <v>221</v>
      </c>
      <c r="AY23" s="108" t="s">
        <v>222</v>
      </c>
      <c r="AZ23" s="108" t="s">
        <v>223</v>
      </c>
      <c r="BA23" s="96" t="str">
        <f aca="false">IF(LEFT(AY23,1)="V",VLOOKUP(_xlfn.NUMBERVALUE(SUBSTITUTE(AY23,"V","")),B_PARTITE_2A_FASE_PER_NUMERO,10,FALSE()),IF(LEFT(AY23,1)="P",VLOOKUP(_xlfn.NUMBERVALUE(SUBSTITUTE(AY23,"P","")),B_PARTITE_2A_FASE_PER_NUMERO,11,FALSE()),VLOOKUP(AY23,B_CLASSIFICHE_GIRONI,4,FALSE())))</f>
        <v>Leoni</v>
      </c>
      <c r="BB23" s="96" t="str">
        <f aca="false">IF(LEFT(AZ23,1)="V",VLOOKUP(_xlfn.NUMBERVALUE(SUBSTITUTE(AZ23,"V","")),B_PARTITE_2A_FASE_PER_NUMERO,10,FALSE()),IF(LEFT(AZ23,1)="P",VLOOKUP(_xlfn.NUMBERVALUE(SUBSTITUTE(AZ23,"P","")),B_PARTITE_2A_FASE_PER_NUMERO,11,FALSE()),VLOOKUP(AZ23,B_CLASSIFICHE_GIRONI,4,FALSE())))</f>
        <v>Giaguari</v>
      </c>
      <c r="BC23" s="44" t="n">
        <f aca="false">VLOOKUP(AV23,A_5_INPUT_DATE_E_RISULTATI_2A_FASE,6,0)</f>
        <v>58</v>
      </c>
      <c r="BD23" s="44" t="n">
        <f aca="false">VLOOKUP(AV23,A_5_INPUT_DATE_E_RISULTATI_2A_FASE,7,0)</f>
        <v>46</v>
      </c>
      <c r="BE23" s="96" t="str">
        <f aca="false">IF(BC23&gt;BD23,BA23,BB23)</f>
        <v>Leoni</v>
      </c>
      <c r="BF23" s="96" t="str">
        <f aca="false">IF(BC23&lt;BD23,BA23,BB23)</f>
        <v>Giaguari</v>
      </c>
      <c r="BG23" s="44" t="n">
        <f aca="false">1*(BC23&gt;BD23)</f>
        <v>1</v>
      </c>
      <c r="BH23" s="97" t="n">
        <f aca="false">1*(BC23&lt;BD23)*NOT(AND(BC23=0,BD23=20))</f>
        <v>0</v>
      </c>
      <c r="BI23" s="97" t="n">
        <f aca="false">1*AND(BC23=0,BD23=20)</f>
        <v>0</v>
      </c>
      <c r="BJ23" s="44" t="n">
        <f aca="false">BC23</f>
        <v>58</v>
      </c>
      <c r="BK23" s="44" t="n">
        <f aca="false">BD23</f>
        <v>46</v>
      </c>
      <c r="BL23" s="98" t="n">
        <f aca="false">BJ23-BK23</f>
        <v>12</v>
      </c>
      <c r="BM23" s="44" t="n">
        <f aca="false">1*(BD23&gt;BC23)</f>
        <v>0</v>
      </c>
      <c r="BN23" s="44" t="n">
        <f aca="false">1*(BD23&lt;BC23)*NOT(AND(BC23=20,BD23=0))</f>
        <v>1</v>
      </c>
      <c r="BO23" s="44" t="n">
        <f aca="false">1*AND(BC23=20,BD23=0)</f>
        <v>0</v>
      </c>
      <c r="BP23" s="44" t="n">
        <f aca="false">BD23</f>
        <v>46</v>
      </c>
      <c r="BQ23" s="44" t="n">
        <f aca="false">BC23</f>
        <v>58</v>
      </c>
      <c r="BR23" s="99" t="n">
        <f aca="false">BP23-BQ23</f>
        <v>-12</v>
      </c>
    </row>
    <row r="24" customFormat="false" ht="12.8" hidden="false" customHeight="false" outlineLevel="0" collapsed="false">
      <c r="A24" s="32" t="n">
        <v>40</v>
      </c>
      <c r="B24" s="34" t="s">
        <v>10</v>
      </c>
      <c r="C24" s="34" t="s">
        <v>46</v>
      </c>
      <c r="D24" s="44" t="s">
        <v>190</v>
      </c>
      <c r="E24" s="44" t="s">
        <v>194</v>
      </c>
      <c r="F24" s="96" t="str">
        <f aca="false">IF(B24="Girone",VLOOKUP(D24,A_SQUADRE_PER_CODICE,2),"ERRORE!")</f>
        <v>Pitoni</v>
      </c>
      <c r="G24" s="96" t="str">
        <f aca="false">IF(B24="Girone",VLOOKUP(E24,A_SQUADRE_PER_CODICE,2),"ERRORE!")</f>
        <v>Aquile</v>
      </c>
      <c r="H24" s="44" t="n">
        <f aca="false">VLOOKUP(A24,A_4_INPUT_DATE_E_RISULTATI_GIRONI,6,0)</f>
        <v>25</v>
      </c>
      <c r="I24" s="44" t="n">
        <f aca="false">VLOOKUP(A24,A_4_INPUT_DATE_E_RISULTATI_GIRONI,7,0)</f>
        <v>15</v>
      </c>
      <c r="J24" s="96" t="str">
        <f aca="false">IF(H24&gt;I24,F24,G24)</f>
        <v>Pitoni</v>
      </c>
      <c r="K24" s="96" t="str">
        <f aca="false">IF(H24&lt;I24,F24,G24)</f>
        <v>Aquile</v>
      </c>
      <c r="L24" s="44" t="n">
        <f aca="false">1*(H24&gt;I24)</f>
        <v>1</v>
      </c>
      <c r="M24" s="97" t="n">
        <f aca="false">1*(H24&lt;I24)*NOT(AND(H24=0,I24=20))</f>
        <v>0</v>
      </c>
      <c r="N24" s="97" t="n">
        <f aca="false">1*AND(H24=0,I24=20)</f>
        <v>0</v>
      </c>
      <c r="O24" s="44" t="n">
        <f aca="false">H24</f>
        <v>25</v>
      </c>
      <c r="P24" s="44" t="n">
        <f aca="false">I24</f>
        <v>15</v>
      </c>
      <c r="Q24" s="98" t="n">
        <f aca="false">O24-P24</f>
        <v>10</v>
      </c>
      <c r="R24" s="44" t="n">
        <f aca="false">1*(I24&gt;H24)</f>
        <v>0</v>
      </c>
      <c r="S24" s="44" t="n">
        <f aca="false">1*(I24&lt;H24)*NOT(AND(H24=20,I24=0))</f>
        <v>1</v>
      </c>
      <c r="T24" s="44" t="n">
        <f aca="false">1*AND(H24=20,I24=0)</f>
        <v>0</v>
      </c>
      <c r="U24" s="44" t="n">
        <f aca="false">I24</f>
        <v>15</v>
      </c>
      <c r="V24" s="44" t="n">
        <f aca="false">H24</f>
        <v>25</v>
      </c>
      <c r="W24" s="99" t="n">
        <f aca="false">U24-V24</f>
        <v>-10</v>
      </c>
      <c r="Y24" s="100" t="str">
        <f aca="false">COUNTIF(B_COEFF_GIRONE_F,"&gt;="&amp;AS24)&amp;Z24</f>
        <v>2F</v>
      </c>
      <c r="Z24" s="34" t="s">
        <v>56</v>
      </c>
      <c r="AA24" s="44" t="s">
        <v>224</v>
      </c>
      <c r="AB24" s="101" t="str">
        <f aca="false">VLOOKUP(AA24,A_SQUADRE_PER_CODICE,2)</f>
        <v>Gabbiani</v>
      </c>
      <c r="AC24" s="44" t="n">
        <f aca="false">AD24+AE24+AF24</f>
        <v>3</v>
      </c>
      <c r="AD24" s="44" t="n">
        <f aca="false">SUMIF(B_SQUADRA_A_GIRONI,AB24,B_VINTE_SQUADRA_A_GIRONI)+SUMIF(B_SQUADRA_B_GIRONI,AB24,B_VINTE_SQUADRA_B_GIRONI)</f>
        <v>2</v>
      </c>
      <c r="AE24" s="44" t="n">
        <f aca="false">SUMIF(B_SQUADRA_A_GIRONI,AB24,B_PERSE_SQUADRA_A_GIRONI)+SUMIF(B_SQUADRA_B_GIRONI,AB24,B_PERSE_SQUADRA_B_GIRONI)</f>
        <v>1</v>
      </c>
      <c r="AF24" s="44" t="n">
        <f aca="false">SUMIF(B_SQUADRA_A_GIRONI,AB24,B_FORFAIT_SQUADRA_A_GIRONI)+SUMIF(B_SQUADRA_B_GIRONI,AB24,B_FORFAIT_SQUADRA_B_GIRONI)</f>
        <v>0</v>
      </c>
      <c r="AG24" s="102" t="n">
        <f aca="false">2*AD24+1*AE24+0*AF24</f>
        <v>5</v>
      </c>
      <c r="AH24" s="103" t="n">
        <f aca="false">SUMIF(B_SQUADRA_A_GIRONI,AB24,B_PUNTI_FATTI_SQUADRA_A_GIRONI)+SUMIF(B_SQUADRA_B_GIRONI,AB24,B_PUNTI_FATTI_SQUADRA_B_GIRONI)</f>
        <v>102</v>
      </c>
      <c r="AI24" s="44" t="n">
        <f aca="false">SUMIF(B_SQUADRA_A_GIRONI,AB24,B_PUNTI_SUBITI_SQUADRA_A_GIRONI)+SUMIF(B_SQUADRA_B_GIRONI,AB24,B_PUNTI_SUBITI_SQUADRA_B_GIRONI)</f>
        <v>101</v>
      </c>
      <c r="AJ24" s="104" t="n">
        <f aca="false">SUMIF(B_SQUADRA_A_GIRONI,AB24,B_DIFF_CANESTRI_SQUADRA_A_GIRONI)+SUMIF(B_SQUADRA_B_GIRONI,AB24,B_DIFF_CANESTRI_SQUADRA_B_GIRONI)</f>
        <v>1</v>
      </c>
      <c r="AK24" s="44" t="n">
        <f aca="true">IF(AG24=AG25,INDIRECT("O"&amp;6+6*(FIND(Z24,"ABCDEFGH")-1)),0)</f>
        <v>34</v>
      </c>
      <c r="AL24" s="44" t="n">
        <f aca="true">IF(AG24=AG26,INDIRECT("O"&amp;7+6*(FIND(Z24,"ABCDEFGH")-1)),0)</f>
        <v>0</v>
      </c>
      <c r="AM24" s="44" t="n">
        <f aca="true">IF(AG24=AG23,INDIRECT("U"&amp;3+6*(FIND(Z24,"ABCDEFGH")-1)),0)</f>
        <v>33</v>
      </c>
      <c r="AN24" s="103" t="n">
        <f aca="false">AK24+AL24+AM24</f>
        <v>67</v>
      </c>
      <c r="AO24" s="98" t="n">
        <f aca="true">IF(AG24=AG25,INDIRECT("Q"&amp;6+6*(FIND(Z24,"ABCDEFGH")-1)),0)</f>
        <v>1</v>
      </c>
      <c r="AP24" s="98" t="n">
        <f aca="true">IF(AG24=AG26,INDIRECT("Q"&amp;7+6*(FIND(Z24,"ABCDEFGH")-1)),0)</f>
        <v>0</v>
      </c>
      <c r="AQ24" s="98" t="n">
        <f aca="true">IF(AG24=AG23,INDIRECT("W"&amp;3+6*(FIND(Z24,"ABCDEFGH")-1)),0)</f>
        <v>-1</v>
      </c>
      <c r="AR24" s="104" t="n">
        <f aca="false">AO24+AP24+AQ24</f>
        <v>0</v>
      </c>
      <c r="AS24" s="105" t="n">
        <f aca="false">AG24+(500+AR24)*10^-3+AN24*10^-6+(500+AJ24)*10^-9+AH24*10^-12</f>
        <v>5.500067501102</v>
      </c>
      <c r="AU24" s="106" t="s">
        <v>225</v>
      </c>
      <c r="AV24" s="107" t="n">
        <v>70</v>
      </c>
      <c r="AW24" s="108" t="s">
        <v>138</v>
      </c>
      <c r="AX24" s="109" t="s">
        <v>221</v>
      </c>
      <c r="AY24" s="108" t="s">
        <v>226</v>
      </c>
      <c r="AZ24" s="108" t="s">
        <v>227</v>
      </c>
      <c r="BA24" s="96" t="str">
        <f aca="false">IF(LEFT(AY24,1)="V",VLOOKUP(_xlfn.NUMBERVALUE(SUBSTITUTE(AY24,"V","")),B_PARTITE_2A_FASE_PER_NUMERO,10,FALSE()),IF(LEFT(AY24,1)="P",VLOOKUP(_xlfn.NUMBERVALUE(SUBSTITUTE(AY24,"P","")),B_PARTITE_2A_FASE_PER_NUMERO,11,FALSE()),VLOOKUP(AY24,B_CLASSIFICHE_GIRONI,4,FALSE())))</f>
        <v>Bisonti</v>
      </c>
      <c r="BB24" s="96" t="str">
        <f aca="false">IF(LEFT(AZ24,1)="V",VLOOKUP(_xlfn.NUMBERVALUE(SUBSTITUTE(AZ24,"V","")),B_PARTITE_2A_FASE_PER_NUMERO,10,FALSE()),IF(LEFT(AZ24,1)="P",VLOOKUP(_xlfn.NUMBERVALUE(SUBSTITUTE(AZ24,"P","")),B_PARTITE_2A_FASE_PER_NUMERO,11,FALSE()),VLOOKUP(AZ24,B_CLASSIFICHE_GIRONI,4,FALSE())))</f>
        <v>Balene</v>
      </c>
      <c r="BC24" s="44" t="n">
        <f aca="false">VLOOKUP(AV24,A_5_INPUT_DATE_E_RISULTATI_2A_FASE,6,0)</f>
        <v>60</v>
      </c>
      <c r="BD24" s="44" t="n">
        <f aca="false">VLOOKUP(AV24,A_5_INPUT_DATE_E_RISULTATI_2A_FASE,7,0)</f>
        <v>31</v>
      </c>
      <c r="BE24" s="96" t="str">
        <f aca="false">IF(BC24&gt;BD24,BA24,BB24)</f>
        <v>Bisonti</v>
      </c>
      <c r="BF24" s="96" t="str">
        <f aca="false">IF(BC24&lt;BD24,BA24,BB24)</f>
        <v>Balene</v>
      </c>
      <c r="BG24" s="44" t="n">
        <f aca="false">1*(BC24&gt;BD24)</f>
        <v>1</v>
      </c>
      <c r="BH24" s="97" t="n">
        <f aca="false">1*(BC24&lt;BD24)*NOT(AND(BC24=0,BD24=20))</f>
        <v>0</v>
      </c>
      <c r="BI24" s="97" t="n">
        <f aca="false">1*AND(BC24=0,BD24=20)</f>
        <v>0</v>
      </c>
      <c r="BJ24" s="44" t="n">
        <f aca="false">BC24</f>
        <v>60</v>
      </c>
      <c r="BK24" s="44" t="n">
        <f aca="false">BD24</f>
        <v>31</v>
      </c>
      <c r="BL24" s="98" t="n">
        <f aca="false">BJ24-BK24</f>
        <v>29</v>
      </c>
      <c r="BM24" s="44" t="n">
        <f aca="false">1*(BD24&gt;BC24)</f>
        <v>0</v>
      </c>
      <c r="BN24" s="44" t="n">
        <f aca="false">1*(BD24&lt;BC24)*NOT(AND(BC24=20,BD24=0))</f>
        <v>1</v>
      </c>
      <c r="BO24" s="44" t="n">
        <f aca="false">1*AND(BC24=20,BD24=0)</f>
        <v>0</v>
      </c>
      <c r="BP24" s="44" t="n">
        <f aca="false">BD24</f>
        <v>31</v>
      </c>
      <c r="BQ24" s="44" t="n">
        <f aca="false">BC24</f>
        <v>60</v>
      </c>
      <c r="BR24" s="99" t="n">
        <f aca="false">BP24-BQ24</f>
        <v>-29</v>
      </c>
    </row>
    <row r="25" customFormat="false" ht="12.8" hidden="false" customHeight="false" outlineLevel="0" collapsed="false">
      <c r="A25" s="32" t="n">
        <v>16</v>
      </c>
      <c r="B25" s="34" t="s">
        <v>10</v>
      </c>
      <c r="C25" s="34" t="s">
        <v>46</v>
      </c>
      <c r="D25" s="44" t="s">
        <v>190</v>
      </c>
      <c r="E25" s="44" t="s">
        <v>198</v>
      </c>
      <c r="F25" s="96" t="str">
        <f aca="false">IF(B25="Girone",VLOOKUP(D25,A_SQUADRE_PER_CODICE,2),"ERRORE!")</f>
        <v>Pitoni</v>
      </c>
      <c r="G25" s="96" t="str">
        <f aca="false">IF(B25="Girone",VLOOKUP(E25,A_SQUADRE_PER_CODICE,2),"ERRORE!")</f>
        <v>Falchi</v>
      </c>
      <c r="H25" s="44" t="n">
        <f aca="false">VLOOKUP(A25,A_4_INPUT_DATE_E_RISULTATI_GIRONI,6,0)</f>
        <v>83</v>
      </c>
      <c r="I25" s="44" t="n">
        <f aca="false">VLOOKUP(A25,A_4_INPUT_DATE_E_RISULTATI_GIRONI,7,0)</f>
        <v>57</v>
      </c>
      <c r="J25" s="96" t="str">
        <f aca="false">IF(H25&gt;I25,F25,G25)</f>
        <v>Pitoni</v>
      </c>
      <c r="K25" s="96" t="str">
        <f aca="false">IF(H25&lt;I25,F25,G25)</f>
        <v>Falchi</v>
      </c>
      <c r="L25" s="44" t="n">
        <f aca="false">1*(H25&gt;I25)</f>
        <v>1</v>
      </c>
      <c r="M25" s="97" t="n">
        <f aca="false">1*(H25&lt;I25)*NOT(AND(H25=0,I25=20))</f>
        <v>0</v>
      </c>
      <c r="N25" s="97" t="n">
        <f aca="false">1*AND(H25=0,I25=20)</f>
        <v>0</v>
      </c>
      <c r="O25" s="44" t="n">
        <f aca="false">H25</f>
        <v>83</v>
      </c>
      <c r="P25" s="44" t="n">
        <f aca="false">I25</f>
        <v>57</v>
      </c>
      <c r="Q25" s="98" t="n">
        <f aca="false">O25-P25</f>
        <v>26</v>
      </c>
      <c r="R25" s="44" t="n">
        <f aca="false">1*(I25&gt;H25)</f>
        <v>0</v>
      </c>
      <c r="S25" s="44" t="n">
        <f aca="false">1*(I25&lt;H25)*NOT(AND(H25=20,I25=0))</f>
        <v>1</v>
      </c>
      <c r="T25" s="44" t="n">
        <f aca="false">1*AND(H25=20,I25=0)</f>
        <v>0</v>
      </c>
      <c r="U25" s="44" t="n">
        <f aca="false">I25</f>
        <v>57</v>
      </c>
      <c r="V25" s="44" t="n">
        <f aca="false">H25</f>
        <v>83</v>
      </c>
      <c r="W25" s="99" t="n">
        <f aca="false">U25-V25</f>
        <v>-26</v>
      </c>
      <c r="Y25" s="100" t="str">
        <f aca="false">COUNTIF(B_COEFF_GIRONE_F,"&gt;="&amp;AS25)&amp;Z25</f>
        <v>3F</v>
      </c>
      <c r="Z25" s="34" t="s">
        <v>56</v>
      </c>
      <c r="AA25" s="44" t="s">
        <v>228</v>
      </c>
      <c r="AB25" s="101" t="str">
        <f aca="false">VLOOKUP(AA25,A_SQUADRE_PER_CODICE,2)</f>
        <v>Delfini</v>
      </c>
      <c r="AC25" s="44" t="n">
        <f aca="false">AD25+AE25+AF25</f>
        <v>3</v>
      </c>
      <c r="AD25" s="44" t="n">
        <f aca="false">SUMIF(B_SQUADRA_A_GIRONI,AB25,B_VINTE_SQUADRA_A_GIRONI)+SUMIF(B_SQUADRA_B_GIRONI,AB25,B_VINTE_SQUADRA_B_GIRONI)</f>
        <v>2</v>
      </c>
      <c r="AE25" s="44" t="n">
        <f aca="false">SUMIF(B_SQUADRA_A_GIRONI,AB25,B_PERSE_SQUADRA_A_GIRONI)+SUMIF(B_SQUADRA_B_GIRONI,AB25,B_PERSE_SQUADRA_B_GIRONI)</f>
        <v>1</v>
      </c>
      <c r="AF25" s="44" t="n">
        <f aca="false">SUMIF(B_SQUADRA_A_GIRONI,AB25,B_FORFAIT_SQUADRA_A_GIRONI)+SUMIF(B_SQUADRA_B_GIRONI,AB25,B_FORFAIT_SQUADRA_B_GIRONI)</f>
        <v>0</v>
      </c>
      <c r="AG25" s="102" t="n">
        <f aca="false">2*AD25+1*AE25+0*AF25</f>
        <v>5</v>
      </c>
      <c r="AH25" s="103" t="n">
        <f aca="false">SUMIF(B_SQUADRA_A_GIRONI,AB25,B_PUNTI_FATTI_SQUADRA_A_GIRONI)+SUMIF(B_SQUADRA_B_GIRONI,AB25,B_PUNTI_FATTI_SQUADRA_B_GIRONI)</f>
        <v>101</v>
      </c>
      <c r="AI25" s="44" t="n">
        <f aca="false">SUMIF(B_SQUADRA_A_GIRONI,AB25,B_PUNTI_SUBITI_SQUADRA_A_GIRONI)+SUMIF(B_SQUADRA_B_GIRONI,AB25,B_PUNTI_SUBITI_SQUADRA_B_GIRONI)</f>
        <v>100</v>
      </c>
      <c r="AJ25" s="104" t="n">
        <f aca="false">SUMIF(B_SQUADRA_A_GIRONI,AB25,B_DIFF_CANESTRI_SQUADRA_A_GIRONI)+SUMIF(B_SQUADRA_B_GIRONI,AB25,B_DIFF_CANESTRI_SQUADRA_B_GIRONI)</f>
        <v>1</v>
      </c>
      <c r="AK25" s="44" t="n">
        <f aca="true">IF(AG25=AG26,INDIRECT("O"&amp;8+6*(FIND(Z25,"ABCDEFGH")-1)),0)</f>
        <v>0</v>
      </c>
      <c r="AL25" s="44" t="n">
        <f aca="true">IF(AG25=AG23,INDIRECT("U"&amp;4+6*(FIND(Z25,"ABCDEFGH")-1)),0)</f>
        <v>34</v>
      </c>
      <c r="AM25" s="44" t="n">
        <f aca="true">IF(AG25=AG24,INDIRECT("U"&amp;6+6*(FIND(Z25,"ABCDEFGH")-1)),0)</f>
        <v>33</v>
      </c>
      <c r="AN25" s="103" t="n">
        <f aca="false">AK25+AL25+AM25</f>
        <v>67</v>
      </c>
      <c r="AO25" s="98" t="n">
        <f aca="true">IF(AG25=AG26,INDIRECT("Q"&amp;8+6*(FIND(Z25,"ABCDEFGH")-1)),0)</f>
        <v>0</v>
      </c>
      <c r="AP25" s="98" t="n">
        <f aca="true">IF(AG25=AG23,INDIRECT("W"&amp;4+6*(FIND(Z25,"ABCDEFGH")-1)),0)</f>
        <v>1</v>
      </c>
      <c r="AQ25" s="98" t="n">
        <f aca="true">IF(AG25=AG24,INDIRECT("W"&amp;6+6*(FIND(Z25,"ABCDEFGH")-1)),0)</f>
        <v>-1</v>
      </c>
      <c r="AR25" s="104" t="n">
        <f aca="false">AO25+AP25+AQ25</f>
        <v>0</v>
      </c>
      <c r="AS25" s="105" t="n">
        <f aca="false">AG25+(500+AR25)*10^-3+AN25*10^-6+(500+AJ25)*10^-9+AH25*10^-12</f>
        <v>5.500067501101</v>
      </c>
      <c r="AU25" s="106" t="s">
        <v>229</v>
      </c>
      <c r="AV25" s="107" t="n">
        <v>71</v>
      </c>
      <c r="AW25" s="108" t="s">
        <v>138</v>
      </c>
      <c r="AX25" s="109" t="s">
        <v>230</v>
      </c>
      <c r="AY25" s="108" t="s">
        <v>231</v>
      </c>
      <c r="AZ25" s="108" t="s">
        <v>232</v>
      </c>
      <c r="BA25" s="96" t="str">
        <f aca="false">IF(LEFT(AY25,1)="V",VLOOKUP(_xlfn.NUMBERVALUE(SUBSTITUTE(AY25,"V","")),B_PARTITE_2A_FASE_PER_NUMERO,10,FALSE()),IF(LEFT(AY25,1)="P",VLOOKUP(_xlfn.NUMBERVALUE(SUBSTITUTE(AY25,"P","")),B_PARTITE_2A_FASE_PER_NUMERO,11,FALSE()),VLOOKUP(AY25,B_CLASSIFICHE_GIRONI,4,FALSE())))</f>
        <v>Tigri</v>
      </c>
      <c r="BB25" s="96" t="str">
        <f aca="false">IF(LEFT(AZ25,1)="V",VLOOKUP(_xlfn.NUMBERVALUE(SUBSTITUTE(AZ25,"V","")),B_PARTITE_2A_FASE_PER_NUMERO,10,FALSE()),IF(LEFT(AZ25,1)="P",VLOOKUP(_xlfn.NUMBERVALUE(SUBSTITUTE(AZ25,"P","")),B_PARTITE_2A_FASE_PER_NUMERO,11,FALSE()),VLOOKUP(AZ25,B_CLASSIFICHE_GIRONI,4,FALSE())))</f>
        <v>Linci</v>
      </c>
      <c r="BC25" s="44" t="n">
        <f aca="false">VLOOKUP(AV25,A_5_INPUT_DATE_E_RISULTATI_2A_FASE,6,0)</f>
        <v>63</v>
      </c>
      <c r="BD25" s="44" t="n">
        <f aca="false">VLOOKUP(AV25,A_5_INPUT_DATE_E_RISULTATI_2A_FASE,7,0)</f>
        <v>42</v>
      </c>
      <c r="BE25" s="96" t="str">
        <f aca="false">IF(BC25&gt;BD25,BA25,BB25)</f>
        <v>Tigri</v>
      </c>
      <c r="BF25" s="96" t="str">
        <f aca="false">IF(BC25&lt;BD25,BA25,BB25)</f>
        <v>Linci</v>
      </c>
      <c r="BG25" s="44" t="n">
        <f aca="false">1*(BC25&gt;BD25)</f>
        <v>1</v>
      </c>
      <c r="BH25" s="97" t="n">
        <f aca="false">1*(BC25&lt;BD25)*NOT(AND(BC25=0,BD25=20))</f>
        <v>0</v>
      </c>
      <c r="BI25" s="97" t="n">
        <f aca="false">1*AND(BC25=0,BD25=20)</f>
        <v>0</v>
      </c>
      <c r="BJ25" s="44" t="n">
        <f aca="false">BC25</f>
        <v>63</v>
      </c>
      <c r="BK25" s="44" t="n">
        <f aca="false">BD25</f>
        <v>42</v>
      </c>
      <c r="BL25" s="98" t="n">
        <f aca="false">BJ25-BK25</f>
        <v>21</v>
      </c>
      <c r="BM25" s="44" t="n">
        <f aca="false">1*(BD25&gt;BC25)</f>
        <v>0</v>
      </c>
      <c r="BN25" s="44" t="n">
        <f aca="false">1*(BD25&lt;BC25)*NOT(AND(BC25=20,BD25=0))</f>
        <v>1</v>
      </c>
      <c r="BO25" s="44" t="n">
        <f aca="false">1*AND(BC25=20,BD25=0)</f>
        <v>0</v>
      </c>
      <c r="BP25" s="44" t="n">
        <f aca="false">BD25</f>
        <v>42</v>
      </c>
      <c r="BQ25" s="44" t="n">
        <f aca="false">BC25</f>
        <v>63</v>
      </c>
      <c r="BR25" s="99" t="n">
        <f aca="false">BP25-BQ25</f>
        <v>-21</v>
      </c>
    </row>
    <row r="26" customFormat="false" ht="12.8" hidden="false" customHeight="false" outlineLevel="0" collapsed="false">
      <c r="A26" s="32" t="n">
        <v>8</v>
      </c>
      <c r="B26" s="34" t="s">
        <v>10</v>
      </c>
      <c r="C26" s="34" t="s">
        <v>46</v>
      </c>
      <c r="D26" s="44" t="s">
        <v>194</v>
      </c>
      <c r="E26" s="44" t="s">
        <v>198</v>
      </c>
      <c r="F26" s="96" t="str">
        <f aca="false">IF(B26="Girone",VLOOKUP(D26,A_SQUADRE_PER_CODICE,2),"ERRORE!")</f>
        <v>Aquile</v>
      </c>
      <c r="G26" s="96" t="str">
        <f aca="false">IF(B26="Girone",VLOOKUP(E26,A_SQUADRE_PER_CODICE,2),"ERRORE!")</f>
        <v>Falchi</v>
      </c>
      <c r="H26" s="44" t="n">
        <f aca="false">VLOOKUP(A26,A_4_INPUT_DATE_E_RISULTATI_GIRONI,6,0)</f>
        <v>72</v>
      </c>
      <c r="I26" s="44" t="n">
        <f aca="false">VLOOKUP(A26,A_4_INPUT_DATE_E_RISULTATI_GIRONI,7,0)</f>
        <v>52</v>
      </c>
      <c r="J26" s="96" t="str">
        <f aca="false">IF(H26&gt;I26,F26,G26)</f>
        <v>Aquile</v>
      </c>
      <c r="K26" s="96" t="str">
        <f aca="false">IF(H26&lt;I26,F26,G26)</f>
        <v>Falchi</v>
      </c>
      <c r="L26" s="44" t="n">
        <f aca="false">1*(H26&gt;I26)</f>
        <v>1</v>
      </c>
      <c r="M26" s="97" t="n">
        <f aca="false">1*(H26&lt;I26)*NOT(AND(H26=0,I26=20))</f>
        <v>0</v>
      </c>
      <c r="N26" s="97" t="n">
        <f aca="false">1*AND(H26=0,I26=20)</f>
        <v>0</v>
      </c>
      <c r="O26" s="44" t="n">
        <f aca="false">H26</f>
        <v>72</v>
      </c>
      <c r="P26" s="44" t="n">
        <f aca="false">I26</f>
        <v>52</v>
      </c>
      <c r="Q26" s="98" t="n">
        <f aca="false">O26-P26</f>
        <v>20</v>
      </c>
      <c r="R26" s="44" t="n">
        <f aca="false">1*(I26&gt;H26)</f>
        <v>0</v>
      </c>
      <c r="S26" s="44" t="n">
        <f aca="false">1*(I26&lt;H26)*NOT(AND(H26=20,I26=0))</f>
        <v>1</v>
      </c>
      <c r="T26" s="44" t="n">
        <f aca="false">1*AND(H26=20,I26=0)</f>
        <v>0</v>
      </c>
      <c r="U26" s="44" t="n">
        <f aca="false">I26</f>
        <v>52</v>
      </c>
      <c r="V26" s="44" t="n">
        <f aca="false">H26</f>
        <v>72</v>
      </c>
      <c r="W26" s="99" t="n">
        <f aca="false">U26-V26</f>
        <v>-20</v>
      </c>
      <c r="Y26" s="119" t="str">
        <f aca="false">COUNTIF(B_COEFF_GIRONE_F,"&gt;="&amp;AS26)&amp;Z26</f>
        <v>4F</v>
      </c>
      <c r="Z26" s="120" t="s">
        <v>56</v>
      </c>
      <c r="AA26" s="120" t="s">
        <v>233</v>
      </c>
      <c r="AB26" s="121" t="str">
        <f aca="false">VLOOKUP(AA26,A_SQUADRE_PER_CODICE,2)</f>
        <v>Fenicotteri</v>
      </c>
      <c r="AC26" s="120" t="n">
        <f aca="false">AD26+AE26+AF26</f>
        <v>3</v>
      </c>
      <c r="AD26" s="120" t="n">
        <f aca="false">SUMIF(B_SQUADRA_A_GIRONI,AB26,B_VINTE_SQUADRA_A_GIRONI)+SUMIF(B_SQUADRA_B_GIRONI,AB26,B_VINTE_SQUADRA_B_GIRONI)</f>
        <v>0</v>
      </c>
      <c r="AE26" s="120" t="n">
        <f aca="false">SUMIF(B_SQUADRA_A_GIRONI,AB26,B_PERSE_SQUADRA_A_GIRONI)+SUMIF(B_SQUADRA_B_GIRONI,AB26,B_PERSE_SQUADRA_B_GIRONI)</f>
        <v>3</v>
      </c>
      <c r="AF26" s="120" t="n">
        <f aca="false">SUMIF(B_SQUADRA_A_GIRONI,AB26,B_FORFAIT_SQUADRA_A_GIRONI)+SUMIF(B_SQUADRA_B_GIRONI,AB26,B_FORFAIT_SQUADRA_B_GIRONI)</f>
        <v>0</v>
      </c>
      <c r="AG26" s="122" t="n">
        <f aca="false">2*AD26+1*AE26+0*AF26</f>
        <v>3</v>
      </c>
      <c r="AH26" s="123" t="n">
        <f aca="false">SUMIF(B_SQUADRA_A_GIRONI,AB26,B_PUNTI_FATTI_SQUADRA_A_GIRONI)+SUMIF(B_SQUADRA_B_GIRONI,AB26,B_PUNTI_FATTI_SQUADRA_B_GIRONI)</f>
        <v>102</v>
      </c>
      <c r="AI26" s="120" t="n">
        <f aca="false">SUMIF(B_SQUADRA_A_GIRONI,AB26,B_PUNTI_SUBITI_SQUADRA_A_GIRONI)+SUMIF(B_SQUADRA_B_GIRONI,AB26,B_PUNTI_SUBITI_SQUADRA_B_GIRONI)</f>
        <v>105</v>
      </c>
      <c r="AJ26" s="124" t="n">
        <f aca="false">SUMIF(B_SQUADRA_A_GIRONI,AB26,B_DIFF_CANESTRI_SQUADRA_A_GIRONI)+SUMIF(B_SQUADRA_B_GIRONI,AB26,B_DIFF_CANESTRI_SQUADRA_B_GIRONI)</f>
        <v>-3</v>
      </c>
      <c r="AK26" s="120" t="n">
        <f aca="true">IF(AG26=AG23,INDIRECT("U"&amp;5+6*(FIND(Z26,"ABCDEFGH")-1)),0)</f>
        <v>0</v>
      </c>
      <c r="AL26" s="120" t="n">
        <f aca="true">IF(AG26=AG24,INDIRECT("U"&amp;7+6*(FIND(Z26,"ABCDEFGH")-1)),0)</f>
        <v>0</v>
      </c>
      <c r="AM26" s="120" t="n">
        <f aca="true">IF(AG26=AG25,INDIRECT("U"&amp;8+6*(FIND(Z26,"ABCDEFGH")-1)),0)</f>
        <v>0</v>
      </c>
      <c r="AN26" s="123" t="n">
        <f aca="false">AK26+AL26+AM26</f>
        <v>0</v>
      </c>
      <c r="AO26" s="125" t="n">
        <f aca="true">IF(AG26=AG23,INDIRECT("W"&amp;5+6*(FIND(Z26,"ABCDEFGH")-1)),0)</f>
        <v>0</v>
      </c>
      <c r="AP26" s="125" t="n">
        <f aca="true">IF(AG26=AG24,INDIRECT("W"&amp;7+6*(FIND(Z26,"ABCDEFGH")-1)),0)</f>
        <v>0</v>
      </c>
      <c r="AQ26" s="125" t="n">
        <f aca="true">IF(AG26=AG25,INDIRECT("W"&amp;8+6*(FIND(Z26,"ABCDEFGH")-1)),0)</f>
        <v>0</v>
      </c>
      <c r="AR26" s="124" t="n">
        <f aca="false">AO26+AP26+AQ26</f>
        <v>0</v>
      </c>
      <c r="AS26" s="126" t="n">
        <f aca="false">AG26+(500+AR26)*10^-3+AN26*10^-6+(500+AJ26)*10^-9+AH26*10^-12</f>
        <v>3.500000497102</v>
      </c>
      <c r="AU26" s="106" t="s">
        <v>234</v>
      </c>
      <c r="AV26" s="107" t="n">
        <v>72</v>
      </c>
      <c r="AW26" s="108" t="s">
        <v>138</v>
      </c>
      <c r="AX26" s="109" t="s">
        <v>230</v>
      </c>
      <c r="AY26" s="108" t="s">
        <v>235</v>
      </c>
      <c r="AZ26" s="108" t="s">
        <v>236</v>
      </c>
      <c r="BA26" s="96" t="str">
        <f aca="false">IF(LEFT(AY26,1)="V",VLOOKUP(_xlfn.NUMBERVALUE(SUBSTITUTE(AY26,"V","")),B_PARTITE_2A_FASE_PER_NUMERO,10,FALSE()),IF(LEFT(AY26,1)="P",VLOOKUP(_xlfn.NUMBERVALUE(SUBSTITUTE(AY26,"P","")),B_PARTITE_2A_FASE_PER_NUMERO,11,FALSE()),VLOOKUP(AY26,B_CLASSIFICHE_GIRONI,4,FALSE())))</f>
        <v>Cervi</v>
      </c>
      <c r="BB26" s="96" t="str">
        <f aca="false">IF(LEFT(AZ26,1)="V",VLOOKUP(_xlfn.NUMBERVALUE(SUBSTITUTE(AZ26,"V","")),B_PARTITE_2A_FASE_PER_NUMERO,10,FALSE()),IF(LEFT(AZ26,1)="P",VLOOKUP(_xlfn.NUMBERVALUE(SUBSTITUTE(AZ26,"P","")),B_PARTITE_2A_FASE_PER_NUMERO,11,FALSE()),VLOOKUP(AZ26,B_CLASSIFICHE_GIRONI,4,FALSE())))</f>
        <v>Delfini</v>
      </c>
      <c r="BC26" s="44" t="n">
        <f aca="false">VLOOKUP(AV26,A_5_INPUT_DATE_E_RISULTATI_2A_FASE,6,0)</f>
        <v>68</v>
      </c>
      <c r="BD26" s="44" t="n">
        <f aca="false">VLOOKUP(AV26,A_5_INPUT_DATE_E_RISULTATI_2A_FASE,7,0)</f>
        <v>46</v>
      </c>
      <c r="BE26" s="96" t="str">
        <f aca="false">IF(BC26&gt;BD26,BA26,BB26)</f>
        <v>Cervi</v>
      </c>
      <c r="BF26" s="96" t="str">
        <f aca="false">IF(BC26&lt;BD26,BA26,BB26)</f>
        <v>Delfini</v>
      </c>
      <c r="BG26" s="44" t="n">
        <f aca="false">1*(BC26&gt;BD26)</f>
        <v>1</v>
      </c>
      <c r="BH26" s="97" t="n">
        <f aca="false">1*(BC26&lt;BD26)*NOT(AND(BC26=0,BD26=20))</f>
        <v>0</v>
      </c>
      <c r="BI26" s="97" t="n">
        <f aca="false">1*AND(BC26=0,BD26=20)</f>
        <v>0</v>
      </c>
      <c r="BJ26" s="44" t="n">
        <f aca="false">BC26</f>
        <v>68</v>
      </c>
      <c r="BK26" s="44" t="n">
        <f aca="false">BD26</f>
        <v>46</v>
      </c>
      <c r="BL26" s="98" t="n">
        <f aca="false">BJ26-BK26</f>
        <v>22</v>
      </c>
      <c r="BM26" s="44" t="n">
        <f aca="false">1*(BD26&gt;BC26)</f>
        <v>0</v>
      </c>
      <c r="BN26" s="44" t="n">
        <f aca="false">1*(BD26&lt;BC26)*NOT(AND(BC26=20,BD26=0))</f>
        <v>1</v>
      </c>
      <c r="BO26" s="44" t="n">
        <f aca="false">1*AND(BC26=20,BD26=0)</f>
        <v>0</v>
      </c>
      <c r="BP26" s="44" t="n">
        <f aca="false">BD26</f>
        <v>46</v>
      </c>
      <c r="BQ26" s="44" t="n">
        <f aca="false">BC26</f>
        <v>68</v>
      </c>
      <c r="BR26" s="99" t="n">
        <f aca="false">BP26-BQ26</f>
        <v>-22</v>
      </c>
    </row>
    <row r="27" customFormat="false" ht="12.8" hidden="false" customHeight="false" outlineLevel="0" collapsed="false">
      <c r="A27" s="32" t="n">
        <v>17</v>
      </c>
      <c r="B27" s="34" t="s">
        <v>10</v>
      </c>
      <c r="C27" s="34" t="s">
        <v>51</v>
      </c>
      <c r="D27" s="44" t="s">
        <v>202</v>
      </c>
      <c r="E27" s="44" t="s">
        <v>207</v>
      </c>
      <c r="F27" s="96" t="str">
        <f aca="false">IF(B27="Girone",VLOOKUP(D27,A_SQUADRE_PER_CODICE,2),"ERRORE!")</f>
        <v>Bisonti</v>
      </c>
      <c r="G27" s="96" t="str">
        <f aca="false">IF(B27="Girone",VLOOKUP(E27,A_SQUADRE_PER_CODICE,2),"ERRORE!")</f>
        <v>Bufali</v>
      </c>
      <c r="H27" s="44" t="n">
        <f aca="false">VLOOKUP(A27,A_4_INPUT_DATE_E_RISULTATI_GIRONI,6,0)</f>
        <v>34</v>
      </c>
      <c r="I27" s="44" t="n">
        <f aca="false">VLOOKUP(A27,A_4_INPUT_DATE_E_RISULTATI_GIRONI,7,0)</f>
        <v>33</v>
      </c>
      <c r="J27" s="96" t="str">
        <f aca="false">IF(H27&gt;I27,F27,G27)</f>
        <v>Bisonti</v>
      </c>
      <c r="K27" s="96" t="str">
        <f aca="false">IF(H27&lt;I27,F27,G27)</f>
        <v>Bufali</v>
      </c>
      <c r="L27" s="44" t="n">
        <f aca="false">1*(H27&gt;I27)</f>
        <v>1</v>
      </c>
      <c r="M27" s="97" t="n">
        <f aca="false">1*(H27&lt;I27)*NOT(AND(H27=0,I27=20))</f>
        <v>0</v>
      </c>
      <c r="N27" s="97" t="n">
        <f aca="false">1*AND(H27=0,I27=20)</f>
        <v>0</v>
      </c>
      <c r="O27" s="44" t="n">
        <f aca="false">H27</f>
        <v>34</v>
      </c>
      <c r="P27" s="44" t="n">
        <f aca="false">I27</f>
        <v>33</v>
      </c>
      <c r="Q27" s="98" t="n">
        <f aca="false">O27-P27</f>
        <v>1</v>
      </c>
      <c r="R27" s="44" t="n">
        <f aca="false">1*(I27&gt;H27)</f>
        <v>0</v>
      </c>
      <c r="S27" s="44" t="n">
        <f aca="false">1*(I27&lt;H27)*NOT(AND(H27=20,I27=0))</f>
        <v>1</v>
      </c>
      <c r="T27" s="44" t="n">
        <f aca="false">1*AND(H27=20,I27=0)</f>
        <v>0</v>
      </c>
      <c r="U27" s="44" t="n">
        <f aca="false">I27</f>
        <v>33</v>
      </c>
      <c r="V27" s="44" t="n">
        <f aca="false">H27</f>
        <v>34</v>
      </c>
      <c r="W27" s="99" t="n">
        <f aca="false">U27-V27</f>
        <v>-1</v>
      </c>
      <c r="Y27" s="100" t="str">
        <f aca="false">COUNTIF(B_COEFF_GIRONE_G,"&gt;="&amp;AS27)&amp;Z27</f>
        <v>1G</v>
      </c>
      <c r="Z27" s="34" t="s">
        <v>61</v>
      </c>
      <c r="AA27" s="44" t="s">
        <v>237</v>
      </c>
      <c r="AB27" s="101" t="str">
        <f aca="false">VLOOKUP(AA27,A_SQUADRE_PER_CODICE,2)</f>
        <v>Istrici</v>
      </c>
      <c r="AC27" s="44" t="n">
        <f aca="false">AD27+AE27+AF27</f>
        <v>3</v>
      </c>
      <c r="AD27" s="44" t="n">
        <f aca="false">SUMIF(B_SQUADRA_A_GIRONI,AB27,B_VINTE_SQUADRA_A_GIRONI)+SUMIF(B_SQUADRA_B_GIRONI,AB27,B_VINTE_SQUADRA_B_GIRONI)</f>
        <v>3</v>
      </c>
      <c r="AE27" s="44" t="n">
        <f aca="false">SUMIF(B_SQUADRA_A_GIRONI,AB27,B_PERSE_SQUADRA_A_GIRONI)+SUMIF(B_SQUADRA_B_GIRONI,AB27,B_PERSE_SQUADRA_B_GIRONI)</f>
        <v>0</v>
      </c>
      <c r="AF27" s="44" t="n">
        <f aca="false">SUMIF(B_SQUADRA_A_GIRONI,AB27,B_FORFAIT_SQUADRA_A_GIRONI)+SUMIF(B_SQUADRA_B_GIRONI,AB27,B_FORFAIT_SQUADRA_B_GIRONI)</f>
        <v>0</v>
      </c>
      <c r="AG27" s="102" t="n">
        <f aca="false">2*AD27+1*AE27+0*AF27</f>
        <v>6</v>
      </c>
      <c r="AH27" s="103" t="n">
        <f aca="false">SUMIF(B_SQUADRA_A_GIRONI,AB27,B_PUNTI_FATTI_SQUADRA_A_GIRONI)+SUMIF(B_SQUADRA_B_GIRONI,AB27,B_PUNTI_FATTI_SQUADRA_B_GIRONI)</f>
        <v>60</v>
      </c>
      <c r="AI27" s="44" t="n">
        <f aca="false">SUMIF(B_SQUADRA_A_GIRONI,AB27,B_PUNTI_SUBITI_SQUADRA_A_GIRONI)+SUMIF(B_SQUADRA_B_GIRONI,AB27,B_PUNTI_SUBITI_SQUADRA_B_GIRONI)</f>
        <v>0</v>
      </c>
      <c r="AJ27" s="104" t="n">
        <f aca="false">SUMIF(B_SQUADRA_A_GIRONI,AB27,B_DIFF_CANESTRI_SQUADRA_A_GIRONI)+SUMIF(B_SQUADRA_B_GIRONI,AB27,B_DIFF_CANESTRI_SQUADRA_B_GIRONI)</f>
        <v>60</v>
      </c>
      <c r="AK27" s="44" t="n">
        <f aca="true">IF(AG27=AG28,INDIRECT("O"&amp;3+6*(FIND(Z27,"ABCDEFGH")-1)),0)</f>
        <v>0</v>
      </c>
      <c r="AL27" s="97" t="n">
        <f aca="true">IF(AG27=AG29,INDIRECT("O"&amp;4+6*(FIND(Z27,"ABCDEFGH")-1)),0)</f>
        <v>0</v>
      </c>
      <c r="AM27" s="44" t="n">
        <f aca="true">IF(AG27=AG30,INDIRECT("O"&amp;5+6*(FIND(Z27,"ABCDEFGH")-1)),0)</f>
        <v>0</v>
      </c>
      <c r="AN27" s="103" t="n">
        <f aca="false">AK27+AL27+AM27</f>
        <v>0</v>
      </c>
      <c r="AO27" s="98" t="n">
        <f aca="true">IF(AG27=AG28,INDIRECT("Q"&amp;3+6*(FIND(Z27,"ABCDEFGH")-1)),0)</f>
        <v>0</v>
      </c>
      <c r="AP27" s="98" t="n">
        <f aca="true">IF(AG27=AG29,INDIRECT("Q"&amp;4+6*(FIND(Z27,"ABCDEFGH")-1)),0)</f>
        <v>0</v>
      </c>
      <c r="AQ27" s="98" t="n">
        <f aca="true">IF(AG27=AG30,INDIRECT("Q"&amp;5+6*(FIND(Z27,"ABCDEFGH")-1)),0)</f>
        <v>0</v>
      </c>
      <c r="AR27" s="104" t="n">
        <f aca="false">AO27+AP27+AQ27</f>
        <v>0</v>
      </c>
      <c r="AS27" s="105" t="n">
        <f aca="false">AG27+(500+AR27)*10^-3+AN27*10^-6+(500+AJ27)*10^-9+AH27*10^-12</f>
        <v>6.50000056006</v>
      </c>
      <c r="AU27" s="106" t="s">
        <v>238</v>
      </c>
      <c r="AV27" s="107" t="n">
        <v>73</v>
      </c>
      <c r="AW27" s="108" t="s">
        <v>138</v>
      </c>
      <c r="AX27" s="109" t="s">
        <v>221</v>
      </c>
      <c r="AY27" s="108" t="s">
        <v>239</v>
      </c>
      <c r="AZ27" s="108" t="s">
        <v>240</v>
      </c>
      <c r="BA27" s="96" t="str">
        <f aca="false">IF(LEFT(AY27,1)="V",VLOOKUP(_xlfn.NUMBERVALUE(SUBSTITUTE(AY27,"V","")),B_PARTITE_2A_FASE_PER_NUMERO,10,FALSE()),IF(LEFT(AY27,1)="P",VLOOKUP(_xlfn.NUMBERVALUE(SUBSTITUTE(AY27,"P","")),B_PARTITE_2A_FASE_PER_NUMERO,11,FALSE()),VLOOKUP(AY27,B_CLASSIFICHE_GIRONI,4,FALSE())))</f>
        <v>Pantere</v>
      </c>
      <c r="BB27" s="96" t="str">
        <f aca="false">IF(LEFT(AZ27,1)="V",VLOOKUP(_xlfn.NUMBERVALUE(SUBSTITUTE(AZ27,"V","")),B_PARTITE_2A_FASE_PER_NUMERO,10,FALSE()),IF(LEFT(AZ27,1)="P",VLOOKUP(_xlfn.NUMBERVALUE(SUBSTITUTE(AZ27,"P","")),B_PARTITE_2A_FASE_PER_NUMERO,11,FALSE()),VLOOKUP(AZ27,B_CLASSIFICHE_GIRONI,4,FALSE())))</f>
        <v>Coccodrilli</v>
      </c>
      <c r="BC27" s="44" t="n">
        <f aca="false">VLOOKUP(AV27,A_5_INPUT_DATE_E_RISULTATI_2A_FASE,6,0)</f>
        <v>56</v>
      </c>
      <c r="BD27" s="44" t="n">
        <f aca="false">VLOOKUP(AV27,A_5_INPUT_DATE_E_RISULTATI_2A_FASE,7,0)</f>
        <v>34</v>
      </c>
      <c r="BE27" s="96" t="str">
        <f aca="false">IF(BC27&gt;BD27,BA27,BB27)</f>
        <v>Pantere</v>
      </c>
      <c r="BF27" s="96" t="str">
        <f aca="false">IF(BC27&lt;BD27,BA27,BB27)</f>
        <v>Coccodrilli</v>
      </c>
      <c r="BG27" s="44" t="n">
        <f aca="false">1*(BC27&gt;BD27)</f>
        <v>1</v>
      </c>
      <c r="BH27" s="97" t="n">
        <f aca="false">1*(BC27&lt;BD27)*NOT(AND(BC27=0,BD27=20))</f>
        <v>0</v>
      </c>
      <c r="BI27" s="97" t="n">
        <f aca="false">1*AND(BC27=0,BD27=20)</f>
        <v>0</v>
      </c>
      <c r="BJ27" s="44" t="n">
        <f aca="false">BC27</f>
        <v>56</v>
      </c>
      <c r="BK27" s="44" t="n">
        <f aca="false">BD27</f>
        <v>34</v>
      </c>
      <c r="BL27" s="98" t="n">
        <f aca="false">BJ27-BK27</f>
        <v>22</v>
      </c>
      <c r="BM27" s="44" t="n">
        <f aca="false">1*(BD27&gt;BC27)</f>
        <v>0</v>
      </c>
      <c r="BN27" s="44" t="n">
        <f aca="false">1*(BD27&lt;BC27)*NOT(AND(BC27=20,BD27=0))</f>
        <v>1</v>
      </c>
      <c r="BO27" s="44" t="n">
        <f aca="false">1*AND(BC27=20,BD27=0)</f>
        <v>0</v>
      </c>
      <c r="BP27" s="44" t="n">
        <f aca="false">BD27</f>
        <v>34</v>
      </c>
      <c r="BQ27" s="44" t="n">
        <f aca="false">BC27</f>
        <v>56</v>
      </c>
      <c r="BR27" s="99" t="n">
        <f aca="false">BP27-BQ27</f>
        <v>-22</v>
      </c>
    </row>
    <row r="28" customFormat="false" ht="12.8" hidden="false" customHeight="false" outlineLevel="0" collapsed="false">
      <c r="A28" s="32" t="n">
        <v>29</v>
      </c>
      <c r="B28" s="34" t="s">
        <v>10</v>
      </c>
      <c r="C28" s="34" t="s">
        <v>51</v>
      </c>
      <c r="D28" s="44" t="s">
        <v>202</v>
      </c>
      <c r="E28" s="44" t="s">
        <v>211</v>
      </c>
      <c r="F28" s="96" t="str">
        <f aca="false">IF(B28="Girone",VLOOKUP(D28,A_SQUADRE_PER_CODICE,2),"ERRORE!")</f>
        <v>Bisonti</v>
      </c>
      <c r="G28" s="96" t="str">
        <f aca="false">IF(B28="Girone",VLOOKUP(E28,A_SQUADRE_PER_CODICE,2),"ERRORE!")</f>
        <v>Cervi</v>
      </c>
      <c r="H28" s="44" t="n">
        <f aca="false">VLOOKUP(A28,A_4_INPUT_DATE_E_RISULTATI_GIRONI,6,0)</f>
        <v>33</v>
      </c>
      <c r="I28" s="44" t="n">
        <f aca="false">VLOOKUP(A28,A_4_INPUT_DATE_E_RISULTATI_GIRONI,7,0)</f>
        <v>34</v>
      </c>
      <c r="J28" s="96" t="str">
        <f aca="false">IF(H28&gt;I28,F28,G28)</f>
        <v>Cervi</v>
      </c>
      <c r="K28" s="96" t="str">
        <f aca="false">IF(H28&lt;I28,F28,G28)</f>
        <v>Bisonti</v>
      </c>
      <c r="L28" s="44" t="n">
        <f aca="false">1*(H28&gt;I28)</f>
        <v>0</v>
      </c>
      <c r="M28" s="97" t="n">
        <f aca="false">1*(H28&lt;I28)*NOT(AND(H28=0,I28=20))</f>
        <v>1</v>
      </c>
      <c r="N28" s="97" t="n">
        <f aca="false">1*AND(H28=0,I28=20)</f>
        <v>0</v>
      </c>
      <c r="O28" s="44" t="n">
        <f aca="false">H28</f>
        <v>33</v>
      </c>
      <c r="P28" s="44" t="n">
        <f aca="false">I28</f>
        <v>34</v>
      </c>
      <c r="Q28" s="98" t="n">
        <f aca="false">O28-P28</f>
        <v>-1</v>
      </c>
      <c r="R28" s="44" t="n">
        <f aca="false">1*(I28&gt;H28)</f>
        <v>1</v>
      </c>
      <c r="S28" s="44" t="n">
        <f aca="false">1*(I28&lt;H28)*NOT(AND(H28=20,I28=0))</f>
        <v>0</v>
      </c>
      <c r="T28" s="44" t="n">
        <f aca="false">1*AND(H28=20,I28=0)</f>
        <v>0</v>
      </c>
      <c r="U28" s="44" t="n">
        <f aca="false">I28</f>
        <v>34</v>
      </c>
      <c r="V28" s="44" t="n">
        <f aca="false">H28</f>
        <v>33</v>
      </c>
      <c r="W28" s="99" t="n">
        <f aca="false">U28-V28</f>
        <v>1</v>
      </c>
      <c r="Y28" s="100" t="str">
        <f aca="false">COUNTIF(B_COEFF_GIRONE_G,"&gt;="&amp;AS28)&amp;Z28</f>
        <v>2G</v>
      </c>
      <c r="Z28" s="34" t="s">
        <v>61</v>
      </c>
      <c r="AA28" s="44" t="s">
        <v>241</v>
      </c>
      <c r="AB28" s="101" t="str">
        <f aca="false">VLOOKUP(AA28,A_SQUADRE_PER_CODICE,2)</f>
        <v>Gorilla</v>
      </c>
      <c r="AC28" s="44" t="n">
        <f aca="false">AD28+AE28+AF28</f>
        <v>3</v>
      </c>
      <c r="AD28" s="44" t="n">
        <f aca="false">SUMIF(B_SQUADRA_A_GIRONI,AB28,B_VINTE_SQUADRA_A_GIRONI)+SUMIF(B_SQUADRA_B_GIRONI,AB28,B_VINTE_SQUADRA_B_GIRONI)</f>
        <v>2</v>
      </c>
      <c r="AE28" s="44" t="n">
        <f aca="false">SUMIF(B_SQUADRA_A_GIRONI,AB28,B_PERSE_SQUADRA_A_GIRONI)+SUMIF(B_SQUADRA_B_GIRONI,AB28,B_PERSE_SQUADRA_B_GIRONI)</f>
        <v>0</v>
      </c>
      <c r="AF28" s="44" t="n">
        <f aca="false">SUMIF(B_SQUADRA_A_GIRONI,AB28,B_FORFAIT_SQUADRA_A_GIRONI)+SUMIF(B_SQUADRA_B_GIRONI,AB28,B_FORFAIT_SQUADRA_B_GIRONI)</f>
        <v>1</v>
      </c>
      <c r="AG28" s="102" t="n">
        <f aca="false">2*AD28+1*AE28+0*AF28</f>
        <v>4</v>
      </c>
      <c r="AH28" s="103" t="n">
        <f aca="false">SUMIF(B_SQUADRA_A_GIRONI,AB28,B_PUNTI_FATTI_SQUADRA_A_GIRONI)+SUMIF(B_SQUADRA_B_GIRONI,AB28,B_PUNTI_FATTI_SQUADRA_B_GIRONI)</f>
        <v>40</v>
      </c>
      <c r="AI28" s="44" t="n">
        <f aca="false">SUMIF(B_SQUADRA_A_GIRONI,AB28,B_PUNTI_SUBITI_SQUADRA_A_GIRONI)+SUMIF(B_SQUADRA_B_GIRONI,AB28,B_PUNTI_SUBITI_SQUADRA_B_GIRONI)</f>
        <v>20</v>
      </c>
      <c r="AJ28" s="104" t="n">
        <f aca="false">SUMIF(B_SQUADRA_A_GIRONI,AB28,B_DIFF_CANESTRI_SQUADRA_A_GIRONI)+SUMIF(B_SQUADRA_B_GIRONI,AB28,B_DIFF_CANESTRI_SQUADRA_B_GIRONI)</f>
        <v>20</v>
      </c>
      <c r="AK28" s="44" t="n">
        <f aca="true">IF(AG28=AG29,INDIRECT("O"&amp;6+6*(FIND(Z28,"ABCDEFGH")-1)),0)</f>
        <v>0</v>
      </c>
      <c r="AL28" s="44" t="n">
        <f aca="true">IF(AG28=AG30,INDIRECT("O"&amp;7+6*(FIND(Z28,"ABCDEFGH")-1)),0)</f>
        <v>0</v>
      </c>
      <c r="AM28" s="44" t="n">
        <f aca="true">IF(AG28=AG27,INDIRECT("U"&amp;3+6*(FIND(Z28,"ABCDEFGH")-1)),0)</f>
        <v>0</v>
      </c>
      <c r="AN28" s="103" t="n">
        <f aca="false">AK28+AL28+AM28</f>
        <v>0</v>
      </c>
      <c r="AO28" s="98" t="n">
        <f aca="true">IF(AG28=AG29,INDIRECT("Q"&amp;6+6*(FIND(Z28,"ABCDEFGH")-1)),0)</f>
        <v>0</v>
      </c>
      <c r="AP28" s="98" t="n">
        <f aca="true">IF(AG28=AG30,INDIRECT("Q"&amp;7+6*(FIND(Z28,"ABCDEFGH")-1)),0)</f>
        <v>0</v>
      </c>
      <c r="AQ28" s="98" t="n">
        <f aca="true">IF(AG28=AG27,INDIRECT("W"&amp;3+6*(FIND(Z28,"ABCDEFGH")-1)),0)</f>
        <v>0</v>
      </c>
      <c r="AR28" s="104" t="n">
        <f aca="false">AO28+AP28+AQ28</f>
        <v>0</v>
      </c>
      <c r="AS28" s="105" t="n">
        <f aca="false">AG28+(500+AR28)*10^-3+AN28*10^-6+(500+AJ28)*10^-9+AH28*10^-12</f>
        <v>4.50000052004</v>
      </c>
      <c r="AU28" s="106" t="s">
        <v>242</v>
      </c>
      <c r="AV28" s="107" t="n">
        <v>74</v>
      </c>
      <c r="AW28" s="108" t="s">
        <v>138</v>
      </c>
      <c r="AX28" s="109" t="s">
        <v>221</v>
      </c>
      <c r="AY28" s="108" t="s">
        <v>243</v>
      </c>
      <c r="AZ28" s="108" t="s">
        <v>244</v>
      </c>
      <c r="BA28" s="96" t="str">
        <f aca="false">IF(LEFT(AY28,1)="V",VLOOKUP(_xlfn.NUMBERVALUE(SUBSTITUTE(AY28,"V","")),B_PARTITE_2A_FASE_PER_NUMERO,10,FALSE()),IF(LEFT(AY28,1)="P",VLOOKUP(_xlfn.NUMBERVALUE(SUBSTITUTE(AY28,"P","")),B_PARTITE_2A_FASE_PER_NUMERO,11,FALSE()),VLOOKUP(AY28,B_CLASSIFICHE_GIRONI,4,FALSE())))</f>
        <v>Istrici</v>
      </c>
      <c r="BB28" s="96" t="str">
        <f aca="false">IF(LEFT(AZ28,1)="V",VLOOKUP(_xlfn.NUMBERVALUE(SUBSTITUTE(AZ28,"V","")),B_PARTITE_2A_FASE_PER_NUMERO,10,FALSE()),IF(LEFT(AZ28,1)="P",VLOOKUP(_xlfn.NUMBERVALUE(SUBSTITUTE(AZ28,"P","")),B_PARTITE_2A_FASE_PER_NUMERO,11,FALSE()),VLOOKUP(AZ28,B_CLASSIFICHE_GIRONI,4,FALSE())))</f>
        <v>Piranha</v>
      </c>
      <c r="BC28" s="44" t="n">
        <f aca="false">VLOOKUP(AV28,A_5_INPUT_DATE_E_RISULTATI_2A_FASE,6,0)</f>
        <v>52</v>
      </c>
      <c r="BD28" s="44" t="n">
        <f aca="false">VLOOKUP(AV28,A_5_INPUT_DATE_E_RISULTATI_2A_FASE,7,0)</f>
        <v>36</v>
      </c>
      <c r="BE28" s="96" t="str">
        <f aca="false">IF(BC28&gt;BD28,BA28,BB28)</f>
        <v>Istrici</v>
      </c>
      <c r="BF28" s="96" t="str">
        <f aca="false">IF(BC28&lt;BD28,BA28,BB28)</f>
        <v>Piranha</v>
      </c>
      <c r="BG28" s="44" t="n">
        <f aca="false">1*(BC28&gt;BD28)</f>
        <v>1</v>
      </c>
      <c r="BH28" s="97" t="n">
        <f aca="false">1*(BC28&lt;BD28)*NOT(AND(BC28=0,BD28=20))</f>
        <v>0</v>
      </c>
      <c r="BI28" s="97" t="n">
        <f aca="false">1*AND(BC28=0,BD28=20)</f>
        <v>0</v>
      </c>
      <c r="BJ28" s="44" t="n">
        <f aca="false">BC28</f>
        <v>52</v>
      </c>
      <c r="BK28" s="44" t="n">
        <f aca="false">BD28</f>
        <v>36</v>
      </c>
      <c r="BL28" s="98" t="n">
        <f aca="false">BJ28-BK28</f>
        <v>16</v>
      </c>
      <c r="BM28" s="44" t="n">
        <f aca="false">1*(BD28&gt;BC28)</f>
        <v>0</v>
      </c>
      <c r="BN28" s="44" t="n">
        <f aca="false">1*(BD28&lt;BC28)*NOT(AND(BC28=20,BD28=0))</f>
        <v>1</v>
      </c>
      <c r="BO28" s="44" t="n">
        <f aca="false">1*AND(BC28=20,BD28=0)</f>
        <v>0</v>
      </c>
      <c r="BP28" s="44" t="n">
        <f aca="false">BD28</f>
        <v>36</v>
      </c>
      <c r="BQ28" s="44" t="n">
        <f aca="false">BC28</f>
        <v>52</v>
      </c>
      <c r="BR28" s="99" t="n">
        <f aca="false">BP28-BQ28</f>
        <v>-16</v>
      </c>
    </row>
    <row r="29" customFormat="false" ht="12.8" hidden="false" customHeight="false" outlineLevel="0" collapsed="false">
      <c r="A29" s="32" t="n">
        <v>41</v>
      </c>
      <c r="B29" s="34" t="s">
        <v>10</v>
      </c>
      <c r="C29" s="34" t="s">
        <v>51</v>
      </c>
      <c r="D29" s="44" t="s">
        <v>202</v>
      </c>
      <c r="E29" s="44" t="s">
        <v>215</v>
      </c>
      <c r="F29" s="96" t="str">
        <f aca="false">IF(B29="Girone",VLOOKUP(D29,A_SQUADRE_PER_CODICE,2),"ERRORE!")</f>
        <v>Bisonti</v>
      </c>
      <c r="G29" s="96" t="str">
        <f aca="false">IF(B29="Girone",VLOOKUP(E29,A_SQUADRE_PER_CODICE,2),"ERRORE!")</f>
        <v>Cinghiali</v>
      </c>
      <c r="H29" s="44" t="n">
        <f aca="false">VLOOKUP(A29,A_4_INPUT_DATE_E_RISULTATI_GIRONI,6,0)</f>
        <v>36</v>
      </c>
      <c r="I29" s="44" t="n">
        <f aca="false">VLOOKUP(A29,A_4_INPUT_DATE_E_RISULTATI_GIRONI,7,0)</f>
        <v>33</v>
      </c>
      <c r="J29" s="96" t="str">
        <f aca="false">IF(H29&gt;I29,F29,G29)</f>
        <v>Bisonti</v>
      </c>
      <c r="K29" s="96" t="str">
        <f aca="false">IF(H29&lt;I29,F29,G29)</f>
        <v>Cinghiali</v>
      </c>
      <c r="L29" s="44" t="n">
        <f aca="false">1*(H29&gt;I29)</f>
        <v>1</v>
      </c>
      <c r="M29" s="97" t="n">
        <f aca="false">1*(H29&lt;I29)*NOT(AND(H29=0,I29=20))</f>
        <v>0</v>
      </c>
      <c r="N29" s="97" t="n">
        <f aca="false">1*AND(H29=0,I29=20)</f>
        <v>0</v>
      </c>
      <c r="O29" s="44" t="n">
        <f aca="false">H29</f>
        <v>36</v>
      </c>
      <c r="P29" s="44" t="n">
        <f aca="false">I29</f>
        <v>33</v>
      </c>
      <c r="Q29" s="98" t="n">
        <f aca="false">O29-P29</f>
        <v>3</v>
      </c>
      <c r="R29" s="44" t="n">
        <f aca="false">1*(I29&gt;H29)</f>
        <v>0</v>
      </c>
      <c r="S29" s="44" t="n">
        <f aca="false">1*(I29&lt;H29)*NOT(AND(H29=20,I29=0))</f>
        <v>1</v>
      </c>
      <c r="T29" s="44" t="n">
        <f aca="false">1*AND(H29=20,I29=0)</f>
        <v>0</v>
      </c>
      <c r="U29" s="44" t="n">
        <f aca="false">I29</f>
        <v>33</v>
      </c>
      <c r="V29" s="44" t="n">
        <f aca="false">H29</f>
        <v>36</v>
      </c>
      <c r="W29" s="99" t="n">
        <f aca="false">U29-V29</f>
        <v>-3</v>
      </c>
      <c r="Y29" s="100" t="str">
        <f aca="false">COUNTIF(B_COEFF_GIRONE_G,"&gt;="&amp;AS29)&amp;Z29</f>
        <v>4G</v>
      </c>
      <c r="Z29" s="34" t="s">
        <v>61</v>
      </c>
      <c r="AA29" s="44" t="s">
        <v>245</v>
      </c>
      <c r="AB29" s="101" t="str">
        <f aca="false">VLOOKUP(AA29,A_SQUADRE_PER_CODICE,2)</f>
        <v>Muli</v>
      </c>
      <c r="AC29" s="44" t="n">
        <f aca="false">AD29+AE29+AF29</f>
        <v>3</v>
      </c>
      <c r="AD29" s="44" t="n">
        <f aca="false">SUMIF(B_SQUADRA_A_GIRONI,AB29,B_VINTE_SQUADRA_A_GIRONI)+SUMIF(B_SQUADRA_B_GIRONI,AB29,B_VINTE_SQUADRA_B_GIRONI)</f>
        <v>0</v>
      </c>
      <c r="AE29" s="44" t="n">
        <f aca="false">SUMIF(B_SQUADRA_A_GIRONI,AB29,B_PERSE_SQUADRA_A_GIRONI)+SUMIF(B_SQUADRA_B_GIRONI,AB29,B_PERSE_SQUADRA_B_GIRONI)</f>
        <v>0</v>
      </c>
      <c r="AF29" s="44" t="n">
        <f aca="false">SUMIF(B_SQUADRA_A_GIRONI,AB29,B_FORFAIT_SQUADRA_A_GIRONI)+SUMIF(B_SQUADRA_B_GIRONI,AB29,B_FORFAIT_SQUADRA_B_GIRONI)</f>
        <v>3</v>
      </c>
      <c r="AG29" s="102" t="n">
        <f aca="false">2*AD29+1*AE29+0*AF29</f>
        <v>0</v>
      </c>
      <c r="AH29" s="103" t="n">
        <f aca="false">SUMIF(B_SQUADRA_A_GIRONI,AB29,B_PUNTI_FATTI_SQUADRA_A_GIRONI)+SUMIF(B_SQUADRA_B_GIRONI,AB29,B_PUNTI_FATTI_SQUADRA_B_GIRONI)</f>
        <v>0</v>
      </c>
      <c r="AI29" s="44" t="n">
        <f aca="false">SUMIF(B_SQUADRA_A_GIRONI,AB29,B_PUNTI_SUBITI_SQUADRA_A_GIRONI)+SUMIF(B_SQUADRA_B_GIRONI,AB29,B_PUNTI_SUBITI_SQUADRA_B_GIRONI)</f>
        <v>60</v>
      </c>
      <c r="AJ29" s="104" t="n">
        <f aca="false">SUMIF(B_SQUADRA_A_GIRONI,AB29,B_DIFF_CANESTRI_SQUADRA_A_GIRONI)+SUMIF(B_SQUADRA_B_GIRONI,AB29,B_DIFF_CANESTRI_SQUADRA_B_GIRONI)</f>
        <v>-60</v>
      </c>
      <c r="AK29" s="44" t="n">
        <f aca="true">IF(AG29=AG30,INDIRECT("O"&amp;8+6*(FIND(Z29,"ABCDEFGH")-1)),0)</f>
        <v>0</v>
      </c>
      <c r="AL29" s="44" t="n">
        <f aca="true">IF(AG29=AG27,INDIRECT("U"&amp;4+6*(FIND(Z29,"ABCDEFGH")-1)),0)</f>
        <v>0</v>
      </c>
      <c r="AM29" s="44" t="n">
        <f aca="true">IF(AG29=AG28,INDIRECT("U"&amp;6+6*(FIND(Z29,"ABCDEFGH")-1)),0)</f>
        <v>0</v>
      </c>
      <c r="AN29" s="103" t="n">
        <f aca="false">AK29+AL29+AM29</f>
        <v>0</v>
      </c>
      <c r="AO29" s="98" t="n">
        <f aca="true">IF(AG29=AG30,INDIRECT("Q"&amp;8+6*(FIND(Z29,"ABCDEFGH")-1)),0)</f>
        <v>0</v>
      </c>
      <c r="AP29" s="98" t="n">
        <f aca="true">IF(AG29=AG27,INDIRECT("W"&amp;4+6*(FIND(Z29,"ABCDEFGH")-1)),0)</f>
        <v>0</v>
      </c>
      <c r="AQ29" s="98" t="n">
        <f aca="true">IF(AG29=AG28,INDIRECT("W"&amp;6+6*(FIND(Z29,"ABCDEFGH")-1)),0)</f>
        <v>0</v>
      </c>
      <c r="AR29" s="104" t="n">
        <f aca="false">AO29+AP29+AQ29</f>
        <v>0</v>
      </c>
      <c r="AS29" s="105" t="n">
        <f aca="false">AG29+(500+AR29)*10^-3+AN29*10^-6+(500+AJ29)*10^-9+AH29*10^-12</f>
        <v>0.50000044</v>
      </c>
      <c r="AU29" s="106" t="s">
        <v>246</v>
      </c>
      <c r="AV29" s="107" t="n">
        <v>75</v>
      </c>
      <c r="AW29" s="108" t="s">
        <v>138</v>
      </c>
      <c r="AX29" s="109" t="s">
        <v>230</v>
      </c>
      <c r="AY29" s="108" t="s">
        <v>247</v>
      </c>
      <c r="AZ29" s="108" t="s">
        <v>248</v>
      </c>
      <c r="BA29" s="96" t="str">
        <f aca="false">IF(LEFT(AY29,1)="V",VLOOKUP(_xlfn.NUMBERVALUE(SUBSTITUTE(AY29,"V","")),B_PARTITE_2A_FASE_PER_NUMERO,10,FALSE()),IF(LEFT(AY29,1)="P",VLOOKUP(_xlfn.NUMBERVALUE(SUBSTITUTE(AY29,"P","")),B_PARTITE_2A_FASE_PER_NUMERO,11,FALSE()),VLOOKUP(AY29,B_CLASSIFICHE_GIRONI,4,FALSE())))</f>
        <v>Ippopotami</v>
      </c>
      <c r="BB29" s="96" t="str">
        <f aca="false">IF(LEFT(AZ29,1)="V",VLOOKUP(_xlfn.NUMBERVALUE(SUBSTITUTE(AZ29,"V","")),B_PARTITE_2A_FASE_PER_NUMERO,10,FALSE()),IF(LEFT(AZ29,1)="P",VLOOKUP(_xlfn.NUMBERVALUE(SUBSTITUTE(AZ29,"P","")),B_PARTITE_2A_FASE_PER_NUMERO,11,FALSE()),VLOOKUP(AZ29,B_CLASSIFICHE_GIRONI,4,FALSE())))</f>
        <v>Pitoni</v>
      </c>
      <c r="BC29" s="44" t="n">
        <f aca="false">VLOOKUP(AV29,A_5_INPUT_DATE_E_RISULTATI_2A_FASE,6,0)</f>
        <v>68</v>
      </c>
      <c r="BD29" s="44" t="n">
        <f aca="false">VLOOKUP(AV29,A_5_INPUT_DATE_E_RISULTATI_2A_FASE,7,0)</f>
        <v>45</v>
      </c>
      <c r="BE29" s="96" t="str">
        <f aca="false">IF(BC29&gt;BD29,BA29,BB29)</f>
        <v>Ippopotami</v>
      </c>
      <c r="BF29" s="96" t="str">
        <f aca="false">IF(BC29&lt;BD29,BA29,BB29)</f>
        <v>Pitoni</v>
      </c>
      <c r="BG29" s="44" t="n">
        <f aca="false">1*(BC29&gt;BD29)</f>
        <v>1</v>
      </c>
      <c r="BH29" s="97" t="n">
        <f aca="false">1*(BC29&lt;BD29)*NOT(AND(BC29=0,BD29=20))</f>
        <v>0</v>
      </c>
      <c r="BI29" s="97" t="n">
        <f aca="false">1*AND(BC29=0,BD29=20)</f>
        <v>0</v>
      </c>
      <c r="BJ29" s="44" t="n">
        <f aca="false">BC29</f>
        <v>68</v>
      </c>
      <c r="BK29" s="44" t="n">
        <f aca="false">BD29</f>
        <v>45</v>
      </c>
      <c r="BL29" s="98" t="n">
        <f aca="false">BJ29-BK29</f>
        <v>23</v>
      </c>
      <c r="BM29" s="44" t="n">
        <f aca="false">1*(BD29&gt;BC29)</f>
        <v>0</v>
      </c>
      <c r="BN29" s="44" t="n">
        <f aca="false">1*(BD29&lt;BC29)*NOT(AND(BC29=20,BD29=0))</f>
        <v>1</v>
      </c>
      <c r="BO29" s="44" t="n">
        <f aca="false">1*AND(BC29=20,BD29=0)</f>
        <v>0</v>
      </c>
      <c r="BP29" s="44" t="n">
        <f aca="false">BD29</f>
        <v>45</v>
      </c>
      <c r="BQ29" s="44" t="n">
        <f aca="false">BC29</f>
        <v>68</v>
      </c>
      <c r="BR29" s="99" t="n">
        <f aca="false">BP29-BQ29</f>
        <v>-23</v>
      </c>
    </row>
    <row r="30" customFormat="false" ht="12.8" hidden="false" customHeight="false" outlineLevel="0" collapsed="false">
      <c r="A30" s="32" t="n">
        <v>45</v>
      </c>
      <c r="B30" s="34" t="s">
        <v>10</v>
      </c>
      <c r="C30" s="34" t="s">
        <v>51</v>
      </c>
      <c r="D30" s="44" t="s">
        <v>207</v>
      </c>
      <c r="E30" s="44" t="s">
        <v>211</v>
      </c>
      <c r="F30" s="96" t="str">
        <f aca="false">IF(B30="Girone",VLOOKUP(D30,A_SQUADRE_PER_CODICE,2),"ERRORE!")</f>
        <v>Bufali</v>
      </c>
      <c r="G30" s="96" t="str">
        <f aca="false">IF(B30="Girone",VLOOKUP(E30,A_SQUADRE_PER_CODICE,2),"ERRORE!")</f>
        <v>Cervi</v>
      </c>
      <c r="H30" s="44" t="n">
        <f aca="false">VLOOKUP(A30,A_4_INPUT_DATE_E_RISULTATI_GIRONI,6,0)</f>
        <v>34</v>
      </c>
      <c r="I30" s="44" t="n">
        <f aca="false">VLOOKUP(A30,A_4_INPUT_DATE_E_RISULTATI_GIRONI,7,0)</f>
        <v>33</v>
      </c>
      <c r="J30" s="96" t="str">
        <f aca="false">IF(H30&gt;I30,F30,G30)</f>
        <v>Bufali</v>
      </c>
      <c r="K30" s="96" t="str">
        <f aca="false">IF(H30&lt;I30,F30,G30)</f>
        <v>Cervi</v>
      </c>
      <c r="L30" s="44" t="n">
        <f aca="false">1*(H30&gt;I30)</f>
        <v>1</v>
      </c>
      <c r="M30" s="97" t="n">
        <f aca="false">1*(H30&lt;I30)*NOT(AND(H30=0,I30=20))</f>
        <v>0</v>
      </c>
      <c r="N30" s="97" t="n">
        <f aca="false">1*AND(H30=0,I30=20)</f>
        <v>0</v>
      </c>
      <c r="O30" s="44" t="n">
        <f aca="false">H30</f>
        <v>34</v>
      </c>
      <c r="P30" s="44" t="n">
        <f aca="false">I30</f>
        <v>33</v>
      </c>
      <c r="Q30" s="98" t="n">
        <f aca="false">O30-P30</f>
        <v>1</v>
      </c>
      <c r="R30" s="44" t="n">
        <f aca="false">1*(I30&gt;H30)</f>
        <v>0</v>
      </c>
      <c r="S30" s="44" t="n">
        <f aca="false">1*(I30&lt;H30)*NOT(AND(H30=20,I30=0))</f>
        <v>1</v>
      </c>
      <c r="T30" s="44" t="n">
        <f aca="false">1*AND(H30=20,I30=0)</f>
        <v>0</v>
      </c>
      <c r="U30" s="44" t="n">
        <f aca="false">I30</f>
        <v>33</v>
      </c>
      <c r="V30" s="44" t="n">
        <f aca="false">H30</f>
        <v>34</v>
      </c>
      <c r="W30" s="99" t="n">
        <f aca="false">U30-V30</f>
        <v>-1</v>
      </c>
      <c r="Y30" s="100" t="str">
        <f aca="false">COUNTIF(B_COEFF_GIRONE_G,"&gt;="&amp;AS30)&amp;Z30</f>
        <v>3G</v>
      </c>
      <c r="Z30" s="34" t="s">
        <v>61</v>
      </c>
      <c r="AA30" s="44" t="s">
        <v>249</v>
      </c>
      <c r="AB30" s="101" t="str">
        <f aca="false">VLOOKUP(AA30,A_SQUADRE_PER_CODICE,2)</f>
        <v>Orche</v>
      </c>
      <c r="AC30" s="44" t="n">
        <f aca="false">AD30+AE30+AF30</f>
        <v>3</v>
      </c>
      <c r="AD30" s="44" t="n">
        <f aca="false">SUMIF(B_SQUADRA_A_GIRONI,AB30,B_VINTE_SQUADRA_A_GIRONI)+SUMIF(B_SQUADRA_B_GIRONI,AB30,B_VINTE_SQUADRA_B_GIRONI)</f>
        <v>1</v>
      </c>
      <c r="AE30" s="44" t="n">
        <f aca="false">SUMIF(B_SQUADRA_A_GIRONI,AB30,B_PERSE_SQUADRA_A_GIRONI)+SUMIF(B_SQUADRA_B_GIRONI,AB30,B_PERSE_SQUADRA_B_GIRONI)</f>
        <v>0</v>
      </c>
      <c r="AF30" s="44" t="n">
        <f aca="false">SUMIF(B_SQUADRA_A_GIRONI,AB30,B_FORFAIT_SQUADRA_A_GIRONI)+SUMIF(B_SQUADRA_B_GIRONI,AB30,B_FORFAIT_SQUADRA_B_GIRONI)</f>
        <v>2</v>
      </c>
      <c r="AG30" s="102" t="n">
        <f aca="false">2*AD30+1*AE30+0*AF30</f>
        <v>2</v>
      </c>
      <c r="AH30" s="103" t="n">
        <f aca="false">SUMIF(B_SQUADRA_A_GIRONI,AB30,B_PUNTI_FATTI_SQUADRA_A_GIRONI)+SUMIF(B_SQUADRA_B_GIRONI,AB30,B_PUNTI_FATTI_SQUADRA_B_GIRONI)</f>
        <v>20</v>
      </c>
      <c r="AI30" s="44" t="n">
        <f aca="false">SUMIF(B_SQUADRA_A_GIRONI,AB30,B_PUNTI_SUBITI_SQUADRA_A_GIRONI)+SUMIF(B_SQUADRA_B_GIRONI,AB30,B_PUNTI_SUBITI_SQUADRA_B_GIRONI)</f>
        <v>40</v>
      </c>
      <c r="AJ30" s="104" t="n">
        <f aca="false">SUMIF(B_SQUADRA_A_GIRONI,AB30,B_DIFF_CANESTRI_SQUADRA_A_GIRONI)+SUMIF(B_SQUADRA_B_GIRONI,AB30,B_DIFF_CANESTRI_SQUADRA_B_GIRONI)</f>
        <v>-20</v>
      </c>
      <c r="AK30" s="44" t="n">
        <f aca="true">IF(AG30=AG27,INDIRECT("U"&amp;5+6*(FIND(Z30,"ABCDEFGH")-1)),0)</f>
        <v>0</v>
      </c>
      <c r="AL30" s="44" t="n">
        <f aca="true">IF(AG30=AG28,INDIRECT("U"&amp;7+6*(FIND(Z30,"ABCDEFGH")-1)),0)</f>
        <v>0</v>
      </c>
      <c r="AM30" s="44" t="n">
        <f aca="true">IF(AG30=AG29,INDIRECT("U"&amp;8+6*(FIND(Z30,"ABCDEFGH")-1)),0)</f>
        <v>0</v>
      </c>
      <c r="AN30" s="103" t="n">
        <f aca="false">AK30+AL30+AM30</f>
        <v>0</v>
      </c>
      <c r="AO30" s="98" t="n">
        <f aca="true">IF(AG30=AG27,INDIRECT("W"&amp;5+6*(FIND(Z30,"ABCDEFGH")-1)),0)</f>
        <v>0</v>
      </c>
      <c r="AP30" s="98" t="n">
        <f aca="true">IF(AG30=AG28,INDIRECT("W"&amp;7+6*(FIND(Z30,"ABCDEFGH")-1)),0)</f>
        <v>0</v>
      </c>
      <c r="AQ30" s="98" t="n">
        <f aca="true">IF(AG30=AG29,INDIRECT("W"&amp;8+6*(FIND(Z30,"ABCDEFGH")-1)),0)</f>
        <v>0</v>
      </c>
      <c r="AR30" s="104" t="n">
        <f aca="false">AO30+AP30+AQ30</f>
        <v>0</v>
      </c>
      <c r="AS30" s="105" t="n">
        <f aca="false">AG30+(500+AR30)*10^-3+AN30*10^-6+(500+AJ30)*10^-9+AH30*10^-12</f>
        <v>2.50000048002</v>
      </c>
      <c r="AU30" s="106" t="s">
        <v>250</v>
      </c>
      <c r="AV30" s="107" t="n">
        <v>76</v>
      </c>
      <c r="AW30" s="108" t="s">
        <v>138</v>
      </c>
      <c r="AX30" s="109" t="s">
        <v>230</v>
      </c>
      <c r="AY30" s="108" t="s">
        <v>251</v>
      </c>
      <c r="AZ30" s="108" t="s">
        <v>252</v>
      </c>
      <c r="BA30" s="96" t="str">
        <f aca="false">IF(LEFT(AY30,1)="V",VLOOKUP(_xlfn.NUMBERVALUE(SUBSTITUTE(AY30,"V","")),B_PARTITE_2A_FASE_PER_NUMERO,10,FALSE()),IF(LEFT(AY30,1)="P",VLOOKUP(_xlfn.NUMBERVALUE(SUBSTITUTE(AY30,"P","")),B_PARTITE_2A_FASE_PER_NUMERO,11,FALSE()),VLOOKUP(AY30,B_CLASSIFICHE_GIRONI,4,FALSE())))</f>
        <v>Orche</v>
      </c>
      <c r="BB30" s="96" t="str">
        <f aca="false">IF(LEFT(AZ30,1)="V",VLOOKUP(_xlfn.NUMBERVALUE(SUBSTITUTE(AZ30,"V","")),B_PARTITE_2A_FASE_PER_NUMERO,10,FALSE()),IF(LEFT(AZ30,1)="P",VLOOKUP(_xlfn.NUMBERVALUE(SUBSTITUTE(AZ30,"P","")),B_PARTITE_2A_FASE_PER_NUMERO,11,FALSE()),VLOOKUP(AZ30,B_CLASSIFICHE_GIRONI,4,FALSE())))</f>
        <v>Zebre</v>
      </c>
      <c r="BC30" s="44" t="n">
        <f aca="false">VLOOKUP(AV30,A_5_INPUT_DATE_E_RISULTATI_2A_FASE,6,0)</f>
        <v>64</v>
      </c>
      <c r="BD30" s="44" t="n">
        <f aca="false">VLOOKUP(AV30,A_5_INPUT_DATE_E_RISULTATI_2A_FASE,7,0)</f>
        <v>32</v>
      </c>
      <c r="BE30" s="96" t="str">
        <f aca="false">IF(BC30&gt;BD30,BA30,BB30)</f>
        <v>Orche</v>
      </c>
      <c r="BF30" s="96" t="str">
        <f aca="false">IF(BC30&lt;BD30,BA30,BB30)</f>
        <v>Zebre</v>
      </c>
      <c r="BG30" s="44" t="n">
        <f aca="false">1*(BC30&gt;BD30)</f>
        <v>1</v>
      </c>
      <c r="BH30" s="97" t="n">
        <f aca="false">1*(BC30&lt;BD30)*NOT(AND(BC30=0,BD30=20))</f>
        <v>0</v>
      </c>
      <c r="BI30" s="97" t="n">
        <f aca="false">1*AND(BC30=0,BD30=20)</f>
        <v>0</v>
      </c>
      <c r="BJ30" s="44" t="n">
        <f aca="false">BC30</f>
        <v>64</v>
      </c>
      <c r="BK30" s="44" t="n">
        <f aca="false">BD30</f>
        <v>32</v>
      </c>
      <c r="BL30" s="98" t="n">
        <f aca="false">BJ30-BK30</f>
        <v>32</v>
      </c>
      <c r="BM30" s="44" t="n">
        <f aca="false">1*(BD30&gt;BC30)</f>
        <v>0</v>
      </c>
      <c r="BN30" s="44" t="n">
        <f aca="false">1*(BD30&lt;BC30)*NOT(AND(BC30=20,BD30=0))</f>
        <v>1</v>
      </c>
      <c r="BO30" s="44" t="n">
        <f aca="false">1*AND(BC30=20,BD30=0)</f>
        <v>0</v>
      </c>
      <c r="BP30" s="44" t="n">
        <f aca="false">BD30</f>
        <v>32</v>
      </c>
      <c r="BQ30" s="44" t="n">
        <f aca="false">BC30</f>
        <v>64</v>
      </c>
      <c r="BR30" s="99" t="n">
        <f aca="false">BP30-BQ30</f>
        <v>-32</v>
      </c>
    </row>
    <row r="31" customFormat="false" ht="12.8" hidden="false" customHeight="false" outlineLevel="0" collapsed="false">
      <c r="A31" s="32" t="n">
        <v>33</v>
      </c>
      <c r="B31" s="34" t="s">
        <v>10</v>
      </c>
      <c r="C31" s="34" t="s">
        <v>51</v>
      </c>
      <c r="D31" s="44" t="s">
        <v>207</v>
      </c>
      <c r="E31" s="44" t="s">
        <v>215</v>
      </c>
      <c r="F31" s="96" t="str">
        <f aca="false">IF(B31="Girone",VLOOKUP(D31,A_SQUADRE_PER_CODICE,2),"ERRORE!")</f>
        <v>Bufali</v>
      </c>
      <c r="G31" s="96" t="str">
        <f aca="false">IF(B31="Girone",VLOOKUP(E31,A_SQUADRE_PER_CODICE,2),"ERRORE!")</f>
        <v>Cinghiali</v>
      </c>
      <c r="H31" s="44" t="n">
        <f aca="false">VLOOKUP(A31,A_4_INPUT_DATE_E_RISULTATI_GIRONI,6,0)</f>
        <v>35</v>
      </c>
      <c r="I31" s="44" t="n">
        <f aca="false">VLOOKUP(A31,A_4_INPUT_DATE_E_RISULTATI_GIRONI,7,0)</f>
        <v>33</v>
      </c>
      <c r="J31" s="96" t="str">
        <f aca="false">IF(H31&gt;I31,F31,G31)</f>
        <v>Bufali</v>
      </c>
      <c r="K31" s="96" t="str">
        <f aca="false">IF(H31&lt;I31,F31,G31)</f>
        <v>Cinghiali</v>
      </c>
      <c r="L31" s="44" t="n">
        <f aca="false">1*(H31&gt;I31)</f>
        <v>1</v>
      </c>
      <c r="M31" s="97" t="n">
        <f aca="false">1*(H31&lt;I31)*NOT(AND(H31=0,I31=20))</f>
        <v>0</v>
      </c>
      <c r="N31" s="97" t="n">
        <f aca="false">1*AND(H31=0,I31=20)</f>
        <v>0</v>
      </c>
      <c r="O31" s="44" t="n">
        <f aca="false">H31</f>
        <v>35</v>
      </c>
      <c r="P31" s="44" t="n">
        <f aca="false">I31</f>
        <v>33</v>
      </c>
      <c r="Q31" s="98" t="n">
        <f aca="false">O31-P31</f>
        <v>2</v>
      </c>
      <c r="R31" s="44" t="n">
        <f aca="false">1*(I31&gt;H31)</f>
        <v>0</v>
      </c>
      <c r="S31" s="44" t="n">
        <f aca="false">1*(I31&lt;H31)*NOT(AND(H31=20,I31=0))</f>
        <v>1</v>
      </c>
      <c r="T31" s="44" t="n">
        <f aca="false">1*AND(H31=20,I31=0)</f>
        <v>0</v>
      </c>
      <c r="U31" s="44" t="n">
        <f aca="false">I31</f>
        <v>33</v>
      </c>
      <c r="V31" s="44" t="n">
        <f aca="false">H31</f>
        <v>35</v>
      </c>
      <c r="W31" s="99" t="n">
        <f aca="false">U31-V31</f>
        <v>-2</v>
      </c>
      <c r="Y31" s="110" t="str">
        <f aca="false">COUNTIF(B_COEFF_GIRONE_H,"&gt;="&amp;AS31)&amp;Z31</f>
        <v>1H</v>
      </c>
      <c r="Z31" s="111" t="s">
        <v>66</v>
      </c>
      <c r="AA31" s="111" t="s">
        <v>253</v>
      </c>
      <c r="AB31" s="112" t="str">
        <f aca="false">VLOOKUP(AA31,A_SQUADRE_PER_CODICE,2)</f>
        <v>Piranha</v>
      </c>
      <c r="AC31" s="111" t="n">
        <f aca="false">AD31+AE31+AF31</f>
        <v>3</v>
      </c>
      <c r="AD31" s="111" t="n">
        <f aca="false">SUMIF(B_SQUADRA_A_GIRONI,AB31,B_VINTE_SQUADRA_A_GIRONI)+SUMIF(B_SQUADRA_B_GIRONI,AB31,B_VINTE_SQUADRA_B_GIRONI)</f>
        <v>2</v>
      </c>
      <c r="AE31" s="111" t="n">
        <f aca="false">SUMIF(B_SQUADRA_A_GIRONI,AB31,B_PERSE_SQUADRA_A_GIRONI)+SUMIF(B_SQUADRA_B_GIRONI,AB31,B_PERSE_SQUADRA_B_GIRONI)</f>
        <v>1</v>
      </c>
      <c r="AF31" s="111" t="n">
        <f aca="false">SUMIF(B_SQUADRA_A_GIRONI,AB31,B_FORFAIT_SQUADRA_A_GIRONI)+SUMIF(B_SQUADRA_B_GIRONI,AB31,B_FORFAIT_SQUADRA_B_GIRONI)</f>
        <v>0</v>
      </c>
      <c r="AG31" s="113" t="n">
        <f aca="false">2*AD31+1*AE31+0*AF31</f>
        <v>5</v>
      </c>
      <c r="AH31" s="114" t="n">
        <f aca="false">SUMIF(B_SQUADRA_A_GIRONI,AB31,B_PUNTI_FATTI_SQUADRA_A_GIRONI)+SUMIF(B_SQUADRA_B_GIRONI,AB31,B_PUNTI_FATTI_SQUADRA_B_GIRONI)</f>
        <v>245</v>
      </c>
      <c r="AI31" s="111" t="n">
        <f aca="false">SUMIF(B_SQUADRA_A_GIRONI,AB31,B_PUNTI_SUBITI_SQUADRA_A_GIRONI)+SUMIF(B_SQUADRA_B_GIRONI,AB31,B_PUNTI_SUBITI_SQUADRA_B_GIRONI)</f>
        <v>215</v>
      </c>
      <c r="AJ31" s="115" t="n">
        <f aca="false">SUMIF(B_SQUADRA_A_GIRONI,AB31,B_DIFF_CANESTRI_SQUADRA_A_GIRONI)+SUMIF(B_SQUADRA_B_GIRONI,AB31,B_DIFF_CANESTRI_SQUADRA_B_GIRONI)</f>
        <v>30</v>
      </c>
      <c r="AK31" s="111" t="n">
        <f aca="true">IF(AG31=AG32,INDIRECT("O"&amp;3+6*(FIND(Z31,"ABCDEFGH")-1)),0)</f>
        <v>0</v>
      </c>
      <c r="AL31" s="116" t="n">
        <f aca="true">IF(AG31=AG33,INDIRECT("O"&amp;4+6*(FIND(Z31,"ABCDEFGH")-1)),0)</f>
        <v>97</v>
      </c>
      <c r="AM31" s="111" t="n">
        <f aca="true">IF(AG31=AG34,INDIRECT("O"&amp;5+6*(FIND(Z31,"ABCDEFGH")-1)),0)</f>
        <v>0</v>
      </c>
      <c r="AN31" s="114" t="n">
        <f aca="false">AK31+AL31+AM31</f>
        <v>97</v>
      </c>
      <c r="AO31" s="117" t="n">
        <f aca="true">IF(AG31=AG32,INDIRECT("Q"&amp;3+6*(FIND(Z31,"ABCDEFGH")-1)),0)</f>
        <v>0</v>
      </c>
      <c r="AP31" s="117" t="n">
        <f aca="true">IF(AG31=AG33,INDIRECT("Q"&amp;4+6*(FIND(Z31,"ABCDEFGH")-1)),0)</f>
        <v>19</v>
      </c>
      <c r="AQ31" s="117" t="n">
        <f aca="true">IF(AG31=AG34,INDIRECT("Q"&amp;5+6*(FIND(Z31,"ABCDEFGH")-1)),0)</f>
        <v>0</v>
      </c>
      <c r="AR31" s="115" t="n">
        <f aca="false">AO31+AP31+AQ31</f>
        <v>19</v>
      </c>
      <c r="AS31" s="118" t="n">
        <f aca="false">AG31+(500+AR31)*10^-3+AN31*10^-6+(500+AJ31)*10^-9+AH31*10^-12</f>
        <v>5.519097530245</v>
      </c>
      <c r="AU31" s="106" t="s">
        <v>254</v>
      </c>
      <c r="AV31" s="107" t="n">
        <v>77</v>
      </c>
      <c r="AW31" s="108" t="s">
        <v>138</v>
      </c>
      <c r="AX31" s="109" t="s">
        <v>255</v>
      </c>
      <c r="AY31" s="108" t="s">
        <v>256</v>
      </c>
      <c r="AZ31" s="108" t="s">
        <v>257</v>
      </c>
      <c r="BA31" s="96" t="str">
        <f aca="false">IF(LEFT(AY31,1)="V",VLOOKUP(_xlfn.NUMBERVALUE(SUBSTITUTE(AY31,"V","")),B_PARTITE_2A_FASE_PER_NUMERO,10,FALSE()),IF(LEFT(AY31,1)="P",VLOOKUP(_xlfn.NUMBERVALUE(SUBSTITUTE(AY31,"P","")),B_PARTITE_2A_FASE_PER_NUMERO,11,FALSE()),VLOOKUP(AY31,B_CLASSIFICHE_GIRONI,4,FALSE())))</f>
        <v>Elefanti</v>
      </c>
      <c r="BB31" s="96" t="str">
        <f aca="false">IF(LEFT(AZ31,1)="V",VLOOKUP(_xlfn.NUMBERVALUE(SUBSTITUTE(AZ31,"V","")),B_PARTITE_2A_FASE_PER_NUMERO,10,FALSE()),IF(LEFT(AZ31,1)="P",VLOOKUP(_xlfn.NUMBERVALUE(SUBSTITUTE(AZ31,"P","")),B_PARTITE_2A_FASE_PER_NUMERO,11,FALSE()),VLOOKUP(AZ31,B_CLASSIFICHE_GIRONI,4,FALSE())))</f>
        <v>Aquile</v>
      </c>
      <c r="BC31" s="44" t="n">
        <f aca="false">VLOOKUP(AV31,A_5_INPUT_DATE_E_RISULTATI_2A_FASE,6,0)</f>
        <v>56</v>
      </c>
      <c r="BD31" s="44" t="n">
        <f aca="false">VLOOKUP(AV31,A_5_INPUT_DATE_E_RISULTATI_2A_FASE,7,0)</f>
        <v>36</v>
      </c>
      <c r="BE31" s="96" t="str">
        <f aca="false">IF(BC31&gt;BD31,BA31,BB31)</f>
        <v>Elefanti</v>
      </c>
      <c r="BF31" s="96" t="str">
        <f aca="false">IF(BC31&lt;BD31,BA31,BB31)</f>
        <v>Aquile</v>
      </c>
      <c r="BG31" s="44" t="n">
        <f aca="false">1*(BC31&gt;BD31)</f>
        <v>1</v>
      </c>
      <c r="BH31" s="97" t="n">
        <f aca="false">1*(BC31&lt;BD31)*NOT(AND(BC31=0,BD31=20))</f>
        <v>0</v>
      </c>
      <c r="BI31" s="97" t="n">
        <f aca="false">1*AND(BC31=0,BD31=20)</f>
        <v>0</v>
      </c>
      <c r="BJ31" s="44" t="n">
        <f aca="false">BC31</f>
        <v>56</v>
      </c>
      <c r="BK31" s="44" t="n">
        <f aca="false">BD31</f>
        <v>36</v>
      </c>
      <c r="BL31" s="98" t="n">
        <f aca="false">BJ31-BK31</f>
        <v>20</v>
      </c>
      <c r="BM31" s="44" t="n">
        <f aca="false">1*(BD31&gt;BC31)</f>
        <v>0</v>
      </c>
      <c r="BN31" s="44" t="n">
        <f aca="false">1*(BD31&lt;BC31)*NOT(AND(BC31=20,BD31=0))</f>
        <v>1</v>
      </c>
      <c r="BO31" s="44" t="n">
        <f aca="false">1*AND(BC31=20,BD31=0)</f>
        <v>0</v>
      </c>
      <c r="BP31" s="44" t="n">
        <f aca="false">BD31</f>
        <v>36</v>
      </c>
      <c r="BQ31" s="44" t="n">
        <f aca="false">BC31</f>
        <v>56</v>
      </c>
      <c r="BR31" s="99" t="n">
        <f aca="false">BP31-BQ31</f>
        <v>-20</v>
      </c>
    </row>
    <row r="32" customFormat="false" ht="12.8" hidden="false" customHeight="false" outlineLevel="0" collapsed="false">
      <c r="A32" s="32" t="n">
        <v>21</v>
      </c>
      <c r="B32" s="34" t="s">
        <v>10</v>
      </c>
      <c r="C32" s="34" t="s">
        <v>51</v>
      </c>
      <c r="D32" s="44" t="s">
        <v>211</v>
      </c>
      <c r="E32" s="44" t="s">
        <v>215</v>
      </c>
      <c r="F32" s="96" t="str">
        <f aca="false">IF(B32="Girone",VLOOKUP(D32,A_SQUADRE_PER_CODICE,2),"ERRORE!")</f>
        <v>Cervi</v>
      </c>
      <c r="G32" s="96" t="str">
        <f aca="false">IF(B32="Girone",VLOOKUP(E32,A_SQUADRE_PER_CODICE,2),"ERRORE!")</f>
        <v>Cinghiali</v>
      </c>
      <c r="H32" s="44" t="n">
        <f aca="false">VLOOKUP(A32,A_4_INPUT_DATE_E_RISULTATI_GIRONI,6,0)</f>
        <v>34</v>
      </c>
      <c r="I32" s="44" t="n">
        <f aca="false">VLOOKUP(A32,A_4_INPUT_DATE_E_RISULTATI_GIRONI,7,0)</f>
        <v>33</v>
      </c>
      <c r="J32" s="96" t="str">
        <f aca="false">IF(H32&gt;I32,F32,G32)</f>
        <v>Cervi</v>
      </c>
      <c r="K32" s="96" t="str">
        <f aca="false">IF(H32&lt;I32,F32,G32)</f>
        <v>Cinghiali</v>
      </c>
      <c r="L32" s="44" t="n">
        <f aca="false">1*(H32&gt;I32)</f>
        <v>1</v>
      </c>
      <c r="M32" s="97" t="n">
        <f aca="false">1*(H32&lt;I32)*NOT(AND(H32=0,I32=20))</f>
        <v>0</v>
      </c>
      <c r="N32" s="97" t="n">
        <f aca="false">1*AND(H32=0,I32=20)</f>
        <v>0</v>
      </c>
      <c r="O32" s="44" t="n">
        <f aca="false">H32</f>
        <v>34</v>
      </c>
      <c r="P32" s="44" t="n">
        <f aca="false">I32</f>
        <v>33</v>
      </c>
      <c r="Q32" s="98" t="n">
        <f aca="false">O32-P32</f>
        <v>1</v>
      </c>
      <c r="R32" s="44" t="n">
        <f aca="false">1*(I32&gt;H32)</f>
        <v>0</v>
      </c>
      <c r="S32" s="44" t="n">
        <f aca="false">1*(I32&lt;H32)*NOT(AND(H32=20,I32=0))</f>
        <v>1</v>
      </c>
      <c r="T32" s="44" t="n">
        <f aca="false">1*AND(H32=20,I32=0)</f>
        <v>0</v>
      </c>
      <c r="U32" s="44" t="n">
        <f aca="false">I32</f>
        <v>33</v>
      </c>
      <c r="V32" s="44" t="n">
        <f aca="false">H32</f>
        <v>34</v>
      </c>
      <c r="W32" s="99" t="n">
        <f aca="false">U32-V32</f>
        <v>-1</v>
      </c>
      <c r="Y32" s="100" t="str">
        <f aca="false">COUNTIF(B_COEFF_GIRONE_H,"&gt;="&amp;AS32)&amp;Z32</f>
        <v>4H</v>
      </c>
      <c r="Z32" s="34" t="s">
        <v>66</v>
      </c>
      <c r="AA32" s="44" t="s">
        <v>258</v>
      </c>
      <c r="AB32" s="101" t="str">
        <f aca="false">VLOOKUP(AA32,A_SQUADRE_PER_CODICE,2)</f>
        <v>Scorpioni</v>
      </c>
      <c r="AC32" s="44" t="n">
        <f aca="false">AD32+AE32+AF32</f>
        <v>3</v>
      </c>
      <c r="AD32" s="44" t="n">
        <f aca="false">SUMIF(B_SQUADRA_A_GIRONI,AB32,B_VINTE_SQUADRA_A_GIRONI)+SUMIF(B_SQUADRA_B_GIRONI,AB32,B_VINTE_SQUADRA_B_GIRONI)</f>
        <v>0</v>
      </c>
      <c r="AE32" s="44" t="n">
        <f aca="false">SUMIF(B_SQUADRA_A_GIRONI,AB32,B_PERSE_SQUADRA_A_GIRONI)+SUMIF(B_SQUADRA_B_GIRONI,AB32,B_PERSE_SQUADRA_B_GIRONI)</f>
        <v>3</v>
      </c>
      <c r="AF32" s="44" t="n">
        <f aca="false">SUMIF(B_SQUADRA_A_GIRONI,AB32,B_FORFAIT_SQUADRA_A_GIRONI)+SUMIF(B_SQUADRA_B_GIRONI,AB32,B_FORFAIT_SQUADRA_B_GIRONI)</f>
        <v>0</v>
      </c>
      <c r="AG32" s="102" t="n">
        <f aca="false">2*AD32+1*AE32+0*AF32</f>
        <v>3</v>
      </c>
      <c r="AH32" s="103" t="n">
        <f aca="false">SUMIF(B_SQUADRA_A_GIRONI,AB32,B_PUNTI_FATTI_SQUADRA_A_GIRONI)+SUMIF(B_SQUADRA_B_GIRONI,AB32,B_PUNTI_FATTI_SQUADRA_B_GIRONI)</f>
        <v>170</v>
      </c>
      <c r="AI32" s="44" t="n">
        <f aca="false">SUMIF(B_SQUADRA_A_GIRONI,AB32,B_PUNTI_SUBITI_SQUADRA_A_GIRONI)+SUMIF(B_SQUADRA_B_GIRONI,AB32,B_PUNTI_SUBITI_SQUADRA_B_GIRONI)</f>
        <v>244</v>
      </c>
      <c r="AJ32" s="104" t="n">
        <f aca="false">SUMIF(B_SQUADRA_A_GIRONI,AB32,B_DIFF_CANESTRI_SQUADRA_A_GIRONI)+SUMIF(B_SQUADRA_B_GIRONI,AB32,B_DIFF_CANESTRI_SQUADRA_B_GIRONI)</f>
        <v>-74</v>
      </c>
      <c r="AK32" s="44" t="n">
        <f aca="true">IF(AG32=AG33,INDIRECT("O"&amp;6+6*(FIND(Z32,"ABCDEFGH")-1)),0)</f>
        <v>0</v>
      </c>
      <c r="AL32" s="44" t="n">
        <f aca="true">IF(AG32=AG34,INDIRECT("O"&amp;7+6*(FIND(Z32,"ABCDEFGH")-1)),0)</f>
        <v>0</v>
      </c>
      <c r="AM32" s="44" t="n">
        <f aca="true">IF(AG32=AG31,INDIRECT("U"&amp;3+6*(FIND(Z32,"ABCDEFGH")-1)),0)</f>
        <v>0</v>
      </c>
      <c r="AN32" s="103" t="n">
        <f aca="false">AK32+AL32+AM32</f>
        <v>0</v>
      </c>
      <c r="AO32" s="98" t="n">
        <f aca="true">IF(AG32=AG33,INDIRECT("Q"&amp;6+6*(FIND(Z32,"ABCDEFGH")-1)),0)</f>
        <v>0</v>
      </c>
      <c r="AP32" s="98" t="n">
        <f aca="true">IF(AG32=AG34,INDIRECT("Q"&amp;7+6*(FIND(Z32,"ABCDEFGH")-1)),0)</f>
        <v>0</v>
      </c>
      <c r="AQ32" s="98" t="n">
        <f aca="true">IF(AG32=AG31,INDIRECT("W"&amp;3+6*(FIND(Z32,"ABCDEFGH")-1)),0)</f>
        <v>0</v>
      </c>
      <c r="AR32" s="104" t="n">
        <f aca="false">AO32+AP32+AQ32</f>
        <v>0</v>
      </c>
      <c r="AS32" s="105" t="n">
        <f aca="false">AG32+(500+AR32)*10^-3+AN32*10^-6+(500+AJ32)*10^-9+AH32*10^-12</f>
        <v>3.50000042617</v>
      </c>
      <c r="AU32" s="106" t="s">
        <v>259</v>
      </c>
      <c r="AV32" s="107" t="n">
        <v>78</v>
      </c>
      <c r="AW32" s="108" t="s">
        <v>138</v>
      </c>
      <c r="AX32" s="109" t="s">
        <v>255</v>
      </c>
      <c r="AY32" s="108" t="s">
        <v>260</v>
      </c>
      <c r="AZ32" s="108" t="s">
        <v>261</v>
      </c>
      <c r="BA32" s="96" t="str">
        <f aca="false">IF(LEFT(AY32,1)="V",VLOOKUP(_xlfn.NUMBERVALUE(SUBSTITUTE(AY32,"V","")),B_PARTITE_2A_FASE_PER_NUMERO,10,FALSE()),IF(LEFT(AY32,1)="P",VLOOKUP(_xlfn.NUMBERVALUE(SUBSTITUTE(AY32,"P","")),B_PARTITE_2A_FASE_PER_NUMERO,11,FALSE()),VLOOKUP(AY32,B_CLASSIFICHE_GIRONI,4,FALSE())))</f>
        <v>Gorilla</v>
      </c>
      <c r="BB32" s="96" t="str">
        <f aca="false">IF(LEFT(AZ32,1)="V",VLOOKUP(_xlfn.NUMBERVALUE(SUBSTITUTE(AZ32,"V","")),B_PARTITE_2A_FASE_PER_NUMERO,10,FALSE()),IF(LEFT(AZ32,1)="P",VLOOKUP(_xlfn.NUMBERVALUE(SUBSTITUTE(AZ32,"P","")),B_PARTITE_2A_FASE_PER_NUMERO,11,FALSE()),VLOOKUP(AZ32,B_CLASSIFICHE_GIRONI,4,FALSE())))</f>
        <v>Tonni</v>
      </c>
      <c r="BC32" s="44" t="n">
        <f aca="false">VLOOKUP(AV32,A_5_INPUT_DATE_E_RISULTATI_2A_FASE,6,0)</f>
        <v>64</v>
      </c>
      <c r="BD32" s="44" t="n">
        <f aca="false">VLOOKUP(AV32,A_5_INPUT_DATE_E_RISULTATI_2A_FASE,7,0)</f>
        <v>40</v>
      </c>
      <c r="BE32" s="96" t="str">
        <f aca="false">IF(BC32&gt;BD32,BA32,BB32)</f>
        <v>Gorilla</v>
      </c>
      <c r="BF32" s="96" t="str">
        <f aca="false">IF(BC32&lt;BD32,BA32,BB32)</f>
        <v>Tonni</v>
      </c>
      <c r="BG32" s="44" t="n">
        <f aca="false">1*(BC32&gt;BD32)</f>
        <v>1</v>
      </c>
      <c r="BH32" s="97" t="n">
        <f aca="false">1*(BC32&lt;BD32)*NOT(AND(BC32=0,BD32=20))</f>
        <v>0</v>
      </c>
      <c r="BI32" s="97" t="n">
        <f aca="false">1*AND(BC32=0,BD32=20)</f>
        <v>0</v>
      </c>
      <c r="BJ32" s="44" t="n">
        <f aca="false">BC32</f>
        <v>64</v>
      </c>
      <c r="BK32" s="44" t="n">
        <f aca="false">BD32</f>
        <v>40</v>
      </c>
      <c r="BL32" s="98" t="n">
        <f aca="false">BJ32-BK32</f>
        <v>24</v>
      </c>
      <c r="BM32" s="44" t="n">
        <f aca="false">1*(BD32&gt;BC32)</f>
        <v>0</v>
      </c>
      <c r="BN32" s="44" t="n">
        <f aca="false">1*(BD32&lt;BC32)*NOT(AND(BC32=20,BD32=0))</f>
        <v>1</v>
      </c>
      <c r="BO32" s="44" t="n">
        <f aca="false">1*AND(BC32=20,BD32=0)</f>
        <v>0</v>
      </c>
      <c r="BP32" s="44" t="n">
        <f aca="false">BD32</f>
        <v>40</v>
      </c>
      <c r="BQ32" s="44" t="n">
        <f aca="false">BC32</f>
        <v>64</v>
      </c>
      <c r="BR32" s="99" t="n">
        <f aca="false">BP32-BQ32</f>
        <v>-24</v>
      </c>
    </row>
    <row r="33" customFormat="false" ht="12.8" hidden="false" customHeight="false" outlineLevel="0" collapsed="false">
      <c r="A33" s="32" t="n">
        <v>18</v>
      </c>
      <c r="B33" s="34" t="s">
        <v>10</v>
      </c>
      <c r="C33" s="34" t="s">
        <v>56</v>
      </c>
      <c r="D33" s="44" t="s">
        <v>219</v>
      </c>
      <c r="E33" s="44" t="s">
        <v>224</v>
      </c>
      <c r="F33" s="96" t="str">
        <f aca="false">IF(B33="Girone",VLOOKUP(D33,A_SQUADRE_PER_CODICE,2),"ERRORE!")</f>
        <v>Balene</v>
      </c>
      <c r="G33" s="96" t="str">
        <f aca="false">IF(B33="Girone",VLOOKUP(E33,A_SQUADRE_PER_CODICE,2),"ERRORE!")</f>
        <v>Gabbiani</v>
      </c>
      <c r="H33" s="44" t="n">
        <f aca="false">VLOOKUP(A33,A_4_INPUT_DATE_E_RISULTATI_GIRONI,6,0)</f>
        <v>34</v>
      </c>
      <c r="I33" s="44" t="n">
        <f aca="false">VLOOKUP(A33,A_4_INPUT_DATE_E_RISULTATI_GIRONI,7,0)</f>
        <v>33</v>
      </c>
      <c r="J33" s="96" t="str">
        <f aca="false">IF(H33&gt;I33,F33,G33)</f>
        <v>Balene</v>
      </c>
      <c r="K33" s="96" t="str">
        <f aca="false">IF(H33&lt;I33,F33,G33)</f>
        <v>Gabbiani</v>
      </c>
      <c r="L33" s="44" t="n">
        <f aca="false">1*(H33&gt;I33)</f>
        <v>1</v>
      </c>
      <c r="M33" s="97" t="n">
        <f aca="false">1*(H33&lt;I33)*NOT(AND(H33=0,I33=20))</f>
        <v>0</v>
      </c>
      <c r="N33" s="97" t="n">
        <f aca="false">1*AND(H33=0,I33=20)</f>
        <v>0</v>
      </c>
      <c r="O33" s="44" t="n">
        <f aca="false">H33</f>
        <v>34</v>
      </c>
      <c r="P33" s="44" t="n">
        <f aca="false">I33</f>
        <v>33</v>
      </c>
      <c r="Q33" s="98" t="n">
        <f aca="false">O33-P33</f>
        <v>1</v>
      </c>
      <c r="R33" s="44" t="n">
        <f aca="false">1*(I33&gt;H33)</f>
        <v>0</v>
      </c>
      <c r="S33" s="44" t="n">
        <f aca="false">1*(I33&lt;H33)*NOT(AND(H33=20,I33=0))</f>
        <v>1</v>
      </c>
      <c r="T33" s="44" t="n">
        <f aca="false">1*AND(H33=20,I33=0)</f>
        <v>0</v>
      </c>
      <c r="U33" s="44" t="n">
        <f aca="false">I33</f>
        <v>33</v>
      </c>
      <c r="V33" s="44" t="n">
        <f aca="false">H33</f>
        <v>34</v>
      </c>
      <c r="W33" s="99" t="n">
        <f aca="false">U33-V33</f>
        <v>-1</v>
      </c>
      <c r="Y33" s="100" t="str">
        <f aca="false">COUNTIF(B_COEFF_GIRONE_H,"&gt;="&amp;AS33)&amp;Z33</f>
        <v>2H</v>
      </c>
      <c r="Z33" s="34" t="s">
        <v>66</v>
      </c>
      <c r="AA33" s="44" t="s">
        <v>262</v>
      </c>
      <c r="AB33" s="101" t="str">
        <f aca="false">VLOOKUP(AA33,A_SQUADRE_PER_CODICE,2)</f>
        <v>Tonni</v>
      </c>
      <c r="AC33" s="44" t="n">
        <f aca="false">AD33+AE33+AF33</f>
        <v>3</v>
      </c>
      <c r="AD33" s="44" t="n">
        <f aca="false">SUMIF(B_SQUADRA_A_GIRONI,AB33,B_VINTE_SQUADRA_A_GIRONI)+SUMIF(B_SQUADRA_B_GIRONI,AB33,B_VINTE_SQUADRA_B_GIRONI)</f>
        <v>2</v>
      </c>
      <c r="AE33" s="44" t="n">
        <f aca="false">SUMIF(B_SQUADRA_A_GIRONI,AB33,B_PERSE_SQUADRA_A_GIRONI)+SUMIF(B_SQUADRA_B_GIRONI,AB33,B_PERSE_SQUADRA_B_GIRONI)</f>
        <v>1</v>
      </c>
      <c r="AF33" s="44" t="n">
        <f aca="false">SUMIF(B_SQUADRA_A_GIRONI,AB33,B_FORFAIT_SQUADRA_A_GIRONI)+SUMIF(B_SQUADRA_B_GIRONI,AB33,B_FORFAIT_SQUADRA_B_GIRONI)</f>
        <v>0</v>
      </c>
      <c r="AG33" s="102" t="n">
        <f aca="false">2*AD33+1*AE33+0*AF33</f>
        <v>5</v>
      </c>
      <c r="AH33" s="103" t="n">
        <f aca="false">SUMIF(B_SQUADRA_A_GIRONI,AB33,B_PUNTI_FATTI_SQUADRA_A_GIRONI)+SUMIF(B_SQUADRA_B_GIRONI,AB33,B_PUNTI_FATTI_SQUADRA_B_GIRONI)</f>
        <v>163</v>
      </c>
      <c r="AI33" s="44" t="n">
        <f aca="false">SUMIF(B_SQUADRA_A_GIRONI,AB33,B_PUNTI_SUBITI_SQUADRA_A_GIRONI)+SUMIF(B_SQUADRA_B_GIRONI,AB33,B_PUNTI_SUBITI_SQUADRA_B_GIRONI)</f>
        <v>110</v>
      </c>
      <c r="AJ33" s="104" t="n">
        <f aca="false">SUMIF(B_SQUADRA_A_GIRONI,AB33,B_DIFF_CANESTRI_SQUADRA_A_GIRONI)+SUMIF(B_SQUADRA_B_GIRONI,AB33,B_DIFF_CANESTRI_SQUADRA_B_GIRONI)</f>
        <v>53</v>
      </c>
      <c r="AK33" s="44" t="n">
        <f aca="true">IF(AG33=AG34,INDIRECT("O"&amp;8+6*(FIND(Z33,"ABCDEFGH")-1)),0)</f>
        <v>0</v>
      </c>
      <c r="AL33" s="44" t="n">
        <f aca="true">IF(AG33=AG31,INDIRECT("U"&amp;4+6*(FIND(Z33,"ABCDEFGH")-1)),0)</f>
        <v>78</v>
      </c>
      <c r="AM33" s="44" t="n">
        <f aca="true">IF(AG33=AG32,INDIRECT("U"&amp;6+6*(FIND(Z33,"ABCDEFGH")-1)),0)</f>
        <v>0</v>
      </c>
      <c r="AN33" s="103" t="n">
        <f aca="false">AK33+AL33+AM33</f>
        <v>78</v>
      </c>
      <c r="AO33" s="98" t="n">
        <f aca="true">IF(AG33=AG34,INDIRECT("Q"&amp;8+6*(FIND(Z33,"ABCDEFGH")-1)),0)</f>
        <v>0</v>
      </c>
      <c r="AP33" s="98" t="n">
        <f aca="true">IF(AG33=AG31,INDIRECT("W"&amp;4+6*(FIND(Z33,"ABCDEFGH")-1)),0)</f>
        <v>-19</v>
      </c>
      <c r="AQ33" s="98" t="n">
        <f aca="true">IF(AG33=AG32,INDIRECT("W"&amp;6+6*(FIND(Z33,"ABCDEFGH")-1)),0)</f>
        <v>0</v>
      </c>
      <c r="AR33" s="104" t="n">
        <f aca="false">AO33+AP33+AQ33</f>
        <v>-19</v>
      </c>
      <c r="AS33" s="105" t="n">
        <f aca="false">AG33+(500+AR33)*10^-3+AN33*10^-6+(500+AJ33)*10^-9+AH33*10^-12</f>
        <v>5.481078553163</v>
      </c>
      <c r="AU33" s="106" t="s">
        <v>263</v>
      </c>
      <c r="AV33" s="107" t="n">
        <v>79</v>
      </c>
      <c r="AW33" s="108" t="s">
        <v>138</v>
      </c>
      <c r="AX33" s="109" t="s">
        <v>255</v>
      </c>
      <c r="AY33" s="108" t="s">
        <v>264</v>
      </c>
      <c r="AZ33" s="108" t="s">
        <v>265</v>
      </c>
      <c r="BA33" s="96" t="str">
        <f aca="false">IF(LEFT(AY33,1)="V",VLOOKUP(_xlfn.NUMBERVALUE(SUBSTITUTE(AY33,"V","")),B_PARTITE_2A_FASE_PER_NUMERO,10,FALSE()),IF(LEFT(AY33,1)="P",VLOOKUP(_xlfn.NUMBERVALUE(SUBSTITUTE(AY33,"P","")),B_PARTITE_2A_FASE_PER_NUMERO,11,FALSE()),VLOOKUP(AY33,B_CLASSIFICHE_GIRONI,4,FALSE())))</f>
        <v>Giraffe</v>
      </c>
      <c r="BB33" s="96" t="str">
        <f aca="false">IF(LEFT(AZ33,1)="V",VLOOKUP(_xlfn.NUMBERVALUE(SUBSTITUTE(AZ33,"V","")),B_PARTITE_2A_FASE_PER_NUMERO,10,FALSE()),IF(LEFT(AZ33,1)="P",VLOOKUP(_xlfn.NUMBERVALUE(SUBSTITUTE(AZ33,"P","")),B_PARTITE_2A_FASE_PER_NUMERO,11,FALSE()),VLOOKUP(AZ33,B_CLASSIFICHE_GIRONI,4,FALSE())))</f>
        <v>Puma</v>
      </c>
      <c r="BC33" s="44" t="n">
        <f aca="false">VLOOKUP(AV33,A_5_INPUT_DATE_E_RISULTATI_2A_FASE,6,0)</f>
        <v>63</v>
      </c>
      <c r="BD33" s="44" t="n">
        <f aca="false">VLOOKUP(AV33,A_5_INPUT_DATE_E_RISULTATI_2A_FASE,7,0)</f>
        <v>42</v>
      </c>
      <c r="BE33" s="96" t="str">
        <f aca="false">IF(BC33&gt;BD33,BA33,BB33)</f>
        <v>Giraffe</v>
      </c>
      <c r="BF33" s="96" t="str">
        <f aca="false">IF(BC33&lt;BD33,BA33,BB33)</f>
        <v>Puma</v>
      </c>
      <c r="BG33" s="44" t="n">
        <f aca="false">1*(BC33&gt;BD33)</f>
        <v>1</v>
      </c>
      <c r="BH33" s="97" t="n">
        <f aca="false">1*(BC33&lt;BD33)*NOT(AND(BC33=0,BD33=20))</f>
        <v>0</v>
      </c>
      <c r="BI33" s="97" t="n">
        <f aca="false">1*AND(BC33=0,BD33=20)</f>
        <v>0</v>
      </c>
      <c r="BJ33" s="44" t="n">
        <f aca="false">BC33</f>
        <v>63</v>
      </c>
      <c r="BK33" s="44" t="n">
        <f aca="false">BD33</f>
        <v>42</v>
      </c>
      <c r="BL33" s="98" t="n">
        <f aca="false">BJ33-BK33</f>
        <v>21</v>
      </c>
      <c r="BM33" s="44" t="n">
        <f aca="false">1*(BD33&gt;BC33)</f>
        <v>0</v>
      </c>
      <c r="BN33" s="44" t="n">
        <f aca="false">1*(BD33&lt;BC33)*NOT(AND(BC33=20,BD33=0))</f>
        <v>1</v>
      </c>
      <c r="BO33" s="44" t="n">
        <f aca="false">1*AND(BC33=20,BD33=0)</f>
        <v>0</v>
      </c>
      <c r="BP33" s="44" t="n">
        <f aca="false">BD33</f>
        <v>42</v>
      </c>
      <c r="BQ33" s="44" t="n">
        <f aca="false">BC33</f>
        <v>63</v>
      </c>
      <c r="BR33" s="99" t="n">
        <f aca="false">BP33-BQ33</f>
        <v>-21</v>
      </c>
    </row>
    <row r="34" customFormat="false" ht="12.8" hidden="false" customHeight="false" outlineLevel="0" collapsed="false">
      <c r="A34" s="32" t="n">
        <v>30</v>
      </c>
      <c r="B34" s="34" t="s">
        <v>10</v>
      </c>
      <c r="C34" s="34" t="s">
        <v>56</v>
      </c>
      <c r="D34" s="44" t="s">
        <v>219</v>
      </c>
      <c r="E34" s="44" t="s">
        <v>228</v>
      </c>
      <c r="F34" s="96" t="str">
        <f aca="false">IF(B34="Girone",VLOOKUP(D34,A_SQUADRE_PER_CODICE,2),"ERRORE!")</f>
        <v>Balene</v>
      </c>
      <c r="G34" s="96" t="str">
        <f aca="false">IF(B34="Girone",VLOOKUP(E34,A_SQUADRE_PER_CODICE,2),"ERRORE!")</f>
        <v>Delfini</v>
      </c>
      <c r="H34" s="44" t="n">
        <f aca="false">VLOOKUP(A34,A_4_INPUT_DATE_E_RISULTATI_GIRONI,6,0)</f>
        <v>33</v>
      </c>
      <c r="I34" s="44" t="n">
        <f aca="false">VLOOKUP(A34,A_4_INPUT_DATE_E_RISULTATI_GIRONI,7,0)</f>
        <v>34</v>
      </c>
      <c r="J34" s="96" t="str">
        <f aca="false">IF(H34&gt;I34,F34,G34)</f>
        <v>Delfini</v>
      </c>
      <c r="K34" s="96" t="str">
        <f aca="false">IF(H34&lt;I34,F34,G34)</f>
        <v>Balene</v>
      </c>
      <c r="L34" s="44" t="n">
        <f aca="false">1*(H34&gt;I34)</f>
        <v>0</v>
      </c>
      <c r="M34" s="97" t="n">
        <f aca="false">1*(H34&lt;I34)*NOT(AND(H34=0,I34=20))</f>
        <v>1</v>
      </c>
      <c r="N34" s="97" t="n">
        <f aca="false">1*AND(H34=0,I34=20)</f>
        <v>0</v>
      </c>
      <c r="O34" s="44" t="n">
        <f aca="false">H34</f>
        <v>33</v>
      </c>
      <c r="P34" s="44" t="n">
        <f aca="false">I34</f>
        <v>34</v>
      </c>
      <c r="Q34" s="98" t="n">
        <f aca="false">O34-P34</f>
        <v>-1</v>
      </c>
      <c r="R34" s="44" t="n">
        <f aca="false">1*(I34&gt;H34)</f>
        <v>1</v>
      </c>
      <c r="S34" s="44" t="n">
        <f aca="false">1*(I34&lt;H34)*NOT(AND(H34=20,I34=0))</f>
        <v>0</v>
      </c>
      <c r="T34" s="44" t="n">
        <f aca="false">1*AND(H34=20,I34=0)</f>
        <v>0</v>
      </c>
      <c r="U34" s="44" t="n">
        <f aca="false">I34</f>
        <v>34</v>
      </c>
      <c r="V34" s="44" t="n">
        <f aca="false">H34</f>
        <v>33</v>
      </c>
      <c r="W34" s="99" t="n">
        <f aca="false">U34-V34</f>
        <v>1</v>
      </c>
      <c r="Y34" s="129" t="str">
        <f aca="false">COUNTIF(B_COEFF_GIRONE_H,"&gt;="&amp;AS34)&amp;Z34</f>
        <v>3H</v>
      </c>
      <c r="Z34" s="47" t="s">
        <v>66</v>
      </c>
      <c r="AA34" s="69" t="s">
        <v>266</v>
      </c>
      <c r="AB34" s="130" t="str">
        <f aca="false">VLOOKUP(AA34,A_SQUADRE_PER_CODICE,2)</f>
        <v>Zebre</v>
      </c>
      <c r="AC34" s="69" t="n">
        <f aca="false">AD34+AE34+AF34</f>
        <v>3</v>
      </c>
      <c r="AD34" s="69" t="n">
        <f aca="false">SUMIF(B_SQUADRA_A_GIRONI,AB34,B_VINTE_SQUADRA_A_GIRONI)+SUMIF(B_SQUADRA_B_GIRONI,AB34,B_VINTE_SQUADRA_B_GIRONI)</f>
        <v>2</v>
      </c>
      <c r="AE34" s="69" t="n">
        <f aca="false">SUMIF(B_SQUADRA_A_GIRONI,AB34,B_PERSE_SQUADRA_A_GIRONI)+SUMIF(B_SQUADRA_B_GIRONI,AB34,B_PERSE_SQUADRA_B_GIRONI)</f>
        <v>0</v>
      </c>
      <c r="AF34" s="69" t="n">
        <f aca="false">SUMIF(B_SQUADRA_A_GIRONI,AB34,B_FORFAIT_SQUADRA_A_GIRONI)+SUMIF(B_SQUADRA_B_GIRONI,AB34,B_FORFAIT_SQUADRA_B_GIRONI)</f>
        <v>1</v>
      </c>
      <c r="AG34" s="131" t="n">
        <f aca="false">2*AD34+1*AE34+0*AF34</f>
        <v>4</v>
      </c>
      <c r="AH34" s="132" t="n">
        <f aca="false">SUMIF(B_SQUADRA_A_GIRONI,AB34,B_PUNTI_FATTI_SQUADRA_A_GIRONI)+SUMIF(B_SQUADRA_B_GIRONI,AB34,B_PUNTI_FATTI_SQUADRA_B_GIRONI)</f>
        <v>133</v>
      </c>
      <c r="AI34" s="69" t="n">
        <f aca="false">SUMIF(B_SQUADRA_A_GIRONI,AB34,B_PUNTI_SUBITI_SQUADRA_A_GIRONI)+SUMIF(B_SQUADRA_B_GIRONI,AB34,B_PUNTI_SUBITI_SQUADRA_B_GIRONI)</f>
        <v>142</v>
      </c>
      <c r="AJ34" s="133" t="n">
        <f aca="false">SUMIF(B_SQUADRA_A_GIRONI,AB34,B_DIFF_CANESTRI_SQUADRA_A_GIRONI)+SUMIF(B_SQUADRA_B_GIRONI,AB34,B_DIFF_CANESTRI_SQUADRA_B_GIRONI)</f>
        <v>-9</v>
      </c>
      <c r="AK34" s="69" t="n">
        <f aca="true">IF(AG34=AG31,INDIRECT("U"&amp;5+6*(FIND(Z34,"ABCDEFGH")-1)),0)</f>
        <v>0</v>
      </c>
      <c r="AL34" s="69" t="n">
        <f aca="true">IF(AG34=AG32,INDIRECT("U"&amp;7+6*(FIND(Z34,"ABCDEFGH")-1)),0)</f>
        <v>0</v>
      </c>
      <c r="AM34" s="69" t="n">
        <f aca="true">IF(AG34=AG33,INDIRECT("U"&amp;8+6*(FIND(Z34,"ABCDEFGH")-1)),0)</f>
        <v>0</v>
      </c>
      <c r="AN34" s="132" t="n">
        <f aca="false">AK34+AL34+AM34</f>
        <v>0</v>
      </c>
      <c r="AO34" s="134" t="n">
        <f aca="true">IF(AG34=AG31,INDIRECT("W"&amp;5+6*(FIND(Z34,"ABCDEFGH")-1)),0)</f>
        <v>0</v>
      </c>
      <c r="AP34" s="134" t="n">
        <f aca="true">IF(AG34=AG32,INDIRECT("W"&amp;7+6*(FIND(Z34,"ABCDEFGH")-1)),0)</f>
        <v>0</v>
      </c>
      <c r="AQ34" s="134" t="n">
        <f aca="true">IF(AG34=AG33,INDIRECT("W"&amp;8+6*(FIND(Z34,"ABCDEFGH")-1)),0)</f>
        <v>0</v>
      </c>
      <c r="AR34" s="133" t="n">
        <f aca="false">AO34+AP34+AQ34</f>
        <v>0</v>
      </c>
      <c r="AS34" s="135" t="n">
        <f aca="false">AG34+(500+AR34)*10^-3+AN34*10^-6+(500+AJ34)*10^-9+AH34*10^-12</f>
        <v>4.500000491133</v>
      </c>
      <c r="AU34" s="106" t="s">
        <v>267</v>
      </c>
      <c r="AV34" s="107" t="n">
        <v>80</v>
      </c>
      <c r="AW34" s="108" t="s">
        <v>138</v>
      </c>
      <c r="AX34" s="109" t="s">
        <v>255</v>
      </c>
      <c r="AY34" s="108" t="s">
        <v>268</v>
      </c>
      <c r="AZ34" s="108" t="s">
        <v>269</v>
      </c>
      <c r="BA34" s="96" t="str">
        <f aca="false">IF(LEFT(AY34,1)="V",VLOOKUP(_xlfn.NUMBERVALUE(SUBSTITUTE(AY34,"V","")),B_PARTITE_2A_FASE_PER_NUMERO,10,FALSE()),IF(LEFT(AY34,1)="P",VLOOKUP(_xlfn.NUMBERVALUE(SUBSTITUTE(AY34,"P","")),B_PARTITE_2A_FASE_PER_NUMERO,11,FALSE()),VLOOKUP(AY34,B_CLASSIFICHE_GIRONI,4,FALSE())))</f>
        <v>Bufali</v>
      </c>
      <c r="BB34" s="96" t="str">
        <f aca="false">IF(LEFT(AZ34,1)="V",VLOOKUP(_xlfn.NUMBERVALUE(SUBSTITUTE(AZ34,"V","")),B_PARTITE_2A_FASE_PER_NUMERO,10,FALSE()),IF(LEFT(AZ34,1)="P",VLOOKUP(_xlfn.NUMBERVALUE(SUBSTITUTE(AZ34,"P","")),B_PARTITE_2A_FASE_PER_NUMERO,11,FALSE()),VLOOKUP(AZ34,B_CLASSIFICHE_GIRONI,4,FALSE())))</f>
        <v>Gabbiani</v>
      </c>
      <c r="BC34" s="44" t="n">
        <f aca="false">VLOOKUP(AV34,A_5_INPUT_DATE_E_RISULTATI_2A_FASE,6,0)</f>
        <v>65</v>
      </c>
      <c r="BD34" s="44" t="n">
        <f aca="false">VLOOKUP(AV34,A_5_INPUT_DATE_E_RISULTATI_2A_FASE,7,0)</f>
        <v>49</v>
      </c>
      <c r="BE34" s="96" t="str">
        <f aca="false">IF(BC34&gt;BD34,BA34,BB34)</f>
        <v>Bufali</v>
      </c>
      <c r="BF34" s="96" t="str">
        <f aca="false">IF(BC34&lt;BD34,BA34,BB34)</f>
        <v>Gabbiani</v>
      </c>
      <c r="BG34" s="44" t="n">
        <f aca="false">1*(BC34&gt;BD34)</f>
        <v>1</v>
      </c>
      <c r="BH34" s="97" t="n">
        <f aca="false">1*(BC34&lt;BD34)*NOT(AND(BC34=0,BD34=20))</f>
        <v>0</v>
      </c>
      <c r="BI34" s="97" t="n">
        <f aca="false">1*AND(BC34=0,BD34=20)</f>
        <v>0</v>
      </c>
      <c r="BJ34" s="44" t="n">
        <f aca="false">BC34</f>
        <v>65</v>
      </c>
      <c r="BK34" s="44" t="n">
        <f aca="false">BD34</f>
        <v>49</v>
      </c>
      <c r="BL34" s="98" t="n">
        <f aca="false">BJ34-BK34</f>
        <v>16</v>
      </c>
      <c r="BM34" s="44" t="n">
        <f aca="false">1*(BD34&gt;BC34)</f>
        <v>0</v>
      </c>
      <c r="BN34" s="44" t="n">
        <f aca="false">1*(BD34&lt;BC34)*NOT(AND(BC34=20,BD34=0))</f>
        <v>1</v>
      </c>
      <c r="BO34" s="44" t="n">
        <f aca="false">1*AND(BC34=20,BD34=0)</f>
        <v>0</v>
      </c>
      <c r="BP34" s="44" t="n">
        <f aca="false">BD34</f>
        <v>49</v>
      </c>
      <c r="BQ34" s="44" t="n">
        <f aca="false">BC34</f>
        <v>65</v>
      </c>
      <c r="BR34" s="99" t="n">
        <f aca="false">BP34-BQ34</f>
        <v>-16</v>
      </c>
    </row>
    <row r="35" customFormat="false" ht="12.8" hidden="false" customHeight="false" outlineLevel="0" collapsed="false">
      <c r="A35" s="32" t="n">
        <v>42</v>
      </c>
      <c r="B35" s="34" t="s">
        <v>10</v>
      </c>
      <c r="C35" s="34" t="s">
        <v>56</v>
      </c>
      <c r="D35" s="44" t="s">
        <v>219</v>
      </c>
      <c r="E35" s="44" t="s">
        <v>233</v>
      </c>
      <c r="F35" s="96" t="str">
        <f aca="false">IF(B35="Girone",VLOOKUP(D35,A_SQUADRE_PER_CODICE,2),"ERRORE!")</f>
        <v>Balene</v>
      </c>
      <c r="G35" s="96" t="str">
        <f aca="false">IF(B35="Girone",VLOOKUP(E35,A_SQUADRE_PER_CODICE,2),"ERRORE!")</f>
        <v>Fenicotteri</v>
      </c>
      <c r="H35" s="44" t="n">
        <f aca="false">VLOOKUP(A35,A_4_INPUT_DATE_E_RISULTATI_GIRONI,6,0)</f>
        <v>36</v>
      </c>
      <c r="I35" s="44" t="n">
        <f aca="false">VLOOKUP(A35,A_4_INPUT_DATE_E_RISULTATI_GIRONI,7,0)</f>
        <v>35</v>
      </c>
      <c r="J35" s="96" t="str">
        <f aca="false">IF(H35&gt;I35,F35,G35)</f>
        <v>Balene</v>
      </c>
      <c r="K35" s="96" t="str">
        <f aca="false">IF(H35&lt;I35,F35,G35)</f>
        <v>Fenicotteri</v>
      </c>
      <c r="L35" s="44" t="n">
        <f aca="false">1*(H35&gt;I35)</f>
        <v>1</v>
      </c>
      <c r="M35" s="97" t="n">
        <f aca="false">1*(H35&lt;I35)*NOT(AND(H35=0,I35=20))</f>
        <v>0</v>
      </c>
      <c r="N35" s="97" t="n">
        <f aca="false">1*AND(H35=0,I35=20)</f>
        <v>0</v>
      </c>
      <c r="O35" s="44" t="n">
        <f aca="false">H35</f>
        <v>36</v>
      </c>
      <c r="P35" s="44" t="n">
        <f aca="false">I35</f>
        <v>35</v>
      </c>
      <c r="Q35" s="98" t="n">
        <f aca="false">O35-P35</f>
        <v>1</v>
      </c>
      <c r="R35" s="44" t="n">
        <f aca="false">1*(I35&gt;H35)</f>
        <v>0</v>
      </c>
      <c r="S35" s="44" t="n">
        <f aca="false">1*(I35&lt;H35)*NOT(AND(H35=20,I35=0))</f>
        <v>1</v>
      </c>
      <c r="T35" s="44" t="n">
        <f aca="false">1*AND(H35=20,I35=0)</f>
        <v>0</v>
      </c>
      <c r="U35" s="44" t="n">
        <f aca="false">I35</f>
        <v>35</v>
      </c>
      <c r="V35" s="44" t="n">
        <f aca="false">H35</f>
        <v>36</v>
      </c>
      <c r="W35" s="99" t="n">
        <f aca="false">U35-V35</f>
        <v>-1</v>
      </c>
      <c r="AU35" s="106" t="s">
        <v>270</v>
      </c>
      <c r="AV35" s="107" t="n">
        <v>81</v>
      </c>
      <c r="AW35" s="108" t="s">
        <v>138</v>
      </c>
      <c r="AX35" s="109" t="s">
        <v>271</v>
      </c>
      <c r="AY35" s="108" t="s">
        <v>272</v>
      </c>
      <c r="AZ35" s="108" t="s">
        <v>273</v>
      </c>
      <c r="BA35" s="96" t="str">
        <f aca="false">IF(LEFT(AY35,1)="V",VLOOKUP(_xlfn.NUMBERVALUE(SUBSTITUTE(AY35,"V","")),B_PARTITE_2A_FASE_PER_NUMERO,10,FALSE()),IF(LEFT(AY35,1)="P",VLOOKUP(_xlfn.NUMBERVALUE(SUBSTITUTE(AY35,"P","")),B_PARTITE_2A_FASE_PER_NUMERO,11,FALSE()),VLOOKUP(AY35,B_CLASSIFICHE_GIRONI,4,FALSE())))</f>
        <v>Iguane</v>
      </c>
      <c r="BB35" s="96" t="str">
        <f aca="false">IF(LEFT(AZ35,1)="V",VLOOKUP(_xlfn.NUMBERVALUE(SUBSTITUTE(AZ35,"V","")),B_PARTITE_2A_FASE_PER_NUMERO,10,FALSE()),IF(LEFT(AZ35,1)="P",VLOOKUP(_xlfn.NUMBERVALUE(SUBSTITUTE(AZ35,"P","")),B_PARTITE_2A_FASE_PER_NUMERO,11,FALSE()),VLOOKUP(AZ35,B_CLASSIFICHE_GIRONI,4,FALSE())))</f>
        <v>Muli</v>
      </c>
      <c r="BC35" s="44" t="n">
        <f aca="false">VLOOKUP(AV35,A_5_INPUT_DATE_E_RISULTATI_2A_FASE,6,0)</f>
        <v>55</v>
      </c>
      <c r="BD35" s="44" t="n">
        <f aca="false">VLOOKUP(AV35,A_5_INPUT_DATE_E_RISULTATI_2A_FASE,7,0)</f>
        <v>41</v>
      </c>
      <c r="BE35" s="96" t="str">
        <f aca="false">IF(BC35&gt;BD35,BA35,BB35)</f>
        <v>Iguane</v>
      </c>
      <c r="BF35" s="96" t="str">
        <f aca="false">IF(BC35&lt;BD35,BA35,BB35)</f>
        <v>Muli</v>
      </c>
      <c r="BG35" s="44" t="n">
        <f aca="false">1*(BC35&gt;BD35)</f>
        <v>1</v>
      </c>
      <c r="BH35" s="97" t="n">
        <f aca="false">1*(BC35&lt;BD35)*NOT(AND(BC35=0,BD35=20))</f>
        <v>0</v>
      </c>
      <c r="BI35" s="97" t="n">
        <f aca="false">1*AND(BC35=0,BD35=20)</f>
        <v>0</v>
      </c>
      <c r="BJ35" s="44" t="n">
        <f aca="false">BC35</f>
        <v>55</v>
      </c>
      <c r="BK35" s="44" t="n">
        <f aca="false">BD35</f>
        <v>41</v>
      </c>
      <c r="BL35" s="98" t="n">
        <f aca="false">BJ35-BK35</f>
        <v>14</v>
      </c>
      <c r="BM35" s="44" t="n">
        <f aca="false">1*(BD35&gt;BC35)</f>
        <v>0</v>
      </c>
      <c r="BN35" s="44" t="n">
        <f aca="false">1*(BD35&lt;BC35)*NOT(AND(BC35=20,BD35=0))</f>
        <v>1</v>
      </c>
      <c r="BO35" s="44" t="n">
        <f aca="false">1*AND(BC35=20,BD35=0)</f>
        <v>0</v>
      </c>
      <c r="BP35" s="44" t="n">
        <f aca="false">BD35</f>
        <v>41</v>
      </c>
      <c r="BQ35" s="44" t="n">
        <f aca="false">BC35</f>
        <v>55</v>
      </c>
      <c r="BR35" s="99" t="n">
        <f aca="false">BP35-BQ35</f>
        <v>-14</v>
      </c>
    </row>
    <row r="36" customFormat="false" ht="12.8" hidden="false" customHeight="false" outlineLevel="0" collapsed="false">
      <c r="A36" s="32" t="n">
        <v>46</v>
      </c>
      <c r="B36" s="34" t="s">
        <v>10</v>
      </c>
      <c r="C36" s="34" t="s">
        <v>56</v>
      </c>
      <c r="D36" s="44" t="s">
        <v>224</v>
      </c>
      <c r="E36" s="44" t="s">
        <v>228</v>
      </c>
      <c r="F36" s="96" t="str">
        <f aca="false">IF(B36="Girone",VLOOKUP(D36,A_SQUADRE_PER_CODICE,2),"ERRORE!")</f>
        <v>Gabbiani</v>
      </c>
      <c r="G36" s="96" t="str">
        <f aca="false">IF(B36="Girone",VLOOKUP(E36,A_SQUADRE_PER_CODICE,2),"ERRORE!")</f>
        <v>Delfini</v>
      </c>
      <c r="H36" s="44" t="n">
        <f aca="false">VLOOKUP(A36,A_4_INPUT_DATE_E_RISULTATI_GIRONI,6,0)</f>
        <v>34</v>
      </c>
      <c r="I36" s="44" t="n">
        <f aca="false">VLOOKUP(A36,A_4_INPUT_DATE_E_RISULTATI_GIRONI,7,0)</f>
        <v>33</v>
      </c>
      <c r="J36" s="96" t="str">
        <f aca="false">IF(H36&gt;I36,F36,G36)</f>
        <v>Gabbiani</v>
      </c>
      <c r="K36" s="96" t="str">
        <f aca="false">IF(H36&lt;I36,F36,G36)</f>
        <v>Delfini</v>
      </c>
      <c r="L36" s="44" t="n">
        <f aca="false">1*(H36&gt;I36)</f>
        <v>1</v>
      </c>
      <c r="M36" s="97" t="n">
        <f aca="false">1*(H36&lt;I36)*NOT(AND(H36=0,I36=20))</f>
        <v>0</v>
      </c>
      <c r="N36" s="97" t="n">
        <f aca="false">1*AND(H36=0,I36=20)</f>
        <v>0</v>
      </c>
      <c r="O36" s="44" t="n">
        <f aca="false">H36</f>
        <v>34</v>
      </c>
      <c r="P36" s="44" t="n">
        <f aca="false">I36</f>
        <v>33</v>
      </c>
      <c r="Q36" s="98" t="n">
        <f aca="false">O36-P36</f>
        <v>1</v>
      </c>
      <c r="R36" s="44" t="n">
        <f aca="false">1*(I36&gt;H36)</f>
        <v>0</v>
      </c>
      <c r="S36" s="44" t="n">
        <f aca="false">1*(I36&lt;H36)*NOT(AND(H36=20,I36=0))</f>
        <v>1</v>
      </c>
      <c r="T36" s="44" t="n">
        <f aca="false">1*AND(H36=20,I36=0)</f>
        <v>0</v>
      </c>
      <c r="U36" s="44" t="n">
        <f aca="false">I36</f>
        <v>33</v>
      </c>
      <c r="V36" s="44" t="n">
        <f aca="false">H36</f>
        <v>34</v>
      </c>
      <c r="W36" s="99" t="n">
        <f aca="false">U36-V36</f>
        <v>-1</v>
      </c>
      <c r="AU36" s="106" t="s">
        <v>274</v>
      </c>
      <c r="AV36" s="107" t="n">
        <v>82</v>
      </c>
      <c r="AW36" s="108" t="s">
        <v>138</v>
      </c>
      <c r="AX36" s="109" t="s">
        <v>271</v>
      </c>
      <c r="AY36" s="108" t="s">
        <v>236</v>
      </c>
      <c r="AZ36" s="108" t="s">
        <v>275</v>
      </c>
      <c r="BA36" s="96" t="str">
        <f aca="false">IF(LEFT(AY36,1)="V",VLOOKUP(_xlfn.NUMBERVALUE(SUBSTITUTE(AY36,"V","")),B_PARTITE_2A_FASE_PER_NUMERO,10,FALSE()),IF(LEFT(AY36,1)="P",VLOOKUP(_xlfn.NUMBERVALUE(SUBSTITUTE(AY36,"P","")),B_PARTITE_2A_FASE_PER_NUMERO,11,FALSE()),VLOOKUP(AY36,B_CLASSIFICHE_GIRONI,4,FALSE())))</f>
        <v>Delfini</v>
      </c>
      <c r="BB36" s="96" t="str">
        <f aca="false">IF(LEFT(AZ36,1)="V",VLOOKUP(_xlfn.NUMBERVALUE(SUBSTITUTE(AZ36,"V","")),B_PARTITE_2A_FASE_PER_NUMERO,10,FALSE()),IF(LEFT(AZ36,1)="P",VLOOKUP(_xlfn.NUMBERVALUE(SUBSTITUTE(AZ36,"P","")),B_PARTITE_2A_FASE_PER_NUMERO,11,FALSE()),VLOOKUP(AZ36,B_CLASSIFICHE_GIRONI,4,FALSE())))</f>
        <v>Ghepardi</v>
      </c>
      <c r="BC36" s="44" t="n">
        <f aca="false">VLOOKUP(AV36,A_5_INPUT_DATE_E_RISULTATI_2A_FASE,6,0)</f>
        <v>63</v>
      </c>
      <c r="BD36" s="44" t="n">
        <f aca="false">VLOOKUP(AV36,A_5_INPUT_DATE_E_RISULTATI_2A_FASE,7,0)</f>
        <v>37</v>
      </c>
      <c r="BE36" s="96" t="str">
        <f aca="false">IF(BC36&gt;BD36,BA36,BB36)</f>
        <v>Delfini</v>
      </c>
      <c r="BF36" s="96" t="str">
        <f aca="false">IF(BC36&lt;BD36,BA36,BB36)</f>
        <v>Ghepardi</v>
      </c>
      <c r="BG36" s="44" t="n">
        <f aca="false">1*(BC36&gt;BD36)</f>
        <v>1</v>
      </c>
      <c r="BH36" s="97" t="n">
        <f aca="false">1*(BC36&lt;BD36)*NOT(AND(BC36=0,BD36=20))</f>
        <v>0</v>
      </c>
      <c r="BI36" s="97" t="n">
        <f aca="false">1*AND(BC36=0,BD36=20)</f>
        <v>0</v>
      </c>
      <c r="BJ36" s="44" t="n">
        <f aca="false">BC36</f>
        <v>63</v>
      </c>
      <c r="BK36" s="44" t="n">
        <f aca="false">BD36</f>
        <v>37</v>
      </c>
      <c r="BL36" s="98" t="n">
        <f aca="false">BJ36-BK36</f>
        <v>26</v>
      </c>
      <c r="BM36" s="44" t="n">
        <f aca="false">1*(BD36&gt;BC36)</f>
        <v>0</v>
      </c>
      <c r="BN36" s="44" t="n">
        <f aca="false">1*(BD36&lt;BC36)*NOT(AND(BC36=20,BD36=0))</f>
        <v>1</v>
      </c>
      <c r="BO36" s="44" t="n">
        <f aca="false">1*AND(BC36=20,BD36=0)</f>
        <v>0</v>
      </c>
      <c r="BP36" s="44" t="n">
        <f aca="false">BD36</f>
        <v>37</v>
      </c>
      <c r="BQ36" s="44" t="n">
        <f aca="false">BC36</f>
        <v>63</v>
      </c>
      <c r="BR36" s="99" t="n">
        <f aca="false">BP36-BQ36</f>
        <v>-26</v>
      </c>
    </row>
    <row r="37" customFormat="false" ht="12.8" hidden="false" customHeight="false" outlineLevel="0" collapsed="false">
      <c r="A37" s="32" t="n">
        <v>34</v>
      </c>
      <c r="B37" s="34" t="s">
        <v>10</v>
      </c>
      <c r="C37" s="34" t="s">
        <v>56</v>
      </c>
      <c r="D37" s="44" t="s">
        <v>224</v>
      </c>
      <c r="E37" s="44" t="s">
        <v>233</v>
      </c>
      <c r="F37" s="96" t="str">
        <f aca="false">IF(B37="Girone",VLOOKUP(D37,A_SQUADRE_PER_CODICE,2),"ERRORE!")</f>
        <v>Gabbiani</v>
      </c>
      <c r="G37" s="96" t="str">
        <f aca="false">IF(B37="Girone",VLOOKUP(E37,A_SQUADRE_PER_CODICE,2),"ERRORE!")</f>
        <v>Fenicotteri</v>
      </c>
      <c r="H37" s="44" t="n">
        <f aca="false">VLOOKUP(A37,A_4_INPUT_DATE_E_RISULTATI_GIRONI,6,0)</f>
        <v>35</v>
      </c>
      <c r="I37" s="44" t="n">
        <f aca="false">VLOOKUP(A37,A_4_INPUT_DATE_E_RISULTATI_GIRONI,7,0)</f>
        <v>34</v>
      </c>
      <c r="J37" s="96" t="str">
        <f aca="false">IF(H37&gt;I37,F37,G37)</f>
        <v>Gabbiani</v>
      </c>
      <c r="K37" s="96" t="str">
        <f aca="false">IF(H37&lt;I37,F37,G37)</f>
        <v>Fenicotteri</v>
      </c>
      <c r="L37" s="44" t="n">
        <f aca="false">1*(H37&gt;I37)</f>
        <v>1</v>
      </c>
      <c r="M37" s="97" t="n">
        <f aca="false">1*(H37&lt;I37)*NOT(AND(H37=0,I37=20))</f>
        <v>0</v>
      </c>
      <c r="N37" s="97" t="n">
        <f aca="false">1*AND(H37=0,I37=20)</f>
        <v>0</v>
      </c>
      <c r="O37" s="44" t="n">
        <f aca="false">H37</f>
        <v>35</v>
      </c>
      <c r="P37" s="44" t="n">
        <f aca="false">I37</f>
        <v>34</v>
      </c>
      <c r="Q37" s="98" t="n">
        <f aca="false">O37-P37</f>
        <v>1</v>
      </c>
      <c r="R37" s="44" t="n">
        <f aca="false">1*(I37&gt;H37)</f>
        <v>0</v>
      </c>
      <c r="S37" s="44" t="n">
        <f aca="false">1*(I37&lt;H37)*NOT(AND(H37=20,I37=0))</f>
        <v>1</v>
      </c>
      <c r="T37" s="44" t="n">
        <f aca="false">1*AND(H37=20,I37=0)</f>
        <v>0</v>
      </c>
      <c r="U37" s="44" t="n">
        <f aca="false">I37</f>
        <v>34</v>
      </c>
      <c r="V37" s="44" t="n">
        <f aca="false">H37</f>
        <v>35</v>
      </c>
      <c r="W37" s="99" t="n">
        <f aca="false">U37-V37</f>
        <v>-1</v>
      </c>
      <c r="AU37" s="106" t="s">
        <v>276</v>
      </c>
      <c r="AV37" s="107" t="n">
        <v>83</v>
      </c>
      <c r="AW37" s="108" t="s">
        <v>138</v>
      </c>
      <c r="AX37" s="109" t="s">
        <v>277</v>
      </c>
      <c r="AY37" s="108" t="s">
        <v>278</v>
      </c>
      <c r="AZ37" s="108" t="s">
        <v>279</v>
      </c>
      <c r="BA37" s="96" t="str">
        <f aca="false">IF(LEFT(AY37,1)="V",VLOOKUP(_xlfn.NUMBERVALUE(SUBSTITUTE(AY37,"V","")),B_PARTITE_2A_FASE_PER_NUMERO,10,FALSE()),IF(LEFT(AY37,1)="P",VLOOKUP(_xlfn.NUMBERVALUE(SUBSTITUTE(AY37,"P","")),B_PARTITE_2A_FASE_PER_NUMERO,11,FALSE()),VLOOKUP(AY37,B_CLASSIFICHE_GIRONI,4,FALSE())))</f>
        <v>Falchi</v>
      </c>
      <c r="BB37" s="96" t="str">
        <f aca="false">IF(LEFT(AZ37,1)="V",VLOOKUP(_xlfn.NUMBERVALUE(SUBSTITUTE(AZ37,"V","")),B_PARTITE_2A_FASE_PER_NUMERO,10,FALSE()),IF(LEFT(AZ37,1)="P",VLOOKUP(_xlfn.NUMBERVALUE(SUBSTITUTE(AZ37,"P","")),B_PARTITE_2A_FASE_PER_NUMERO,11,FALSE()),VLOOKUP(AZ37,B_CLASSIFICHE_GIRONI,4,FALSE())))</f>
        <v>Scorpioni</v>
      </c>
      <c r="BC37" s="44" t="n">
        <f aca="false">VLOOKUP(AV37,A_5_INPUT_DATE_E_RISULTATI_2A_FASE,6,0)</f>
        <v>52</v>
      </c>
      <c r="BD37" s="44" t="n">
        <f aca="false">VLOOKUP(AV37,A_5_INPUT_DATE_E_RISULTATI_2A_FASE,7,0)</f>
        <v>40</v>
      </c>
      <c r="BE37" s="96" t="str">
        <f aca="false">IF(BC37&gt;BD37,BA37,BB37)</f>
        <v>Falchi</v>
      </c>
      <c r="BF37" s="96" t="str">
        <f aca="false">IF(BC37&lt;BD37,BA37,BB37)</f>
        <v>Scorpioni</v>
      </c>
      <c r="BG37" s="44" t="n">
        <f aca="false">1*(BC37&gt;BD37)</f>
        <v>1</v>
      </c>
      <c r="BH37" s="97" t="n">
        <f aca="false">1*(BC37&lt;BD37)*NOT(AND(BC37=0,BD37=20))</f>
        <v>0</v>
      </c>
      <c r="BI37" s="97" t="n">
        <f aca="false">1*AND(BC37=0,BD37=20)</f>
        <v>0</v>
      </c>
      <c r="BJ37" s="44" t="n">
        <f aca="false">BC37</f>
        <v>52</v>
      </c>
      <c r="BK37" s="44" t="n">
        <f aca="false">BD37</f>
        <v>40</v>
      </c>
      <c r="BL37" s="98" t="n">
        <f aca="false">BJ37-BK37</f>
        <v>12</v>
      </c>
      <c r="BM37" s="44" t="n">
        <f aca="false">1*(BD37&gt;BC37)</f>
        <v>0</v>
      </c>
      <c r="BN37" s="44" t="n">
        <f aca="false">1*(BD37&lt;BC37)*NOT(AND(BC37=20,BD37=0))</f>
        <v>1</v>
      </c>
      <c r="BO37" s="44" t="n">
        <f aca="false">1*AND(BC37=20,BD37=0)</f>
        <v>0</v>
      </c>
      <c r="BP37" s="44" t="n">
        <f aca="false">BD37</f>
        <v>40</v>
      </c>
      <c r="BQ37" s="44" t="n">
        <f aca="false">BC37</f>
        <v>52</v>
      </c>
      <c r="BR37" s="99" t="n">
        <f aca="false">BP37-BQ37</f>
        <v>-12</v>
      </c>
    </row>
    <row r="38" customFormat="false" ht="12.8" hidden="false" customHeight="false" outlineLevel="0" collapsed="false">
      <c r="A38" s="32" t="n">
        <v>22</v>
      </c>
      <c r="B38" s="34" t="s">
        <v>10</v>
      </c>
      <c r="C38" s="34" t="s">
        <v>56</v>
      </c>
      <c r="D38" s="44" t="s">
        <v>228</v>
      </c>
      <c r="E38" s="44" t="s">
        <v>233</v>
      </c>
      <c r="F38" s="96" t="str">
        <f aca="false">IF(B38="Girone",VLOOKUP(D38,A_SQUADRE_PER_CODICE,2),"ERRORE!")</f>
        <v>Delfini</v>
      </c>
      <c r="G38" s="96" t="str">
        <f aca="false">IF(B38="Girone",VLOOKUP(E38,A_SQUADRE_PER_CODICE,2),"ERRORE!")</f>
        <v>Fenicotteri</v>
      </c>
      <c r="H38" s="44" t="n">
        <f aca="false">VLOOKUP(A38,A_4_INPUT_DATE_E_RISULTATI_GIRONI,6,0)</f>
        <v>34</v>
      </c>
      <c r="I38" s="44" t="n">
        <f aca="false">VLOOKUP(A38,A_4_INPUT_DATE_E_RISULTATI_GIRONI,7,0)</f>
        <v>33</v>
      </c>
      <c r="J38" s="96" t="str">
        <f aca="false">IF(H38&gt;I38,F38,G38)</f>
        <v>Delfini</v>
      </c>
      <c r="K38" s="96" t="str">
        <f aca="false">IF(H38&lt;I38,F38,G38)</f>
        <v>Fenicotteri</v>
      </c>
      <c r="L38" s="44" t="n">
        <f aca="false">1*(H38&gt;I38)</f>
        <v>1</v>
      </c>
      <c r="M38" s="97" t="n">
        <f aca="false">1*(H38&lt;I38)*NOT(AND(H38=0,I38=20))</f>
        <v>0</v>
      </c>
      <c r="N38" s="97" t="n">
        <f aca="false">1*AND(H38=0,I38=20)</f>
        <v>0</v>
      </c>
      <c r="O38" s="44" t="n">
        <f aca="false">H38</f>
        <v>34</v>
      </c>
      <c r="P38" s="44" t="n">
        <f aca="false">I38</f>
        <v>33</v>
      </c>
      <c r="Q38" s="98" t="n">
        <f aca="false">O38-P38</f>
        <v>1</v>
      </c>
      <c r="R38" s="44" t="n">
        <f aca="false">1*(I38&gt;H38)</f>
        <v>0</v>
      </c>
      <c r="S38" s="44" t="n">
        <f aca="false">1*(I38&lt;H38)*NOT(AND(H38=20,I38=0))</f>
        <v>1</v>
      </c>
      <c r="T38" s="44" t="n">
        <f aca="false">1*AND(H38=20,I38=0)</f>
        <v>0</v>
      </c>
      <c r="U38" s="44" t="n">
        <f aca="false">I38</f>
        <v>33</v>
      </c>
      <c r="V38" s="44" t="n">
        <f aca="false">H38</f>
        <v>34</v>
      </c>
      <c r="W38" s="99" t="n">
        <f aca="false">U38-V38</f>
        <v>-1</v>
      </c>
      <c r="AU38" s="106" t="s">
        <v>280</v>
      </c>
      <c r="AV38" s="107" t="n">
        <v>84</v>
      </c>
      <c r="AW38" s="108" t="s">
        <v>138</v>
      </c>
      <c r="AX38" s="109" t="s">
        <v>277</v>
      </c>
      <c r="AY38" s="108" t="s">
        <v>214</v>
      </c>
      <c r="AZ38" s="108" t="s">
        <v>281</v>
      </c>
      <c r="BA38" s="96" t="str">
        <f aca="false">IF(LEFT(AY38,1)="V",VLOOKUP(_xlfn.NUMBERVALUE(SUBSTITUTE(AY38,"V","")),B_PARTITE_2A_FASE_PER_NUMERO,10,FALSE()),IF(LEFT(AY38,1)="P",VLOOKUP(_xlfn.NUMBERVALUE(SUBSTITUTE(AY38,"P","")),B_PARTITE_2A_FASE_PER_NUMERO,11,FALSE()),VLOOKUP(AY38,B_CLASSIFICHE_GIRONI,4,FALSE())))</f>
        <v>Scorpioni</v>
      </c>
      <c r="BB38" s="96" t="str">
        <f aca="false">IF(LEFT(AZ38,1)="V",VLOOKUP(_xlfn.NUMBERVALUE(SUBSTITUTE(AZ38,"V","")),B_PARTITE_2A_FASE_PER_NUMERO,10,FALSE()),IF(LEFT(AZ38,1)="P",VLOOKUP(_xlfn.NUMBERVALUE(SUBSTITUTE(AZ38,"P","")),B_PARTITE_2A_FASE_PER_NUMERO,11,FALSE()),VLOOKUP(AZ38,B_CLASSIFICHE_GIRONI,4,FALSE())))</f>
        <v>Serval</v>
      </c>
      <c r="BC38" s="44" t="n">
        <f aca="false">VLOOKUP(AV38,A_5_INPUT_DATE_E_RISULTATI_2A_FASE,6,0)</f>
        <v>52</v>
      </c>
      <c r="BD38" s="44" t="n">
        <f aca="false">VLOOKUP(AV38,A_5_INPUT_DATE_E_RISULTATI_2A_FASE,7,0)</f>
        <v>36</v>
      </c>
      <c r="BE38" s="96" t="str">
        <f aca="false">IF(BC38&gt;BD38,BA38,BB38)</f>
        <v>Scorpioni</v>
      </c>
      <c r="BF38" s="96" t="str">
        <f aca="false">IF(BC38&lt;BD38,BA38,BB38)</f>
        <v>Serval</v>
      </c>
      <c r="BG38" s="44" t="n">
        <f aca="false">1*(BC38&gt;BD38)</f>
        <v>1</v>
      </c>
      <c r="BH38" s="97" t="n">
        <f aca="false">1*(BC38&lt;BD38)*NOT(AND(BC38=0,BD38=20))</f>
        <v>0</v>
      </c>
      <c r="BI38" s="97" t="n">
        <f aca="false">1*AND(BC38=0,BD38=20)</f>
        <v>0</v>
      </c>
      <c r="BJ38" s="44" t="n">
        <f aca="false">BC38</f>
        <v>52</v>
      </c>
      <c r="BK38" s="44" t="n">
        <f aca="false">BD38</f>
        <v>36</v>
      </c>
      <c r="BL38" s="98" t="n">
        <f aca="false">BJ38-BK38</f>
        <v>16</v>
      </c>
      <c r="BM38" s="44" t="n">
        <f aca="false">1*(BD38&gt;BC38)</f>
        <v>0</v>
      </c>
      <c r="BN38" s="44" t="n">
        <f aca="false">1*(BD38&lt;BC38)*NOT(AND(BC38=20,BD38=0))</f>
        <v>1</v>
      </c>
      <c r="BO38" s="44" t="n">
        <f aca="false">1*AND(BC38=20,BD38=0)</f>
        <v>0</v>
      </c>
      <c r="BP38" s="44" t="n">
        <f aca="false">BD38</f>
        <v>36</v>
      </c>
      <c r="BQ38" s="44" t="n">
        <f aca="false">BC38</f>
        <v>52</v>
      </c>
      <c r="BR38" s="99" t="n">
        <f aca="false">BP38-BQ38</f>
        <v>-16</v>
      </c>
    </row>
    <row r="39" customFormat="false" ht="12.8" hidden="false" customHeight="false" outlineLevel="0" collapsed="false">
      <c r="A39" s="32" t="n">
        <v>19</v>
      </c>
      <c r="B39" s="34" t="s">
        <v>10</v>
      </c>
      <c r="C39" s="34" t="s">
        <v>61</v>
      </c>
      <c r="D39" s="44" t="s">
        <v>237</v>
      </c>
      <c r="E39" s="44" t="s">
        <v>241</v>
      </c>
      <c r="F39" s="96" t="str">
        <f aca="false">IF(B39="Girone",VLOOKUP(D39,A_SQUADRE_PER_CODICE,2),"ERRORE!")</f>
        <v>Istrici</v>
      </c>
      <c r="G39" s="96" t="str">
        <f aca="false">IF(B39="Girone",VLOOKUP(E39,A_SQUADRE_PER_CODICE,2),"ERRORE!")</f>
        <v>Gorilla</v>
      </c>
      <c r="H39" s="44" t="n">
        <f aca="false">VLOOKUP(A39,A_4_INPUT_DATE_E_RISULTATI_GIRONI,6,0)</f>
        <v>20</v>
      </c>
      <c r="I39" s="44" t="n">
        <f aca="false">VLOOKUP(A39,A_4_INPUT_DATE_E_RISULTATI_GIRONI,7,0)</f>
        <v>0</v>
      </c>
      <c r="J39" s="96" t="str">
        <f aca="false">IF(H39&gt;I39,F39,G39)</f>
        <v>Istrici</v>
      </c>
      <c r="K39" s="96" t="str">
        <f aca="false">IF(H39&lt;I39,F39,G39)</f>
        <v>Gorilla</v>
      </c>
      <c r="L39" s="44" t="n">
        <f aca="false">1*(H39&gt;I39)</f>
        <v>1</v>
      </c>
      <c r="M39" s="97" t="n">
        <f aca="false">1*(H39&lt;I39)*NOT(AND(H39=0,I39=20))</f>
        <v>0</v>
      </c>
      <c r="N39" s="97" t="n">
        <f aca="false">1*AND(H39=0,I39=20)</f>
        <v>0</v>
      </c>
      <c r="O39" s="44" t="n">
        <f aca="false">H39</f>
        <v>20</v>
      </c>
      <c r="P39" s="44" t="n">
        <f aca="false">I39</f>
        <v>0</v>
      </c>
      <c r="Q39" s="98" t="n">
        <f aca="false">O39-P39</f>
        <v>20</v>
      </c>
      <c r="R39" s="44" t="n">
        <f aca="false">1*(I39&gt;H39)</f>
        <v>0</v>
      </c>
      <c r="S39" s="44" t="n">
        <f aca="false">1*(I39&lt;H39)*NOT(AND(H39=20,I39=0))</f>
        <v>0</v>
      </c>
      <c r="T39" s="44" t="n">
        <f aca="false">1*AND(H39=20,I39=0)</f>
        <v>1</v>
      </c>
      <c r="U39" s="44" t="n">
        <f aca="false">I39</f>
        <v>0</v>
      </c>
      <c r="V39" s="44" t="n">
        <f aca="false">H39</f>
        <v>20</v>
      </c>
      <c r="W39" s="99" t="n">
        <f aca="false">U39-V39</f>
        <v>-20</v>
      </c>
      <c r="AU39" s="106" t="s">
        <v>282</v>
      </c>
      <c r="AV39" s="107" t="n">
        <v>85</v>
      </c>
      <c r="AW39" s="108" t="s">
        <v>138</v>
      </c>
      <c r="AX39" s="109" t="s">
        <v>283</v>
      </c>
      <c r="AY39" s="108" t="s">
        <v>284</v>
      </c>
      <c r="AZ39" s="108" t="s">
        <v>285</v>
      </c>
      <c r="BA39" s="96" t="str">
        <f aca="false">IF(LEFT(AY39,1)="V",VLOOKUP(_xlfn.NUMBERVALUE(SUBSTITUTE(AY39,"V","")),B_PARTITE_2A_FASE_PER_NUMERO,10,FALSE()),IF(LEFT(AY39,1)="P",VLOOKUP(_xlfn.NUMBERVALUE(SUBSTITUTE(AY39,"P","")),B_PARTITE_2A_FASE_PER_NUMERO,11,FALSE()),VLOOKUP(AY39,B_CLASSIFICHE_GIRONI,4,FALSE())))</f>
        <v>Giaguari</v>
      </c>
      <c r="BB39" s="96" t="str">
        <f aca="false">IF(LEFT(AZ39,1)="V",VLOOKUP(_xlfn.NUMBERVALUE(SUBSTITUTE(AZ39,"V","")),B_PARTITE_2A_FASE_PER_NUMERO,10,FALSE()),IF(LEFT(AZ39,1)="P",VLOOKUP(_xlfn.NUMBERVALUE(SUBSTITUTE(AZ39,"P","")),B_PARTITE_2A_FASE_PER_NUMERO,11,FALSE()),VLOOKUP(AZ39,B_CLASSIFICHE_GIRONI,4,FALSE())))</f>
        <v>Balene</v>
      </c>
      <c r="BC39" s="44" t="n">
        <f aca="false">VLOOKUP(AV39,A_5_INPUT_DATE_E_RISULTATI_2A_FASE,6,0)</f>
        <v>70</v>
      </c>
      <c r="BD39" s="44" t="n">
        <f aca="false">VLOOKUP(AV39,A_5_INPUT_DATE_E_RISULTATI_2A_FASE,7,0)</f>
        <v>42</v>
      </c>
      <c r="BE39" s="96" t="str">
        <f aca="false">IF(BC39&gt;BD39,BA39,BB39)</f>
        <v>Giaguari</v>
      </c>
      <c r="BF39" s="96" t="str">
        <f aca="false">IF(BC39&lt;BD39,BA39,BB39)</f>
        <v>Balene</v>
      </c>
      <c r="BG39" s="44" t="n">
        <f aca="false">1*(BC39&gt;BD39)</f>
        <v>1</v>
      </c>
      <c r="BH39" s="97" t="n">
        <f aca="false">1*(BC39&lt;BD39)*NOT(AND(BC39=0,BD39=20))</f>
        <v>0</v>
      </c>
      <c r="BI39" s="97" t="n">
        <f aca="false">1*AND(BC39=0,BD39=20)</f>
        <v>0</v>
      </c>
      <c r="BJ39" s="44" t="n">
        <f aca="false">BC39</f>
        <v>70</v>
      </c>
      <c r="BK39" s="44" t="n">
        <f aca="false">BD39</f>
        <v>42</v>
      </c>
      <c r="BL39" s="98" t="n">
        <f aca="false">BJ39-BK39</f>
        <v>28</v>
      </c>
      <c r="BM39" s="44" t="n">
        <f aca="false">1*(BD39&gt;BC39)</f>
        <v>0</v>
      </c>
      <c r="BN39" s="44" t="n">
        <f aca="false">1*(BD39&lt;BC39)*NOT(AND(BC39=20,BD39=0))</f>
        <v>1</v>
      </c>
      <c r="BO39" s="44" t="n">
        <f aca="false">1*AND(BC39=20,BD39=0)</f>
        <v>0</v>
      </c>
      <c r="BP39" s="44" t="n">
        <f aca="false">BD39</f>
        <v>42</v>
      </c>
      <c r="BQ39" s="44" t="n">
        <f aca="false">BC39</f>
        <v>70</v>
      </c>
      <c r="BR39" s="99" t="n">
        <f aca="false">BP39-BQ39</f>
        <v>-28</v>
      </c>
    </row>
    <row r="40" customFormat="false" ht="12.8" hidden="false" customHeight="false" outlineLevel="0" collapsed="false">
      <c r="A40" s="32" t="n">
        <v>31</v>
      </c>
      <c r="B40" s="34" t="s">
        <v>10</v>
      </c>
      <c r="C40" s="34" t="s">
        <v>61</v>
      </c>
      <c r="D40" s="44" t="s">
        <v>237</v>
      </c>
      <c r="E40" s="44" t="s">
        <v>245</v>
      </c>
      <c r="F40" s="96" t="str">
        <f aca="false">IF(B40="Girone",VLOOKUP(D40,A_SQUADRE_PER_CODICE,2),"ERRORE!")</f>
        <v>Istrici</v>
      </c>
      <c r="G40" s="96" t="str">
        <f aca="false">IF(B40="Girone",VLOOKUP(E40,A_SQUADRE_PER_CODICE,2),"ERRORE!")</f>
        <v>Muli</v>
      </c>
      <c r="H40" s="44" t="n">
        <f aca="false">VLOOKUP(A40,A_4_INPUT_DATE_E_RISULTATI_GIRONI,6,0)</f>
        <v>20</v>
      </c>
      <c r="I40" s="44" t="n">
        <f aca="false">VLOOKUP(A40,A_4_INPUT_DATE_E_RISULTATI_GIRONI,7,0)</f>
        <v>0</v>
      </c>
      <c r="J40" s="96" t="str">
        <f aca="false">IF(H40&gt;I40,F40,G40)</f>
        <v>Istrici</v>
      </c>
      <c r="K40" s="96" t="str">
        <f aca="false">IF(H40&lt;I40,F40,G40)</f>
        <v>Muli</v>
      </c>
      <c r="L40" s="44" t="n">
        <f aca="false">1*(H40&gt;I40)</f>
        <v>1</v>
      </c>
      <c r="M40" s="97" t="n">
        <f aca="false">1*(H40&lt;I40)*NOT(AND(H40=0,I40=20))</f>
        <v>0</v>
      </c>
      <c r="N40" s="97" t="n">
        <f aca="false">1*AND(H40=0,I40=20)</f>
        <v>0</v>
      </c>
      <c r="O40" s="44" t="n">
        <f aca="false">H40</f>
        <v>20</v>
      </c>
      <c r="P40" s="44" t="n">
        <f aca="false">I40</f>
        <v>0</v>
      </c>
      <c r="Q40" s="98" t="n">
        <f aca="false">O40-P40</f>
        <v>20</v>
      </c>
      <c r="R40" s="44" t="n">
        <f aca="false">1*(I40&gt;H40)</f>
        <v>0</v>
      </c>
      <c r="S40" s="44" t="n">
        <f aca="false">1*(I40&lt;H40)*NOT(AND(H40=20,I40=0))</f>
        <v>0</v>
      </c>
      <c r="T40" s="44" t="n">
        <f aca="false">1*AND(H40=20,I40=0)</f>
        <v>1</v>
      </c>
      <c r="U40" s="44" t="n">
        <f aca="false">I40</f>
        <v>0</v>
      </c>
      <c r="V40" s="44" t="n">
        <f aca="false">H40</f>
        <v>20</v>
      </c>
      <c r="W40" s="99" t="n">
        <f aca="false">U40-V40</f>
        <v>-20</v>
      </c>
      <c r="AU40" s="106" t="s">
        <v>286</v>
      </c>
      <c r="AV40" s="107" t="n">
        <v>86</v>
      </c>
      <c r="AW40" s="108" t="s">
        <v>138</v>
      </c>
      <c r="AX40" s="109" t="s">
        <v>283</v>
      </c>
      <c r="AY40" s="108" t="s">
        <v>287</v>
      </c>
      <c r="AZ40" s="108" t="s">
        <v>288</v>
      </c>
      <c r="BA40" s="96" t="str">
        <f aca="false">IF(LEFT(AY40,1)="V",VLOOKUP(_xlfn.NUMBERVALUE(SUBSTITUTE(AY40,"V","")),B_PARTITE_2A_FASE_PER_NUMERO,10,FALSE()),IF(LEFT(AY40,1)="P",VLOOKUP(_xlfn.NUMBERVALUE(SUBSTITUTE(AY40,"P","")),B_PARTITE_2A_FASE_PER_NUMERO,11,FALSE()),VLOOKUP(AY40,B_CLASSIFICHE_GIRONI,4,FALSE())))</f>
        <v>Coccodrilli</v>
      </c>
      <c r="BB40" s="96" t="str">
        <f aca="false">IF(LEFT(AZ40,1)="V",VLOOKUP(_xlfn.NUMBERVALUE(SUBSTITUTE(AZ40,"V","")),B_PARTITE_2A_FASE_PER_NUMERO,10,FALSE()),IF(LEFT(AZ40,1)="P",VLOOKUP(_xlfn.NUMBERVALUE(SUBSTITUTE(AZ40,"P","")),B_PARTITE_2A_FASE_PER_NUMERO,11,FALSE()),VLOOKUP(AZ40,B_CLASSIFICHE_GIRONI,4,FALSE())))</f>
        <v>Piranha</v>
      </c>
      <c r="BC40" s="44" t="n">
        <f aca="false">VLOOKUP(AV40,A_5_INPUT_DATE_E_RISULTATI_2A_FASE,6,0)</f>
        <v>55</v>
      </c>
      <c r="BD40" s="44" t="n">
        <f aca="false">VLOOKUP(AV40,A_5_INPUT_DATE_E_RISULTATI_2A_FASE,7,0)</f>
        <v>35</v>
      </c>
      <c r="BE40" s="96" t="str">
        <f aca="false">IF(BC40&gt;BD40,BA40,BB40)</f>
        <v>Coccodrilli</v>
      </c>
      <c r="BF40" s="96" t="str">
        <f aca="false">IF(BC40&lt;BD40,BA40,BB40)</f>
        <v>Piranha</v>
      </c>
      <c r="BG40" s="44" t="n">
        <f aca="false">1*(BC40&gt;BD40)</f>
        <v>1</v>
      </c>
      <c r="BH40" s="97" t="n">
        <f aca="false">1*(BC40&lt;BD40)*NOT(AND(BC40=0,BD40=20))</f>
        <v>0</v>
      </c>
      <c r="BI40" s="97" t="n">
        <f aca="false">1*AND(BC40=0,BD40=20)</f>
        <v>0</v>
      </c>
      <c r="BJ40" s="44" t="n">
        <f aca="false">BC40</f>
        <v>55</v>
      </c>
      <c r="BK40" s="44" t="n">
        <f aca="false">BD40</f>
        <v>35</v>
      </c>
      <c r="BL40" s="98" t="n">
        <f aca="false">BJ40-BK40</f>
        <v>20</v>
      </c>
      <c r="BM40" s="44" t="n">
        <f aca="false">1*(BD40&gt;BC40)</f>
        <v>0</v>
      </c>
      <c r="BN40" s="44" t="n">
        <f aca="false">1*(BD40&lt;BC40)*NOT(AND(BC40=20,BD40=0))</f>
        <v>1</v>
      </c>
      <c r="BO40" s="44" t="n">
        <f aca="false">1*AND(BC40=20,BD40=0)</f>
        <v>0</v>
      </c>
      <c r="BP40" s="44" t="n">
        <f aca="false">BD40</f>
        <v>35</v>
      </c>
      <c r="BQ40" s="44" t="n">
        <f aca="false">BC40</f>
        <v>55</v>
      </c>
      <c r="BR40" s="99" t="n">
        <f aca="false">BP40-BQ40</f>
        <v>-20</v>
      </c>
    </row>
    <row r="41" customFormat="false" ht="12.8" hidden="false" customHeight="false" outlineLevel="0" collapsed="false">
      <c r="A41" s="32" t="n">
        <v>43</v>
      </c>
      <c r="B41" s="34" t="s">
        <v>10</v>
      </c>
      <c r="C41" s="34" t="s">
        <v>61</v>
      </c>
      <c r="D41" s="44" t="s">
        <v>237</v>
      </c>
      <c r="E41" s="44" t="s">
        <v>249</v>
      </c>
      <c r="F41" s="96" t="str">
        <f aca="false">IF(B41="Girone",VLOOKUP(D41,A_SQUADRE_PER_CODICE,2),"ERRORE!")</f>
        <v>Istrici</v>
      </c>
      <c r="G41" s="96" t="str">
        <f aca="false">IF(B41="Girone",VLOOKUP(E41,A_SQUADRE_PER_CODICE,2),"ERRORE!")</f>
        <v>Orche</v>
      </c>
      <c r="H41" s="44" t="n">
        <f aca="false">VLOOKUP(A41,A_4_INPUT_DATE_E_RISULTATI_GIRONI,6,0)</f>
        <v>20</v>
      </c>
      <c r="I41" s="44" t="n">
        <f aca="false">VLOOKUP(A41,A_4_INPUT_DATE_E_RISULTATI_GIRONI,7,0)</f>
        <v>0</v>
      </c>
      <c r="J41" s="96" t="str">
        <f aca="false">IF(H41&gt;I41,F41,G41)</f>
        <v>Istrici</v>
      </c>
      <c r="K41" s="96" t="str">
        <f aca="false">IF(H41&lt;I41,F41,G41)</f>
        <v>Orche</v>
      </c>
      <c r="L41" s="44" t="n">
        <f aca="false">1*(H41&gt;I41)</f>
        <v>1</v>
      </c>
      <c r="M41" s="97" t="n">
        <f aca="false">1*(H41&lt;I41)*NOT(AND(H41=0,I41=20))</f>
        <v>0</v>
      </c>
      <c r="N41" s="97" t="n">
        <f aca="false">1*AND(H41=0,I41=20)</f>
        <v>0</v>
      </c>
      <c r="O41" s="44" t="n">
        <f aca="false">H41</f>
        <v>20</v>
      </c>
      <c r="P41" s="44" t="n">
        <f aca="false">I41</f>
        <v>0</v>
      </c>
      <c r="Q41" s="98" t="n">
        <f aca="false">O41-P41</f>
        <v>20</v>
      </c>
      <c r="R41" s="44" t="n">
        <f aca="false">1*(I41&gt;H41)</f>
        <v>0</v>
      </c>
      <c r="S41" s="44" t="n">
        <f aca="false">1*(I41&lt;H41)*NOT(AND(H41=20,I41=0))</f>
        <v>0</v>
      </c>
      <c r="T41" s="44" t="n">
        <f aca="false">1*AND(H41=20,I41=0)</f>
        <v>1</v>
      </c>
      <c r="U41" s="44" t="n">
        <f aca="false">I41</f>
        <v>0</v>
      </c>
      <c r="V41" s="44" t="n">
        <f aca="false">H41</f>
        <v>20</v>
      </c>
      <c r="W41" s="99" t="n">
        <f aca="false">U41-V41</f>
        <v>-20</v>
      </c>
      <c r="AU41" s="106" t="s">
        <v>289</v>
      </c>
      <c r="AV41" s="107" t="n">
        <v>87</v>
      </c>
      <c r="AW41" s="108" t="s">
        <v>138</v>
      </c>
      <c r="AX41" s="109" t="s">
        <v>290</v>
      </c>
      <c r="AY41" s="108" t="s">
        <v>291</v>
      </c>
      <c r="AZ41" s="108" t="s">
        <v>292</v>
      </c>
      <c r="BA41" s="96" t="str">
        <f aca="false">IF(LEFT(AY41,1)="V",VLOOKUP(_xlfn.NUMBERVALUE(SUBSTITUTE(AY41,"V","")),B_PARTITE_2A_FASE_PER_NUMERO,10,FALSE()),IF(LEFT(AY41,1)="P",VLOOKUP(_xlfn.NUMBERVALUE(SUBSTITUTE(AY41,"P","")),B_PARTITE_2A_FASE_PER_NUMERO,11,FALSE()),VLOOKUP(AY41,B_CLASSIFICHE_GIRONI,4,FALSE())))</f>
        <v>Leoni</v>
      </c>
      <c r="BB41" s="96" t="str">
        <f aca="false">IF(LEFT(AZ41,1)="V",VLOOKUP(_xlfn.NUMBERVALUE(SUBSTITUTE(AZ41,"V","")),B_PARTITE_2A_FASE_PER_NUMERO,10,FALSE()),IF(LEFT(AZ41,1)="P",VLOOKUP(_xlfn.NUMBERVALUE(SUBSTITUTE(AZ41,"P","")),B_PARTITE_2A_FASE_PER_NUMERO,11,FALSE()),VLOOKUP(AZ41,B_CLASSIFICHE_GIRONI,4,FALSE())))</f>
        <v>Bisonti</v>
      </c>
      <c r="BC41" s="44" t="n">
        <f aca="false">VLOOKUP(AV41,A_5_INPUT_DATE_E_RISULTATI_2A_FASE,6,0)</f>
        <v>66</v>
      </c>
      <c r="BD41" s="44" t="n">
        <f aca="false">VLOOKUP(AV41,A_5_INPUT_DATE_E_RISULTATI_2A_FASE,7,0)</f>
        <v>31</v>
      </c>
      <c r="BE41" s="96" t="str">
        <f aca="false">IF(BC41&gt;BD41,BA41,BB41)</f>
        <v>Leoni</v>
      </c>
      <c r="BF41" s="96" t="str">
        <f aca="false">IF(BC41&lt;BD41,BA41,BB41)</f>
        <v>Bisonti</v>
      </c>
      <c r="BG41" s="44" t="n">
        <f aca="false">1*(BC41&gt;BD41)</f>
        <v>1</v>
      </c>
      <c r="BH41" s="97" t="n">
        <f aca="false">1*(BC41&lt;BD41)*NOT(AND(BC41=0,BD41=20))</f>
        <v>0</v>
      </c>
      <c r="BI41" s="97" t="n">
        <f aca="false">1*AND(BC41=0,BD41=20)</f>
        <v>0</v>
      </c>
      <c r="BJ41" s="44" t="n">
        <f aca="false">BC41</f>
        <v>66</v>
      </c>
      <c r="BK41" s="44" t="n">
        <f aca="false">BD41</f>
        <v>31</v>
      </c>
      <c r="BL41" s="98" t="n">
        <f aca="false">BJ41-BK41</f>
        <v>35</v>
      </c>
      <c r="BM41" s="44" t="n">
        <f aca="false">1*(BD41&gt;BC41)</f>
        <v>0</v>
      </c>
      <c r="BN41" s="44" t="n">
        <f aca="false">1*(BD41&lt;BC41)*NOT(AND(BC41=20,BD41=0))</f>
        <v>1</v>
      </c>
      <c r="BO41" s="44" t="n">
        <f aca="false">1*AND(BC41=20,BD41=0)</f>
        <v>0</v>
      </c>
      <c r="BP41" s="44" t="n">
        <f aca="false">BD41</f>
        <v>31</v>
      </c>
      <c r="BQ41" s="44" t="n">
        <f aca="false">BC41</f>
        <v>66</v>
      </c>
      <c r="BR41" s="99" t="n">
        <f aca="false">BP41-BQ41</f>
        <v>-35</v>
      </c>
    </row>
    <row r="42" customFormat="false" ht="12.8" hidden="false" customHeight="false" outlineLevel="0" collapsed="false">
      <c r="A42" s="32" t="n">
        <v>47</v>
      </c>
      <c r="B42" s="34" t="s">
        <v>10</v>
      </c>
      <c r="C42" s="34" t="s">
        <v>61</v>
      </c>
      <c r="D42" s="44" t="s">
        <v>241</v>
      </c>
      <c r="E42" s="44" t="s">
        <v>245</v>
      </c>
      <c r="F42" s="96" t="str">
        <f aca="false">IF(B42="Girone",VLOOKUP(D42,A_SQUADRE_PER_CODICE,2),"ERRORE!")</f>
        <v>Gorilla</v>
      </c>
      <c r="G42" s="96" t="str">
        <f aca="false">IF(B42="Girone",VLOOKUP(E42,A_SQUADRE_PER_CODICE,2),"ERRORE!")</f>
        <v>Muli</v>
      </c>
      <c r="H42" s="44" t="n">
        <f aca="false">VLOOKUP(A42,A_4_INPUT_DATE_E_RISULTATI_GIRONI,6,0)</f>
        <v>20</v>
      </c>
      <c r="I42" s="44" t="n">
        <f aca="false">VLOOKUP(A42,A_4_INPUT_DATE_E_RISULTATI_GIRONI,7,0)</f>
        <v>0</v>
      </c>
      <c r="J42" s="96" t="str">
        <f aca="false">IF(H42&gt;I42,F42,G42)</f>
        <v>Gorilla</v>
      </c>
      <c r="K42" s="96" t="str">
        <f aca="false">IF(H42&lt;I42,F42,G42)</f>
        <v>Muli</v>
      </c>
      <c r="L42" s="44" t="n">
        <f aca="false">1*(H42&gt;I42)</f>
        <v>1</v>
      </c>
      <c r="M42" s="97" t="n">
        <f aca="false">1*(H42&lt;I42)*NOT(AND(H42=0,I42=20))</f>
        <v>0</v>
      </c>
      <c r="N42" s="97" t="n">
        <f aca="false">1*AND(H42=0,I42=20)</f>
        <v>0</v>
      </c>
      <c r="O42" s="44" t="n">
        <f aca="false">H42</f>
        <v>20</v>
      </c>
      <c r="P42" s="44" t="n">
        <f aca="false">I42</f>
        <v>0</v>
      </c>
      <c r="Q42" s="98" t="n">
        <f aca="false">O42-P42</f>
        <v>20</v>
      </c>
      <c r="R42" s="44" t="n">
        <f aca="false">1*(I42&gt;H42)</f>
        <v>0</v>
      </c>
      <c r="S42" s="44" t="n">
        <f aca="false">1*(I42&lt;H42)*NOT(AND(H42=20,I42=0))</f>
        <v>0</v>
      </c>
      <c r="T42" s="44" t="n">
        <f aca="false">1*AND(H42=20,I42=0)</f>
        <v>1</v>
      </c>
      <c r="U42" s="44" t="n">
        <f aca="false">I42</f>
        <v>0</v>
      </c>
      <c r="V42" s="44" t="n">
        <f aca="false">H42</f>
        <v>20</v>
      </c>
      <c r="W42" s="99" t="n">
        <f aca="false">U42-V42</f>
        <v>-20</v>
      </c>
      <c r="AU42" s="106" t="s">
        <v>293</v>
      </c>
      <c r="AV42" s="107" t="n">
        <v>88</v>
      </c>
      <c r="AW42" s="108" t="s">
        <v>138</v>
      </c>
      <c r="AX42" s="109" t="s">
        <v>290</v>
      </c>
      <c r="AY42" s="108" t="s">
        <v>294</v>
      </c>
      <c r="AZ42" s="108" t="s">
        <v>295</v>
      </c>
      <c r="BA42" s="96" t="str">
        <f aca="false">IF(LEFT(AY42,1)="V",VLOOKUP(_xlfn.NUMBERVALUE(SUBSTITUTE(AY42,"V","")),B_PARTITE_2A_FASE_PER_NUMERO,10,FALSE()),IF(LEFT(AY42,1)="P",VLOOKUP(_xlfn.NUMBERVALUE(SUBSTITUTE(AY42,"P","")),B_PARTITE_2A_FASE_PER_NUMERO,11,FALSE()),VLOOKUP(AY42,B_CLASSIFICHE_GIRONI,4,FALSE())))</f>
        <v>Pantere</v>
      </c>
      <c r="BB42" s="96" t="str">
        <f aca="false">IF(LEFT(AZ42,1)="V",VLOOKUP(_xlfn.NUMBERVALUE(SUBSTITUTE(AZ42,"V","")),B_PARTITE_2A_FASE_PER_NUMERO,10,FALSE()),IF(LEFT(AZ42,1)="P",VLOOKUP(_xlfn.NUMBERVALUE(SUBSTITUTE(AZ42,"P","")),B_PARTITE_2A_FASE_PER_NUMERO,11,FALSE()),VLOOKUP(AZ42,B_CLASSIFICHE_GIRONI,4,FALSE())))</f>
        <v>Istrici</v>
      </c>
      <c r="BC42" s="44" t="n">
        <f aca="false">VLOOKUP(AV42,A_5_INPUT_DATE_E_RISULTATI_2A_FASE,6,0)</f>
        <v>68</v>
      </c>
      <c r="BD42" s="44" t="n">
        <f aca="false">VLOOKUP(AV42,A_5_INPUT_DATE_E_RISULTATI_2A_FASE,7,0)</f>
        <v>47</v>
      </c>
      <c r="BE42" s="96" t="str">
        <f aca="false">IF(BC42&gt;BD42,BA42,BB42)</f>
        <v>Pantere</v>
      </c>
      <c r="BF42" s="96" t="str">
        <f aca="false">IF(BC42&lt;BD42,BA42,BB42)</f>
        <v>Istrici</v>
      </c>
      <c r="BG42" s="44" t="n">
        <f aca="false">1*(BC42&gt;BD42)</f>
        <v>1</v>
      </c>
      <c r="BH42" s="97" t="n">
        <f aca="false">1*(BC42&lt;BD42)*NOT(AND(BC42=0,BD42=20))</f>
        <v>0</v>
      </c>
      <c r="BI42" s="97" t="n">
        <f aca="false">1*AND(BC42=0,BD42=20)</f>
        <v>0</v>
      </c>
      <c r="BJ42" s="44" t="n">
        <f aca="false">BC42</f>
        <v>68</v>
      </c>
      <c r="BK42" s="44" t="n">
        <f aca="false">BD42</f>
        <v>47</v>
      </c>
      <c r="BL42" s="98" t="n">
        <f aca="false">BJ42-BK42</f>
        <v>21</v>
      </c>
      <c r="BM42" s="44" t="n">
        <f aca="false">1*(BD42&gt;BC42)</f>
        <v>0</v>
      </c>
      <c r="BN42" s="44" t="n">
        <f aca="false">1*(BD42&lt;BC42)*NOT(AND(BC42=20,BD42=0))</f>
        <v>1</v>
      </c>
      <c r="BO42" s="44" t="n">
        <f aca="false">1*AND(BC42=20,BD42=0)</f>
        <v>0</v>
      </c>
      <c r="BP42" s="44" t="n">
        <f aca="false">BD42</f>
        <v>47</v>
      </c>
      <c r="BQ42" s="44" t="n">
        <f aca="false">BC42</f>
        <v>68</v>
      </c>
      <c r="BR42" s="99" t="n">
        <f aca="false">BP42-BQ42</f>
        <v>-21</v>
      </c>
    </row>
    <row r="43" customFormat="false" ht="12.8" hidden="false" customHeight="false" outlineLevel="0" collapsed="false">
      <c r="A43" s="32" t="n">
        <v>35</v>
      </c>
      <c r="B43" s="34" t="s">
        <v>10</v>
      </c>
      <c r="C43" s="34" t="s">
        <v>61</v>
      </c>
      <c r="D43" s="44" t="s">
        <v>241</v>
      </c>
      <c r="E43" s="44" t="s">
        <v>249</v>
      </c>
      <c r="F43" s="96" t="str">
        <f aca="false">IF(B43="Girone",VLOOKUP(D43,A_SQUADRE_PER_CODICE,2),"ERRORE!")</f>
        <v>Gorilla</v>
      </c>
      <c r="G43" s="96" t="str">
        <f aca="false">IF(B43="Girone",VLOOKUP(E43,A_SQUADRE_PER_CODICE,2),"ERRORE!")</f>
        <v>Orche</v>
      </c>
      <c r="H43" s="44" t="n">
        <f aca="false">VLOOKUP(A43,A_4_INPUT_DATE_E_RISULTATI_GIRONI,6,0)</f>
        <v>20</v>
      </c>
      <c r="I43" s="44" t="n">
        <f aca="false">VLOOKUP(A43,A_4_INPUT_DATE_E_RISULTATI_GIRONI,7,0)</f>
        <v>0</v>
      </c>
      <c r="J43" s="96" t="str">
        <f aca="false">IF(H43&gt;I43,F43,G43)</f>
        <v>Gorilla</v>
      </c>
      <c r="K43" s="96" t="str">
        <f aca="false">IF(H43&lt;I43,F43,G43)</f>
        <v>Orche</v>
      </c>
      <c r="L43" s="44" t="n">
        <f aca="false">1*(H43&gt;I43)</f>
        <v>1</v>
      </c>
      <c r="M43" s="97" t="n">
        <f aca="false">1*(H43&lt;I43)*NOT(AND(H43=0,I43=20))</f>
        <v>0</v>
      </c>
      <c r="N43" s="97" t="n">
        <f aca="false">1*AND(H43=0,I43=20)</f>
        <v>0</v>
      </c>
      <c r="O43" s="44" t="n">
        <f aca="false">H43</f>
        <v>20</v>
      </c>
      <c r="P43" s="44" t="n">
        <f aca="false">I43</f>
        <v>0</v>
      </c>
      <c r="Q43" s="98" t="n">
        <f aca="false">O43-P43</f>
        <v>20</v>
      </c>
      <c r="R43" s="44" t="n">
        <f aca="false">1*(I43&gt;H43)</f>
        <v>0</v>
      </c>
      <c r="S43" s="44" t="n">
        <f aca="false">1*(I43&lt;H43)*NOT(AND(H43=20,I43=0))</f>
        <v>0</v>
      </c>
      <c r="T43" s="44" t="n">
        <f aca="false">1*AND(H43=20,I43=0)</f>
        <v>1</v>
      </c>
      <c r="U43" s="44" t="n">
        <f aca="false">I43</f>
        <v>0</v>
      </c>
      <c r="V43" s="44" t="n">
        <f aca="false">H43</f>
        <v>20</v>
      </c>
      <c r="W43" s="99" t="n">
        <f aca="false">U43-V43</f>
        <v>-20</v>
      </c>
      <c r="AU43" s="106" t="s">
        <v>296</v>
      </c>
      <c r="AV43" s="107" t="n">
        <v>89</v>
      </c>
      <c r="AW43" s="108" t="s">
        <v>138</v>
      </c>
      <c r="AX43" s="109" t="s">
        <v>297</v>
      </c>
      <c r="AY43" s="108" t="s">
        <v>298</v>
      </c>
      <c r="AZ43" s="108" t="s">
        <v>299</v>
      </c>
      <c r="BA43" s="96" t="str">
        <f aca="false">IF(LEFT(AY43,1)="V",VLOOKUP(_xlfn.NUMBERVALUE(SUBSTITUTE(AY43,"V","")),B_PARTITE_2A_FASE_PER_NUMERO,10,FALSE()),IF(LEFT(AY43,1)="P",VLOOKUP(_xlfn.NUMBERVALUE(SUBSTITUTE(AY43,"P","")),B_PARTITE_2A_FASE_PER_NUMERO,11,FALSE()),VLOOKUP(AY43,B_CLASSIFICHE_GIRONI,4,FALSE())))</f>
        <v>Elefanti</v>
      </c>
      <c r="BB43" s="96" t="str">
        <f aca="false">IF(LEFT(AZ43,1)="V",VLOOKUP(_xlfn.NUMBERVALUE(SUBSTITUTE(AZ43,"V","")),B_PARTITE_2A_FASE_PER_NUMERO,10,FALSE()),IF(LEFT(AZ43,1)="P",VLOOKUP(_xlfn.NUMBERVALUE(SUBSTITUTE(AZ43,"P","")),B_PARTITE_2A_FASE_PER_NUMERO,11,FALSE()),VLOOKUP(AZ43,B_CLASSIFICHE_GIRONI,4,FALSE())))</f>
        <v>Gorilla</v>
      </c>
      <c r="BC43" s="44" t="n">
        <f aca="false">VLOOKUP(AV43,A_5_INPUT_DATE_E_RISULTATI_2A_FASE,6,0)</f>
        <v>66</v>
      </c>
      <c r="BD43" s="44" t="n">
        <f aca="false">VLOOKUP(AV43,A_5_INPUT_DATE_E_RISULTATI_2A_FASE,7,0)</f>
        <v>32</v>
      </c>
      <c r="BE43" s="96" t="str">
        <f aca="false">IF(BC43&gt;BD43,BA43,BB43)</f>
        <v>Elefanti</v>
      </c>
      <c r="BF43" s="96" t="str">
        <f aca="false">IF(BC43&lt;BD43,BA43,BB43)</f>
        <v>Gorilla</v>
      </c>
      <c r="BG43" s="44" t="n">
        <f aca="false">1*(BC43&gt;BD43)</f>
        <v>1</v>
      </c>
      <c r="BH43" s="97" t="n">
        <f aca="false">1*(BC43&lt;BD43)*NOT(AND(BC43=0,BD43=20))</f>
        <v>0</v>
      </c>
      <c r="BI43" s="97" t="n">
        <f aca="false">1*AND(BC43=0,BD43=20)</f>
        <v>0</v>
      </c>
      <c r="BJ43" s="44" t="n">
        <f aca="false">BC43</f>
        <v>66</v>
      </c>
      <c r="BK43" s="44" t="n">
        <f aca="false">BD43</f>
        <v>32</v>
      </c>
      <c r="BL43" s="98" t="n">
        <f aca="false">BJ43-BK43</f>
        <v>34</v>
      </c>
      <c r="BM43" s="44" t="n">
        <f aca="false">1*(BD43&gt;BC43)</f>
        <v>0</v>
      </c>
      <c r="BN43" s="44" t="n">
        <f aca="false">1*(BD43&lt;BC43)*NOT(AND(BC43=20,BD43=0))</f>
        <v>1</v>
      </c>
      <c r="BO43" s="44" t="n">
        <f aca="false">1*AND(BC43=20,BD43=0)</f>
        <v>0</v>
      </c>
      <c r="BP43" s="44" t="n">
        <f aca="false">BD43</f>
        <v>32</v>
      </c>
      <c r="BQ43" s="44" t="n">
        <f aca="false">BC43</f>
        <v>66</v>
      </c>
      <c r="BR43" s="99" t="n">
        <f aca="false">BP43-BQ43</f>
        <v>-34</v>
      </c>
    </row>
    <row r="44" customFormat="false" ht="12.8" hidden="false" customHeight="false" outlineLevel="0" collapsed="false">
      <c r="A44" s="32" t="n">
        <v>23</v>
      </c>
      <c r="B44" s="34" t="s">
        <v>10</v>
      </c>
      <c r="C44" s="34" t="s">
        <v>61</v>
      </c>
      <c r="D44" s="44" t="s">
        <v>245</v>
      </c>
      <c r="E44" s="44" t="s">
        <v>249</v>
      </c>
      <c r="F44" s="96" t="str">
        <f aca="false">IF(B44="Girone",VLOOKUP(D44,A_SQUADRE_PER_CODICE,2),"ERRORE!")</f>
        <v>Muli</v>
      </c>
      <c r="G44" s="96" t="str">
        <f aca="false">IF(B44="Girone",VLOOKUP(E44,A_SQUADRE_PER_CODICE,2),"ERRORE!")</f>
        <v>Orche</v>
      </c>
      <c r="H44" s="44" t="n">
        <f aca="false">VLOOKUP(A44,A_4_INPUT_DATE_E_RISULTATI_GIRONI,6,0)</f>
        <v>0</v>
      </c>
      <c r="I44" s="44" t="n">
        <f aca="false">VLOOKUP(A44,A_4_INPUT_DATE_E_RISULTATI_GIRONI,7,0)</f>
        <v>20</v>
      </c>
      <c r="J44" s="96" t="str">
        <f aca="false">IF(H44&gt;I44,F44,G44)</f>
        <v>Orche</v>
      </c>
      <c r="K44" s="96" t="str">
        <f aca="false">IF(H44&lt;I44,F44,G44)</f>
        <v>Muli</v>
      </c>
      <c r="L44" s="44" t="n">
        <f aca="false">1*(H44&gt;I44)</f>
        <v>0</v>
      </c>
      <c r="M44" s="97" t="n">
        <f aca="false">1*(H44&lt;I44)*NOT(AND(H44=0,I44=20))</f>
        <v>0</v>
      </c>
      <c r="N44" s="97" t="n">
        <f aca="false">1*AND(H44=0,I44=20)</f>
        <v>1</v>
      </c>
      <c r="O44" s="44" t="n">
        <f aca="false">H44</f>
        <v>0</v>
      </c>
      <c r="P44" s="44" t="n">
        <f aca="false">I44</f>
        <v>20</v>
      </c>
      <c r="Q44" s="98" t="n">
        <f aca="false">O44-P44</f>
        <v>-20</v>
      </c>
      <c r="R44" s="44" t="n">
        <f aca="false">1*(I44&gt;H44)</f>
        <v>1</v>
      </c>
      <c r="S44" s="44" t="n">
        <f aca="false">1*(I44&lt;H44)*NOT(AND(H44=20,I44=0))</f>
        <v>0</v>
      </c>
      <c r="T44" s="44" t="n">
        <f aca="false">1*AND(H44=20,I44=0)</f>
        <v>0</v>
      </c>
      <c r="U44" s="44" t="n">
        <f aca="false">I44</f>
        <v>20</v>
      </c>
      <c r="V44" s="44" t="n">
        <f aca="false">H44</f>
        <v>0</v>
      </c>
      <c r="W44" s="99" t="n">
        <f aca="false">U44-V44</f>
        <v>20</v>
      </c>
      <c r="AU44" s="106" t="s">
        <v>300</v>
      </c>
      <c r="AV44" s="107" t="n">
        <v>90</v>
      </c>
      <c r="AW44" s="108" t="s">
        <v>138</v>
      </c>
      <c r="AX44" s="109" t="s">
        <v>297</v>
      </c>
      <c r="AY44" s="108" t="s">
        <v>301</v>
      </c>
      <c r="AZ44" s="108" t="s">
        <v>302</v>
      </c>
      <c r="BA44" s="96" t="str">
        <f aca="false">IF(LEFT(AY44,1)="V",VLOOKUP(_xlfn.NUMBERVALUE(SUBSTITUTE(AY44,"V","")),B_PARTITE_2A_FASE_PER_NUMERO,10,FALSE()),IF(LEFT(AY44,1)="P",VLOOKUP(_xlfn.NUMBERVALUE(SUBSTITUTE(AY44,"P","")),B_PARTITE_2A_FASE_PER_NUMERO,11,FALSE()),VLOOKUP(AY44,B_CLASSIFICHE_GIRONI,4,FALSE())))</f>
        <v>Giraffe</v>
      </c>
      <c r="BB44" s="96" t="str">
        <f aca="false">IF(LEFT(AZ44,1)="V",VLOOKUP(_xlfn.NUMBERVALUE(SUBSTITUTE(AZ44,"V","")),B_PARTITE_2A_FASE_PER_NUMERO,10,FALSE()),IF(LEFT(AZ44,1)="P",VLOOKUP(_xlfn.NUMBERVALUE(SUBSTITUTE(AZ44,"P","")),B_PARTITE_2A_FASE_PER_NUMERO,11,FALSE()),VLOOKUP(AZ44,B_CLASSIFICHE_GIRONI,4,FALSE())))</f>
        <v>Bufali</v>
      </c>
      <c r="BC44" s="44" t="n">
        <f aca="false">VLOOKUP(AV44,A_5_INPUT_DATE_E_RISULTATI_2A_FASE,6,0)</f>
        <v>52</v>
      </c>
      <c r="BD44" s="44" t="n">
        <f aca="false">VLOOKUP(AV44,A_5_INPUT_DATE_E_RISULTATI_2A_FASE,7,0)</f>
        <v>30</v>
      </c>
      <c r="BE44" s="96" t="str">
        <f aca="false">IF(BC44&gt;BD44,BA44,BB44)</f>
        <v>Giraffe</v>
      </c>
      <c r="BF44" s="96" t="str">
        <f aca="false">IF(BC44&lt;BD44,BA44,BB44)</f>
        <v>Bufali</v>
      </c>
      <c r="BG44" s="44" t="n">
        <f aca="false">1*(BC44&gt;BD44)</f>
        <v>1</v>
      </c>
      <c r="BH44" s="97" t="n">
        <f aca="false">1*(BC44&lt;BD44)*NOT(AND(BC44=0,BD44=20))</f>
        <v>0</v>
      </c>
      <c r="BI44" s="97" t="n">
        <f aca="false">1*AND(BC44=0,BD44=20)</f>
        <v>0</v>
      </c>
      <c r="BJ44" s="44" t="n">
        <f aca="false">BC44</f>
        <v>52</v>
      </c>
      <c r="BK44" s="44" t="n">
        <f aca="false">BD44</f>
        <v>30</v>
      </c>
      <c r="BL44" s="98" t="n">
        <f aca="false">BJ44-BK44</f>
        <v>22</v>
      </c>
      <c r="BM44" s="44" t="n">
        <f aca="false">1*(BD44&gt;BC44)</f>
        <v>0</v>
      </c>
      <c r="BN44" s="44" t="n">
        <f aca="false">1*(BD44&lt;BC44)*NOT(AND(BC44=20,BD44=0))</f>
        <v>1</v>
      </c>
      <c r="BO44" s="44" t="n">
        <f aca="false">1*AND(BC44=20,BD44=0)</f>
        <v>0</v>
      </c>
      <c r="BP44" s="44" t="n">
        <f aca="false">BD44</f>
        <v>30</v>
      </c>
      <c r="BQ44" s="44" t="n">
        <f aca="false">BC44</f>
        <v>52</v>
      </c>
      <c r="BR44" s="99" t="n">
        <f aca="false">BP44-BQ44</f>
        <v>-22</v>
      </c>
    </row>
    <row r="45" customFormat="false" ht="12.8" hidden="false" customHeight="false" outlineLevel="0" collapsed="false">
      <c r="A45" s="32" t="n">
        <v>20</v>
      </c>
      <c r="B45" s="34" t="s">
        <v>10</v>
      </c>
      <c r="C45" s="34" t="s">
        <v>66</v>
      </c>
      <c r="D45" s="44" t="s">
        <v>253</v>
      </c>
      <c r="E45" s="44" t="s">
        <v>258</v>
      </c>
      <c r="F45" s="96" t="str">
        <f aca="false">IF(B45="Girone",VLOOKUP(D45,A_SQUADRE_PER_CODICE,2),"ERRORE!")</f>
        <v>Piranha</v>
      </c>
      <c r="G45" s="96" t="str">
        <f aca="false">IF(B45="Girone",VLOOKUP(E45,A_SQUADRE_PER_CODICE,2),"ERRORE!")</f>
        <v>Scorpioni</v>
      </c>
      <c r="H45" s="44" t="n">
        <f aca="false">VLOOKUP(A45,A_4_INPUT_DATE_E_RISULTATI_GIRONI,6,0)</f>
        <v>100</v>
      </c>
      <c r="I45" s="44" t="n">
        <f aca="false">VLOOKUP(A45,A_4_INPUT_DATE_E_RISULTATI_GIRONI,7,0)</f>
        <v>83</v>
      </c>
      <c r="J45" s="96" t="str">
        <f aca="false">IF(H45&gt;I45,F45,G45)</f>
        <v>Piranha</v>
      </c>
      <c r="K45" s="96" t="str">
        <f aca="false">IF(H45&lt;I45,F45,G45)</f>
        <v>Scorpioni</v>
      </c>
      <c r="L45" s="44" t="n">
        <f aca="false">1*(H45&gt;I45)</f>
        <v>1</v>
      </c>
      <c r="M45" s="97" t="n">
        <f aca="false">1*(H45&lt;I45)*NOT(AND(H45=0,I45=20))</f>
        <v>0</v>
      </c>
      <c r="N45" s="97" t="n">
        <f aca="false">1*AND(H45=0,I45=20)</f>
        <v>0</v>
      </c>
      <c r="O45" s="44" t="n">
        <f aca="false">H45</f>
        <v>100</v>
      </c>
      <c r="P45" s="44" t="n">
        <f aca="false">I45</f>
        <v>83</v>
      </c>
      <c r="Q45" s="98" t="n">
        <f aca="false">O45-P45</f>
        <v>17</v>
      </c>
      <c r="R45" s="44" t="n">
        <f aca="false">1*(I45&gt;H45)</f>
        <v>0</v>
      </c>
      <c r="S45" s="44" t="n">
        <f aca="false">1*(I45&lt;H45)*NOT(AND(H45=20,I45=0))</f>
        <v>1</v>
      </c>
      <c r="T45" s="44" t="n">
        <f aca="false">1*AND(H45=20,I45=0)</f>
        <v>0</v>
      </c>
      <c r="U45" s="44" t="n">
        <f aca="false">I45</f>
        <v>83</v>
      </c>
      <c r="V45" s="44" t="n">
        <f aca="false">H45</f>
        <v>100</v>
      </c>
      <c r="W45" s="99" t="n">
        <f aca="false">U45-V45</f>
        <v>-17</v>
      </c>
      <c r="AU45" s="106" t="s">
        <v>303</v>
      </c>
      <c r="AV45" s="107" t="n">
        <v>91</v>
      </c>
      <c r="AW45" s="108" t="s">
        <v>138</v>
      </c>
      <c r="AX45" s="109" t="s">
        <v>304</v>
      </c>
      <c r="AY45" s="108" t="s">
        <v>305</v>
      </c>
      <c r="AZ45" s="108" t="s">
        <v>306</v>
      </c>
      <c r="BA45" s="96" t="str">
        <f aca="false">IF(LEFT(AY45,1)="V",VLOOKUP(_xlfn.NUMBERVALUE(SUBSTITUTE(AY45,"V","")),B_PARTITE_2A_FASE_PER_NUMERO,10,FALSE()),IF(LEFT(AY45,1)="P",VLOOKUP(_xlfn.NUMBERVALUE(SUBSTITUTE(AY45,"P","")),B_PARTITE_2A_FASE_PER_NUMERO,11,FALSE()),VLOOKUP(AY45,B_CLASSIFICHE_GIRONI,4,FALSE())))</f>
        <v>Aquile</v>
      </c>
      <c r="BB45" s="96" t="str">
        <f aca="false">IF(LEFT(AZ45,1)="V",VLOOKUP(_xlfn.NUMBERVALUE(SUBSTITUTE(AZ45,"V","")),B_PARTITE_2A_FASE_PER_NUMERO,10,FALSE()),IF(LEFT(AZ45,1)="P",VLOOKUP(_xlfn.NUMBERVALUE(SUBSTITUTE(AZ45,"P","")),B_PARTITE_2A_FASE_PER_NUMERO,11,FALSE()),VLOOKUP(AZ45,B_CLASSIFICHE_GIRONI,4,FALSE())))</f>
        <v>Tonni</v>
      </c>
      <c r="BC45" s="44" t="n">
        <f aca="false">VLOOKUP(AV45,A_5_INPUT_DATE_E_RISULTATI_2A_FASE,6,0)</f>
        <v>54</v>
      </c>
      <c r="BD45" s="44" t="n">
        <f aca="false">VLOOKUP(AV45,A_5_INPUT_DATE_E_RISULTATI_2A_FASE,7,0)</f>
        <v>36</v>
      </c>
      <c r="BE45" s="96" t="str">
        <f aca="false">IF(BC45&gt;BD45,BA45,BB45)</f>
        <v>Aquile</v>
      </c>
      <c r="BF45" s="96" t="str">
        <f aca="false">IF(BC45&lt;BD45,BA45,BB45)</f>
        <v>Tonni</v>
      </c>
      <c r="BG45" s="44" t="n">
        <f aca="false">1*(BC45&gt;BD45)</f>
        <v>1</v>
      </c>
      <c r="BH45" s="97" t="n">
        <f aca="false">1*(BC45&lt;BD45)*NOT(AND(BC45=0,BD45=20))</f>
        <v>0</v>
      </c>
      <c r="BI45" s="97" t="n">
        <f aca="false">1*AND(BC45=0,BD45=20)</f>
        <v>0</v>
      </c>
      <c r="BJ45" s="44" t="n">
        <f aca="false">BC45</f>
        <v>54</v>
      </c>
      <c r="BK45" s="44" t="n">
        <f aca="false">BD45</f>
        <v>36</v>
      </c>
      <c r="BL45" s="98" t="n">
        <f aca="false">BJ45-BK45</f>
        <v>18</v>
      </c>
      <c r="BM45" s="44" t="n">
        <f aca="false">1*(BD45&gt;BC45)</f>
        <v>0</v>
      </c>
      <c r="BN45" s="44" t="n">
        <f aca="false">1*(BD45&lt;BC45)*NOT(AND(BC45=20,BD45=0))</f>
        <v>1</v>
      </c>
      <c r="BO45" s="44" t="n">
        <f aca="false">1*AND(BC45=20,BD45=0)</f>
        <v>0</v>
      </c>
      <c r="BP45" s="44" t="n">
        <f aca="false">BD45</f>
        <v>36</v>
      </c>
      <c r="BQ45" s="44" t="n">
        <f aca="false">BC45</f>
        <v>54</v>
      </c>
      <c r="BR45" s="99" t="n">
        <f aca="false">BP45-BQ45</f>
        <v>-18</v>
      </c>
    </row>
    <row r="46" customFormat="false" ht="12.8" hidden="false" customHeight="false" outlineLevel="0" collapsed="false">
      <c r="A46" s="32" t="n">
        <v>32</v>
      </c>
      <c r="B46" s="34" t="s">
        <v>10</v>
      </c>
      <c r="C46" s="34" t="s">
        <v>66</v>
      </c>
      <c r="D46" s="44" t="s">
        <v>253</v>
      </c>
      <c r="E46" s="44" t="s">
        <v>262</v>
      </c>
      <c r="F46" s="96" t="str">
        <f aca="false">IF(B46="Girone",VLOOKUP(D46,A_SQUADRE_PER_CODICE,2),"ERRORE!")</f>
        <v>Piranha</v>
      </c>
      <c r="G46" s="96" t="str">
        <f aca="false">IF(B46="Girone",VLOOKUP(E46,A_SQUADRE_PER_CODICE,2),"ERRORE!")</f>
        <v>Tonni</v>
      </c>
      <c r="H46" s="44" t="n">
        <f aca="false">VLOOKUP(A46,A_4_INPUT_DATE_E_RISULTATI_GIRONI,6,0)</f>
        <v>97</v>
      </c>
      <c r="I46" s="44" t="n">
        <f aca="false">VLOOKUP(A46,A_4_INPUT_DATE_E_RISULTATI_GIRONI,7,0)</f>
        <v>78</v>
      </c>
      <c r="J46" s="96" t="str">
        <f aca="false">IF(H46&gt;I46,F46,G46)</f>
        <v>Piranha</v>
      </c>
      <c r="K46" s="96" t="str">
        <f aca="false">IF(H46&lt;I46,F46,G46)</f>
        <v>Tonni</v>
      </c>
      <c r="L46" s="44" t="n">
        <f aca="false">1*(H46&gt;I46)</f>
        <v>1</v>
      </c>
      <c r="M46" s="97" t="n">
        <f aca="false">1*(H46&lt;I46)*NOT(AND(H46=0,I46=20))</f>
        <v>0</v>
      </c>
      <c r="N46" s="97" t="n">
        <f aca="false">1*AND(H46=0,I46=20)</f>
        <v>0</v>
      </c>
      <c r="O46" s="44" t="n">
        <f aca="false">H46</f>
        <v>97</v>
      </c>
      <c r="P46" s="44" t="n">
        <f aca="false">I46</f>
        <v>78</v>
      </c>
      <c r="Q46" s="98" t="n">
        <f aca="false">O46-P46</f>
        <v>19</v>
      </c>
      <c r="R46" s="44" t="n">
        <f aca="false">1*(I46&gt;H46)</f>
        <v>0</v>
      </c>
      <c r="S46" s="44" t="n">
        <f aca="false">1*(I46&lt;H46)*NOT(AND(H46=20,I46=0))</f>
        <v>1</v>
      </c>
      <c r="T46" s="44" t="n">
        <f aca="false">1*AND(H46=20,I46=0)</f>
        <v>0</v>
      </c>
      <c r="U46" s="44" t="n">
        <f aca="false">I46</f>
        <v>78</v>
      </c>
      <c r="V46" s="44" t="n">
        <f aca="false">H46</f>
        <v>97</v>
      </c>
      <c r="W46" s="99" t="n">
        <f aca="false">U46-V46</f>
        <v>-19</v>
      </c>
      <c r="AU46" s="106" t="s">
        <v>307</v>
      </c>
      <c r="AV46" s="107" t="n">
        <v>92</v>
      </c>
      <c r="AW46" s="108" t="s">
        <v>138</v>
      </c>
      <c r="AX46" s="109" t="s">
        <v>304</v>
      </c>
      <c r="AY46" s="108" t="s">
        <v>308</v>
      </c>
      <c r="AZ46" s="108" t="s">
        <v>309</v>
      </c>
      <c r="BA46" s="96" t="str">
        <f aca="false">IF(LEFT(AY46,1)="V",VLOOKUP(_xlfn.NUMBERVALUE(SUBSTITUTE(AY46,"V","")),B_PARTITE_2A_FASE_PER_NUMERO,10,FALSE()),IF(LEFT(AY46,1)="P",VLOOKUP(_xlfn.NUMBERVALUE(SUBSTITUTE(AY46,"P","")),B_PARTITE_2A_FASE_PER_NUMERO,11,FALSE()),VLOOKUP(AY46,B_CLASSIFICHE_GIRONI,4,FALSE())))</f>
        <v>Puma</v>
      </c>
      <c r="BB46" s="96" t="str">
        <f aca="false">IF(LEFT(AZ46,1)="V",VLOOKUP(_xlfn.NUMBERVALUE(SUBSTITUTE(AZ46,"V","")),B_PARTITE_2A_FASE_PER_NUMERO,10,FALSE()),IF(LEFT(AZ46,1)="P",VLOOKUP(_xlfn.NUMBERVALUE(SUBSTITUTE(AZ46,"P","")),B_PARTITE_2A_FASE_PER_NUMERO,11,FALSE()),VLOOKUP(AZ46,B_CLASSIFICHE_GIRONI,4,FALSE())))</f>
        <v>Gabbiani</v>
      </c>
      <c r="BC46" s="44" t="n">
        <f aca="false">VLOOKUP(AV46,A_5_INPUT_DATE_E_RISULTATI_2A_FASE,6,0)</f>
        <v>64</v>
      </c>
      <c r="BD46" s="44" t="n">
        <f aca="false">VLOOKUP(AV46,A_5_INPUT_DATE_E_RISULTATI_2A_FASE,7,0)</f>
        <v>33</v>
      </c>
      <c r="BE46" s="96" t="str">
        <f aca="false">IF(BC46&gt;BD46,BA46,BB46)</f>
        <v>Puma</v>
      </c>
      <c r="BF46" s="96" t="str">
        <f aca="false">IF(BC46&lt;BD46,BA46,BB46)</f>
        <v>Gabbiani</v>
      </c>
      <c r="BG46" s="44" t="n">
        <f aca="false">1*(BC46&gt;BD46)</f>
        <v>1</v>
      </c>
      <c r="BH46" s="97" t="n">
        <f aca="false">1*(BC46&lt;BD46)*NOT(AND(BC46=0,BD46=20))</f>
        <v>0</v>
      </c>
      <c r="BI46" s="97" t="n">
        <f aca="false">1*AND(BC46=0,BD46=20)</f>
        <v>0</v>
      </c>
      <c r="BJ46" s="44" t="n">
        <f aca="false">BC46</f>
        <v>64</v>
      </c>
      <c r="BK46" s="44" t="n">
        <f aca="false">BD46</f>
        <v>33</v>
      </c>
      <c r="BL46" s="98" t="n">
        <f aca="false">BJ46-BK46</f>
        <v>31</v>
      </c>
      <c r="BM46" s="44" t="n">
        <f aca="false">1*(BD46&gt;BC46)</f>
        <v>0</v>
      </c>
      <c r="BN46" s="44" t="n">
        <f aca="false">1*(BD46&lt;BC46)*NOT(AND(BC46=20,BD46=0))</f>
        <v>1</v>
      </c>
      <c r="BO46" s="44" t="n">
        <f aca="false">1*AND(BC46=20,BD46=0)</f>
        <v>0</v>
      </c>
      <c r="BP46" s="44" t="n">
        <f aca="false">BD46</f>
        <v>33</v>
      </c>
      <c r="BQ46" s="44" t="n">
        <f aca="false">BC46</f>
        <v>64</v>
      </c>
      <c r="BR46" s="99" t="n">
        <f aca="false">BP46-BQ46</f>
        <v>-31</v>
      </c>
    </row>
    <row r="47" customFormat="false" ht="12.8" hidden="false" customHeight="false" outlineLevel="0" collapsed="false">
      <c r="A47" s="32" t="n">
        <v>36</v>
      </c>
      <c r="B47" s="34" t="s">
        <v>10</v>
      </c>
      <c r="C47" s="34" t="s">
        <v>66</v>
      </c>
      <c r="D47" s="44" t="s">
        <v>258</v>
      </c>
      <c r="E47" s="44" t="s">
        <v>266</v>
      </c>
      <c r="F47" s="96" t="str">
        <f aca="false">IF(B47="Girone",VLOOKUP(D47,A_SQUADRE_PER_CODICE,2),"ERRORE!")</f>
        <v>Scorpioni</v>
      </c>
      <c r="G47" s="96" t="str">
        <f aca="false">IF(B47="Girone",VLOOKUP(E47,A_SQUADRE_PER_CODICE,2),"ERRORE!")</f>
        <v>Zebre</v>
      </c>
      <c r="H47" s="44" t="n">
        <f aca="false">VLOOKUP(A47,A_4_INPUT_DATE_E_RISULTATI_GIRONI,6,0)</f>
        <v>74</v>
      </c>
      <c r="I47" s="44" t="n">
        <f aca="false">VLOOKUP(A47,A_4_INPUT_DATE_E_RISULTATI_GIRONI,7,0)</f>
        <v>79</v>
      </c>
      <c r="J47" s="96" t="str">
        <f aca="false">IF(H47&gt;I47,F47,G47)</f>
        <v>Zebre</v>
      </c>
      <c r="K47" s="96" t="str">
        <f aca="false">IF(H47&lt;I47,F47,G47)</f>
        <v>Scorpioni</v>
      </c>
      <c r="L47" s="44" t="n">
        <f aca="false">1*(H47&gt;I47)</f>
        <v>0</v>
      </c>
      <c r="M47" s="97" t="n">
        <f aca="false">1*(H47&lt;I47)*NOT(AND(H47=0,I47=20))</f>
        <v>1</v>
      </c>
      <c r="N47" s="97" t="n">
        <f aca="false">1*AND(H47=0,I47=20)</f>
        <v>0</v>
      </c>
      <c r="O47" s="44" t="n">
        <f aca="false">H47</f>
        <v>74</v>
      </c>
      <c r="P47" s="44" t="n">
        <f aca="false">I47</f>
        <v>79</v>
      </c>
      <c r="Q47" s="98" t="n">
        <f aca="false">O47-P47</f>
        <v>-5</v>
      </c>
      <c r="R47" s="44" t="n">
        <f aca="false">1*(I47&gt;H47)</f>
        <v>1</v>
      </c>
      <c r="S47" s="44" t="n">
        <f aca="false">1*(I47&lt;H47)*NOT(AND(H47=20,I47=0))</f>
        <v>0</v>
      </c>
      <c r="T47" s="44" t="n">
        <f aca="false">1*AND(H47=20,I47=0)</f>
        <v>0</v>
      </c>
      <c r="U47" s="44" t="n">
        <f aca="false">I47</f>
        <v>79</v>
      </c>
      <c r="V47" s="44" t="n">
        <f aca="false">H47</f>
        <v>74</v>
      </c>
      <c r="W47" s="99" t="n">
        <f aca="false">U47-V47</f>
        <v>5</v>
      </c>
      <c r="AU47" s="106" t="s">
        <v>310</v>
      </c>
      <c r="AV47" s="107" t="n">
        <v>93</v>
      </c>
      <c r="AW47" s="108" t="s">
        <v>138</v>
      </c>
      <c r="AX47" s="109" t="s">
        <v>311</v>
      </c>
      <c r="AY47" s="108" t="s">
        <v>312</v>
      </c>
      <c r="AZ47" s="108" t="s">
        <v>313</v>
      </c>
      <c r="BA47" s="96" t="str">
        <f aca="false">IF(LEFT(AY47,1)="V",VLOOKUP(_xlfn.NUMBERVALUE(SUBSTITUTE(AY47,"V","")),B_PARTITE_2A_FASE_PER_NUMERO,10,FALSE()),IF(LEFT(AY47,1)="P",VLOOKUP(_xlfn.NUMBERVALUE(SUBSTITUTE(AY47,"P","")),B_PARTITE_2A_FASE_PER_NUMERO,11,FALSE()),VLOOKUP(AY47,B_CLASSIFICHE_GIRONI,4,FALSE())))</f>
        <v>Tigri</v>
      </c>
      <c r="BB47" s="96" t="str">
        <f aca="false">IF(LEFT(AZ47,1)="V",VLOOKUP(_xlfn.NUMBERVALUE(SUBSTITUTE(AZ47,"V","")),B_PARTITE_2A_FASE_PER_NUMERO,10,FALSE()),IF(LEFT(AZ47,1)="P",VLOOKUP(_xlfn.NUMBERVALUE(SUBSTITUTE(AZ47,"P","")),B_PARTITE_2A_FASE_PER_NUMERO,11,FALSE()),VLOOKUP(AZ47,B_CLASSIFICHE_GIRONI,4,FALSE())))</f>
        <v>Cervi</v>
      </c>
      <c r="BC47" s="44" t="n">
        <f aca="false">VLOOKUP(AV47,A_5_INPUT_DATE_E_RISULTATI_2A_FASE,6,0)</f>
        <v>57</v>
      </c>
      <c r="BD47" s="44" t="n">
        <f aca="false">VLOOKUP(AV47,A_5_INPUT_DATE_E_RISULTATI_2A_FASE,7,0)</f>
        <v>49</v>
      </c>
      <c r="BE47" s="96" t="str">
        <f aca="false">IF(BC47&gt;BD47,BA47,BB47)</f>
        <v>Tigri</v>
      </c>
      <c r="BF47" s="96" t="str">
        <f aca="false">IF(BC47&lt;BD47,BA47,BB47)</f>
        <v>Cervi</v>
      </c>
      <c r="BG47" s="44" t="n">
        <f aca="false">1*(BC47&gt;BD47)</f>
        <v>1</v>
      </c>
      <c r="BH47" s="97" t="n">
        <f aca="false">1*(BC47&lt;BD47)*NOT(AND(BC47=0,BD47=20))</f>
        <v>0</v>
      </c>
      <c r="BI47" s="97" t="n">
        <f aca="false">1*AND(BC47=0,BD47=20)</f>
        <v>0</v>
      </c>
      <c r="BJ47" s="44" t="n">
        <f aca="false">BC47</f>
        <v>57</v>
      </c>
      <c r="BK47" s="44" t="n">
        <f aca="false">BD47</f>
        <v>49</v>
      </c>
      <c r="BL47" s="98" t="n">
        <f aca="false">BJ47-BK47</f>
        <v>8</v>
      </c>
      <c r="BM47" s="44" t="n">
        <f aca="false">1*(BD47&gt;BC47)</f>
        <v>0</v>
      </c>
      <c r="BN47" s="44" t="n">
        <f aca="false">1*(BD47&lt;BC47)*NOT(AND(BC47=20,BD47=0))</f>
        <v>1</v>
      </c>
      <c r="BO47" s="44" t="n">
        <f aca="false">1*AND(BC47=20,BD47=0)</f>
        <v>0</v>
      </c>
      <c r="BP47" s="44" t="n">
        <f aca="false">BD47</f>
        <v>49</v>
      </c>
      <c r="BQ47" s="44" t="n">
        <f aca="false">BC47</f>
        <v>57</v>
      </c>
      <c r="BR47" s="99" t="n">
        <f aca="false">BP47-BQ47</f>
        <v>-8</v>
      </c>
    </row>
    <row r="48" customFormat="false" ht="12.8" hidden="false" customHeight="false" outlineLevel="0" collapsed="false">
      <c r="A48" s="32" t="n">
        <v>44</v>
      </c>
      <c r="B48" s="34" t="s">
        <v>10</v>
      </c>
      <c r="C48" s="34" t="s">
        <v>66</v>
      </c>
      <c r="D48" s="44" t="s">
        <v>262</v>
      </c>
      <c r="E48" s="44" t="s">
        <v>258</v>
      </c>
      <c r="F48" s="96" t="str">
        <f aca="false">IF(B48="Girone",VLOOKUP(D48,A_SQUADRE_PER_CODICE,2),"ERRORE!")</f>
        <v>Tonni</v>
      </c>
      <c r="G48" s="96" t="str">
        <f aca="false">IF(B48="Girone",VLOOKUP(E48,A_SQUADRE_PER_CODICE,2),"ERRORE!")</f>
        <v>Scorpioni</v>
      </c>
      <c r="H48" s="44" t="n">
        <f aca="false">VLOOKUP(A48,A_4_INPUT_DATE_E_RISULTATI_GIRONI,6,0)</f>
        <v>65</v>
      </c>
      <c r="I48" s="44" t="n">
        <f aca="false">VLOOKUP(A48,A_4_INPUT_DATE_E_RISULTATI_GIRONI,7,0)</f>
        <v>13</v>
      </c>
      <c r="J48" s="96" t="str">
        <f aca="false">IF(H48&gt;I48,F48,G48)</f>
        <v>Tonni</v>
      </c>
      <c r="K48" s="96" t="str">
        <f aca="false">IF(H48&lt;I48,F48,G48)</f>
        <v>Scorpioni</v>
      </c>
      <c r="L48" s="44" t="n">
        <f aca="false">1*(H48&gt;I48)</f>
        <v>1</v>
      </c>
      <c r="M48" s="97" t="n">
        <f aca="false">1*(H48&lt;I48)*NOT(AND(H48=0,I48=20))</f>
        <v>0</v>
      </c>
      <c r="N48" s="97" t="n">
        <f aca="false">1*AND(H48=0,I48=20)</f>
        <v>0</v>
      </c>
      <c r="O48" s="44" t="n">
        <f aca="false">H48</f>
        <v>65</v>
      </c>
      <c r="P48" s="44" t="n">
        <f aca="false">I48</f>
        <v>13</v>
      </c>
      <c r="Q48" s="98" t="n">
        <f aca="false">O48-P48</f>
        <v>52</v>
      </c>
      <c r="R48" s="44" t="n">
        <f aca="false">1*(I48&gt;H48)</f>
        <v>0</v>
      </c>
      <c r="S48" s="44" t="n">
        <f aca="false">1*(I48&lt;H48)*NOT(AND(H48=20,I48=0))</f>
        <v>1</v>
      </c>
      <c r="T48" s="44" t="n">
        <f aca="false">1*AND(H48=20,I48=0)</f>
        <v>0</v>
      </c>
      <c r="U48" s="44" t="n">
        <f aca="false">I48</f>
        <v>13</v>
      </c>
      <c r="V48" s="44" t="n">
        <f aca="false">H48</f>
        <v>65</v>
      </c>
      <c r="W48" s="99" t="n">
        <f aca="false">U48-V48</f>
        <v>-52</v>
      </c>
      <c r="AU48" s="106" t="s">
        <v>314</v>
      </c>
      <c r="AV48" s="107" t="n">
        <v>94</v>
      </c>
      <c r="AW48" s="108" t="s">
        <v>138</v>
      </c>
      <c r="AX48" s="109" t="s">
        <v>311</v>
      </c>
      <c r="AY48" s="108" t="s">
        <v>315</v>
      </c>
      <c r="AZ48" s="108" t="s">
        <v>316</v>
      </c>
      <c r="BA48" s="96" t="str">
        <f aca="false">IF(LEFT(AY48,1)="V",VLOOKUP(_xlfn.NUMBERVALUE(SUBSTITUTE(AY48,"V","")),B_PARTITE_2A_FASE_PER_NUMERO,10,FALSE()),IF(LEFT(AY48,1)="P",VLOOKUP(_xlfn.NUMBERVALUE(SUBSTITUTE(AY48,"P","")),B_PARTITE_2A_FASE_PER_NUMERO,11,FALSE()),VLOOKUP(AY48,B_CLASSIFICHE_GIRONI,4,FALSE())))</f>
        <v>Ippopotami</v>
      </c>
      <c r="BB48" s="96" t="str">
        <f aca="false">IF(LEFT(AZ48,1)="V",VLOOKUP(_xlfn.NUMBERVALUE(SUBSTITUTE(AZ48,"V","")),B_PARTITE_2A_FASE_PER_NUMERO,10,FALSE()),IF(LEFT(AZ48,1)="P",VLOOKUP(_xlfn.NUMBERVALUE(SUBSTITUTE(AZ48,"P","")),B_PARTITE_2A_FASE_PER_NUMERO,11,FALSE()),VLOOKUP(AZ48,B_CLASSIFICHE_GIRONI,4,FALSE())))</f>
        <v>Orche</v>
      </c>
      <c r="BC48" s="44" t="n">
        <f aca="false">VLOOKUP(AV48,A_5_INPUT_DATE_E_RISULTATI_2A_FASE,6,0)</f>
        <v>56</v>
      </c>
      <c r="BD48" s="44" t="n">
        <f aca="false">VLOOKUP(AV48,A_5_INPUT_DATE_E_RISULTATI_2A_FASE,7,0)</f>
        <v>42</v>
      </c>
      <c r="BE48" s="96" t="str">
        <f aca="false">IF(BC48&gt;BD48,BA48,BB48)</f>
        <v>Ippopotami</v>
      </c>
      <c r="BF48" s="96" t="str">
        <f aca="false">IF(BC48&lt;BD48,BA48,BB48)</f>
        <v>Orche</v>
      </c>
      <c r="BG48" s="44" t="n">
        <f aca="false">1*(BC48&gt;BD48)</f>
        <v>1</v>
      </c>
      <c r="BH48" s="97" t="n">
        <f aca="false">1*(BC48&lt;BD48)*NOT(AND(BC48=0,BD48=20))</f>
        <v>0</v>
      </c>
      <c r="BI48" s="97" t="n">
        <f aca="false">1*AND(BC48=0,BD48=20)</f>
        <v>0</v>
      </c>
      <c r="BJ48" s="44" t="n">
        <f aca="false">BC48</f>
        <v>56</v>
      </c>
      <c r="BK48" s="44" t="n">
        <f aca="false">BD48</f>
        <v>42</v>
      </c>
      <c r="BL48" s="98" t="n">
        <f aca="false">BJ48-BK48</f>
        <v>14</v>
      </c>
      <c r="BM48" s="44" t="n">
        <f aca="false">1*(BD48&gt;BC48)</f>
        <v>0</v>
      </c>
      <c r="BN48" s="44" t="n">
        <f aca="false">1*(BD48&lt;BC48)*NOT(AND(BC48=20,BD48=0))</f>
        <v>1</v>
      </c>
      <c r="BO48" s="44" t="n">
        <f aca="false">1*AND(BC48=20,BD48=0)</f>
        <v>0</v>
      </c>
      <c r="BP48" s="44" t="n">
        <f aca="false">BD48</f>
        <v>42</v>
      </c>
      <c r="BQ48" s="44" t="n">
        <f aca="false">BC48</f>
        <v>56</v>
      </c>
      <c r="BR48" s="99" t="n">
        <f aca="false">BP48-BQ48</f>
        <v>-14</v>
      </c>
    </row>
    <row r="49" customFormat="false" ht="12.8" hidden="false" customHeight="false" outlineLevel="0" collapsed="false">
      <c r="A49" s="32" t="n">
        <v>24</v>
      </c>
      <c r="B49" s="34" t="s">
        <v>10</v>
      </c>
      <c r="C49" s="34" t="s">
        <v>66</v>
      </c>
      <c r="D49" s="44" t="s">
        <v>262</v>
      </c>
      <c r="E49" s="44" t="s">
        <v>266</v>
      </c>
      <c r="F49" s="96" t="str">
        <f aca="false">IF(B49="Girone",VLOOKUP(D49,A_SQUADRE_PER_CODICE,2),"ERRORE!")</f>
        <v>Tonni</v>
      </c>
      <c r="G49" s="96" t="str">
        <f aca="false">IF(B49="Girone",VLOOKUP(E49,A_SQUADRE_PER_CODICE,2),"ERRORE!")</f>
        <v>Zebre</v>
      </c>
      <c r="H49" s="44" t="n">
        <f aca="false">VLOOKUP(A49,A_4_INPUT_DATE_E_RISULTATI_GIRONI,6,0)</f>
        <v>20</v>
      </c>
      <c r="I49" s="44" t="n">
        <f aca="false">VLOOKUP(A49,A_4_INPUT_DATE_E_RISULTATI_GIRONI,7,0)</f>
        <v>0</v>
      </c>
      <c r="J49" s="96" t="str">
        <f aca="false">IF(H49&gt;I49,F49,G49)</f>
        <v>Tonni</v>
      </c>
      <c r="K49" s="96" t="str">
        <f aca="false">IF(H49&lt;I49,F49,G49)</f>
        <v>Zebre</v>
      </c>
      <c r="L49" s="44" t="n">
        <f aca="false">1*(H49&gt;I49)</f>
        <v>1</v>
      </c>
      <c r="M49" s="97" t="n">
        <f aca="false">1*(H49&lt;I49)*NOT(AND(H49=0,I49=20))</f>
        <v>0</v>
      </c>
      <c r="N49" s="97" t="n">
        <f aca="false">1*AND(H49=0,I49=20)</f>
        <v>0</v>
      </c>
      <c r="O49" s="44" t="n">
        <f aca="false">H49</f>
        <v>20</v>
      </c>
      <c r="P49" s="44" t="n">
        <f aca="false">I49</f>
        <v>0</v>
      </c>
      <c r="Q49" s="98" t="n">
        <f aca="false">O49-P49</f>
        <v>20</v>
      </c>
      <c r="R49" s="44" t="n">
        <f aca="false">1*(I49&gt;H49)</f>
        <v>0</v>
      </c>
      <c r="S49" s="44" t="n">
        <f aca="false">1*(I49&lt;H49)*NOT(AND(H49=20,I49=0))</f>
        <v>0</v>
      </c>
      <c r="T49" s="44" t="n">
        <f aca="false">1*AND(H49=20,I49=0)</f>
        <v>1</v>
      </c>
      <c r="U49" s="44" t="n">
        <f aca="false">I49</f>
        <v>0</v>
      </c>
      <c r="V49" s="44" t="n">
        <f aca="false">H49</f>
        <v>20</v>
      </c>
      <c r="W49" s="99" t="n">
        <f aca="false">U49-V49</f>
        <v>-20</v>
      </c>
      <c r="AU49" s="106" t="s">
        <v>317</v>
      </c>
      <c r="AV49" s="107" t="n">
        <v>95</v>
      </c>
      <c r="AW49" s="108" t="s">
        <v>138</v>
      </c>
      <c r="AX49" s="109" t="s">
        <v>318</v>
      </c>
      <c r="AY49" s="108" t="s">
        <v>319</v>
      </c>
      <c r="AZ49" s="108" t="s">
        <v>320</v>
      </c>
      <c r="BA49" s="96" t="str">
        <f aca="false">IF(LEFT(AY49,1)="V",VLOOKUP(_xlfn.NUMBERVALUE(SUBSTITUTE(AY49,"V","")),B_PARTITE_2A_FASE_PER_NUMERO,10,FALSE()),IF(LEFT(AY49,1)="P",VLOOKUP(_xlfn.NUMBERVALUE(SUBSTITUTE(AY49,"P","")),B_PARTITE_2A_FASE_PER_NUMERO,11,FALSE()),VLOOKUP(AY49,B_CLASSIFICHE_GIRONI,4,FALSE())))</f>
        <v>Linci</v>
      </c>
      <c r="BB49" s="96" t="str">
        <f aca="false">IF(LEFT(AZ49,1)="V",VLOOKUP(_xlfn.NUMBERVALUE(SUBSTITUTE(AZ49,"V","")),B_PARTITE_2A_FASE_PER_NUMERO,10,FALSE()),IF(LEFT(AZ49,1)="P",VLOOKUP(_xlfn.NUMBERVALUE(SUBSTITUTE(AZ49,"P","")),B_PARTITE_2A_FASE_PER_NUMERO,11,FALSE()),VLOOKUP(AZ49,B_CLASSIFICHE_GIRONI,4,FALSE())))</f>
        <v>Delfini</v>
      </c>
      <c r="BC49" s="44" t="n">
        <f aca="false">VLOOKUP(AV49,A_5_INPUT_DATE_E_RISULTATI_2A_FASE,6,0)</f>
        <v>53</v>
      </c>
      <c r="BD49" s="44" t="n">
        <f aca="false">VLOOKUP(AV49,A_5_INPUT_DATE_E_RISULTATI_2A_FASE,7,0)</f>
        <v>49</v>
      </c>
      <c r="BE49" s="96" t="str">
        <f aca="false">IF(BC49&gt;BD49,BA49,BB49)</f>
        <v>Linci</v>
      </c>
      <c r="BF49" s="96" t="str">
        <f aca="false">IF(BC49&lt;BD49,BA49,BB49)</f>
        <v>Delfini</v>
      </c>
      <c r="BG49" s="44" t="n">
        <f aca="false">1*(BC49&gt;BD49)</f>
        <v>1</v>
      </c>
      <c r="BH49" s="97" t="n">
        <f aca="false">1*(BC49&lt;BD49)*NOT(AND(BC49=0,BD49=20))</f>
        <v>0</v>
      </c>
      <c r="BI49" s="97" t="n">
        <f aca="false">1*AND(BC49=0,BD49=20)</f>
        <v>0</v>
      </c>
      <c r="BJ49" s="44" t="n">
        <f aca="false">BC49</f>
        <v>53</v>
      </c>
      <c r="BK49" s="44" t="n">
        <f aca="false">BD49</f>
        <v>49</v>
      </c>
      <c r="BL49" s="98" t="n">
        <f aca="false">BJ49-BK49</f>
        <v>4</v>
      </c>
      <c r="BM49" s="44" t="n">
        <f aca="false">1*(BD49&gt;BC49)</f>
        <v>0</v>
      </c>
      <c r="BN49" s="44" t="n">
        <f aca="false">1*(BD49&lt;BC49)*NOT(AND(BC49=20,BD49=0))</f>
        <v>1</v>
      </c>
      <c r="BO49" s="44" t="n">
        <f aca="false">1*AND(BC49=20,BD49=0)</f>
        <v>0</v>
      </c>
      <c r="BP49" s="44" t="n">
        <f aca="false">BD49</f>
        <v>49</v>
      </c>
      <c r="BQ49" s="44" t="n">
        <f aca="false">BC49</f>
        <v>53</v>
      </c>
      <c r="BR49" s="99" t="n">
        <f aca="false">BP49-BQ49</f>
        <v>-4</v>
      </c>
    </row>
    <row r="50" customFormat="false" ht="12.8" hidden="false" customHeight="false" outlineLevel="0" collapsed="false">
      <c r="A50" s="45" t="n">
        <v>48</v>
      </c>
      <c r="B50" s="47" t="s">
        <v>10</v>
      </c>
      <c r="C50" s="47" t="s">
        <v>66</v>
      </c>
      <c r="D50" s="69" t="s">
        <v>266</v>
      </c>
      <c r="E50" s="69" t="s">
        <v>253</v>
      </c>
      <c r="F50" s="136" t="str">
        <f aca="false">IF(B50="Girone",VLOOKUP(D50,A_SQUADRE_PER_CODICE,2),"ERRORE!")</f>
        <v>Zebre</v>
      </c>
      <c r="G50" s="136" t="str">
        <f aca="false">IF(B50="Girone",VLOOKUP(E50,A_SQUADRE_PER_CODICE,2),"ERRORE!")</f>
        <v>Piranha</v>
      </c>
      <c r="H50" s="69" t="n">
        <f aca="false">VLOOKUP(A50,A_4_INPUT_DATE_E_RISULTATI_GIRONI,6,0)</f>
        <v>54</v>
      </c>
      <c r="I50" s="69" t="n">
        <f aca="false">VLOOKUP(A50,A_4_INPUT_DATE_E_RISULTATI_GIRONI,7,0)</f>
        <v>48</v>
      </c>
      <c r="J50" s="136" t="str">
        <f aca="false">IF(H50&gt;I50,F50,G50)</f>
        <v>Zebre</v>
      </c>
      <c r="K50" s="136" t="str">
        <f aca="false">IF(H50&lt;I50,F50,G50)</f>
        <v>Piranha</v>
      </c>
      <c r="L50" s="69" t="n">
        <f aca="false">1*(H50&gt;I50)</f>
        <v>1</v>
      </c>
      <c r="M50" s="137" t="n">
        <f aca="false">1*(H50&lt;I50)*NOT(AND(H50=0,I50=20))</f>
        <v>0</v>
      </c>
      <c r="N50" s="137" t="n">
        <f aca="false">1*AND(H50=0,I50=20)</f>
        <v>0</v>
      </c>
      <c r="O50" s="69" t="n">
        <f aca="false">H50</f>
        <v>54</v>
      </c>
      <c r="P50" s="69" t="n">
        <f aca="false">I50</f>
        <v>48</v>
      </c>
      <c r="Q50" s="134" t="n">
        <f aca="false">O50-P50</f>
        <v>6</v>
      </c>
      <c r="R50" s="69" t="n">
        <f aca="false">1*(I50&gt;H50)</f>
        <v>0</v>
      </c>
      <c r="S50" s="69" t="n">
        <f aca="false">1*(I50&lt;H50)*NOT(AND(H50=20,I50=0))</f>
        <v>1</v>
      </c>
      <c r="T50" s="69" t="n">
        <f aca="false">1*AND(H50=20,I50=0)</f>
        <v>0</v>
      </c>
      <c r="U50" s="69" t="n">
        <f aca="false">I50</f>
        <v>48</v>
      </c>
      <c r="V50" s="69" t="n">
        <f aca="false">H50</f>
        <v>54</v>
      </c>
      <c r="W50" s="138" t="n">
        <f aca="false">U50-V50</f>
        <v>-6</v>
      </c>
      <c r="AU50" s="106" t="s">
        <v>321</v>
      </c>
      <c r="AV50" s="107" t="n">
        <v>96</v>
      </c>
      <c r="AW50" s="139" t="s">
        <v>138</v>
      </c>
      <c r="AX50" s="140" t="s">
        <v>318</v>
      </c>
      <c r="AY50" s="139" t="s">
        <v>322</v>
      </c>
      <c r="AZ50" s="139" t="s">
        <v>323</v>
      </c>
      <c r="BA50" s="136" t="str">
        <f aca="false">IF(LEFT(AY50,1)="V",VLOOKUP(_xlfn.NUMBERVALUE(SUBSTITUTE(AY50,"V","")),B_PARTITE_2A_FASE_PER_NUMERO,10,FALSE()),IF(LEFT(AY50,1)="P",VLOOKUP(_xlfn.NUMBERVALUE(SUBSTITUTE(AY50,"P","")),B_PARTITE_2A_FASE_PER_NUMERO,11,FALSE()),VLOOKUP(AY50,B_CLASSIFICHE_GIRONI,4,FALSE())))</f>
        <v>Pitoni</v>
      </c>
      <c r="BB50" s="136" t="str">
        <f aca="false">IF(LEFT(AZ50,1)="V",VLOOKUP(_xlfn.NUMBERVALUE(SUBSTITUTE(AZ50,"V","")),B_PARTITE_2A_FASE_PER_NUMERO,10,FALSE()),IF(LEFT(AZ50,1)="P",VLOOKUP(_xlfn.NUMBERVALUE(SUBSTITUTE(AZ50,"P","")),B_PARTITE_2A_FASE_PER_NUMERO,11,FALSE()),VLOOKUP(AZ50,B_CLASSIFICHE_GIRONI,4,FALSE())))</f>
        <v>Zebre</v>
      </c>
      <c r="BC50" s="69" t="n">
        <f aca="false">VLOOKUP(AV50,A_5_INPUT_DATE_E_RISULTATI_2A_FASE,6,0)</f>
        <v>63</v>
      </c>
      <c r="BD50" s="69" t="n">
        <f aca="false">VLOOKUP(AV50,A_5_INPUT_DATE_E_RISULTATI_2A_FASE,7,0)</f>
        <v>34</v>
      </c>
      <c r="BE50" s="136" t="str">
        <f aca="false">IF(BC50&gt;BD50,BA50,BB50)</f>
        <v>Pitoni</v>
      </c>
      <c r="BF50" s="136" t="str">
        <f aca="false">IF(BC50&lt;BD50,BA50,BB50)</f>
        <v>Zebre</v>
      </c>
      <c r="BG50" s="69" t="n">
        <f aca="false">1*(BC50&gt;BD50)</f>
        <v>1</v>
      </c>
      <c r="BH50" s="137" t="n">
        <f aca="false">1*(BC50&lt;BD50)*NOT(AND(BC50=0,BD50=20))</f>
        <v>0</v>
      </c>
      <c r="BI50" s="137" t="n">
        <f aca="false">1*AND(BC50=0,BD50=20)</f>
        <v>0</v>
      </c>
      <c r="BJ50" s="69" t="n">
        <f aca="false">BC50</f>
        <v>63</v>
      </c>
      <c r="BK50" s="69" t="n">
        <f aca="false">BD50</f>
        <v>34</v>
      </c>
      <c r="BL50" s="134" t="n">
        <f aca="false">BJ50-BK50</f>
        <v>29</v>
      </c>
      <c r="BM50" s="69" t="n">
        <f aca="false">1*(BD50&gt;BC50)</f>
        <v>0</v>
      </c>
      <c r="BN50" s="69" t="n">
        <f aca="false">1*(BD50&lt;BC50)*NOT(AND(BC50=20,BD50=0))</f>
        <v>1</v>
      </c>
      <c r="BO50" s="69" t="n">
        <f aca="false">1*AND(BC50=20,BD50=0)</f>
        <v>0</v>
      </c>
      <c r="BP50" s="69" t="n">
        <f aca="false">BD50</f>
        <v>34</v>
      </c>
      <c r="BQ50" s="69" t="n">
        <f aca="false">BC50</f>
        <v>63</v>
      </c>
      <c r="BR50" s="138" t="n">
        <f aca="false">BP50-BQ50</f>
        <v>-29</v>
      </c>
    </row>
    <row r="51" customFormat="false" ht="12.8" hidden="false" customHeight="false" outlineLevel="0" collapsed="false">
      <c r="AU51" s="106" t="s">
        <v>324</v>
      </c>
      <c r="AV51" s="107" t="n">
        <v>97</v>
      </c>
      <c r="AW51" s="108" t="s">
        <v>138</v>
      </c>
      <c r="AX51" s="109" t="s">
        <v>325</v>
      </c>
      <c r="AY51" s="108" t="s">
        <v>326</v>
      </c>
      <c r="AZ51" s="108" t="s">
        <v>327</v>
      </c>
      <c r="BA51" s="96" t="str">
        <f aca="false">IF(LEFT(AY51,1)="V",VLOOKUP(_xlfn.NUMBERVALUE(SUBSTITUTE(AY51,"V","")),B_PARTITE_2A_FASE_PER_NUMERO,10,FALSE()),IF(LEFT(AY51,1)="P",VLOOKUP(_xlfn.NUMBERVALUE(SUBSTITUTE(AY51,"P","")),B_PARTITE_2A_FASE_PER_NUMERO,11,FALSE()),VLOOKUP(AY51,B_CLASSIFICHE_GIRONI,4,FALSE())))</f>
        <v>Scorpioni</v>
      </c>
      <c r="BB51" s="96" t="str">
        <f aca="false">IF(LEFT(AZ51,1)="V",VLOOKUP(_xlfn.NUMBERVALUE(SUBSTITUTE(AZ51,"V","")),B_PARTITE_2A_FASE_PER_NUMERO,10,FALSE()),IF(LEFT(AZ51,1)="P",VLOOKUP(_xlfn.NUMBERVALUE(SUBSTITUTE(AZ51,"P","")),B_PARTITE_2A_FASE_PER_NUMERO,11,FALSE()),VLOOKUP(AZ51,B_CLASSIFICHE_GIRONI,4,FALSE())))</f>
        <v>Serval</v>
      </c>
      <c r="BC51" s="44" t="n">
        <f aca="false">VLOOKUP(AV51,A_5_INPUT_DATE_E_RISULTATI_2A_FASE,6,0)</f>
        <v>53</v>
      </c>
      <c r="BD51" s="44" t="n">
        <f aca="false">VLOOKUP(AV51,A_5_INPUT_DATE_E_RISULTATI_2A_FASE,7,0)</f>
        <v>32</v>
      </c>
      <c r="BE51" s="96" t="str">
        <f aca="false">IF(BC51&gt;BD51,BA51,BB51)</f>
        <v>Scorpioni</v>
      </c>
      <c r="BF51" s="96" t="str">
        <f aca="false">IF(BC51&lt;BD51,BA51,BB51)</f>
        <v>Serval</v>
      </c>
      <c r="BG51" s="44" t="n">
        <f aca="false">1*(BC51&gt;BD51)</f>
        <v>1</v>
      </c>
      <c r="BH51" s="97" t="n">
        <f aca="false">1*(BC51&lt;BD51)*NOT(AND(BC51=0,BD51=20))</f>
        <v>0</v>
      </c>
      <c r="BI51" s="97" t="n">
        <f aca="false">1*AND(BC51=0,BD51=20)</f>
        <v>0</v>
      </c>
      <c r="BJ51" s="44" t="n">
        <f aca="false">BC51</f>
        <v>53</v>
      </c>
      <c r="BK51" s="44" t="n">
        <f aca="false">BD51</f>
        <v>32</v>
      </c>
      <c r="BL51" s="98" t="n">
        <f aca="false">BJ51-BK51</f>
        <v>21</v>
      </c>
      <c r="BM51" s="44" t="n">
        <f aca="false">1*(BD51&gt;BC51)</f>
        <v>0</v>
      </c>
      <c r="BN51" s="44" t="n">
        <f aca="false">1*(BD51&lt;BC51)*NOT(AND(BC51=20,BD51=0))</f>
        <v>1</v>
      </c>
      <c r="BO51" s="44" t="n">
        <f aca="false">1*AND(BC51=20,BD51=0)</f>
        <v>0</v>
      </c>
      <c r="BP51" s="44" t="n">
        <f aca="false">BD51</f>
        <v>32</v>
      </c>
      <c r="BQ51" s="44" t="n">
        <f aca="false">BC51</f>
        <v>53</v>
      </c>
      <c r="BR51" s="99" t="n">
        <f aca="false">BP51-BQ51</f>
        <v>-21</v>
      </c>
    </row>
    <row r="52" customFormat="false" ht="12.8" hidden="false" customHeight="false" outlineLevel="0" collapsed="false">
      <c r="AU52" s="106" t="s">
        <v>328</v>
      </c>
      <c r="AV52" s="107" t="n">
        <v>98</v>
      </c>
      <c r="AW52" s="108" t="s">
        <v>138</v>
      </c>
      <c r="AX52" s="109" t="s">
        <v>329</v>
      </c>
      <c r="AY52" s="108" t="s">
        <v>330</v>
      </c>
      <c r="AZ52" s="108" t="s">
        <v>331</v>
      </c>
      <c r="BA52" s="96" t="str">
        <f aca="false">IF(LEFT(AY52,1)="V",VLOOKUP(_xlfn.NUMBERVALUE(SUBSTITUTE(AY52,"V","")),B_PARTITE_2A_FASE_PER_NUMERO,10,FALSE()),IF(LEFT(AY52,1)="P",VLOOKUP(_xlfn.NUMBERVALUE(SUBSTITUTE(AY52,"P","")),B_PARTITE_2A_FASE_PER_NUMERO,11,FALSE()),VLOOKUP(AY52,B_CLASSIFICHE_GIRONI,4,FALSE())))</f>
        <v>Falchi</v>
      </c>
      <c r="BB52" s="96" t="str">
        <f aca="false">IF(LEFT(AZ52,1)="V",VLOOKUP(_xlfn.NUMBERVALUE(SUBSTITUTE(AZ52,"V","")),B_PARTITE_2A_FASE_PER_NUMERO,10,FALSE()),IF(LEFT(AZ52,1)="P",VLOOKUP(_xlfn.NUMBERVALUE(SUBSTITUTE(AZ52,"P","")),B_PARTITE_2A_FASE_PER_NUMERO,11,FALSE()),VLOOKUP(AZ52,B_CLASSIFICHE_GIRONI,4,FALSE())))</f>
        <v>Scorpioni</v>
      </c>
      <c r="BC52" s="44" t="n">
        <f aca="false">VLOOKUP(AV52,A_5_INPUT_DATE_E_RISULTATI_2A_FASE,6,0)</f>
        <v>50</v>
      </c>
      <c r="BD52" s="44" t="n">
        <f aca="false">VLOOKUP(AV52,A_5_INPUT_DATE_E_RISULTATI_2A_FASE,7,0)</f>
        <v>38</v>
      </c>
      <c r="BE52" s="96" t="str">
        <f aca="false">IF(BC52&gt;BD52,BA52,BB52)</f>
        <v>Falchi</v>
      </c>
      <c r="BF52" s="96" t="str">
        <f aca="false">IF(BC52&lt;BD52,BA52,BB52)</f>
        <v>Scorpioni</v>
      </c>
      <c r="BG52" s="44" t="n">
        <f aca="false">1*(BC52&gt;BD52)</f>
        <v>1</v>
      </c>
      <c r="BH52" s="97" t="n">
        <f aca="false">1*(BC52&lt;BD52)*NOT(AND(BC52=0,BD52=20))</f>
        <v>0</v>
      </c>
      <c r="BI52" s="97" t="n">
        <f aca="false">1*AND(BC52=0,BD52=20)</f>
        <v>0</v>
      </c>
      <c r="BJ52" s="44" t="n">
        <f aca="false">BC52</f>
        <v>50</v>
      </c>
      <c r="BK52" s="44" t="n">
        <f aca="false">BD52</f>
        <v>38</v>
      </c>
      <c r="BL52" s="98" t="n">
        <f aca="false">BJ52-BK52</f>
        <v>12</v>
      </c>
      <c r="BM52" s="44" t="n">
        <f aca="false">1*(BD52&gt;BC52)</f>
        <v>0</v>
      </c>
      <c r="BN52" s="44" t="n">
        <f aca="false">1*(BD52&lt;BC52)*NOT(AND(BC52=20,BD52=0))</f>
        <v>1</v>
      </c>
      <c r="BO52" s="44" t="n">
        <f aca="false">1*AND(BC52=20,BD52=0)</f>
        <v>0</v>
      </c>
      <c r="BP52" s="44" t="n">
        <f aca="false">BD52</f>
        <v>38</v>
      </c>
      <c r="BQ52" s="44" t="n">
        <f aca="false">BC52</f>
        <v>50</v>
      </c>
      <c r="BR52" s="99" t="n">
        <f aca="false">BP52-BQ52</f>
        <v>-12</v>
      </c>
    </row>
    <row r="53" customFormat="false" ht="12.8" hidden="false" customHeight="false" outlineLevel="0" collapsed="false">
      <c r="AU53" s="106" t="s">
        <v>332</v>
      </c>
      <c r="AV53" s="107" t="n">
        <v>99</v>
      </c>
      <c r="AW53" s="108" t="s">
        <v>138</v>
      </c>
      <c r="AX53" s="109" t="s">
        <v>333</v>
      </c>
      <c r="AY53" s="108" t="s">
        <v>334</v>
      </c>
      <c r="AZ53" s="108" t="s">
        <v>335</v>
      </c>
      <c r="BA53" s="96" t="str">
        <f aca="false">IF(LEFT(AY53,1)="V",VLOOKUP(_xlfn.NUMBERVALUE(SUBSTITUTE(AY53,"V","")),B_PARTITE_2A_FASE_PER_NUMERO,10,FALSE()),IF(LEFT(AY53,1)="P",VLOOKUP(_xlfn.NUMBERVALUE(SUBSTITUTE(AY53,"P","")),B_PARTITE_2A_FASE_PER_NUMERO,11,FALSE()),VLOOKUP(AY53,B_CLASSIFICHE_GIRONI,4,FALSE())))</f>
        <v>Muli</v>
      </c>
      <c r="BB53" s="96" t="str">
        <f aca="false">IF(LEFT(AZ53,1)="V",VLOOKUP(_xlfn.NUMBERVALUE(SUBSTITUTE(AZ53,"V","")),B_PARTITE_2A_FASE_PER_NUMERO,10,FALSE()),IF(LEFT(AZ53,1)="P",VLOOKUP(_xlfn.NUMBERVALUE(SUBSTITUTE(AZ53,"P","")),B_PARTITE_2A_FASE_PER_NUMERO,11,FALSE()),VLOOKUP(AZ53,B_CLASSIFICHE_GIRONI,4,FALSE())))</f>
        <v>Ghepardi</v>
      </c>
      <c r="BC53" s="44" t="n">
        <f aca="false">VLOOKUP(AV53,A_5_INPUT_DATE_E_RISULTATI_2A_FASE,6,0)</f>
        <v>62</v>
      </c>
      <c r="BD53" s="44" t="n">
        <f aca="false">VLOOKUP(AV53,A_5_INPUT_DATE_E_RISULTATI_2A_FASE,7,0)</f>
        <v>47</v>
      </c>
      <c r="BE53" s="96" t="str">
        <f aca="false">IF(BC53&gt;BD53,BA53,BB53)</f>
        <v>Muli</v>
      </c>
      <c r="BF53" s="96" t="str">
        <f aca="false">IF(BC53&lt;BD53,BA53,BB53)</f>
        <v>Ghepardi</v>
      </c>
      <c r="BG53" s="44" t="n">
        <f aca="false">1*(BC53&gt;BD53)</f>
        <v>1</v>
      </c>
      <c r="BH53" s="97" t="n">
        <f aca="false">1*(BC53&lt;BD53)*NOT(AND(BC53=0,BD53=20))</f>
        <v>0</v>
      </c>
      <c r="BI53" s="97" t="n">
        <f aca="false">1*AND(BC53=0,BD53=20)</f>
        <v>0</v>
      </c>
      <c r="BJ53" s="44" t="n">
        <f aca="false">BC53</f>
        <v>62</v>
      </c>
      <c r="BK53" s="44" t="n">
        <f aca="false">BD53</f>
        <v>47</v>
      </c>
      <c r="BL53" s="98" t="n">
        <f aca="false">BJ53-BK53</f>
        <v>15</v>
      </c>
      <c r="BM53" s="44" t="n">
        <f aca="false">1*(BD53&gt;BC53)</f>
        <v>0</v>
      </c>
      <c r="BN53" s="44" t="n">
        <f aca="false">1*(BD53&lt;BC53)*NOT(AND(BC53=20,BD53=0))</f>
        <v>1</v>
      </c>
      <c r="BO53" s="44" t="n">
        <f aca="false">1*AND(BC53=20,BD53=0)</f>
        <v>0</v>
      </c>
      <c r="BP53" s="44" t="n">
        <f aca="false">BD53</f>
        <v>47</v>
      </c>
      <c r="BQ53" s="44" t="n">
        <f aca="false">BC53</f>
        <v>62</v>
      </c>
      <c r="BR53" s="99" t="n">
        <f aca="false">BP53-BQ53</f>
        <v>-15</v>
      </c>
    </row>
    <row r="54" customFormat="false" ht="12.8" hidden="false" customHeight="false" outlineLevel="0" collapsed="false">
      <c r="AU54" s="106" t="s">
        <v>336</v>
      </c>
      <c r="AV54" s="107" t="n">
        <v>100</v>
      </c>
      <c r="AW54" s="108" t="s">
        <v>138</v>
      </c>
      <c r="AX54" s="109" t="s">
        <v>337</v>
      </c>
      <c r="AY54" s="108" t="s">
        <v>338</v>
      </c>
      <c r="AZ54" s="108" t="s">
        <v>339</v>
      </c>
      <c r="BA54" s="96" t="str">
        <f aca="false">IF(LEFT(AY54,1)="V",VLOOKUP(_xlfn.NUMBERVALUE(SUBSTITUTE(AY54,"V","")),B_PARTITE_2A_FASE_PER_NUMERO,10,FALSE()),IF(LEFT(AY54,1)="P",VLOOKUP(_xlfn.NUMBERVALUE(SUBSTITUTE(AY54,"P","")),B_PARTITE_2A_FASE_PER_NUMERO,11,FALSE()),VLOOKUP(AY54,B_CLASSIFICHE_GIRONI,4,FALSE())))</f>
        <v>Iguane</v>
      </c>
      <c r="BB54" s="96" t="str">
        <f aca="false">IF(LEFT(AZ54,1)="V",VLOOKUP(_xlfn.NUMBERVALUE(SUBSTITUTE(AZ54,"V","")),B_PARTITE_2A_FASE_PER_NUMERO,10,FALSE()),IF(LEFT(AZ54,1)="P",VLOOKUP(_xlfn.NUMBERVALUE(SUBSTITUTE(AZ54,"P","")),B_PARTITE_2A_FASE_PER_NUMERO,11,FALSE()),VLOOKUP(AZ54,B_CLASSIFICHE_GIRONI,4,FALSE())))</f>
        <v>Delfini</v>
      </c>
      <c r="BC54" s="44" t="n">
        <f aca="false">VLOOKUP(AV54,A_5_INPUT_DATE_E_RISULTATI_2A_FASE,6,0)</f>
        <v>69</v>
      </c>
      <c r="BD54" s="44" t="n">
        <f aca="false">VLOOKUP(AV54,A_5_INPUT_DATE_E_RISULTATI_2A_FASE,7,0)</f>
        <v>31</v>
      </c>
      <c r="BE54" s="96" t="str">
        <f aca="false">IF(BC54&gt;BD54,BA54,BB54)</f>
        <v>Iguane</v>
      </c>
      <c r="BF54" s="96" t="str">
        <f aca="false">IF(BC54&lt;BD54,BA54,BB54)</f>
        <v>Delfini</v>
      </c>
      <c r="BG54" s="44" t="n">
        <f aca="false">1*(BC54&gt;BD54)</f>
        <v>1</v>
      </c>
      <c r="BH54" s="97" t="n">
        <f aca="false">1*(BC54&lt;BD54)*NOT(AND(BC54=0,BD54=20))</f>
        <v>0</v>
      </c>
      <c r="BI54" s="97" t="n">
        <f aca="false">1*AND(BC54=0,BD54=20)</f>
        <v>0</v>
      </c>
      <c r="BJ54" s="44" t="n">
        <f aca="false">BC54</f>
        <v>69</v>
      </c>
      <c r="BK54" s="44" t="n">
        <f aca="false">BD54</f>
        <v>31</v>
      </c>
      <c r="BL54" s="98" t="n">
        <f aca="false">BJ54-BK54</f>
        <v>38</v>
      </c>
      <c r="BM54" s="44" t="n">
        <f aca="false">1*(BD54&gt;BC54)</f>
        <v>0</v>
      </c>
      <c r="BN54" s="44" t="n">
        <f aca="false">1*(BD54&lt;BC54)*NOT(AND(BC54=20,BD54=0))</f>
        <v>1</v>
      </c>
      <c r="BO54" s="44" t="n">
        <f aca="false">1*AND(BC54=20,BD54=0)</f>
        <v>0</v>
      </c>
      <c r="BP54" s="44" t="n">
        <f aca="false">BD54</f>
        <v>31</v>
      </c>
      <c r="BQ54" s="44" t="n">
        <f aca="false">BC54</f>
        <v>69</v>
      </c>
      <c r="BR54" s="99" t="n">
        <f aca="false">BP54-BQ54</f>
        <v>-38</v>
      </c>
    </row>
    <row r="55" customFormat="false" ht="12.8" hidden="false" customHeight="false" outlineLevel="0" collapsed="false">
      <c r="AU55" s="106" t="s">
        <v>340</v>
      </c>
      <c r="AV55" s="107" t="n">
        <v>101</v>
      </c>
      <c r="AW55" s="108" t="s">
        <v>138</v>
      </c>
      <c r="AX55" s="109" t="s">
        <v>341</v>
      </c>
      <c r="AY55" s="108" t="s">
        <v>342</v>
      </c>
      <c r="AZ55" s="108" t="s">
        <v>343</v>
      </c>
      <c r="BA55" s="96" t="str">
        <f aca="false">IF(LEFT(AY55,1)="V",VLOOKUP(_xlfn.NUMBERVALUE(SUBSTITUTE(AY55,"V","")),B_PARTITE_2A_FASE_PER_NUMERO,10,FALSE()),IF(LEFT(AY55,1)="P",VLOOKUP(_xlfn.NUMBERVALUE(SUBSTITUTE(AY55,"P","")),B_PARTITE_2A_FASE_PER_NUMERO,11,FALSE()),VLOOKUP(AY55,B_CLASSIFICHE_GIRONI,4,FALSE())))</f>
        <v>Delfini</v>
      </c>
      <c r="BB55" s="96" t="str">
        <f aca="false">IF(LEFT(AZ55,1)="V",VLOOKUP(_xlfn.NUMBERVALUE(SUBSTITUTE(AZ55,"V","")),B_PARTITE_2A_FASE_PER_NUMERO,10,FALSE()),IF(LEFT(AZ55,1)="P",VLOOKUP(_xlfn.NUMBERVALUE(SUBSTITUTE(AZ55,"P","")),B_PARTITE_2A_FASE_PER_NUMERO,11,FALSE()),VLOOKUP(AZ55,B_CLASSIFICHE_GIRONI,4,FALSE())))</f>
        <v>Zebre</v>
      </c>
      <c r="BC55" s="44" t="n">
        <f aca="false">VLOOKUP(AV55,A_5_INPUT_DATE_E_RISULTATI_2A_FASE,6,0)</f>
        <v>62</v>
      </c>
      <c r="BD55" s="44" t="n">
        <f aca="false">VLOOKUP(AV55,A_5_INPUT_DATE_E_RISULTATI_2A_FASE,7,0)</f>
        <v>38</v>
      </c>
      <c r="BE55" s="96" t="str">
        <f aca="false">IF(BC55&gt;BD55,BA55,BB55)</f>
        <v>Delfini</v>
      </c>
      <c r="BF55" s="96" t="str">
        <f aca="false">IF(BC55&lt;BD55,BA55,BB55)</f>
        <v>Zebre</v>
      </c>
      <c r="BG55" s="44" t="n">
        <f aca="false">1*(BC55&gt;BD55)</f>
        <v>1</v>
      </c>
      <c r="BH55" s="97" t="n">
        <f aca="false">1*(BC55&lt;BD55)*NOT(AND(BC55=0,BD55=20))</f>
        <v>0</v>
      </c>
      <c r="BI55" s="97" t="n">
        <f aca="false">1*AND(BC55=0,BD55=20)</f>
        <v>0</v>
      </c>
      <c r="BJ55" s="44" t="n">
        <f aca="false">BC55</f>
        <v>62</v>
      </c>
      <c r="BK55" s="44" t="n">
        <f aca="false">BD55</f>
        <v>38</v>
      </c>
      <c r="BL55" s="98" t="n">
        <f aca="false">BJ55-BK55</f>
        <v>24</v>
      </c>
      <c r="BM55" s="44" t="n">
        <f aca="false">1*(BD55&gt;BC55)</f>
        <v>0</v>
      </c>
      <c r="BN55" s="44" t="n">
        <f aca="false">1*(BD55&lt;BC55)*NOT(AND(BC55=20,BD55=0))</f>
        <v>1</v>
      </c>
      <c r="BO55" s="44" t="n">
        <f aca="false">1*AND(BC55=20,BD55=0)</f>
        <v>0</v>
      </c>
      <c r="BP55" s="44" t="n">
        <f aca="false">BD55</f>
        <v>38</v>
      </c>
      <c r="BQ55" s="44" t="n">
        <f aca="false">BC55</f>
        <v>62</v>
      </c>
      <c r="BR55" s="99" t="n">
        <f aca="false">BP55-BQ55</f>
        <v>-24</v>
      </c>
    </row>
    <row r="56" customFormat="false" ht="12.8" hidden="false" customHeight="false" outlineLevel="0" collapsed="false">
      <c r="AU56" s="106" t="s">
        <v>344</v>
      </c>
      <c r="AV56" s="107" t="n">
        <v>102</v>
      </c>
      <c r="AW56" s="108" t="s">
        <v>138</v>
      </c>
      <c r="AX56" s="109" t="s">
        <v>345</v>
      </c>
      <c r="AY56" s="108" t="s">
        <v>346</v>
      </c>
      <c r="AZ56" s="108" t="s">
        <v>347</v>
      </c>
      <c r="BA56" s="96" t="str">
        <f aca="false">IF(LEFT(AY56,1)="V",VLOOKUP(_xlfn.NUMBERVALUE(SUBSTITUTE(AY56,"V","")),B_PARTITE_2A_FASE_PER_NUMERO,10,FALSE()),IF(LEFT(AY56,1)="P",VLOOKUP(_xlfn.NUMBERVALUE(SUBSTITUTE(AY56,"P","")),B_PARTITE_2A_FASE_PER_NUMERO,11,FALSE()),VLOOKUP(AY56,B_CLASSIFICHE_GIRONI,4,FALSE())))</f>
        <v>Linci</v>
      </c>
      <c r="BB56" s="96" t="str">
        <f aca="false">IF(LEFT(AZ56,1)="V",VLOOKUP(_xlfn.NUMBERVALUE(SUBSTITUTE(AZ56,"V","")),B_PARTITE_2A_FASE_PER_NUMERO,10,FALSE()),IF(LEFT(AZ56,1)="P",VLOOKUP(_xlfn.NUMBERVALUE(SUBSTITUTE(AZ56,"P","")),B_PARTITE_2A_FASE_PER_NUMERO,11,FALSE()),VLOOKUP(AZ56,B_CLASSIFICHE_GIRONI,4,FALSE())))</f>
        <v>Pitoni</v>
      </c>
      <c r="BC56" s="44" t="n">
        <f aca="false">VLOOKUP(AV56,A_5_INPUT_DATE_E_RISULTATI_2A_FASE,6,0)</f>
        <v>52</v>
      </c>
      <c r="BD56" s="44" t="n">
        <f aca="false">VLOOKUP(AV56,A_5_INPUT_DATE_E_RISULTATI_2A_FASE,7,0)</f>
        <v>39</v>
      </c>
      <c r="BE56" s="96" t="str">
        <f aca="false">IF(BC56&gt;BD56,BA56,BB56)</f>
        <v>Linci</v>
      </c>
      <c r="BF56" s="96" t="str">
        <f aca="false">IF(BC56&lt;BD56,BA56,BB56)</f>
        <v>Pitoni</v>
      </c>
      <c r="BG56" s="44" t="n">
        <f aca="false">1*(BC56&gt;BD56)</f>
        <v>1</v>
      </c>
      <c r="BH56" s="97" t="n">
        <f aca="false">1*(BC56&lt;BD56)*NOT(AND(BC56=0,BD56=20))</f>
        <v>0</v>
      </c>
      <c r="BI56" s="97" t="n">
        <f aca="false">1*AND(BC56=0,BD56=20)</f>
        <v>0</v>
      </c>
      <c r="BJ56" s="44" t="n">
        <f aca="false">BC56</f>
        <v>52</v>
      </c>
      <c r="BK56" s="44" t="n">
        <f aca="false">BD56</f>
        <v>39</v>
      </c>
      <c r="BL56" s="98" t="n">
        <f aca="false">BJ56-BK56</f>
        <v>13</v>
      </c>
      <c r="BM56" s="44" t="n">
        <f aca="false">1*(BD56&gt;BC56)</f>
        <v>0</v>
      </c>
      <c r="BN56" s="44" t="n">
        <f aca="false">1*(BD56&lt;BC56)*NOT(AND(BC56=20,BD56=0))</f>
        <v>1</v>
      </c>
      <c r="BO56" s="44" t="n">
        <f aca="false">1*AND(BC56=20,BD56=0)</f>
        <v>0</v>
      </c>
      <c r="BP56" s="44" t="n">
        <f aca="false">BD56</f>
        <v>39</v>
      </c>
      <c r="BQ56" s="44" t="n">
        <f aca="false">BC56</f>
        <v>52</v>
      </c>
      <c r="BR56" s="99" t="n">
        <f aca="false">BP56-BQ56</f>
        <v>-13</v>
      </c>
    </row>
    <row r="57" customFormat="false" ht="12.8" hidden="false" customHeight="false" outlineLevel="0" collapsed="false">
      <c r="AU57" s="106" t="s">
        <v>348</v>
      </c>
      <c r="AV57" s="107" t="n">
        <v>103</v>
      </c>
      <c r="AW57" s="108" t="s">
        <v>138</v>
      </c>
      <c r="AX57" s="109" t="s">
        <v>349</v>
      </c>
      <c r="AY57" s="108" t="s">
        <v>350</v>
      </c>
      <c r="AZ57" s="108" t="s">
        <v>351</v>
      </c>
      <c r="BA57" s="96" t="str">
        <f aca="false">IF(LEFT(AY57,1)="V",VLOOKUP(_xlfn.NUMBERVALUE(SUBSTITUTE(AY57,"V","")),B_PARTITE_2A_FASE_PER_NUMERO,10,FALSE()),IF(LEFT(AY57,1)="P",VLOOKUP(_xlfn.NUMBERVALUE(SUBSTITUTE(AY57,"P","")),B_PARTITE_2A_FASE_PER_NUMERO,11,FALSE()),VLOOKUP(AY57,B_CLASSIFICHE_GIRONI,4,FALSE())))</f>
        <v>Cervi</v>
      </c>
      <c r="BB57" s="96" t="str">
        <f aca="false">IF(LEFT(AZ57,1)="V",VLOOKUP(_xlfn.NUMBERVALUE(SUBSTITUTE(AZ57,"V","")),B_PARTITE_2A_FASE_PER_NUMERO,10,FALSE()),IF(LEFT(AZ57,1)="P",VLOOKUP(_xlfn.NUMBERVALUE(SUBSTITUTE(AZ57,"P","")),B_PARTITE_2A_FASE_PER_NUMERO,11,FALSE()),VLOOKUP(AZ57,B_CLASSIFICHE_GIRONI,4,FALSE())))</f>
        <v>Orche</v>
      </c>
      <c r="BC57" s="44" t="n">
        <f aca="false">VLOOKUP(AV57,A_5_INPUT_DATE_E_RISULTATI_2A_FASE,6,0)</f>
        <v>68</v>
      </c>
      <c r="BD57" s="44" t="n">
        <f aca="false">VLOOKUP(AV57,A_5_INPUT_DATE_E_RISULTATI_2A_FASE,7,0)</f>
        <v>37</v>
      </c>
      <c r="BE57" s="96" t="str">
        <f aca="false">IF(BC57&gt;BD57,BA57,BB57)</f>
        <v>Cervi</v>
      </c>
      <c r="BF57" s="96" t="str">
        <f aca="false">IF(BC57&lt;BD57,BA57,BB57)</f>
        <v>Orche</v>
      </c>
      <c r="BG57" s="44" t="n">
        <f aca="false">1*(BC57&gt;BD57)</f>
        <v>1</v>
      </c>
      <c r="BH57" s="97" t="n">
        <f aca="false">1*(BC57&lt;BD57)*NOT(AND(BC57=0,BD57=20))</f>
        <v>0</v>
      </c>
      <c r="BI57" s="97" t="n">
        <f aca="false">1*AND(BC57=0,BD57=20)</f>
        <v>0</v>
      </c>
      <c r="BJ57" s="44" t="n">
        <f aca="false">BC57</f>
        <v>68</v>
      </c>
      <c r="BK57" s="44" t="n">
        <f aca="false">BD57</f>
        <v>37</v>
      </c>
      <c r="BL57" s="98" t="n">
        <f aca="false">BJ57-BK57</f>
        <v>31</v>
      </c>
      <c r="BM57" s="44" t="n">
        <f aca="false">1*(BD57&gt;BC57)</f>
        <v>0</v>
      </c>
      <c r="BN57" s="44" t="n">
        <f aca="false">1*(BD57&lt;BC57)*NOT(AND(BC57=20,BD57=0))</f>
        <v>1</v>
      </c>
      <c r="BO57" s="44" t="n">
        <f aca="false">1*AND(BC57=20,BD57=0)</f>
        <v>0</v>
      </c>
      <c r="BP57" s="44" t="n">
        <f aca="false">BD57</f>
        <v>37</v>
      </c>
      <c r="BQ57" s="44" t="n">
        <f aca="false">BC57</f>
        <v>68</v>
      </c>
      <c r="BR57" s="99" t="n">
        <f aca="false">BP57-BQ57</f>
        <v>-31</v>
      </c>
    </row>
    <row r="58" customFormat="false" ht="12.8" hidden="false" customHeight="false" outlineLevel="0" collapsed="false">
      <c r="AU58" s="106" t="s">
        <v>352</v>
      </c>
      <c r="AV58" s="107" t="n">
        <v>104</v>
      </c>
      <c r="AW58" s="108" t="s">
        <v>138</v>
      </c>
      <c r="AX58" s="109" t="s">
        <v>353</v>
      </c>
      <c r="AY58" s="108" t="s">
        <v>354</v>
      </c>
      <c r="AZ58" s="108" t="s">
        <v>355</v>
      </c>
      <c r="BA58" s="96" t="str">
        <f aca="false">IF(LEFT(AY58,1)="V",VLOOKUP(_xlfn.NUMBERVALUE(SUBSTITUTE(AY58,"V","")),B_PARTITE_2A_FASE_PER_NUMERO,10,FALSE()),IF(LEFT(AY58,1)="P",VLOOKUP(_xlfn.NUMBERVALUE(SUBSTITUTE(AY58,"P","")),B_PARTITE_2A_FASE_PER_NUMERO,11,FALSE()),VLOOKUP(AY58,B_CLASSIFICHE_GIRONI,4,FALSE())))</f>
        <v>Tigri</v>
      </c>
      <c r="BB58" s="96" t="str">
        <f aca="false">IF(LEFT(AZ58,1)="V",VLOOKUP(_xlfn.NUMBERVALUE(SUBSTITUTE(AZ58,"V","")),B_PARTITE_2A_FASE_PER_NUMERO,10,FALSE()),IF(LEFT(AZ58,1)="P",VLOOKUP(_xlfn.NUMBERVALUE(SUBSTITUTE(AZ58,"P","")),B_PARTITE_2A_FASE_PER_NUMERO,11,FALSE()),VLOOKUP(AZ58,B_CLASSIFICHE_GIRONI,4,FALSE())))</f>
        <v>Ippopotami</v>
      </c>
      <c r="BC58" s="44" t="n">
        <f aca="false">VLOOKUP(AV58,A_5_INPUT_DATE_E_RISULTATI_2A_FASE,6,0)</f>
        <v>52</v>
      </c>
      <c r="BD58" s="44" t="n">
        <f aca="false">VLOOKUP(AV58,A_5_INPUT_DATE_E_RISULTATI_2A_FASE,7,0)</f>
        <v>46</v>
      </c>
      <c r="BE58" s="96" t="str">
        <f aca="false">IF(BC58&gt;BD58,BA58,BB58)</f>
        <v>Tigri</v>
      </c>
      <c r="BF58" s="96" t="str">
        <f aca="false">IF(BC58&lt;BD58,BA58,BB58)</f>
        <v>Ippopotami</v>
      </c>
      <c r="BG58" s="44" t="n">
        <f aca="false">1*(BC58&gt;BD58)</f>
        <v>1</v>
      </c>
      <c r="BH58" s="97" t="n">
        <f aca="false">1*(BC58&lt;BD58)*NOT(AND(BC58=0,BD58=20))</f>
        <v>0</v>
      </c>
      <c r="BI58" s="97" t="n">
        <f aca="false">1*AND(BC58=0,BD58=20)</f>
        <v>0</v>
      </c>
      <c r="BJ58" s="44" t="n">
        <f aca="false">BC58</f>
        <v>52</v>
      </c>
      <c r="BK58" s="44" t="n">
        <f aca="false">BD58</f>
        <v>46</v>
      </c>
      <c r="BL58" s="98" t="n">
        <f aca="false">BJ58-BK58</f>
        <v>6</v>
      </c>
      <c r="BM58" s="44" t="n">
        <f aca="false">1*(BD58&gt;BC58)</f>
        <v>0</v>
      </c>
      <c r="BN58" s="44" t="n">
        <f aca="false">1*(BD58&lt;BC58)*NOT(AND(BC58=20,BD58=0))</f>
        <v>1</v>
      </c>
      <c r="BO58" s="44" t="n">
        <f aca="false">1*AND(BC58=20,BD58=0)</f>
        <v>0</v>
      </c>
      <c r="BP58" s="44" t="n">
        <f aca="false">BD58</f>
        <v>46</v>
      </c>
      <c r="BQ58" s="44" t="n">
        <f aca="false">BC58</f>
        <v>52</v>
      </c>
      <c r="BR58" s="99" t="n">
        <f aca="false">BP58-BQ58</f>
        <v>-6</v>
      </c>
    </row>
    <row r="59" customFormat="false" ht="12.8" hidden="false" customHeight="false" outlineLevel="0" collapsed="false">
      <c r="AU59" s="106" t="s">
        <v>356</v>
      </c>
      <c r="AV59" s="107" t="n">
        <v>105</v>
      </c>
      <c r="AW59" s="108" t="s">
        <v>138</v>
      </c>
      <c r="AX59" s="109" t="s">
        <v>357</v>
      </c>
      <c r="AY59" s="108" t="s">
        <v>358</v>
      </c>
      <c r="AZ59" s="108" t="s">
        <v>359</v>
      </c>
      <c r="BA59" s="96" t="str">
        <f aca="false">IF(LEFT(AY59,1)="V",VLOOKUP(_xlfn.NUMBERVALUE(SUBSTITUTE(AY59,"V","")),B_PARTITE_2A_FASE_PER_NUMERO,10,FALSE()),IF(LEFT(AY59,1)="P",VLOOKUP(_xlfn.NUMBERVALUE(SUBSTITUTE(AY59,"P","")),B_PARTITE_2A_FASE_PER_NUMERO,11,FALSE()),VLOOKUP(AY59,B_CLASSIFICHE_GIRONI,4,FALSE())))</f>
        <v>Tonni</v>
      </c>
      <c r="BB59" s="96" t="str">
        <f aca="false">IF(LEFT(AZ59,1)="V",VLOOKUP(_xlfn.NUMBERVALUE(SUBSTITUTE(AZ59,"V","")),B_PARTITE_2A_FASE_PER_NUMERO,10,FALSE()),IF(LEFT(AZ59,1)="P",VLOOKUP(_xlfn.NUMBERVALUE(SUBSTITUTE(AZ59,"P","")),B_PARTITE_2A_FASE_PER_NUMERO,11,FALSE()),VLOOKUP(AZ59,B_CLASSIFICHE_GIRONI,4,FALSE())))</f>
        <v>Gabbiani</v>
      </c>
      <c r="BC59" s="44" t="n">
        <f aca="false">VLOOKUP(AV59,A_5_INPUT_DATE_E_RISULTATI_2A_FASE,6,0)</f>
        <v>60</v>
      </c>
      <c r="BD59" s="44" t="n">
        <f aca="false">VLOOKUP(AV59,A_5_INPUT_DATE_E_RISULTATI_2A_FASE,7,0)</f>
        <v>42</v>
      </c>
      <c r="BE59" s="96" t="str">
        <f aca="false">IF(BC59&gt;BD59,BA59,BB59)</f>
        <v>Tonni</v>
      </c>
      <c r="BF59" s="96" t="str">
        <f aca="false">IF(BC59&lt;BD59,BA59,BB59)</f>
        <v>Gabbiani</v>
      </c>
      <c r="BG59" s="44" t="n">
        <f aca="false">1*(BC59&gt;BD59)</f>
        <v>1</v>
      </c>
      <c r="BH59" s="97" t="n">
        <f aca="false">1*(BC59&lt;BD59)*NOT(AND(BC59=0,BD59=20))</f>
        <v>0</v>
      </c>
      <c r="BI59" s="97" t="n">
        <f aca="false">1*AND(BC59=0,BD59=20)</f>
        <v>0</v>
      </c>
      <c r="BJ59" s="44" t="n">
        <f aca="false">BC59</f>
        <v>60</v>
      </c>
      <c r="BK59" s="44" t="n">
        <f aca="false">BD59</f>
        <v>42</v>
      </c>
      <c r="BL59" s="98" t="n">
        <f aca="false">BJ59-BK59</f>
        <v>18</v>
      </c>
      <c r="BM59" s="44" t="n">
        <f aca="false">1*(BD59&gt;BC59)</f>
        <v>0</v>
      </c>
      <c r="BN59" s="44" t="n">
        <f aca="false">1*(BD59&lt;BC59)*NOT(AND(BC59=20,BD59=0))</f>
        <v>1</v>
      </c>
      <c r="BO59" s="44" t="n">
        <f aca="false">1*AND(BC59=20,BD59=0)</f>
        <v>0</v>
      </c>
      <c r="BP59" s="44" t="n">
        <f aca="false">BD59</f>
        <v>42</v>
      </c>
      <c r="BQ59" s="44" t="n">
        <f aca="false">BC59</f>
        <v>60</v>
      </c>
      <c r="BR59" s="99" t="n">
        <f aca="false">BP59-BQ59</f>
        <v>-18</v>
      </c>
    </row>
    <row r="60" customFormat="false" ht="12.8" hidden="false" customHeight="false" outlineLevel="0" collapsed="false">
      <c r="AU60" s="106" t="s">
        <v>360</v>
      </c>
      <c r="AV60" s="107" t="n">
        <v>106</v>
      </c>
      <c r="AW60" s="108" t="s">
        <v>138</v>
      </c>
      <c r="AX60" s="109" t="s">
        <v>361</v>
      </c>
      <c r="AY60" s="108" t="s">
        <v>362</v>
      </c>
      <c r="AZ60" s="108" t="s">
        <v>363</v>
      </c>
      <c r="BA60" s="96" t="str">
        <f aca="false">IF(LEFT(AY60,1)="V",VLOOKUP(_xlfn.NUMBERVALUE(SUBSTITUTE(AY60,"V","")),B_PARTITE_2A_FASE_PER_NUMERO,10,FALSE()),IF(LEFT(AY60,1)="P",VLOOKUP(_xlfn.NUMBERVALUE(SUBSTITUTE(AY60,"P","")),B_PARTITE_2A_FASE_PER_NUMERO,11,FALSE()),VLOOKUP(AY60,B_CLASSIFICHE_GIRONI,4,FALSE())))</f>
        <v>Aquile</v>
      </c>
      <c r="BB60" s="96" t="str">
        <f aca="false">IF(LEFT(AZ60,1)="V",VLOOKUP(_xlfn.NUMBERVALUE(SUBSTITUTE(AZ60,"V","")),B_PARTITE_2A_FASE_PER_NUMERO,10,FALSE()),IF(LEFT(AZ60,1)="P",VLOOKUP(_xlfn.NUMBERVALUE(SUBSTITUTE(AZ60,"P","")),B_PARTITE_2A_FASE_PER_NUMERO,11,FALSE()),VLOOKUP(AZ60,B_CLASSIFICHE_GIRONI,4,FALSE())))</f>
        <v>Puma</v>
      </c>
      <c r="BC60" s="44" t="n">
        <f aca="false">VLOOKUP(AV60,A_5_INPUT_DATE_E_RISULTATI_2A_FASE,6,0)</f>
        <v>65</v>
      </c>
      <c r="BD60" s="44" t="n">
        <f aca="false">VLOOKUP(AV60,A_5_INPUT_DATE_E_RISULTATI_2A_FASE,7,0)</f>
        <v>45</v>
      </c>
      <c r="BE60" s="96" t="str">
        <f aca="false">IF(BC60&gt;BD60,BA60,BB60)</f>
        <v>Aquile</v>
      </c>
      <c r="BF60" s="96" t="str">
        <f aca="false">IF(BC60&lt;BD60,BA60,BB60)</f>
        <v>Puma</v>
      </c>
      <c r="BG60" s="44" t="n">
        <f aca="false">1*(BC60&gt;BD60)</f>
        <v>1</v>
      </c>
      <c r="BH60" s="97" t="n">
        <f aca="false">1*(BC60&lt;BD60)*NOT(AND(BC60=0,BD60=20))</f>
        <v>0</v>
      </c>
      <c r="BI60" s="97" t="n">
        <f aca="false">1*AND(BC60=0,BD60=20)</f>
        <v>0</v>
      </c>
      <c r="BJ60" s="44" t="n">
        <f aca="false">BC60</f>
        <v>65</v>
      </c>
      <c r="BK60" s="44" t="n">
        <f aca="false">BD60</f>
        <v>45</v>
      </c>
      <c r="BL60" s="98" t="n">
        <f aca="false">BJ60-BK60</f>
        <v>20</v>
      </c>
      <c r="BM60" s="44" t="n">
        <f aca="false">1*(BD60&gt;BC60)</f>
        <v>0</v>
      </c>
      <c r="BN60" s="44" t="n">
        <f aca="false">1*(BD60&lt;BC60)*NOT(AND(BC60=20,BD60=0))</f>
        <v>1</v>
      </c>
      <c r="BO60" s="44" t="n">
        <f aca="false">1*AND(BC60=20,BD60=0)</f>
        <v>0</v>
      </c>
      <c r="BP60" s="44" t="n">
        <f aca="false">BD60</f>
        <v>45</v>
      </c>
      <c r="BQ60" s="44" t="n">
        <f aca="false">BC60</f>
        <v>65</v>
      </c>
      <c r="BR60" s="99" t="n">
        <f aca="false">BP60-BQ60</f>
        <v>-20</v>
      </c>
    </row>
    <row r="61" customFormat="false" ht="12.8" hidden="false" customHeight="false" outlineLevel="0" collapsed="false">
      <c r="AU61" s="106" t="s">
        <v>364</v>
      </c>
      <c r="AV61" s="107" t="n">
        <v>107</v>
      </c>
      <c r="AW61" s="108" t="s">
        <v>138</v>
      </c>
      <c r="AX61" s="109" t="s">
        <v>365</v>
      </c>
      <c r="AY61" s="108" t="s">
        <v>366</v>
      </c>
      <c r="AZ61" s="108" t="s">
        <v>367</v>
      </c>
      <c r="BA61" s="96" t="str">
        <f aca="false">IF(LEFT(AY61,1)="V",VLOOKUP(_xlfn.NUMBERVALUE(SUBSTITUTE(AY61,"V","")),B_PARTITE_2A_FASE_PER_NUMERO,10,FALSE()),IF(LEFT(AY61,1)="P",VLOOKUP(_xlfn.NUMBERVALUE(SUBSTITUTE(AY61,"P","")),B_PARTITE_2A_FASE_PER_NUMERO,11,FALSE()),VLOOKUP(AY61,B_CLASSIFICHE_GIRONI,4,FALSE())))</f>
        <v>Gorilla</v>
      </c>
      <c r="BB61" s="96" t="str">
        <f aca="false">IF(LEFT(AZ61,1)="V",VLOOKUP(_xlfn.NUMBERVALUE(SUBSTITUTE(AZ61,"V","")),B_PARTITE_2A_FASE_PER_NUMERO,10,FALSE()),IF(LEFT(AZ61,1)="P",VLOOKUP(_xlfn.NUMBERVALUE(SUBSTITUTE(AZ61,"P","")),B_PARTITE_2A_FASE_PER_NUMERO,11,FALSE()),VLOOKUP(AZ61,B_CLASSIFICHE_GIRONI,4,FALSE())))</f>
        <v>Bufali</v>
      </c>
      <c r="BC61" s="44" t="n">
        <f aca="false">VLOOKUP(AV61,A_5_INPUT_DATE_E_RISULTATI_2A_FASE,6,0)</f>
        <v>50</v>
      </c>
      <c r="BD61" s="44" t="n">
        <f aca="false">VLOOKUP(AV61,A_5_INPUT_DATE_E_RISULTATI_2A_FASE,7,0)</f>
        <v>47</v>
      </c>
      <c r="BE61" s="96" t="str">
        <f aca="false">IF(BC61&gt;BD61,BA61,BB61)</f>
        <v>Gorilla</v>
      </c>
      <c r="BF61" s="96" t="str">
        <f aca="false">IF(BC61&lt;BD61,BA61,BB61)</f>
        <v>Bufali</v>
      </c>
      <c r="BG61" s="44" t="n">
        <f aca="false">1*(BC61&gt;BD61)</f>
        <v>1</v>
      </c>
      <c r="BH61" s="97" t="n">
        <f aca="false">1*(BC61&lt;BD61)*NOT(AND(BC61=0,BD61=20))</f>
        <v>0</v>
      </c>
      <c r="BI61" s="97" t="n">
        <f aca="false">1*AND(BC61=0,BD61=20)</f>
        <v>0</v>
      </c>
      <c r="BJ61" s="44" t="n">
        <f aca="false">BC61</f>
        <v>50</v>
      </c>
      <c r="BK61" s="44" t="n">
        <f aca="false">BD61</f>
        <v>47</v>
      </c>
      <c r="BL61" s="98" t="n">
        <f aca="false">BJ61-BK61</f>
        <v>3</v>
      </c>
      <c r="BM61" s="44" t="n">
        <f aca="false">1*(BD61&gt;BC61)</f>
        <v>0</v>
      </c>
      <c r="BN61" s="44" t="n">
        <f aca="false">1*(BD61&lt;BC61)*NOT(AND(BC61=20,BD61=0))</f>
        <v>1</v>
      </c>
      <c r="BO61" s="44" t="n">
        <f aca="false">1*AND(BC61=20,BD61=0)</f>
        <v>0</v>
      </c>
      <c r="BP61" s="44" t="n">
        <f aca="false">BD61</f>
        <v>47</v>
      </c>
      <c r="BQ61" s="44" t="n">
        <f aca="false">BC61</f>
        <v>50</v>
      </c>
      <c r="BR61" s="99" t="n">
        <f aca="false">BP61-BQ61</f>
        <v>-3</v>
      </c>
    </row>
    <row r="62" customFormat="false" ht="12.8" hidden="false" customHeight="false" outlineLevel="0" collapsed="false">
      <c r="AU62" s="106" t="s">
        <v>368</v>
      </c>
      <c r="AV62" s="107" t="n">
        <v>108</v>
      </c>
      <c r="AW62" s="108" t="s">
        <v>138</v>
      </c>
      <c r="AX62" s="109" t="s">
        <v>369</v>
      </c>
      <c r="AY62" s="108" t="s">
        <v>370</v>
      </c>
      <c r="AZ62" s="108" t="s">
        <v>371</v>
      </c>
      <c r="BA62" s="96" t="str">
        <f aca="false">IF(LEFT(AY62,1)="V",VLOOKUP(_xlfn.NUMBERVALUE(SUBSTITUTE(AY62,"V","")),B_PARTITE_2A_FASE_PER_NUMERO,10,FALSE()),IF(LEFT(AY62,1)="P",VLOOKUP(_xlfn.NUMBERVALUE(SUBSTITUTE(AY62,"P","")),B_PARTITE_2A_FASE_PER_NUMERO,11,FALSE()),VLOOKUP(AY62,B_CLASSIFICHE_GIRONI,4,FALSE())))</f>
        <v>Elefanti</v>
      </c>
      <c r="BB62" s="96" t="str">
        <f aca="false">IF(LEFT(AZ62,1)="V",VLOOKUP(_xlfn.NUMBERVALUE(SUBSTITUTE(AZ62,"V","")),B_PARTITE_2A_FASE_PER_NUMERO,10,FALSE()),IF(LEFT(AZ62,1)="P",VLOOKUP(_xlfn.NUMBERVALUE(SUBSTITUTE(AZ62,"P","")),B_PARTITE_2A_FASE_PER_NUMERO,11,FALSE()),VLOOKUP(AZ62,B_CLASSIFICHE_GIRONI,4,FALSE())))</f>
        <v>Giraffe</v>
      </c>
      <c r="BC62" s="44" t="n">
        <f aca="false">VLOOKUP(AV62,A_5_INPUT_DATE_E_RISULTATI_2A_FASE,6,0)</f>
        <v>69</v>
      </c>
      <c r="BD62" s="44" t="n">
        <f aca="false">VLOOKUP(AV62,A_5_INPUT_DATE_E_RISULTATI_2A_FASE,7,0)</f>
        <v>40</v>
      </c>
      <c r="BE62" s="96" t="str">
        <f aca="false">IF(BC62&gt;BD62,BA62,BB62)</f>
        <v>Elefanti</v>
      </c>
      <c r="BF62" s="96" t="str">
        <f aca="false">IF(BC62&lt;BD62,BA62,BB62)</f>
        <v>Giraffe</v>
      </c>
      <c r="BG62" s="44" t="n">
        <f aca="false">1*(BC62&gt;BD62)</f>
        <v>1</v>
      </c>
      <c r="BH62" s="97" t="n">
        <f aca="false">1*(BC62&lt;BD62)*NOT(AND(BC62=0,BD62=20))</f>
        <v>0</v>
      </c>
      <c r="BI62" s="97" t="n">
        <f aca="false">1*AND(BC62=0,BD62=20)</f>
        <v>0</v>
      </c>
      <c r="BJ62" s="44" t="n">
        <f aca="false">BC62</f>
        <v>69</v>
      </c>
      <c r="BK62" s="44" t="n">
        <f aca="false">BD62</f>
        <v>40</v>
      </c>
      <c r="BL62" s="98" t="n">
        <f aca="false">BJ62-BK62</f>
        <v>29</v>
      </c>
      <c r="BM62" s="44" t="n">
        <f aca="false">1*(BD62&gt;BC62)</f>
        <v>0</v>
      </c>
      <c r="BN62" s="44" t="n">
        <f aca="false">1*(BD62&lt;BC62)*NOT(AND(BC62=20,BD62=0))</f>
        <v>1</v>
      </c>
      <c r="BO62" s="44" t="n">
        <f aca="false">1*AND(BC62=20,BD62=0)</f>
        <v>0</v>
      </c>
      <c r="BP62" s="44" t="n">
        <f aca="false">BD62</f>
        <v>40</v>
      </c>
      <c r="BQ62" s="44" t="n">
        <f aca="false">BC62</f>
        <v>69</v>
      </c>
      <c r="BR62" s="99" t="n">
        <f aca="false">BP62-BQ62</f>
        <v>-29</v>
      </c>
    </row>
    <row r="63" customFormat="false" ht="12.8" hidden="false" customHeight="false" outlineLevel="0" collapsed="false">
      <c r="AU63" s="106" t="s">
        <v>372</v>
      </c>
      <c r="AV63" s="107" t="n">
        <v>109</v>
      </c>
      <c r="AW63" s="108" t="s">
        <v>138</v>
      </c>
      <c r="AX63" s="109" t="s">
        <v>373</v>
      </c>
      <c r="AY63" s="108" t="s">
        <v>374</v>
      </c>
      <c r="AZ63" s="108" t="s">
        <v>375</v>
      </c>
      <c r="BA63" s="96" t="str">
        <f aca="false">IF(LEFT(AY63,1)="V",VLOOKUP(_xlfn.NUMBERVALUE(SUBSTITUTE(AY63,"V","")),B_PARTITE_2A_FASE_PER_NUMERO,10,FALSE()),IF(LEFT(AY63,1)="P",VLOOKUP(_xlfn.NUMBERVALUE(SUBSTITUTE(AY63,"P","")),B_PARTITE_2A_FASE_PER_NUMERO,11,FALSE()),VLOOKUP(AY63,B_CLASSIFICHE_GIRONI,4,FALSE())))</f>
        <v>Giaguari</v>
      </c>
      <c r="BB63" s="96" t="str">
        <f aca="false">IF(LEFT(AZ63,1)="V",VLOOKUP(_xlfn.NUMBERVALUE(SUBSTITUTE(AZ63,"V","")),B_PARTITE_2A_FASE_PER_NUMERO,10,FALSE()),IF(LEFT(AZ63,1)="P",VLOOKUP(_xlfn.NUMBERVALUE(SUBSTITUTE(AZ63,"P","")),B_PARTITE_2A_FASE_PER_NUMERO,11,FALSE()),VLOOKUP(AZ63,B_CLASSIFICHE_GIRONI,4,FALSE())))</f>
        <v>Coccodrilli</v>
      </c>
      <c r="BC63" s="44" t="n">
        <f aca="false">VLOOKUP(AV63,A_5_INPUT_DATE_E_RISULTATI_2A_FASE,6,0)</f>
        <v>55</v>
      </c>
      <c r="BD63" s="44" t="n">
        <f aca="false">VLOOKUP(AV63,A_5_INPUT_DATE_E_RISULTATI_2A_FASE,7,0)</f>
        <v>48</v>
      </c>
      <c r="BE63" s="96" t="str">
        <f aca="false">IF(BC63&gt;BD63,BA63,BB63)</f>
        <v>Giaguari</v>
      </c>
      <c r="BF63" s="96" t="str">
        <f aca="false">IF(BC63&lt;BD63,BA63,BB63)</f>
        <v>Coccodrilli</v>
      </c>
      <c r="BG63" s="44" t="n">
        <f aca="false">1*(BC63&gt;BD63)</f>
        <v>1</v>
      </c>
      <c r="BH63" s="97" t="n">
        <f aca="false">1*(BC63&lt;BD63)*NOT(AND(BC63=0,BD63=20))</f>
        <v>0</v>
      </c>
      <c r="BI63" s="97" t="n">
        <f aca="false">1*AND(BC63=0,BD63=20)</f>
        <v>0</v>
      </c>
      <c r="BJ63" s="44" t="n">
        <f aca="false">BC63</f>
        <v>55</v>
      </c>
      <c r="BK63" s="44" t="n">
        <f aca="false">BD63</f>
        <v>48</v>
      </c>
      <c r="BL63" s="98" t="n">
        <f aca="false">BJ63-BK63</f>
        <v>7</v>
      </c>
      <c r="BM63" s="44" t="n">
        <f aca="false">1*(BD63&gt;BC63)</f>
        <v>0</v>
      </c>
      <c r="BN63" s="44" t="n">
        <f aca="false">1*(BD63&lt;BC63)*NOT(AND(BC63=20,BD63=0))</f>
        <v>1</v>
      </c>
      <c r="BO63" s="44" t="n">
        <f aca="false">1*AND(BC63=20,BD63=0)</f>
        <v>0</v>
      </c>
      <c r="BP63" s="44" t="n">
        <f aca="false">BD63</f>
        <v>48</v>
      </c>
      <c r="BQ63" s="44" t="n">
        <f aca="false">BC63</f>
        <v>55</v>
      </c>
      <c r="BR63" s="99" t="n">
        <f aca="false">BP63-BQ63</f>
        <v>-7</v>
      </c>
    </row>
    <row r="64" customFormat="false" ht="12.8" hidden="false" customHeight="false" outlineLevel="0" collapsed="false">
      <c r="AU64" s="106" t="s">
        <v>376</v>
      </c>
      <c r="AV64" s="107" t="n">
        <v>110</v>
      </c>
      <c r="AW64" s="108" t="s">
        <v>138</v>
      </c>
      <c r="AX64" s="109" t="s">
        <v>377</v>
      </c>
      <c r="AY64" s="108" t="s">
        <v>378</v>
      </c>
      <c r="AZ64" s="108" t="s">
        <v>379</v>
      </c>
      <c r="BA64" s="96" t="str">
        <f aca="false">IF(LEFT(AY64,1)="V",VLOOKUP(_xlfn.NUMBERVALUE(SUBSTITUTE(AY64,"V","")),B_PARTITE_2A_FASE_PER_NUMERO,10,FALSE()),IF(LEFT(AY64,1)="P",VLOOKUP(_xlfn.NUMBERVALUE(SUBSTITUTE(AY64,"P","")),B_PARTITE_2A_FASE_PER_NUMERO,11,FALSE()),VLOOKUP(AY64,B_CLASSIFICHE_GIRONI,4,FALSE())))</f>
        <v>Balene</v>
      </c>
      <c r="BB64" s="96" t="str">
        <f aca="false">IF(LEFT(AZ64,1)="V",VLOOKUP(_xlfn.NUMBERVALUE(SUBSTITUTE(AZ64,"V","")),B_PARTITE_2A_FASE_PER_NUMERO,10,FALSE()),IF(LEFT(AZ64,1)="P",VLOOKUP(_xlfn.NUMBERVALUE(SUBSTITUTE(AZ64,"P","")),B_PARTITE_2A_FASE_PER_NUMERO,11,FALSE()),VLOOKUP(AZ64,B_CLASSIFICHE_GIRONI,4,FALSE())))</f>
        <v>Piranha</v>
      </c>
      <c r="BC64" s="44" t="n">
        <f aca="false">VLOOKUP(AV64,A_5_INPUT_DATE_E_RISULTATI_2A_FASE,6,0)</f>
        <v>52</v>
      </c>
      <c r="BD64" s="44" t="n">
        <f aca="false">VLOOKUP(AV64,A_5_INPUT_DATE_E_RISULTATI_2A_FASE,7,0)</f>
        <v>49</v>
      </c>
      <c r="BE64" s="96" t="str">
        <f aca="false">IF(BC64&gt;BD64,BA64,BB64)</f>
        <v>Balene</v>
      </c>
      <c r="BF64" s="96" t="str">
        <f aca="false">IF(BC64&lt;BD64,BA64,BB64)</f>
        <v>Piranha</v>
      </c>
      <c r="BG64" s="44" t="n">
        <f aca="false">1*(BC64&gt;BD64)</f>
        <v>1</v>
      </c>
      <c r="BH64" s="97" t="n">
        <f aca="false">1*(BC64&lt;BD64)*NOT(AND(BC64=0,BD64=20))</f>
        <v>0</v>
      </c>
      <c r="BI64" s="97" t="n">
        <f aca="false">1*AND(BC64=0,BD64=20)</f>
        <v>0</v>
      </c>
      <c r="BJ64" s="44" t="n">
        <f aca="false">BC64</f>
        <v>52</v>
      </c>
      <c r="BK64" s="44" t="n">
        <f aca="false">BD64</f>
        <v>49</v>
      </c>
      <c r="BL64" s="98" t="n">
        <f aca="false">BJ64-BK64</f>
        <v>3</v>
      </c>
      <c r="BM64" s="44" t="n">
        <f aca="false">1*(BD64&gt;BC64)</f>
        <v>0</v>
      </c>
      <c r="BN64" s="44" t="n">
        <f aca="false">1*(BD64&lt;BC64)*NOT(AND(BC64=20,BD64=0))</f>
        <v>1</v>
      </c>
      <c r="BO64" s="44" t="n">
        <f aca="false">1*AND(BC64=20,BD64=0)</f>
        <v>0</v>
      </c>
      <c r="BP64" s="44" t="n">
        <f aca="false">BD64</f>
        <v>49</v>
      </c>
      <c r="BQ64" s="44" t="n">
        <f aca="false">BC64</f>
        <v>52</v>
      </c>
      <c r="BR64" s="99" t="n">
        <f aca="false">BP64-BQ64</f>
        <v>-3</v>
      </c>
    </row>
    <row r="65" customFormat="false" ht="12.8" hidden="false" customHeight="false" outlineLevel="0" collapsed="false">
      <c r="AU65" s="106" t="s">
        <v>380</v>
      </c>
      <c r="AV65" s="107" t="n">
        <v>111</v>
      </c>
      <c r="AW65" s="108" t="s">
        <v>138</v>
      </c>
      <c r="AX65" s="109" t="s">
        <v>381</v>
      </c>
      <c r="AY65" s="108" t="s">
        <v>382</v>
      </c>
      <c r="AZ65" s="108" t="s">
        <v>383</v>
      </c>
      <c r="BA65" s="96" t="str">
        <f aca="false">IF(LEFT(AY65,1)="V",VLOOKUP(_xlfn.NUMBERVALUE(SUBSTITUTE(AY65,"V","")),B_PARTITE_2A_FASE_PER_NUMERO,10,FALSE()),IF(LEFT(AY65,1)="P",VLOOKUP(_xlfn.NUMBERVALUE(SUBSTITUTE(AY65,"P","")),B_PARTITE_2A_FASE_PER_NUMERO,11,FALSE()),VLOOKUP(AY65,B_CLASSIFICHE_GIRONI,4,FALSE())))</f>
        <v>Bisonti</v>
      </c>
      <c r="BB65" s="96" t="str">
        <f aca="false">IF(LEFT(AZ65,1)="V",VLOOKUP(_xlfn.NUMBERVALUE(SUBSTITUTE(AZ65,"V","")),B_PARTITE_2A_FASE_PER_NUMERO,10,FALSE()),IF(LEFT(AZ65,1)="P",VLOOKUP(_xlfn.NUMBERVALUE(SUBSTITUTE(AZ65,"P","")),B_PARTITE_2A_FASE_PER_NUMERO,11,FALSE()),VLOOKUP(AZ65,B_CLASSIFICHE_GIRONI,4,FALSE())))</f>
        <v>Istrici</v>
      </c>
      <c r="BC65" s="44" t="n">
        <f aca="false">VLOOKUP(AV65,A_5_INPUT_DATE_E_RISULTATI_2A_FASE,6,0)</f>
        <v>65</v>
      </c>
      <c r="BD65" s="44" t="n">
        <f aca="false">VLOOKUP(AV65,A_5_INPUT_DATE_E_RISULTATI_2A_FASE,7,0)</f>
        <v>45</v>
      </c>
      <c r="BE65" s="96" t="str">
        <f aca="false">IF(BC65&gt;BD65,BA65,BB65)</f>
        <v>Bisonti</v>
      </c>
      <c r="BF65" s="96" t="str">
        <f aca="false">IF(BC65&lt;BD65,BA65,BB65)</f>
        <v>Istrici</v>
      </c>
      <c r="BG65" s="44" t="n">
        <f aca="false">1*(BC65&gt;BD65)</f>
        <v>1</v>
      </c>
      <c r="BH65" s="97" t="n">
        <f aca="false">1*(BC65&lt;BD65)*NOT(AND(BC65=0,BD65=20))</f>
        <v>0</v>
      </c>
      <c r="BI65" s="97" t="n">
        <f aca="false">1*AND(BC65=0,BD65=20)</f>
        <v>0</v>
      </c>
      <c r="BJ65" s="44" t="n">
        <f aca="false">BC65</f>
        <v>65</v>
      </c>
      <c r="BK65" s="44" t="n">
        <f aca="false">BD65</f>
        <v>45</v>
      </c>
      <c r="BL65" s="98" t="n">
        <f aca="false">BJ65-BK65</f>
        <v>20</v>
      </c>
      <c r="BM65" s="44" t="n">
        <f aca="false">1*(BD65&gt;BC65)</f>
        <v>0</v>
      </c>
      <c r="BN65" s="44" t="n">
        <f aca="false">1*(BD65&lt;BC65)*NOT(AND(BC65=20,BD65=0))</f>
        <v>1</v>
      </c>
      <c r="BO65" s="44" t="n">
        <f aca="false">1*AND(BC65=20,BD65=0)</f>
        <v>0</v>
      </c>
      <c r="BP65" s="44" t="n">
        <f aca="false">BD65</f>
        <v>45</v>
      </c>
      <c r="BQ65" s="44" t="n">
        <f aca="false">BC65</f>
        <v>65</v>
      </c>
      <c r="BR65" s="99" t="n">
        <f aca="false">BP65-BQ65</f>
        <v>-20</v>
      </c>
    </row>
    <row r="66" customFormat="false" ht="12.8" hidden="false" customHeight="false" outlineLevel="0" collapsed="false">
      <c r="AU66" s="141" t="s">
        <v>384</v>
      </c>
      <c r="AV66" s="142" t="n">
        <v>112</v>
      </c>
      <c r="AW66" s="139" t="s">
        <v>138</v>
      </c>
      <c r="AX66" s="140" t="s">
        <v>385</v>
      </c>
      <c r="AY66" s="139" t="s">
        <v>386</v>
      </c>
      <c r="AZ66" s="139" t="s">
        <v>387</v>
      </c>
      <c r="BA66" s="136" t="str">
        <f aca="false">IF(LEFT(AY66,1)="V",VLOOKUP(_xlfn.NUMBERVALUE(SUBSTITUTE(AY66,"V","")),B_PARTITE_2A_FASE_PER_NUMERO,10,FALSE()),IF(LEFT(AY66,1)="P",VLOOKUP(_xlfn.NUMBERVALUE(SUBSTITUTE(AY66,"P","")),B_PARTITE_2A_FASE_PER_NUMERO,11,FALSE()),VLOOKUP(AY66,B_CLASSIFICHE_GIRONI,4,FALSE())))</f>
        <v>Leoni</v>
      </c>
      <c r="BB66" s="136" t="str">
        <f aca="false">IF(LEFT(AZ66,1)="V",VLOOKUP(_xlfn.NUMBERVALUE(SUBSTITUTE(AZ66,"V","")),B_PARTITE_2A_FASE_PER_NUMERO,10,FALSE()),IF(LEFT(AZ66,1)="P",VLOOKUP(_xlfn.NUMBERVALUE(SUBSTITUTE(AZ66,"P","")),B_PARTITE_2A_FASE_PER_NUMERO,11,FALSE()),VLOOKUP(AZ66,B_CLASSIFICHE_GIRONI,4,FALSE())))</f>
        <v>Pantere</v>
      </c>
      <c r="BC66" s="69" t="n">
        <f aca="false">VLOOKUP(AV66,A_5_INPUT_DATE_E_RISULTATI_2A_FASE,6,0)</f>
        <v>69</v>
      </c>
      <c r="BD66" s="69" t="n">
        <f aca="false">VLOOKUP(AV66,A_5_INPUT_DATE_E_RISULTATI_2A_FASE,7,0)</f>
        <v>42</v>
      </c>
      <c r="BE66" s="136" t="str">
        <f aca="false">IF(BC66&gt;BD66,BA66,BB66)</f>
        <v>Leoni</v>
      </c>
      <c r="BF66" s="136" t="str">
        <f aca="false">IF(BC66&lt;BD66,BA66,BB66)</f>
        <v>Pantere</v>
      </c>
      <c r="BG66" s="69" t="n">
        <f aca="false">1*(BC66&gt;BD66)</f>
        <v>1</v>
      </c>
      <c r="BH66" s="137" t="n">
        <f aca="false">1*(BC66&lt;BD66)*NOT(AND(BC66=0,BD66=20))</f>
        <v>0</v>
      </c>
      <c r="BI66" s="137" t="n">
        <f aca="false">1*AND(BC66=0,BD66=20)</f>
        <v>0</v>
      </c>
      <c r="BJ66" s="69" t="n">
        <f aca="false">BC66</f>
        <v>69</v>
      </c>
      <c r="BK66" s="69" t="n">
        <f aca="false">BD66</f>
        <v>42</v>
      </c>
      <c r="BL66" s="134" t="n">
        <f aca="false">BJ66-BK66</f>
        <v>27</v>
      </c>
      <c r="BM66" s="69" t="n">
        <f aca="false">1*(BD66&gt;BC66)</f>
        <v>0</v>
      </c>
      <c r="BN66" s="69" t="n">
        <f aca="false">1*(BD66&lt;BC66)*NOT(AND(BC66=20,BD66=0))</f>
        <v>1</v>
      </c>
      <c r="BO66" s="69" t="n">
        <f aca="false">1*AND(BC66=20,BD66=0)</f>
        <v>0</v>
      </c>
      <c r="BP66" s="69" t="n">
        <f aca="false">BD66</f>
        <v>42</v>
      </c>
      <c r="BQ66" s="69" t="n">
        <f aca="false">BC66</f>
        <v>69</v>
      </c>
      <c r="BR66" s="138" t="n">
        <f aca="false">BP66-BQ66</f>
        <v>-27</v>
      </c>
    </row>
  </sheetData>
  <mergeCells count="3">
    <mergeCell ref="A1:W1"/>
    <mergeCell ref="Y1:AS1"/>
    <mergeCell ref="AU1:BR1"/>
  </mergeCells>
  <conditionalFormatting sqref="C3:C50 Z3:Z34 AX3:AX66">
    <cfRule type="cellIs" priority="2" operator="equal" aboveAverage="0" equalAverage="0" bottom="0" percent="0" rank="0" text="" dxfId="0">
      <formula>"A"</formula>
    </cfRule>
  </conditionalFormatting>
  <conditionalFormatting sqref="C3:C50 Z3:Z34 AX3:AX66">
    <cfRule type="cellIs" priority="3" operator="equal" aboveAverage="0" equalAverage="0" bottom="0" percent="0" rank="0" text="" dxfId="1">
      <formula>"B"</formula>
    </cfRule>
  </conditionalFormatting>
  <conditionalFormatting sqref="C3:C50 Z3:Z34 AX3:AX66">
    <cfRule type="cellIs" priority="4" operator="equal" aboveAverage="0" equalAverage="0" bottom="0" percent="0" rank="0" text="" dxfId="2">
      <formula>"C"</formula>
    </cfRule>
  </conditionalFormatting>
  <conditionalFormatting sqref="C3:C50 Z3:Z34 AX3:AX66">
    <cfRule type="cellIs" priority="5" operator="equal" aboveAverage="0" equalAverage="0" bottom="0" percent="0" rank="0" text="" dxfId="3">
      <formula>"D"</formula>
    </cfRule>
  </conditionalFormatting>
  <conditionalFormatting sqref="C3:C50 Z3:Z34 AX3:AX66">
    <cfRule type="cellIs" priority="6" operator="equal" aboveAverage="0" equalAverage="0" bottom="0" percent="0" rank="0" text="" dxfId="4">
      <formula>"E"</formula>
    </cfRule>
  </conditionalFormatting>
  <conditionalFormatting sqref="C3:C50 Z3:Z34 AX3:AX66">
    <cfRule type="cellIs" priority="7" operator="equal" aboveAverage="0" equalAverage="0" bottom="0" percent="0" rank="0" text="" dxfId="5">
      <formula>"F"</formula>
    </cfRule>
  </conditionalFormatting>
  <conditionalFormatting sqref="C3:C50 Z3:Z34 AX3:AX66">
    <cfRule type="cellIs" priority="8" operator="equal" aboveAverage="0" equalAverage="0" bottom="0" percent="0" rank="0" text="" dxfId="6">
      <formula>"G"</formula>
    </cfRule>
  </conditionalFormatting>
  <conditionalFormatting sqref="C3:C50 Z3:Z34 AX3:AX66">
    <cfRule type="cellIs" priority="9" operator="equal" aboveAverage="0" equalAverage="0" bottom="0" percent="0" rank="0" text="" dxfId="7">
      <formula>"H"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52"/>
  <sheetViews>
    <sheetView showFormulas="false" showGridLines="true" showRowColHeaders="true" showZeros="true" rightToLeft="false" tabSelected="true" showOutlineSymbols="true" defaultGridColor="true" view="normal" topLeftCell="T10" colorId="64" zoomScale="140" zoomScaleNormal="140" zoomScalePageLayoutView="100" workbookViewId="0">
      <selection pane="topLeft" activeCell="AJ21" activeCellId="0" sqref="AJ21"/>
    </sheetView>
  </sheetViews>
  <sheetFormatPr defaultColWidth="11.53515625" defaultRowHeight="12.8" zeroHeight="false" outlineLevelRow="0" outlineLevelCol="0"/>
  <cols>
    <col collapsed="false" customWidth="true" hidden="true" outlineLevel="0" max="1" min="1" style="70" width="5.53"/>
    <col collapsed="false" customWidth="true" hidden="false" outlineLevel="0" max="2" min="2" style="0" width="9.12"/>
    <col collapsed="false" customWidth="true" hidden="false" outlineLevel="0" max="3" min="3" style="0" width="6.11"/>
    <col collapsed="false" customWidth="true" hidden="false" outlineLevel="0" max="4" min="4" style="0" width="14.21"/>
    <col collapsed="false" customWidth="true" hidden="false" outlineLevel="0" max="6" min="5" style="0" width="4.6"/>
    <col collapsed="false" customWidth="true" hidden="false" outlineLevel="0" max="7" min="7" style="0" width="14.21"/>
    <col collapsed="false" customWidth="true" hidden="false" outlineLevel="0" max="8" min="8" style="0" width="4.02"/>
    <col collapsed="false" customWidth="true" hidden="false" outlineLevel="0" max="9" min="9" style="0" width="14.56"/>
    <col collapsed="false" customWidth="true" hidden="false" outlineLevel="0" max="11" min="11" style="0" width="11.43"/>
    <col collapsed="false" customWidth="true" hidden="false" outlineLevel="0" max="12" min="12" style="0" width="2.86"/>
    <col collapsed="false" customWidth="true" hidden="false" outlineLevel="0" max="14" min="13" style="0" width="2.74"/>
    <col collapsed="false" customWidth="true" hidden="false" outlineLevel="0" max="15" min="15" style="0" width="2.64"/>
    <col collapsed="false" customWidth="true" hidden="false" outlineLevel="0" max="16" min="16" style="0" width="4.14"/>
    <col collapsed="false" customWidth="true" hidden="false" outlineLevel="0" max="17" min="17" style="0" width="5.3"/>
    <col collapsed="false" customWidth="true" hidden="false" outlineLevel="0" max="18" min="18" style="0" width="5.41"/>
    <col collapsed="false" customWidth="true" hidden="false" outlineLevel="0" max="20" min="20" style="0" width="4.85"/>
    <col collapsed="false" customWidth="true" hidden="false" outlineLevel="0" max="21" min="21" style="0" width="17.86"/>
    <col collapsed="false" customWidth="true" hidden="false" outlineLevel="0" max="25" min="22" style="0" width="4.85"/>
    <col collapsed="false" customWidth="true" hidden="false" outlineLevel="0" max="26" min="26" style="0" width="17.86"/>
    <col collapsed="false" customWidth="true" hidden="false" outlineLevel="0" max="30" min="27" style="0" width="4.85"/>
    <col collapsed="false" customWidth="true" hidden="false" outlineLevel="0" max="31" min="31" style="0" width="17.86"/>
    <col collapsed="false" customWidth="true" hidden="false" outlineLevel="0" max="35" min="32" style="0" width="4.85"/>
    <col collapsed="false" customWidth="true" hidden="false" outlineLevel="0" max="36" min="36" style="0" width="17.86"/>
    <col collapsed="false" customWidth="true" hidden="false" outlineLevel="0" max="38" min="37" style="0" width="4.85"/>
    <col collapsed="false" customWidth="true" hidden="false" outlineLevel="0" max="100" min="100" style="0" width="13.4"/>
    <col collapsed="false" customWidth="true" hidden="false" outlineLevel="0" max="101" min="101" style="0" width="2.86"/>
    <col collapsed="false" customWidth="true" hidden="false" outlineLevel="0" max="102" min="102" style="0" width="2.74"/>
    <col collapsed="false" customWidth="true" hidden="false" outlineLevel="0" max="103" min="103" style="0" width="2.86"/>
    <col collapsed="false" customWidth="true" hidden="false" outlineLevel="0" max="104" min="104" style="0" width="2.74"/>
    <col collapsed="false" customWidth="true" hidden="false" outlineLevel="0" max="105" min="105" style="0" width="4.02"/>
    <col collapsed="false" customWidth="true" hidden="false" outlineLevel="0" max="106" min="106" style="0" width="4.14"/>
    <col collapsed="false" customWidth="true" hidden="false" outlineLevel="0" max="107" min="107" style="0" width="4.26"/>
    <col collapsed="false" customWidth="true" hidden="false" outlineLevel="0" max="108" min="108" style="0" width="7.73"/>
    <col collapsed="false" customWidth="true" hidden="false" outlineLevel="0" max="110" min="110" style="0" width="6.69"/>
    <col collapsed="false" customWidth="true" hidden="false" outlineLevel="0" max="111" min="111" style="0" width="2.52"/>
  </cols>
  <sheetData>
    <row r="1" customFormat="false" ht="19.7" hidden="false" customHeight="false" outlineLevel="0" collapsed="false">
      <c r="A1" s="143"/>
      <c r="B1" s="144" t="str">
        <f aca="false">VLOOKUP("NOME_TORNEO",A_1_INPUT_DATI_TORNEO,2,0)</f>
        <v>Torneo dell’Estate</v>
      </c>
      <c r="C1" s="144"/>
      <c r="D1" s="144"/>
      <c r="E1" s="144"/>
      <c r="F1" s="144"/>
      <c r="G1" s="144"/>
      <c r="H1" s="144"/>
      <c r="I1" s="144"/>
      <c r="K1" s="144" t="str">
        <f aca="false">VLOOKUP("NOME_TORNEO",A_1_INPUT_DATI_TORNEO,2,0)</f>
        <v>Torneo dell’Estate</v>
      </c>
      <c r="L1" s="144"/>
      <c r="M1" s="144"/>
      <c r="N1" s="144"/>
      <c r="O1" s="144"/>
      <c r="P1" s="144"/>
      <c r="Q1" s="144"/>
      <c r="R1" s="144"/>
      <c r="T1" s="145" t="str">
        <f aca="false">VLOOKUP("NOME_TORNEO",A_1_INPUT_DATI_TORNEO,2,0)</f>
        <v>Torneo dell’Estate</v>
      </c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7"/>
      <c r="AZ1" s="147"/>
      <c r="BA1" s="147"/>
      <c r="BB1" s="147"/>
      <c r="BC1" s="147"/>
      <c r="BD1" s="147"/>
      <c r="BE1" s="147"/>
      <c r="BF1" s="147"/>
      <c r="BG1" s="147"/>
      <c r="BH1" s="147"/>
      <c r="BI1" s="14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  <c r="CT1" s="147"/>
      <c r="CU1" s="147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7"/>
      <c r="DG1" s="147"/>
    </row>
    <row r="2" customFormat="false" ht="15.75" hidden="false" customHeight="true" outlineLevel="0" collapsed="false">
      <c r="A2" s="143"/>
      <c r="B2" s="148" t="s">
        <v>388</v>
      </c>
      <c r="C2" s="148"/>
      <c r="D2" s="148"/>
      <c r="E2" s="148"/>
      <c r="F2" s="148"/>
      <c r="G2" s="148"/>
      <c r="H2" s="148"/>
      <c r="I2" s="148"/>
      <c r="K2" s="148" t="s">
        <v>389</v>
      </c>
      <c r="L2" s="148"/>
      <c r="M2" s="148"/>
      <c r="N2" s="148"/>
      <c r="O2" s="148"/>
      <c r="P2" s="148"/>
      <c r="Q2" s="148"/>
      <c r="R2" s="148"/>
      <c r="T2" s="148" t="s">
        <v>390</v>
      </c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  <c r="CT2" s="147"/>
      <c r="CU2" s="147"/>
      <c r="CV2" s="147"/>
      <c r="CW2" s="147"/>
      <c r="CX2" s="147"/>
      <c r="CY2" s="147"/>
      <c r="CZ2" s="147"/>
      <c r="DA2" s="147"/>
      <c r="DB2" s="147"/>
      <c r="DC2" s="147"/>
      <c r="DD2" s="147"/>
      <c r="DE2" s="147"/>
      <c r="DF2" s="147"/>
      <c r="DG2" s="147"/>
    </row>
    <row r="3" customFormat="false" ht="15.95" hidden="false" customHeight="true" outlineLevel="0" collapsed="false">
      <c r="A3" s="143"/>
      <c r="B3" s="149" t="s">
        <v>18</v>
      </c>
      <c r="C3" s="149" t="s">
        <v>19</v>
      </c>
      <c r="D3" s="149" t="s">
        <v>98</v>
      </c>
      <c r="E3" s="149" t="s">
        <v>391</v>
      </c>
      <c r="F3" s="149"/>
      <c r="G3" s="149" t="s">
        <v>99</v>
      </c>
      <c r="H3" s="149" t="s">
        <v>392</v>
      </c>
      <c r="I3" s="149" t="s">
        <v>393</v>
      </c>
      <c r="K3" s="150" t="s">
        <v>394</v>
      </c>
      <c r="L3" s="151" t="s">
        <v>61</v>
      </c>
      <c r="M3" s="151" t="s">
        <v>395</v>
      </c>
      <c r="N3" s="151" t="s">
        <v>396</v>
      </c>
      <c r="O3" s="151" t="s">
        <v>56</v>
      </c>
      <c r="P3" s="151" t="s">
        <v>397</v>
      </c>
      <c r="Q3" s="151" t="s">
        <v>398</v>
      </c>
      <c r="R3" s="152" t="s">
        <v>399</v>
      </c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  <c r="CI3" s="147"/>
      <c r="CJ3" s="147"/>
      <c r="CK3" s="147"/>
      <c r="CL3" s="147"/>
      <c r="CM3" s="147"/>
      <c r="CN3" s="147"/>
      <c r="CO3" s="147"/>
      <c r="CP3" s="147"/>
      <c r="CQ3" s="147"/>
      <c r="CR3" s="147"/>
      <c r="CS3" s="147"/>
      <c r="CT3" s="147"/>
      <c r="CU3" s="147"/>
      <c r="CV3" s="153" t="s">
        <v>400</v>
      </c>
      <c r="CW3" s="153" t="s">
        <v>61</v>
      </c>
      <c r="CX3" s="153" t="s">
        <v>395</v>
      </c>
      <c r="CY3" s="153" t="s">
        <v>401</v>
      </c>
      <c r="CZ3" s="153" t="s">
        <v>396</v>
      </c>
      <c r="DA3" s="153" t="s">
        <v>402</v>
      </c>
      <c r="DB3" s="153" t="s">
        <v>403</v>
      </c>
      <c r="DC3" s="153" t="s">
        <v>404</v>
      </c>
      <c r="DD3" s="153" t="s">
        <v>405</v>
      </c>
      <c r="DE3" s="153"/>
      <c r="DF3" s="153" t="s">
        <v>406</v>
      </c>
      <c r="DG3" s="147"/>
    </row>
    <row r="4" customFormat="false" ht="15.95" hidden="false" customHeight="true" outlineLevel="0" collapsed="false">
      <c r="A4" s="154" t="n">
        <v>1</v>
      </c>
      <c r="B4" s="155" t="n">
        <f aca="false">VLOOKUP(A4,A_4_INPUT_DATE_E_RISULTATI_GIRONI,8,0)</f>
        <v>44354</v>
      </c>
      <c r="C4" s="156" t="n">
        <f aca="false">VLOOKUP(A4,A_4_INPUT_DATE_E_RISULTATI_GIRONI,9,0)</f>
        <v>0.666666666666667</v>
      </c>
      <c r="D4" s="157" t="str">
        <f aca="false">VLOOKUP(A4,A_4_INPUT_DATE_E_RISULTATI_GIRONI,4,0)</f>
        <v>Leoni</v>
      </c>
      <c r="E4" s="158" t="n">
        <f aca="false">VLOOKUP(A4,A_4_INPUT_DATE_E_RISULTATI_GIRONI,6,0)</f>
        <v>72</v>
      </c>
      <c r="F4" s="158" t="n">
        <f aca="false">VLOOKUP(A4,A_4_INPUT_DATE_E_RISULTATI_GIRONI,7,0)</f>
        <v>49</v>
      </c>
      <c r="G4" s="159" t="str">
        <f aca="false">VLOOKUP(A4,A_4_INPUT_DATE_E_RISULTATI_GIRONI,5,0)</f>
        <v>Pantere</v>
      </c>
      <c r="H4" s="160" t="str">
        <f aca="false">VLOOKUP(A4,A_4_INPUT_DATE_E_RISULTATI_GIRONI,3,0)</f>
        <v>A</v>
      </c>
      <c r="I4" s="161" t="str">
        <f aca="false">VLOOKUP(A4,A_4_INPUT_DATE_E_RISULTATI_GIRONI,11,0)</f>
        <v>Cristo Re 1</v>
      </c>
      <c r="K4" s="162" t="str">
        <f aca="false">VLOOKUP(ROW()-3&amp;RIGHT(K$3,1),B_CLASSIFICA_GIRONE_A,4,0)</f>
        <v>Leoni</v>
      </c>
      <c r="L4" s="163" t="n">
        <f aca="false">VLOOKUP(ROW()-3&amp;RIGHT(K$3,1),B_CLASSIFICA_GIRONE_A,5,0)</f>
        <v>3</v>
      </c>
      <c r="M4" s="163" t="n">
        <f aca="false">VLOOKUP(ROW()-3&amp;RIGHT(K$3,1),B_CLASSIFICA_GIRONE_A,6,0)</f>
        <v>3</v>
      </c>
      <c r="N4" s="163" t="n">
        <f aca="false">VLOOKUP(ROW()-3&amp;RIGHT(K$3,1),B_CLASSIFICA_GIRONE_A,7,0)</f>
        <v>0</v>
      </c>
      <c r="O4" s="163" t="n">
        <f aca="false">VLOOKUP(ROW()-3&amp;RIGHT(K$3,1),B_CLASSIFICA_GIRONE_A,8,0)</f>
        <v>0</v>
      </c>
      <c r="P4" s="163" t="n">
        <f aca="false">VLOOKUP(ROW()-3&amp;RIGHT(K$3,1),B_CLASSIFICA_GIRONE_A,9,0)</f>
        <v>6</v>
      </c>
      <c r="Q4" s="163" t="n">
        <f aca="false">VLOOKUP(ROW()-3&amp;RIGHT(K$3,1),B_CLASSIFICA_GIRONE_A,10,0)</f>
        <v>244</v>
      </c>
      <c r="R4" s="164" t="n">
        <f aca="false">VLOOKUP(ROW()-3&amp;RIGHT(K$3,1),B_CLASSIFICA_GIRONE_A,11,0)</f>
        <v>96</v>
      </c>
      <c r="T4" s="165" t="s">
        <v>407</v>
      </c>
      <c r="U4" s="165"/>
      <c r="V4" s="165"/>
      <c r="W4" s="146"/>
      <c r="X4" s="147"/>
      <c r="Y4" s="165" t="s">
        <v>408</v>
      </c>
      <c r="Z4" s="165"/>
      <c r="AA4" s="165"/>
      <c r="AB4" s="147"/>
      <c r="AC4" s="147"/>
      <c r="AD4" s="165" t="s">
        <v>409</v>
      </c>
      <c r="AE4" s="165"/>
      <c r="AF4" s="165"/>
      <c r="AG4" s="147"/>
      <c r="AH4" s="147"/>
      <c r="AI4" s="165" t="s">
        <v>410</v>
      </c>
      <c r="AJ4" s="165"/>
      <c r="AK4" s="165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  <c r="CT4" s="147"/>
      <c r="CU4" s="147"/>
      <c r="CV4" s="166" t="s">
        <v>411</v>
      </c>
      <c r="CW4" s="167" t="n">
        <v>3</v>
      </c>
      <c r="CX4" s="167" t="n">
        <v>2</v>
      </c>
      <c r="CY4" s="167" t="n">
        <v>1</v>
      </c>
      <c r="CZ4" s="167" t="n">
        <v>0</v>
      </c>
      <c r="DA4" s="167" t="n">
        <v>4</v>
      </c>
      <c r="DB4" s="167" t="n">
        <v>1</v>
      </c>
      <c r="DC4" s="167" t="n">
        <v>3</v>
      </c>
      <c r="DD4" s="167" t="n">
        <v>7.0003</v>
      </c>
      <c r="DE4" s="167"/>
      <c r="DF4" s="168" t="n">
        <v>70307</v>
      </c>
      <c r="DG4" s="147" t="n">
        <v>1</v>
      </c>
    </row>
    <row r="5" customFormat="false" ht="15.95" hidden="false" customHeight="true" outlineLevel="0" collapsed="false">
      <c r="A5" s="154" t="n">
        <v>2</v>
      </c>
      <c r="B5" s="155" t="n">
        <f aca="false">VLOOKUP(A5,A_4_INPUT_DATE_E_RISULTATI_GIRONI,8,0)</f>
        <v>44354</v>
      </c>
      <c r="C5" s="156" t="n">
        <f aca="false">VLOOKUP(A5,A_4_INPUT_DATE_E_RISULTATI_GIRONI,9,0)</f>
        <v>0.75</v>
      </c>
      <c r="D5" s="169" t="str">
        <f aca="false">VLOOKUP(A5,A_4_INPUT_DATE_E_RISULTATI_GIRONI,4,0)</f>
        <v>Tigri</v>
      </c>
      <c r="E5" s="158" t="n">
        <f aca="false">VLOOKUP(A5,A_4_INPUT_DATE_E_RISULTATI_GIRONI,6,0)</f>
        <v>67</v>
      </c>
      <c r="F5" s="158" t="n">
        <f aca="false">VLOOKUP(A5,A_4_INPUT_DATE_E_RISULTATI_GIRONI,7,0)</f>
        <v>51</v>
      </c>
      <c r="G5" s="159" t="str">
        <f aca="false">VLOOKUP(A5,A_4_INPUT_DATE_E_RISULTATI_GIRONI,5,0)</f>
        <v>Ghepardi</v>
      </c>
      <c r="H5" s="161" t="str">
        <f aca="false">VLOOKUP(A5,A_4_INPUT_DATE_E_RISULTATI_GIRONI,3,0)</f>
        <v>A</v>
      </c>
      <c r="I5" s="161" t="str">
        <f aca="false">VLOOKUP(A5,A_4_INPUT_DATE_E_RISULTATI_GIRONI,11,0)</f>
        <v>Cristo Re 1</v>
      </c>
      <c r="K5" s="170" t="str">
        <f aca="false">VLOOKUP(ROW()-3&amp;RIGHT(K$3,1),B_CLASSIFICA_GIRONE_A,4,0)</f>
        <v>Pantere</v>
      </c>
      <c r="L5" s="171" t="n">
        <f aca="false">VLOOKUP(ROW()-3&amp;RIGHT(K$3,1),B_CLASSIFICA_GIRONE_A,5,0)</f>
        <v>3</v>
      </c>
      <c r="M5" s="171" t="n">
        <f aca="false">VLOOKUP(ROW()-3&amp;RIGHT(K$3,1),B_CLASSIFICA_GIRONE_A,6,0)</f>
        <v>2</v>
      </c>
      <c r="N5" s="171" t="n">
        <f aca="false">VLOOKUP(ROW()-3&amp;RIGHT(K$3,1),B_CLASSIFICA_GIRONE_A,7,0)</f>
        <v>1</v>
      </c>
      <c r="O5" s="171" t="n">
        <f aca="false">VLOOKUP(ROW()-3&amp;RIGHT(K$3,1),B_CLASSIFICA_GIRONE_A,8,0)</f>
        <v>0</v>
      </c>
      <c r="P5" s="171" t="n">
        <f aca="false">VLOOKUP(ROW()-3&amp;RIGHT(K$3,1),B_CLASSIFICA_GIRONE_A,9,0)</f>
        <v>5</v>
      </c>
      <c r="Q5" s="171" t="n">
        <f aca="false">VLOOKUP(ROW()-3&amp;RIGHT(K$3,1),B_CLASSIFICA_GIRONE_A,10,0)</f>
        <v>199</v>
      </c>
      <c r="R5" s="172" t="n">
        <f aca="false">VLOOKUP(ROW()-3&amp;RIGHT(K$3,1),B_CLASSIFICA_GIRONE_A,11,0)</f>
        <v>123</v>
      </c>
      <c r="T5" s="165"/>
      <c r="U5" s="165"/>
      <c r="V5" s="165"/>
      <c r="W5" s="146"/>
      <c r="X5" s="147"/>
      <c r="Y5" s="165"/>
      <c r="Z5" s="165"/>
      <c r="AA5" s="165"/>
      <c r="AB5" s="147"/>
      <c r="AC5" s="147"/>
      <c r="AD5" s="165"/>
      <c r="AE5" s="165"/>
      <c r="AF5" s="165"/>
      <c r="AG5" s="147"/>
      <c r="AH5" s="147"/>
      <c r="AI5" s="165"/>
      <c r="AJ5" s="165"/>
      <c r="AK5" s="165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  <c r="CT5" s="147"/>
      <c r="CU5" s="147"/>
      <c r="CV5" s="166" t="s">
        <v>412</v>
      </c>
      <c r="CW5" s="167" t="n">
        <v>3</v>
      </c>
      <c r="CX5" s="167" t="n">
        <v>1</v>
      </c>
      <c r="CY5" s="167" t="n">
        <v>0</v>
      </c>
      <c r="CZ5" s="167" t="n">
        <v>2</v>
      </c>
      <c r="DA5" s="167" t="n">
        <v>1</v>
      </c>
      <c r="DB5" s="167" t="n">
        <v>3</v>
      </c>
      <c r="DC5" s="167" t="n">
        <v>-2</v>
      </c>
      <c r="DD5" s="167" t="n">
        <v>2.9998</v>
      </c>
      <c r="DE5" s="167"/>
      <c r="DF5" s="168" t="n">
        <v>29799</v>
      </c>
      <c r="DG5" s="147" t="n">
        <v>2</v>
      </c>
    </row>
    <row r="6" customFormat="false" ht="15.95" hidden="false" customHeight="true" outlineLevel="0" collapsed="false">
      <c r="A6" s="154" t="n">
        <v>3</v>
      </c>
      <c r="B6" s="155" t="n">
        <f aca="false">VLOOKUP(A6,A_4_INPUT_DATE_E_RISULTATI_GIRONI,8,0)</f>
        <v>44354</v>
      </c>
      <c r="C6" s="156" t="n">
        <f aca="false">VLOOKUP(A6,A_4_INPUT_DATE_E_RISULTATI_GIRONI,9,0)</f>
        <v>0.666666666666667</v>
      </c>
      <c r="D6" s="169" t="str">
        <f aca="false">VLOOKUP(A6,A_4_INPUT_DATE_E_RISULTATI_GIRONI,4,0)</f>
        <v>Giaguari</v>
      </c>
      <c r="E6" s="158" t="n">
        <f aca="false">VLOOKUP(A6,A_4_INPUT_DATE_E_RISULTATI_GIRONI,6,0)</f>
        <v>100</v>
      </c>
      <c r="F6" s="158" t="n">
        <f aca="false">VLOOKUP(A6,A_4_INPUT_DATE_E_RISULTATI_GIRONI,7,0)</f>
        <v>51</v>
      </c>
      <c r="G6" s="159" t="str">
        <f aca="false">VLOOKUP(A6,A_4_INPUT_DATE_E_RISULTATI_GIRONI,5,0)</f>
        <v>Puma</v>
      </c>
      <c r="H6" s="161" t="str">
        <f aca="false">VLOOKUP(A6,A_4_INPUT_DATE_E_RISULTATI_GIRONI,3,0)</f>
        <v>B</v>
      </c>
      <c r="I6" s="161" t="str">
        <f aca="false">VLOOKUP(A6,A_4_INPUT_DATE_E_RISULTATI_GIRONI,11,0)</f>
        <v>Cristo Re 2</v>
      </c>
      <c r="K6" s="173" t="str">
        <f aca="false">VLOOKUP(ROW()-3&amp;RIGHT(K$3,1),B_CLASSIFICA_GIRONE_A,4,0)</f>
        <v>Tigri</v>
      </c>
      <c r="L6" s="174" t="n">
        <f aca="false">VLOOKUP(ROW()-3&amp;RIGHT(K$3,1),B_CLASSIFICA_GIRONE_A,5,0)</f>
        <v>3</v>
      </c>
      <c r="M6" s="174" t="n">
        <f aca="false">VLOOKUP(ROW()-3&amp;RIGHT(K$3,1),B_CLASSIFICA_GIRONE_A,6,0)</f>
        <v>1</v>
      </c>
      <c r="N6" s="174" t="n">
        <f aca="false">VLOOKUP(ROW()-3&amp;RIGHT(K$3,1),B_CLASSIFICA_GIRONE_A,7,0)</f>
        <v>2</v>
      </c>
      <c r="O6" s="174" t="n">
        <f aca="false">VLOOKUP(ROW()-3&amp;RIGHT(K$3,1),B_CLASSIFICA_GIRONE_A,8,0)</f>
        <v>0</v>
      </c>
      <c r="P6" s="174" t="n">
        <f aca="false">VLOOKUP(ROW()-3&amp;RIGHT(K$3,1),B_CLASSIFICA_GIRONE_A,9,0)</f>
        <v>4</v>
      </c>
      <c r="Q6" s="174" t="n">
        <f aca="false">VLOOKUP(ROW()-3&amp;RIGHT(K$3,1),B_CLASSIFICA_GIRONE_A,10,0)</f>
        <v>119</v>
      </c>
      <c r="R6" s="175" t="n">
        <f aca="false">VLOOKUP(ROW()-3&amp;RIGHT(K$3,1),B_CLASSIFICA_GIRONE_A,11,0)</f>
        <v>234</v>
      </c>
      <c r="T6" s="176"/>
      <c r="U6" s="177"/>
      <c r="V6" s="147"/>
      <c r="W6" s="146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  <c r="CT6" s="147"/>
      <c r="CU6" s="147"/>
      <c r="CV6" s="166" t="s">
        <v>413</v>
      </c>
      <c r="CW6" s="167" t="n">
        <v>3</v>
      </c>
      <c r="CX6" s="178" t="n">
        <v>1</v>
      </c>
      <c r="CY6" s="178" t="n">
        <v>2</v>
      </c>
      <c r="CZ6" s="178" t="n">
        <v>0</v>
      </c>
      <c r="DA6" s="178" t="n">
        <v>2</v>
      </c>
      <c r="DB6" s="178" t="n">
        <v>1</v>
      </c>
      <c r="DC6" s="167" t="n">
        <v>1</v>
      </c>
      <c r="DD6" s="178" t="n">
        <v>5.0001</v>
      </c>
      <c r="DE6" s="178"/>
      <c r="DF6" s="168" t="n">
        <v>50103</v>
      </c>
      <c r="DG6" s="147" t="n">
        <v>2</v>
      </c>
    </row>
    <row r="7" customFormat="false" ht="15.95" hidden="false" customHeight="true" outlineLevel="0" collapsed="false">
      <c r="A7" s="154" t="n">
        <v>4</v>
      </c>
      <c r="B7" s="155" t="n">
        <f aca="false">VLOOKUP(A7,A_4_INPUT_DATE_E_RISULTATI_GIRONI,8,0)</f>
        <v>44354</v>
      </c>
      <c r="C7" s="156" t="n">
        <f aca="false">VLOOKUP(A7,A_4_INPUT_DATE_E_RISULTATI_GIRONI,9,0)</f>
        <v>0.75</v>
      </c>
      <c r="D7" s="169" t="str">
        <f aca="false">VLOOKUP(A7,A_4_INPUT_DATE_E_RISULTATI_GIRONI,4,0)</f>
        <v>Linci</v>
      </c>
      <c r="E7" s="158" t="n">
        <f aca="false">VLOOKUP(A7,A_4_INPUT_DATE_E_RISULTATI_GIRONI,6,0)</f>
        <v>96</v>
      </c>
      <c r="F7" s="158" t="n">
        <f aca="false">VLOOKUP(A7,A_4_INPUT_DATE_E_RISULTATI_GIRONI,7,0)</f>
        <v>86</v>
      </c>
      <c r="G7" s="159" t="str">
        <f aca="false">VLOOKUP(A7,A_4_INPUT_DATE_E_RISULTATI_GIRONI,5,0)</f>
        <v>Serval</v>
      </c>
      <c r="H7" s="161" t="str">
        <f aca="false">VLOOKUP(A7,A_4_INPUT_DATE_E_RISULTATI_GIRONI,3,0)</f>
        <v>B</v>
      </c>
      <c r="I7" s="161" t="str">
        <f aca="false">VLOOKUP(A7,A_4_INPUT_DATE_E_RISULTATI_GIRONI,11,0)</f>
        <v>Cristo Re 2</v>
      </c>
      <c r="K7" s="179" t="str">
        <f aca="false">VLOOKUP(ROW()-3&amp;RIGHT(K$3,1),B_CLASSIFICA_GIRONE_A,4,0)</f>
        <v>Ghepardi</v>
      </c>
      <c r="L7" s="180" t="n">
        <f aca="false">VLOOKUP(ROW()-3&amp;RIGHT(K$3,1),B_CLASSIFICA_GIRONE_A,5,0)</f>
        <v>3</v>
      </c>
      <c r="M7" s="180" t="n">
        <f aca="false">VLOOKUP(ROW()-3&amp;RIGHT(K$3,1),B_CLASSIFICA_GIRONE_A,6,0)</f>
        <v>0</v>
      </c>
      <c r="N7" s="180" t="n">
        <f aca="false">VLOOKUP(ROW()-3&amp;RIGHT(K$3,1),B_CLASSIFICA_GIRONE_A,7,0)</f>
        <v>3</v>
      </c>
      <c r="O7" s="180" t="n">
        <f aca="false">VLOOKUP(ROW()-3&amp;RIGHT(K$3,1),B_CLASSIFICA_GIRONE_A,8,0)</f>
        <v>0</v>
      </c>
      <c r="P7" s="180" t="n">
        <f aca="false">VLOOKUP(ROW()-3&amp;RIGHT(K$3,1),B_CLASSIFICA_GIRONE_A,9,0)</f>
        <v>3</v>
      </c>
      <c r="Q7" s="180" t="n">
        <f aca="false">VLOOKUP(ROW()-3&amp;RIGHT(K$3,1),B_CLASSIFICA_GIRONE_A,10,0)</f>
        <v>97</v>
      </c>
      <c r="R7" s="181" t="n">
        <f aca="false">VLOOKUP(ROW()-3&amp;RIGHT(K$3,1),B_CLASSIFICA_GIRONE_A,11,0)</f>
        <v>206</v>
      </c>
      <c r="T7" s="182" t="str">
        <f aca="false">TEXT(VLOOKUP(T8,A_5_INPUT_DATE_E_RISULTATI_2A_FASE,8,FALSE()),"GGG G MMM")&amp;" "&amp;TEXT(VLOOKUP(T8,A_5_INPUT_DATE_E_RISULTATI_2A_FASE,9,FALSE()),"h:mm")&amp;" ("&amp;VLOOKUP(T8,A_5_INPUT_DATE_E_RISULTATI_2A_FASE,11,FALSE())&amp;")"</f>
        <v>gio 10 giu 9:00 (Cristo Re 1)</v>
      </c>
      <c r="U7" s="177"/>
      <c r="V7" s="183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7"/>
      <c r="AZ7" s="147"/>
      <c r="BA7" s="147"/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47"/>
      <c r="CT7" s="147"/>
      <c r="CU7" s="147"/>
      <c r="CV7" s="166" t="s">
        <v>414</v>
      </c>
      <c r="CW7" s="167" t="n">
        <v>3</v>
      </c>
      <c r="CX7" s="167" t="n">
        <v>0</v>
      </c>
      <c r="CY7" s="167" t="n">
        <v>1</v>
      </c>
      <c r="CZ7" s="167" t="n">
        <v>2</v>
      </c>
      <c r="DA7" s="167" t="n">
        <v>2</v>
      </c>
      <c r="DB7" s="167" t="n">
        <v>4</v>
      </c>
      <c r="DC7" s="167" t="n">
        <v>-2</v>
      </c>
      <c r="DD7" s="167" t="n">
        <v>0.9998</v>
      </c>
      <c r="DE7" s="167"/>
      <c r="DF7" s="168" t="n">
        <v>9800</v>
      </c>
      <c r="DG7" s="147" t="n">
        <v>3</v>
      </c>
    </row>
    <row r="8" customFormat="false" ht="15.95" hidden="false" customHeight="true" outlineLevel="0" collapsed="false">
      <c r="A8" s="154" t="n">
        <v>5</v>
      </c>
      <c r="B8" s="155" t="n">
        <f aca="false">VLOOKUP(A8,A_4_INPUT_DATE_E_RISULTATI_GIRONI,8,0)</f>
        <v>44354</v>
      </c>
      <c r="C8" s="156" t="n">
        <f aca="false">VLOOKUP(A8,A_4_INPUT_DATE_E_RISULTATI_GIRONI,9,0)</f>
        <v>0.666666666666667</v>
      </c>
      <c r="D8" s="169" t="str">
        <f aca="false">VLOOKUP(A8,A_4_INPUT_DATE_E_RISULTATI_GIRONI,4,0)</f>
        <v>Elefanti</v>
      </c>
      <c r="E8" s="158" t="n">
        <f aca="false">VLOOKUP(A8,A_4_INPUT_DATE_E_RISULTATI_GIRONI,6,0)</f>
        <v>79</v>
      </c>
      <c r="F8" s="158" t="n">
        <f aca="false">VLOOKUP(A8,A_4_INPUT_DATE_E_RISULTATI_GIRONI,7,0)</f>
        <v>48</v>
      </c>
      <c r="G8" s="159" t="str">
        <f aca="false">VLOOKUP(A8,A_4_INPUT_DATE_E_RISULTATI_GIRONI,5,0)</f>
        <v>Giraffe</v>
      </c>
      <c r="H8" s="161" t="str">
        <f aca="false">VLOOKUP(A8,A_4_INPUT_DATE_E_RISULTATI_GIRONI,3,0)</f>
        <v>C</v>
      </c>
      <c r="I8" s="161" t="str">
        <f aca="false">VLOOKUP(A8,A_4_INPUT_DATE_E_RISULTATI_GIRONI,11,0)</f>
        <v>Basket Giovane</v>
      </c>
      <c r="K8" s="184" t="s">
        <v>415</v>
      </c>
      <c r="L8" s="185" t="s">
        <v>61</v>
      </c>
      <c r="M8" s="185" t="s">
        <v>395</v>
      </c>
      <c r="N8" s="185" t="s">
        <v>396</v>
      </c>
      <c r="O8" s="185" t="s">
        <v>56</v>
      </c>
      <c r="P8" s="185" t="s">
        <v>397</v>
      </c>
      <c r="Q8" s="185" t="s">
        <v>398</v>
      </c>
      <c r="R8" s="186" t="s">
        <v>399</v>
      </c>
      <c r="T8" s="187" t="n">
        <f aca="false">VLOOKUP("1-16/8",B_PARTITE_2A_FASE_PER_CODICE,2,FALSE())</f>
        <v>49</v>
      </c>
      <c r="U8" s="188" t="str">
        <f aca="false">VLOOKUP("1-16/8",B_PARTITE_2A_FASE_PER_CODICE,7,FALSE())</f>
        <v>Leoni</v>
      </c>
      <c r="V8" s="189" t="n">
        <f aca="false">VLOOKUP("1-16/8",B_PARTITE_2A_FASE_PER_CODICE,9,FALSE())</f>
        <v>67</v>
      </c>
      <c r="W8" s="190" t="str">
        <f aca="false">VLOOKUP("1-16/8",B_PARTITE_2A_FASE_PER_CODICE,5,FALSE())</f>
        <v>1A</v>
      </c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91" t="s">
        <v>416</v>
      </c>
      <c r="CW8" s="191" t="s">
        <v>61</v>
      </c>
      <c r="CX8" s="191" t="s">
        <v>395</v>
      </c>
      <c r="CY8" s="191" t="s">
        <v>401</v>
      </c>
      <c r="CZ8" s="191" t="s">
        <v>396</v>
      </c>
      <c r="DA8" s="191" t="s">
        <v>402</v>
      </c>
      <c r="DB8" s="191" t="s">
        <v>403</v>
      </c>
      <c r="DC8" s="191"/>
      <c r="DD8" s="191" t="s">
        <v>405</v>
      </c>
      <c r="DE8" s="191"/>
      <c r="DF8" s="168"/>
      <c r="DG8" s="147"/>
    </row>
    <row r="9" customFormat="false" ht="15.95" hidden="false" customHeight="true" outlineLevel="0" collapsed="false">
      <c r="A9" s="154" t="n">
        <v>6</v>
      </c>
      <c r="B9" s="155" t="n">
        <f aca="false">VLOOKUP(A9,A_4_INPUT_DATE_E_RISULTATI_GIRONI,8,0)</f>
        <v>44354</v>
      </c>
      <c r="C9" s="156" t="n">
        <f aca="false">VLOOKUP(A9,A_4_INPUT_DATE_E_RISULTATI_GIRONI,9,0)</f>
        <v>0.75</v>
      </c>
      <c r="D9" s="169" t="str">
        <f aca="false">VLOOKUP(A9,A_4_INPUT_DATE_E_RISULTATI_GIRONI,4,0)</f>
        <v>Ippopotami</v>
      </c>
      <c r="E9" s="158" t="n">
        <f aca="false">VLOOKUP(A9,A_4_INPUT_DATE_E_RISULTATI_GIRONI,6,0)</f>
        <v>62</v>
      </c>
      <c r="F9" s="158" t="n">
        <f aca="false">VLOOKUP(A9,A_4_INPUT_DATE_E_RISULTATI_GIRONI,7,0)</f>
        <v>44</v>
      </c>
      <c r="G9" s="159" t="str">
        <f aca="false">VLOOKUP(A9,A_4_INPUT_DATE_E_RISULTATI_GIRONI,5,0)</f>
        <v>Iguane</v>
      </c>
      <c r="H9" s="161" t="str">
        <f aca="false">VLOOKUP(A9,A_4_INPUT_DATE_E_RISULTATI_GIRONI,3,0)</f>
        <v>C</v>
      </c>
      <c r="I9" s="161" t="str">
        <f aca="false">VLOOKUP(A9,A_4_INPUT_DATE_E_RISULTATI_GIRONI,11,0)</f>
        <v>Basket Giovane</v>
      </c>
      <c r="K9" s="162" t="str">
        <f aca="false">VLOOKUP(ROW()-8&amp;RIGHT(K$8,1),B_CLASSIFICA_GIRONE_B,4,0)</f>
        <v>Giaguari</v>
      </c>
      <c r="L9" s="163" t="n">
        <f aca="false">VLOOKUP(ROW()-8&amp;RIGHT(K$8,1),B_CLASSIFICA_GIRONE_B,5,0)</f>
        <v>3</v>
      </c>
      <c r="M9" s="163" t="n">
        <f aca="false">VLOOKUP(ROW()-8&amp;RIGHT(K$8,1),B_CLASSIFICA_GIRONE_B,6,0)</f>
        <v>2</v>
      </c>
      <c r="N9" s="163" t="n">
        <f aca="false">VLOOKUP(ROW()-8&amp;RIGHT(K$8,1),B_CLASSIFICA_GIRONE_B,7,0)</f>
        <v>1</v>
      </c>
      <c r="O9" s="163" t="n">
        <f aca="false">VLOOKUP(ROW()-8&amp;RIGHT(K$8,1),B_CLASSIFICA_GIRONE_B,8,0)</f>
        <v>0</v>
      </c>
      <c r="P9" s="163" t="n">
        <f aca="false">VLOOKUP(ROW()-8&amp;RIGHT(K$8,1),B_CLASSIFICA_GIRONE_B,9,0)</f>
        <v>5</v>
      </c>
      <c r="Q9" s="163" t="n">
        <f aca="false">VLOOKUP(ROW()-8&amp;RIGHT(K$8,1),B_CLASSIFICA_GIRONE_B,10,0)</f>
        <v>232</v>
      </c>
      <c r="R9" s="164" t="n">
        <f aca="false">VLOOKUP(ROW()-8&amp;RIGHT(K$8,1),B_CLASSIFICA_GIRONE_B,11,0)</f>
        <v>192</v>
      </c>
      <c r="T9" s="187"/>
      <c r="U9" s="192" t="str">
        <f aca="false">VLOOKUP("1-16/8",B_PARTITE_2A_FASE_PER_CODICE,8,FALSE())</f>
        <v>Elefanti</v>
      </c>
      <c r="V9" s="193" t="n">
        <f aca="false">VLOOKUP("1-16/8",B_PARTITE_2A_FASE_PER_CODICE,10,FALSE())</f>
        <v>46</v>
      </c>
      <c r="W9" s="194" t="str">
        <f aca="false">VLOOKUP("1-16/8",B_PARTITE_2A_FASE_PER_CODICE,6,FALSE())</f>
        <v>2C</v>
      </c>
      <c r="X9" s="147"/>
      <c r="Y9" s="195" t="str">
        <f aca="false">TEXT(VLOOKUP(Y10,A_5_INPUT_DATE_E_RISULTATI_2A_FASE,8,FALSE()),"GGG G MMM")&amp;" "&amp;TEXT(VLOOKUP(Y10,A_5_INPUT_DATE_E_RISULTATI_2A_FASE,9,FALSE()),"h:mm")&amp;" ("&amp;VLOOKUP(Y10,A_5_INPUT_DATE_E_RISULTATI_2A_FASE,11,FALSE())&amp;")"</f>
        <v>ven 11 giu 9:00 (Cristo Re 1)</v>
      </c>
      <c r="Z9" s="147"/>
      <c r="AA9" s="183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  <c r="CT9" s="147"/>
      <c r="CU9" s="147"/>
      <c r="CV9" s="166" t="s">
        <v>417</v>
      </c>
      <c r="CW9" s="167" t="n">
        <v>3</v>
      </c>
      <c r="CX9" s="167" t="n">
        <v>1</v>
      </c>
      <c r="CY9" s="167" t="n">
        <v>2</v>
      </c>
      <c r="CZ9" s="167" t="n">
        <v>0</v>
      </c>
      <c r="DA9" s="167" t="n">
        <v>3</v>
      </c>
      <c r="DB9" s="167" t="n">
        <v>2</v>
      </c>
      <c r="DC9" s="167"/>
      <c r="DD9" s="167" t="n">
        <v>5.0001</v>
      </c>
      <c r="DE9" s="167"/>
      <c r="DF9" s="168" t="n">
        <v>50104</v>
      </c>
      <c r="DG9" s="147"/>
    </row>
    <row r="10" customFormat="false" ht="15.95" hidden="false" customHeight="true" outlineLevel="0" collapsed="false">
      <c r="A10" s="154" t="n">
        <v>7</v>
      </c>
      <c r="B10" s="155" t="n">
        <f aca="false">VLOOKUP(A10,A_4_INPUT_DATE_E_RISULTATI_GIRONI,8,0)</f>
        <v>44354</v>
      </c>
      <c r="C10" s="156" t="n">
        <f aca="false">VLOOKUP(A10,A_4_INPUT_DATE_E_RISULTATI_GIRONI,9,0)</f>
        <v>0.666666666666667</v>
      </c>
      <c r="D10" s="169" t="str">
        <f aca="false">VLOOKUP(A10,A_4_INPUT_DATE_E_RISULTATI_GIRONI,4,0)</f>
        <v>Coccodrilli</v>
      </c>
      <c r="E10" s="158" t="n">
        <f aca="false">VLOOKUP(A10,A_4_INPUT_DATE_E_RISULTATI_GIRONI,6,0)</f>
        <v>96</v>
      </c>
      <c r="F10" s="158" t="n">
        <f aca="false">VLOOKUP(A10,A_4_INPUT_DATE_E_RISULTATI_GIRONI,7,0)</f>
        <v>25</v>
      </c>
      <c r="G10" s="159" t="str">
        <f aca="false">VLOOKUP(A10,A_4_INPUT_DATE_E_RISULTATI_GIRONI,5,0)</f>
        <v>Pitoni</v>
      </c>
      <c r="H10" s="161" t="str">
        <f aca="false">VLOOKUP(A10,A_4_INPUT_DATE_E_RISULTATI_GIRONI,3,0)</f>
        <v>D</v>
      </c>
      <c r="I10" s="161" t="str">
        <f aca="false">VLOOKUP(A10,A_4_INPUT_DATE_E_RISULTATI_GIRONI,11,0)</f>
        <v>Nuova Scuola</v>
      </c>
      <c r="K10" s="170" t="str">
        <f aca="false">VLOOKUP(ROW()-8&amp;RIGHT(K$8,1),B_CLASSIFICA_GIRONE_B,4,0)</f>
        <v>Puma</v>
      </c>
      <c r="L10" s="171" t="n">
        <f aca="false">VLOOKUP(ROW()-8&amp;RIGHT(K$8,1),B_CLASSIFICA_GIRONE_B,5,0)</f>
        <v>3</v>
      </c>
      <c r="M10" s="171" t="n">
        <f aca="false">VLOOKUP(ROW()-8&amp;RIGHT(K$8,1),B_CLASSIFICA_GIRONE_B,6,0)</f>
        <v>2</v>
      </c>
      <c r="N10" s="171" t="n">
        <f aca="false">VLOOKUP(ROW()-8&amp;RIGHT(K$8,1),B_CLASSIFICA_GIRONE_B,7,0)</f>
        <v>1</v>
      </c>
      <c r="O10" s="171" t="n">
        <f aca="false">VLOOKUP(ROW()-8&amp;RIGHT(K$8,1),B_CLASSIFICA_GIRONE_B,8,0)</f>
        <v>0</v>
      </c>
      <c r="P10" s="171" t="n">
        <f aca="false">VLOOKUP(ROW()-8&amp;RIGHT(K$8,1),B_CLASSIFICA_GIRONE_B,9,0)</f>
        <v>5</v>
      </c>
      <c r="Q10" s="171" t="n">
        <f aca="false">VLOOKUP(ROW()-8&amp;RIGHT(K$8,1),B_CLASSIFICA_GIRONE_B,10,0)</f>
        <v>216</v>
      </c>
      <c r="R10" s="172" t="n">
        <f aca="false">VLOOKUP(ROW()-8&amp;RIGHT(K$8,1),B_CLASSIFICA_GIRONE_B,11,0)</f>
        <v>217</v>
      </c>
      <c r="T10" s="176"/>
      <c r="U10" s="177"/>
      <c r="V10" s="196"/>
      <c r="W10" s="197"/>
      <c r="X10" s="147"/>
      <c r="Y10" s="198" t="n">
        <f aca="false">VLOOKUP("1-8/4",B_PARTITE_2A_FASE_PER_CODICE,2,FALSE())</f>
        <v>69</v>
      </c>
      <c r="Z10" s="188" t="str">
        <f aca="false">VLOOKUP("1-8/4",B_PARTITE_2A_FASE_PER_CODICE,7,FALSE())</f>
        <v>Leoni</v>
      </c>
      <c r="AA10" s="189" t="n">
        <f aca="false">VLOOKUP("1-8/4",B_PARTITE_2A_FASE_PER_CODICE,9,FALSE())</f>
        <v>58</v>
      </c>
      <c r="AB10" s="190" t="str">
        <f aca="false">VLOOKUP("1-8/4",B_PARTITE_2A_FASE_PER_CODICE,5,FALSE())</f>
        <v>V49</v>
      </c>
      <c r="AC10" s="147"/>
      <c r="AD10" s="147"/>
      <c r="AE10" s="147"/>
      <c r="AF10" s="147"/>
      <c r="AG10" s="147"/>
      <c r="AH10" s="147"/>
      <c r="AI10" s="147"/>
      <c r="AJ10" s="147"/>
      <c r="AK10" s="147"/>
      <c r="AL10" s="146"/>
      <c r="AM10" s="146"/>
      <c r="AN10" s="146"/>
      <c r="AO10" s="146"/>
      <c r="AP10" s="146"/>
      <c r="AQ10" s="146"/>
      <c r="AR10" s="146"/>
      <c r="AS10" s="146"/>
      <c r="AT10" s="146"/>
      <c r="AU10" s="146"/>
      <c r="AV10" s="146"/>
      <c r="AW10" s="146"/>
      <c r="AX10" s="146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66" t="s">
        <v>418</v>
      </c>
      <c r="CW10" s="167" t="n">
        <v>3</v>
      </c>
      <c r="CX10" s="167" t="n">
        <v>2</v>
      </c>
      <c r="CY10" s="167" t="n">
        <v>0</v>
      </c>
      <c r="CZ10" s="167" t="n">
        <v>1</v>
      </c>
      <c r="DA10" s="167" t="n">
        <v>6</v>
      </c>
      <c r="DB10" s="167" t="n">
        <v>3</v>
      </c>
      <c r="DC10" s="167"/>
      <c r="DD10" s="167" t="n">
        <v>6.0003</v>
      </c>
      <c r="DE10" s="167"/>
      <c r="DF10" s="168" t="n">
        <v>60309</v>
      </c>
      <c r="DG10" s="147"/>
    </row>
    <row r="11" customFormat="false" ht="15.95" hidden="false" customHeight="true" outlineLevel="0" collapsed="false">
      <c r="A11" s="154" t="n">
        <v>8</v>
      </c>
      <c r="B11" s="155" t="n">
        <f aca="false">VLOOKUP(A11,A_4_INPUT_DATE_E_RISULTATI_GIRONI,8,0)</f>
        <v>44354</v>
      </c>
      <c r="C11" s="156" t="n">
        <f aca="false">VLOOKUP(A11,A_4_INPUT_DATE_E_RISULTATI_GIRONI,9,0)</f>
        <v>0.75</v>
      </c>
      <c r="D11" s="169" t="str">
        <f aca="false">VLOOKUP(A11,A_4_INPUT_DATE_E_RISULTATI_GIRONI,4,0)</f>
        <v>Aquile</v>
      </c>
      <c r="E11" s="158" t="n">
        <f aca="false">VLOOKUP(A11,A_4_INPUT_DATE_E_RISULTATI_GIRONI,6,0)</f>
        <v>72</v>
      </c>
      <c r="F11" s="158" t="n">
        <f aca="false">VLOOKUP(A11,A_4_INPUT_DATE_E_RISULTATI_GIRONI,7,0)</f>
        <v>52</v>
      </c>
      <c r="G11" s="159" t="str">
        <f aca="false">VLOOKUP(A11,A_4_INPUT_DATE_E_RISULTATI_GIRONI,5,0)</f>
        <v>Falchi</v>
      </c>
      <c r="H11" s="161" t="str">
        <f aca="false">VLOOKUP(A11,A_4_INPUT_DATE_E_RISULTATI_GIRONI,3,0)</f>
        <v>D</v>
      </c>
      <c r="I11" s="161" t="str">
        <f aca="false">VLOOKUP(A11,A_4_INPUT_DATE_E_RISULTATI_GIRONI,11,0)</f>
        <v>Nuova Scuola</v>
      </c>
      <c r="K11" s="173" t="str">
        <f aca="false">VLOOKUP(ROW()-8&amp;RIGHT(K$8,1),B_CLASSIFICA_GIRONE_B,4,0)</f>
        <v>Linci</v>
      </c>
      <c r="L11" s="174" t="n">
        <f aca="false">VLOOKUP(ROW()-8&amp;RIGHT(K$8,1),B_CLASSIFICA_GIRONE_B,5,0)</f>
        <v>3</v>
      </c>
      <c r="M11" s="174" t="n">
        <f aca="false">VLOOKUP(ROW()-8&amp;RIGHT(K$8,1),B_CLASSIFICA_GIRONE_B,6,0)</f>
        <v>1</v>
      </c>
      <c r="N11" s="174" t="n">
        <f aca="false">VLOOKUP(ROW()-8&amp;RIGHT(K$8,1),B_CLASSIFICA_GIRONE_B,7,0)</f>
        <v>2</v>
      </c>
      <c r="O11" s="174" t="n">
        <f aca="false">VLOOKUP(ROW()-8&amp;RIGHT(K$8,1),B_CLASSIFICA_GIRONE_B,8,0)</f>
        <v>0</v>
      </c>
      <c r="P11" s="174" t="n">
        <f aca="false">VLOOKUP(ROW()-8&amp;RIGHT(K$8,1),B_CLASSIFICA_GIRONE_B,9,0)</f>
        <v>4</v>
      </c>
      <c r="Q11" s="174" t="n">
        <f aca="false">VLOOKUP(ROW()-8&amp;RIGHT(K$8,1),B_CLASSIFICA_GIRONE_B,10,0)</f>
        <v>215</v>
      </c>
      <c r="R11" s="175" t="n">
        <f aca="false">VLOOKUP(ROW()-8&amp;RIGHT(K$8,1),B_CLASSIFICA_GIRONE_B,11,0)</f>
        <v>239</v>
      </c>
      <c r="T11" s="195" t="str">
        <f aca="false">TEXT(VLOOKUP(T12,A_5_INPUT_DATE_E_RISULTATI_2A_FASE,8,FALSE()),"GGG G MMM")&amp;" "&amp;TEXT(VLOOKUP(T12,A_5_INPUT_DATE_E_RISULTATI_2A_FASE,9,FALSE()),"h:mm")&amp;" ("&amp;VLOOKUP(T12,A_5_INPUT_DATE_E_RISULTATI_2A_FASE,11,FALSE())&amp;")"</f>
        <v>gio 10 giu 11:00 (Cristo Re 1)</v>
      </c>
      <c r="U11" s="177"/>
      <c r="V11" s="199"/>
      <c r="W11" s="197"/>
      <c r="X11" s="200"/>
      <c r="Y11" s="198"/>
      <c r="Z11" s="192" t="str">
        <f aca="false">VLOOKUP("1-8/4",B_PARTITE_2A_FASE_PER_CODICE,8,FALSE())</f>
        <v>Giaguari</v>
      </c>
      <c r="AA11" s="193" t="n">
        <f aca="false">VLOOKUP("1-8/4",B_PARTITE_2A_FASE_PER_CODICE,10,FALSE())</f>
        <v>46</v>
      </c>
      <c r="AB11" s="194" t="str">
        <f aca="false">VLOOKUP("1-8/4",B_PARTITE_2A_FASE_PER_CODICE,6,FALSE())</f>
        <v>V53</v>
      </c>
      <c r="AC11" s="147"/>
      <c r="AD11" s="147"/>
      <c r="AE11" s="147"/>
      <c r="AF11" s="147"/>
      <c r="AG11" s="147"/>
      <c r="AH11" s="147"/>
      <c r="AI11" s="147"/>
      <c r="AJ11" s="147"/>
      <c r="AK11" s="147"/>
      <c r="AL11" s="146"/>
      <c r="AM11" s="146"/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  <c r="CT11" s="147"/>
      <c r="CU11" s="147"/>
      <c r="CV11" s="166" t="s">
        <v>419</v>
      </c>
      <c r="CW11" s="167" t="n">
        <v>3</v>
      </c>
      <c r="CX11" s="178" t="n">
        <v>1</v>
      </c>
      <c r="CY11" s="178" t="n">
        <v>1</v>
      </c>
      <c r="CZ11" s="178" t="n">
        <v>1</v>
      </c>
      <c r="DA11" s="178" t="n">
        <v>3</v>
      </c>
      <c r="DB11" s="178" t="n">
        <v>3</v>
      </c>
      <c r="DC11" s="178"/>
      <c r="DD11" s="178" t="n">
        <v>4</v>
      </c>
      <c r="DE11" s="178"/>
      <c r="DF11" s="168" t="n">
        <v>40003</v>
      </c>
      <c r="DG11" s="147"/>
    </row>
    <row r="12" customFormat="false" ht="15.95" hidden="false" customHeight="true" outlineLevel="0" collapsed="false">
      <c r="A12" s="154"/>
      <c r="B12" s="155"/>
      <c r="C12" s="156"/>
      <c r="D12" s="169"/>
      <c r="E12" s="158"/>
      <c r="F12" s="158"/>
      <c r="G12" s="159"/>
      <c r="H12" s="161"/>
      <c r="I12" s="161"/>
      <c r="K12" s="179" t="str">
        <f aca="false">VLOOKUP(ROW()-8&amp;RIGHT(K$8,1),B_CLASSIFICA_GIRONE_B,4,0)</f>
        <v>Serval</v>
      </c>
      <c r="L12" s="180" t="n">
        <f aca="false">VLOOKUP(ROW()-8&amp;RIGHT(K$8,1),B_CLASSIFICA_GIRONE_B,5,0)</f>
        <v>3</v>
      </c>
      <c r="M12" s="180" t="n">
        <f aca="false">VLOOKUP(ROW()-8&amp;RIGHT(K$8,1),B_CLASSIFICA_GIRONE_B,6,0)</f>
        <v>1</v>
      </c>
      <c r="N12" s="180" t="n">
        <f aca="false">VLOOKUP(ROW()-8&amp;RIGHT(K$8,1),B_CLASSIFICA_GIRONE_B,7,0)</f>
        <v>2</v>
      </c>
      <c r="O12" s="180" t="n">
        <f aca="false">VLOOKUP(ROW()-8&amp;RIGHT(K$8,1),B_CLASSIFICA_GIRONE_B,8,0)</f>
        <v>0</v>
      </c>
      <c r="P12" s="180" t="n">
        <f aca="false">VLOOKUP(ROW()-8&amp;RIGHT(K$8,1),B_CLASSIFICA_GIRONE_B,9,0)</f>
        <v>4</v>
      </c>
      <c r="Q12" s="180" t="n">
        <f aca="false">VLOOKUP(ROW()-8&amp;RIGHT(K$8,1),B_CLASSIFICA_GIRONE_B,10,0)</f>
        <v>225</v>
      </c>
      <c r="R12" s="181" t="n">
        <f aca="false">VLOOKUP(ROW()-8&amp;RIGHT(K$8,1),B_CLASSIFICA_GIRONE_B,11,0)</f>
        <v>240</v>
      </c>
      <c r="T12" s="187" t="n">
        <f aca="false">VLOOKUP("1-16/7",B_PARTITE_2A_FASE_PER_CODICE,2,FALSE())</f>
        <v>53</v>
      </c>
      <c r="U12" s="201" t="str">
        <f aca="false">VLOOKUP("1-16/7",B_PARTITE_2A_FASE_PER_CODICE,7,FALSE())</f>
        <v>Giaguari</v>
      </c>
      <c r="V12" s="189" t="n">
        <f aca="false">VLOOKUP("1-16/7",B_PARTITE_2A_FASE_PER_CODICE,9,FALSE())</f>
        <v>52</v>
      </c>
      <c r="W12" s="202" t="str">
        <f aca="false">VLOOKUP("1-16/7",B_PARTITE_2A_FASE_PER_CODICE,5,FALSE())</f>
        <v>1B</v>
      </c>
      <c r="X12" s="147"/>
      <c r="Y12" s="147"/>
      <c r="Z12" s="147"/>
      <c r="AA12" s="196"/>
      <c r="AB12" s="19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66" t="s">
        <v>420</v>
      </c>
      <c r="CW12" s="167" t="n">
        <v>3</v>
      </c>
      <c r="CX12" s="167" t="n">
        <v>0</v>
      </c>
      <c r="CY12" s="167" t="n">
        <v>1</v>
      </c>
      <c r="CZ12" s="167" t="n">
        <v>2</v>
      </c>
      <c r="DA12" s="167" t="n">
        <v>2</v>
      </c>
      <c r="DB12" s="167" t="n">
        <v>6</v>
      </c>
      <c r="DC12" s="167"/>
      <c r="DD12" s="167" t="n">
        <v>0.9996</v>
      </c>
      <c r="DE12" s="167"/>
      <c r="DF12" s="168" t="n">
        <v>9598</v>
      </c>
      <c r="DG12" s="147"/>
    </row>
    <row r="13" customFormat="false" ht="15.95" hidden="false" customHeight="true" outlineLevel="0" collapsed="false">
      <c r="A13" s="154" t="n">
        <v>9</v>
      </c>
      <c r="B13" s="155" t="n">
        <f aca="false">VLOOKUP(A13,A_4_INPUT_DATE_E_RISULTATI_GIRONI,8,0)</f>
        <v>44355</v>
      </c>
      <c r="C13" s="156" t="n">
        <f aca="false">VLOOKUP(A13,A_4_INPUT_DATE_E_RISULTATI_GIRONI,9,0)</f>
        <v>0.375</v>
      </c>
      <c r="D13" s="169" t="str">
        <f aca="false">VLOOKUP(A13,A_4_INPUT_DATE_E_RISULTATI_GIRONI,4,0)</f>
        <v>Leoni</v>
      </c>
      <c r="E13" s="158" t="n">
        <f aca="false">VLOOKUP(A13,A_4_INPUT_DATE_E_RISULTATI_GIRONI,6,0)</f>
        <v>90</v>
      </c>
      <c r="F13" s="158" t="n">
        <f aca="false">VLOOKUP(A13,A_4_INPUT_DATE_E_RISULTATI_GIRONI,7,0)</f>
        <v>22</v>
      </c>
      <c r="G13" s="159" t="str">
        <f aca="false">VLOOKUP(A13,A_4_INPUT_DATE_E_RISULTATI_GIRONI,5,0)</f>
        <v>Tigri</v>
      </c>
      <c r="H13" s="161" t="str">
        <f aca="false">VLOOKUP(A13,A_4_INPUT_DATE_E_RISULTATI_GIRONI,3,0)</f>
        <v>A</v>
      </c>
      <c r="I13" s="161" t="str">
        <f aca="false">VLOOKUP(A13,A_4_INPUT_DATE_E_RISULTATI_GIRONI,11,0)</f>
        <v>Cristo Re 1</v>
      </c>
      <c r="K13" s="203" t="s">
        <v>421</v>
      </c>
      <c r="L13" s="204" t="s">
        <v>61</v>
      </c>
      <c r="M13" s="204" t="s">
        <v>395</v>
      </c>
      <c r="N13" s="204" t="s">
        <v>396</v>
      </c>
      <c r="O13" s="204" t="s">
        <v>56</v>
      </c>
      <c r="P13" s="204" t="s">
        <v>397</v>
      </c>
      <c r="Q13" s="204" t="s">
        <v>398</v>
      </c>
      <c r="R13" s="205" t="s">
        <v>399</v>
      </c>
      <c r="T13" s="187"/>
      <c r="U13" s="206" t="str">
        <f aca="false">VLOOKUP("1-16/7",B_PARTITE_2A_FASE_PER_CODICE,8,FALSE())</f>
        <v>Aquile</v>
      </c>
      <c r="V13" s="193" t="n">
        <f aca="false">VLOOKUP("1-16/7",B_PARTITE_2A_FASE_PER_CODICE,10,FALSE())</f>
        <v>43</v>
      </c>
      <c r="W13" s="190" t="str">
        <f aca="false">VLOOKUP("1-16/7",B_PARTITE_2A_FASE_PER_CODICE,6,FALSE())</f>
        <v>2D</v>
      </c>
      <c r="X13" s="147"/>
      <c r="Y13" s="147"/>
      <c r="Z13" s="147"/>
      <c r="AA13" s="196"/>
      <c r="AB13" s="197"/>
      <c r="AC13" s="147"/>
      <c r="AD13" s="207" t="str">
        <f aca="false">TEXT(VLOOKUP(AD14,A_5_INPUT_DATE_E_RISULTATI_2A_FASE,8,FALSE()),"GGG G MMM")&amp;" "&amp;TEXT(VLOOKUP(AD14,A_5_INPUT_DATE_E_RISULTATI_2A_FASE,9,FALSE()),"h:mm")&amp;" ("&amp;VLOOKUP(AD14,A_5_INPUT_DATE_E_RISULTATI_2A_FASE,11,FALSE())&amp;")"</f>
        <v>ven 11 giu 20:30 (Basket Giovane)</v>
      </c>
      <c r="AE13" s="147"/>
      <c r="AF13" s="147"/>
      <c r="AG13" s="147"/>
      <c r="AH13" s="147"/>
      <c r="AI13" s="147"/>
      <c r="AJ13" s="147"/>
      <c r="AK13" s="147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208" t="s">
        <v>422</v>
      </c>
      <c r="CW13" s="208" t="s">
        <v>61</v>
      </c>
      <c r="CX13" s="208" t="s">
        <v>395</v>
      </c>
      <c r="CY13" s="208" t="s">
        <v>401</v>
      </c>
      <c r="CZ13" s="208" t="s">
        <v>396</v>
      </c>
      <c r="DA13" s="208" t="s">
        <v>402</v>
      </c>
      <c r="DB13" s="208" t="s">
        <v>403</v>
      </c>
      <c r="DC13" s="208"/>
      <c r="DD13" s="208" t="s">
        <v>405</v>
      </c>
      <c r="DE13" s="208"/>
      <c r="DF13" s="168"/>
      <c r="DG13" s="147"/>
    </row>
    <row r="14" customFormat="false" ht="15.95" hidden="false" customHeight="true" outlineLevel="0" collapsed="false">
      <c r="A14" s="154" t="n">
        <v>10</v>
      </c>
      <c r="B14" s="155" t="n">
        <f aca="false">VLOOKUP(A14,A_4_INPUT_DATE_E_RISULTATI_GIRONI,8,0)</f>
        <v>44355</v>
      </c>
      <c r="C14" s="156" t="n">
        <f aca="false">VLOOKUP(A14,A_4_INPUT_DATE_E_RISULTATI_GIRONI,9,0)</f>
        <v>0.375</v>
      </c>
      <c r="D14" s="169" t="str">
        <f aca="false">VLOOKUP(A14,A_4_INPUT_DATE_E_RISULTATI_GIRONI,4,0)</f>
        <v>Giaguari</v>
      </c>
      <c r="E14" s="158" t="n">
        <f aca="false">VLOOKUP(A14,A_4_INPUT_DATE_E_RISULTATI_GIRONI,6,0)</f>
        <v>56</v>
      </c>
      <c r="F14" s="158" t="n">
        <f aca="false">VLOOKUP(A14,A_4_INPUT_DATE_E_RISULTATI_GIRONI,7,0)</f>
        <v>47</v>
      </c>
      <c r="G14" s="159" t="str">
        <f aca="false">VLOOKUP(A14,A_4_INPUT_DATE_E_RISULTATI_GIRONI,5,0)</f>
        <v>Linci</v>
      </c>
      <c r="H14" s="161" t="str">
        <f aca="false">VLOOKUP(A14,A_4_INPUT_DATE_E_RISULTATI_GIRONI,3,0)</f>
        <v>B</v>
      </c>
      <c r="I14" s="161" t="str">
        <f aca="false">VLOOKUP(A14,A_4_INPUT_DATE_E_RISULTATI_GIRONI,11,0)</f>
        <v>Cristo Re 2</v>
      </c>
      <c r="K14" s="162" t="str">
        <f aca="false">VLOOKUP(ROW()-13&amp;RIGHT(K$13,1),B_CLASSIFICA_GIRONE_C,4,0)</f>
        <v>Giraffe</v>
      </c>
      <c r="L14" s="163" t="n">
        <f aca="false">VLOOKUP(ROW()-13&amp;RIGHT(K$13,1),B_CLASSIFICA_GIRONE_C,5,0)</f>
        <v>3</v>
      </c>
      <c r="M14" s="163" t="n">
        <f aca="false">VLOOKUP(ROW()-13&amp;RIGHT(K$13,1),B_CLASSIFICA_GIRONE_C,6,0)</f>
        <v>2</v>
      </c>
      <c r="N14" s="163" t="n">
        <f aca="false">VLOOKUP(ROW()-13&amp;RIGHT(K$13,1),B_CLASSIFICA_GIRONE_C,7,0)</f>
        <v>1</v>
      </c>
      <c r="O14" s="163" t="n">
        <f aca="false">VLOOKUP(ROW()-13&amp;RIGHT(K$13,1),B_CLASSIFICA_GIRONE_C,8,0)</f>
        <v>0</v>
      </c>
      <c r="P14" s="163" t="n">
        <f aca="false">VLOOKUP(ROW()-13&amp;RIGHT(K$13,1),B_CLASSIFICA_GIRONE_C,9,0)</f>
        <v>5</v>
      </c>
      <c r="Q14" s="163" t="n">
        <f aca="false">VLOOKUP(ROW()-13&amp;RIGHT(K$13,1),B_CLASSIFICA_GIRONE_C,10,0)</f>
        <v>206</v>
      </c>
      <c r="R14" s="164" t="n">
        <f aca="false">VLOOKUP(ROW()-13&amp;RIGHT(K$13,1),B_CLASSIFICA_GIRONE_C,11,0)</f>
        <v>162</v>
      </c>
      <c r="T14" s="176"/>
      <c r="U14" s="177"/>
      <c r="V14" s="196"/>
      <c r="W14" s="147"/>
      <c r="X14" s="147"/>
      <c r="Y14" s="147"/>
      <c r="Z14" s="147"/>
      <c r="AA14" s="196"/>
      <c r="AB14" s="197"/>
      <c r="AC14" s="147"/>
      <c r="AD14" s="209" t="n">
        <f aca="false">VLOOKUP("1-4/2",B_PARTITE_2A_FASE_PER_CODICE,2,FALSE())</f>
        <v>87</v>
      </c>
      <c r="AE14" s="188" t="str">
        <f aca="false">VLOOKUP("1-4/2",B_PARTITE_2A_FASE_PER_CODICE,7,FALSE())</f>
        <v>Leoni</v>
      </c>
      <c r="AF14" s="189" t="n">
        <f aca="false">VLOOKUP("1-4/2",B_PARTITE_2A_FASE_PER_CODICE,9,FALSE())</f>
        <v>66</v>
      </c>
      <c r="AG14" s="190" t="str">
        <f aca="false">VLOOKUP("1-4/2",B_PARTITE_2A_FASE_PER_CODICE,5,FALSE())</f>
        <v>V69</v>
      </c>
      <c r="AH14" s="210"/>
      <c r="AI14" s="147"/>
      <c r="AJ14" s="147"/>
      <c r="AK14" s="147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166" t="s">
        <v>423</v>
      </c>
      <c r="CW14" s="167" t="n">
        <v>3</v>
      </c>
      <c r="CX14" s="167" t="n">
        <v>1</v>
      </c>
      <c r="CY14" s="167" t="n">
        <v>0</v>
      </c>
      <c r="CZ14" s="167" t="n">
        <v>2</v>
      </c>
      <c r="DA14" s="167" t="n">
        <v>2</v>
      </c>
      <c r="DB14" s="167" t="n">
        <v>2</v>
      </c>
      <c r="DC14" s="167"/>
      <c r="DD14" s="167" t="n">
        <v>3</v>
      </c>
      <c r="DE14" s="167"/>
      <c r="DF14" s="168"/>
      <c r="DG14" s="147"/>
    </row>
    <row r="15" customFormat="false" ht="15.95" hidden="false" customHeight="true" outlineLevel="0" collapsed="false">
      <c r="A15" s="154" t="n">
        <v>11</v>
      </c>
      <c r="B15" s="155" t="n">
        <f aca="false">VLOOKUP(A15,A_4_INPUT_DATE_E_RISULTATI_GIRONI,8,0)</f>
        <v>44355</v>
      </c>
      <c r="C15" s="156" t="n">
        <f aca="false">VLOOKUP(A15,A_4_INPUT_DATE_E_RISULTATI_GIRONI,9,0)</f>
        <v>0.375</v>
      </c>
      <c r="D15" s="169" t="str">
        <f aca="false">VLOOKUP(A15,A_4_INPUT_DATE_E_RISULTATI_GIRONI,4,0)</f>
        <v>Elefanti</v>
      </c>
      <c r="E15" s="158" t="n">
        <f aca="false">VLOOKUP(A15,A_4_INPUT_DATE_E_RISULTATI_GIRONI,6,0)</f>
        <v>66</v>
      </c>
      <c r="F15" s="158" t="n">
        <f aca="false">VLOOKUP(A15,A_4_INPUT_DATE_E_RISULTATI_GIRONI,7,0)</f>
        <v>95</v>
      </c>
      <c r="G15" s="159" t="str">
        <f aca="false">VLOOKUP(A15,A_4_INPUT_DATE_E_RISULTATI_GIRONI,5,0)</f>
        <v>Ippopotami</v>
      </c>
      <c r="H15" s="161" t="str">
        <f aca="false">VLOOKUP(A15,A_4_INPUT_DATE_E_RISULTATI_GIRONI,3,0)</f>
        <v>C</v>
      </c>
      <c r="I15" s="161" t="str">
        <f aca="false">VLOOKUP(A15,A_4_INPUT_DATE_E_RISULTATI_GIRONI,11,0)</f>
        <v>Basket Giovane</v>
      </c>
      <c r="K15" s="170" t="str">
        <f aca="false">VLOOKUP(ROW()-13&amp;RIGHT(K$13,1),B_CLASSIFICA_GIRONE_C,4,0)</f>
        <v>Elefanti</v>
      </c>
      <c r="L15" s="171" t="n">
        <f aca="false">VLOOKUP(ROW()-13&amp;RIGHT(K$13,1),B_CLASSIFICA_GIRONE_C,5,0)</f>
        <v>3</v>
      </c>
      <c r="M15" s="171" t="n">
        <f aca="false">VLOOKUP(ROW()-13&amp;RIGHT(K$13,1),B_CLASSIFICA_GIRONE_C,6,0)</f>
        <v>2</v>
      </c>
      <c r="N15" s="171" t="n">
        <f aca="false">VLOOKUP(ROW()-13&amp;RIGHT(K$13,1),B_CLASSIFICA_GIRONE_C,7,0)</f>
        <v>1</v>
      </c>
      <c r="O15" s="171" t="n">
        <f aca="false">VLOOKUP(ROW()-13&amp;RIGHT(K$13,1),B_CLASSIFICA_GIRONE_C,8,0)</f>
        <v>0</v>
      </c>
      <c r="P15" s="171" t="n">
        <f aca="false">VLOOKUP(ROW()-13&amp;RIGHT(K$13,1),B_CLASSIFICA_GIRONE_C,9,0)</f>
        <v>5</v>
      </c>
      <c r="Q15" s="171" t="n">
        <f aca="false">VLOOKUP(ROW()-13&amp;RIGHT(K$13,1),B_CLASSIFICA_GIRONE_C,10,0)</f>
        <v>202</v>
      </c>
      <c r="R15" s="172" t="n">
        <f aca="false">VLOOKUP(ROW()-13&amp;RIGHT(K$13,1),B_CLASSIFICA_GIRONE_C,11,0)</f>
        <v>185</v>
      </c>
      <c r="T15" s="195" t="str">
        <f aca="false">TEXT(VLOOKUP(T16,A_5_INPUT_DATE_E_RISULTATI_2A_FASE,8,FALSE()),"GGG G MMM")&amp;" "&amp;TEXT(VLOOKUP(T16,A_5_INPUT_DATE_E_RISULTATI_2A_FASE,9,FALSE()),"h:mm")&amp;" ("&amp;VLOOKUP(T16,A_5_INPUT_DATE_E_RISULTATI_2A_FASE,11,FALSE())&amp;")"</f>
        <v>gio 10 giu 15:30 (Cristo Re 1)</v>
      </c>
      <c r="U15" s="177"/>
      <c r="V15" s="199"/>
      <c r="W15" s="147"/>
      <c r="X15" s="147"/>
      <c r="Y15" s="147"/>
      <c r="Z15" s="147"/>
      <c r="AA15" s="199"/>
      <c r="AB15" s="197"/>
      <c r="AC15" s="200"/>
      <c r="AD15" s="209"/>
      <c r="AE15" s="192" t="str">
        <f aca="false">VLOOKUP("1-4/2",B_PARTITE_2A_FASE_PER_CODICE,8,FALSE())</f>
        <v>Bisonti</v>
      </c>
      <c r="AF15" s="193" t="n">
        <f aca="false">VLOOKUP("1-4/2",B_PARTITE_2A_FASE_PER_CODICE,10,FALSE())</f>
        <v>31</v>
      </c>
      <c r="AG15" s="194" t="str">
        <f aca="false">VLOOKUP("1-4/2",B_PARTITE_2A_FASE_PER_CODICE,6,FALSE())</f>
        <v>V70</v>
      </c>
      <c r="AH15" s="211"/>
      <c r="AI15" s="147"/>
      <c r="AJ15" s="147"/>
      <c r="AK15" s="147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  <c r="CT15" s="147"/>
      <c r="CU15" s="147"/>
      <c r="CV15" s="166" t="s">
        <v>424</v>
      </c>
      <c r="CW15" s="167" t="n">
        <v>3</v>
      </c>
      <c r="CX15" s="167" t="n">
        <v>2</v>
      </c>
      <c r="CY15" s="167" t="n">
        <v>1</v>
      </c>
      <c r="CZ15" s="167" t="n">
        <v>0</v>
      </c>
      <c r="DA15" s="167" t="n">
        <v>3</v>
      </c>
      <c r="DB15" s="167" t="n">
        <v>0</v>
      </c>
      <c r="DC15" s="167"/>
      <c r="DD15" s="167" t="n">
        <v>7.0003</v>
      </c>
      <c r="DE15" s="167"/>
      <c r="DF15" s="168"/>
      <c r="DG15" s="147"/>
    </row>
    <row r="16" customFormat="false" ht="15.95" hidden="false" customHeight="true" outlineLevel="0" collapsed="false">
      <c r="A16" s="154" t="n">
        <v>12</v>
      </c>
      <c r="B16" s="155" t="n">
        <f aca="false">VLOOKUP(A16,A_4_INPUT_DATE_E_RISULTATI_GIRONI,8,0)</f>
        <v>44355</v>
      </c>
      <c r="C16" s="156" t="n">
        <f aca="false">VLOOKUP(A16,A_4_INPUT_DATE_E_RISULTATI_GIRONI,9,0)</f>
        <v>0.375</v>
      </c>
      <c r="D16" s="169" t="str">
        <f aca="false">VLOOKUP(A16,A_4_INPUT_DATE_E_RISULTATI_GIRONI,4,0)</f>
        <v>Coccodrilli</v>
      </c>
      <c r="E16" s="158" t="n">
        <f aca="false">VLOOKUP(A16,A_4_INPUT_DATE_E_RISULTATI_GIRONI,6,0)</f>
        <v>29</v>
      </c>
      <c r="F16" s="158" t="n">
        <f aca="false">VLOOKUP(A16,A_4_INPUT_DATE_E_RISULTATI_GIRONI,7,0)</f>
        <v>39</v>
      </c>
      <c r="G16" s="159" t="str">
        <f aca="false">VLOOKUP(A16,A_4_INPUT_DATE_E_RISULTATI_GIRONI,5,0)</f>
        <v>Aquile</v>
      </c>
      <c r="H16" s="161" t="str">
        <f aca="false">VLOOKUP(A16,A_4_INPUT_DATE_E_RISULTATI_GIRONI,3,0)</f>
        <v>D</v>
      </c>
      <c r="I16" s="161" t="str">
        <f aca="false">VLOOKUP(A16,A_4_INPUT_DATE_E_RISULTATI_GIRONI,11,0)</f>
        <v>Nuova Scuola</v>
      </c>
      <c r="K16" s="173" t="str">
        <f aca="false">VLOOKUP(ROW()-13&amp;RIGHT(K$13,1),B_CLASSIFICA_GIRONE_C,4,0)</f>
        <v>Ippopotami</v>
      </c>
      <c r="L16" s="174" t="n">
        <f aca="false">VLOOKUP(ROW()-13&amp;RIGHT(K$13,1),B_CLASSIFICA_GIRONE_C,5,0)</f>
        <v>3</v>
      </c>
      <c r="M16" s="174" t="n">
        <f aca="false">VLOOKUP(ROW()-13&amp;RIGHT(K$13,1),B_CLASSIFICA_GIRONE_C,6,0)</f>
        <v>2</v>
      </c>
      <c r="N16" s="174" t="n">
        <f aca="false">VLOOKUP(ROW()-13&amp;RIGHT(K$13,1),B_CLASSIFICA_GIRONE_C,7,0)</f>
        <v>1</v>
      </c>
      <c r="O16" s="174" t="n">
        <f aca="false">VLOOKUP(ROW()-13&amp;RIGHT(K$13,1),B_CLASSIFICA_GIRONE_C,8,0)</f>
        <v>0</v>
      </c>
      <c r="P16" s="174" t="n">
        <f aca="false">VLOOKUP(ROW()-13&amp;RIGHT(K$13,1),B_CLASSIFICA_GIRONE_C,9,0)</f>
        <v>5</v>
      </c>
      <c r="Q16" s="174" t="n">
        <f aca="false">VLOOKUP(ROW()-13&amp;RIGHT(K$13,1),B_CLASSIFICA_GIRONE_C,10,0)</f>
        <v>206</v>
      </c>
      <c r="R16" s="175" t="n">
        <f aca="false">VLOOKUP(ROW()-13&amp;RIGHT(K$13,1),B_CLASSIFICA_GIRONE_C,11,0)</f>
        <v>208</v>
      </c>
      <c r="T16" s="187" t="n">
        <f aca="false">VLOOKUP("1-16/6",B_PARTITE_2A_FASE_PER_CODICE,2,FALSE())</f>
        <v>57</v>
      </c>
      <c r="U16" s="201" t="str">
        <f aca="false">VLOOKUP("1-16/6",B_PARTITE_2A_FASE_PER_CODICE,7,FALSE())</f>
        <v>Bisonti</v>
      </c>
      <c r="V16" s="189" t="n">
        <f aca="false">VLOOKUP("1-16/6",B_PARTITE_2A_FASE_PER_CODICE,9,FALSE())</f>
        <v>58</v>
      </c>
      <c r="W16" s="190" t="str">
        <f aca="false">VLOOKUP("1-16/6",B_PARTITE_2A_FASE_PER_CODICE,5,FALSE())</f>
        <v>1E</v>
      </c>
      <c r="X16" s="147"/>
      <c r="Y16" s="147"/>
      <c r="Z16" s="147"/>
      <c r="AA16" s="199"/>
      <c r="AB16" s="197"/>
      <c r="AC16" s="147"/>
      <c r="AD16" s="147"/>
      <c r="AE16" s="147"/>
      <c r="AF16" s="196"/>
      <c r="AG16" s="197"/>
      <c r="AH16" s="147"/>
      <c r="AI16" s="147"/>
      <c r="AJ16" s="147"/>
      <c r="AK16" s="147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  <c r="CV16" s="166" t="s">
        <v>425</v>
      </c>
      <c r="CW16" s="167" t="n">
        <v>3</v>
      </c>
      <c r="CX16" s="178" t="n">
        <v>2</v>
      </c>
      <c r="CY16" s="178" t="n">
        <v>1</v>
      </c>
      <c r="CZ16" s="178" t="n">
        <v>0</v>
      </c>
      <c r="DA16" s="178" t="n">
        <v>2</v>
      </c>
      <c r="DB16" s="178" t="n">
        <v>0</v>
      </c>
      <c r="DC16" s="178"/>
      <c r="DD16" s="178" t="n">
        <v>7.0002</v>
      </c>
      <c r="DE16" s="178"/>
      <c r="DF16" s="168"/>
      <c r="DG16" s="147"/>
    </row>
    <row r="17" customFormat="false" ht="15.95" hidden="false" customHeight="true" outlineLevel="0" collapsed="false">
      <c r="A17" s="154" t="n">
        <v>13</v>
      </c>
      <c r="B17" s="155" t="n">
        <f aca="false">VLOOKUP(A17,A_4_INPUT_DATE_E_RISULTATI_GIRONI,8,0)</f>
        <v>44355</v>
      </c>
      <c r="C17" s="156" t="n">
        <f aca="false">VLOOKUP(A17,A_4_INPUT_DATE_E_RISULTATI_GIRONI,9,0)</f>
        <v>0.458333333333333</v>
      </c>
      <c r="D17" s="169" t="str">
        <f aca="false">VLOOKUP(A17,A_4_INPUT_DATE_E_RISULTATI_GIRONI,4,0)</f>
        <v>Pantere</v>
      </c>
      <c r="E17" s="158" t="n">
        <f aca="false">VLOOKUP(A17,A_4_INPUT_DATE_E_RISULTATI_GIRONI,6,0)</f>
        <v>57</v>
      </c>
      <c r="F17" s="158" t="n">
        <f aca="false">VLOOKUP(A17,A_4_INPUT_DATE_E_RISULTATI_GIRONI,7,0)</f>
        <v>21</v>
      </c>
      <c r="G17" s="159" t="str">
        <f aca="false">VLOOKUP(A17,A_4_INPUT_DATE_E_RISULTATI_GIRONI,5,0)</f>
        <v>Ghepardi</v>
      </c>
      <c r="H17" s="161" t="str">
        <f aca="false">VLOOKUP(A17,A_4_INPUT_DATE_E_RISULTATI_GIRONI,3,0)</f>
        <v>A</v>
      </c>
      <c r="I17" s="161" t="str">
        <f aca="false">VLOOKUP(A17,A_4_INPUT_DATE_E_RISULTATI_GIRONI,11,0)</f>
        <v>Cristo Re 1</v>
      </c>
      <c r="K17" s="179" t="str">
        <f aca="false">VLOOKUP(ROW()-13&amp;RIGHT(K$13,1),B_CLASSIFICA_GIRONE_C,4,0)</f>
        <v>Iguane</v>
      </c>
      <c r="L17" s="180" t="n">
        <f aca="false">VLOOKUP(ROW()-13&amp;RIGHT(K$13,1),B_CLASSIFICA_GIRONE_C,5,0)</f>
        <v>3</v>
      </c>
      <c r="M17" s="180" t="n">
        <f aca="false">VLOOKUP(ROW()-13&amp;RIGHT(K$13,1),B_CLASSIFICA_GIRONE_C,6,0)</f>
        <v>0</v>
      </c>
      <c r="N17" s="180" t="n">
        <f aca="false">VLOOKUP(ROW()-13&amp;RIGHT(K$13,1),B_CLASSIFICA_GIRONE_C,7,0)</f>
        <v>3</v>
      </c>
      <c r="O17" s="180" t="n">
        <f aca="false">VLOOKUP(ROW()-13&amp;RIGHT(K$13,1),B_CLASSIFICA_GIRONE_C,8,0)</f>
        <v>0</v>
      </c>
      <c r="P17" s="180" t="n">
        <f aca="false">VLOOKUP(ROW()-13&amp;RIGHT(K$13,1),B_CLASSIFICA_GIRONE_C,9,0)</f>
        <v>3</v>
      </c>
      <c r="Q17" s="180" t="n">
        <f aca="false">VLOOKUP(ROW()-13&amp;RIGHT(K$13,1),B_CLASSIFICA_GIRONE_C,10,0)</f>
        <v>120</v>
      </c>
      <c r="R17" s="181" t="n">
        <f aca="false">VLOOKUP(ROW()-13&amp;RIGHT(K$13,1),B_CLASSIFICA_GIRONE_C,11,0)</f>
        <v>179</v>
      </c>
      <c r="T17" s="187"/>
      <c r="U17" s="206" t="str">
        <f aca="false">VLOOKUP("1-16/6",B_PARTITE_2A_FASE_PER_CODICE,8,FALSE())</f>
        <v>Gorilla</v>
      </c>
      <c r="V17" s="193" t="n">
        <f aca="false">VLOOKUP("1-16/6",B_PARTITE_2A_FASE_PER_CODICE,10,FALSE())</f>
        <v>39</v>
      </c>
      <c r="W17" s="194" t="str">
        <f aca="false">VLOOKUP("1-16/6",B_PARTITE_2A_FASE_PER_CODICE,6,FALSE())</f>
        <v>2G</v>
      </c>
      <c r="X17" s="147"/>
      <c r="Y17" s="195" t="str">
        <f aca="false">TEXT(VLOOKUP(Y18,A_5_INPUT_DATE_E_RISULTATI_2A_FASE,8,FALSE()),"GGG G MMM")&amp;" "&amp;TEXT(VLOOKUP(Y18,A_5_INPUT_DATE_E_RISULTATI_2A_FASE,9,FALSE()),"h:mm")&amp;" ("&amp;VLOOKUP(Y18,A_5_INPUT_DATE_E_RISULTATI_2A_FASE,11,FALSE())&amp;")"</f>
        <v>ven 11 giu 9:00 (Cristo Re 2)</v>
      </c>
      <c r="Z17" s="147"/>
      <c r="AA17" s="199"/>
      <c r="AB17" s="197"/>
      <c r="AC17" s="147"/>
      <c r="AD17" s="147"/>
      <c r="AE17" s="147"/>
      <c r="AF17" s="196"/>
      <c r="AG17" s="197"/>
      <c r="AH17" s="147"/>
      <c r="AI17" s="147"/>
      <c r="AJ17" s="147"/>
      <c r="AK17" s="147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  <c r="CV17" s="166" t="s">
        <v>426</v>
      </c>
      <c r="CW17" s="167" t="n">
        <v>3</v>
      </c>
      <c r="CX17" s="167" t="n">
        <v>0</v>
      </c>
      <c r="CY17" s="167" t="n">
        <v>0</v>
      </c>
      <c r="CZ17" s="167" t="n">
        <v>3</v>
      </c>
      <c r="DA17" s="167" t="n">
        <v>0</v>
      </c>
      <c r="DB17" s="167" t="n">
        <v>5</v>
      </c>
      <c r="DC17" s="167"/>
      <c r="DD17" s="167" t="n">
        <v>-0.0005</v>
      </c>
      <c r="DE17" s="167"/>
      <c r="DF17" s="168"/>
      <c r="DG17" s="147"/>
    </row>
    <row r="18" customFormat="false" ht="15.95" hidden="false" customHeight="true" outlineLevel="0" collapsed="false">
      <c r="A18" s="154" t="n">
        <v>14</v>
      </c>
      <c r="B18" s="155" t="n">
        <f aca="false">VLOOKUP(A18,A_4_INPUT_DATE_E_RISULTATI_GIRONI,8,0)</f>
        <v>44355</v>
      </c>
      <c r="C18" s="156" t="n">
        <f aca="false">VLOOKUP(A18,A_4_INPUT_DATE_E_RISULTATI_GIRONI,9,0)</f>
        <v>0.458333333333333</v>
      </c>
      <c r="D18" s="169" t="str">
        <f aca="false">VLOOKUP(A18,A_4_INPUT_DATE_E_RISULTATI_GIRONI,4,0)</f>
        <v>Puma</v>
      </c>
      <c r="E18" s="158" t="n">
        <f aca="false">VLOOKUP(A18,A_4_INPUT_DATE_E_RISULTATI_GIRONI,6,0)</f>
        <v>68</v>
      </c>
      <c r="F18" s="158" t="n">
        <f aca="false">VLOOKUP(A18,A_4_INPUT_DATE_E_RISULTATI_GIRONI,7,0)</f>
        <v>45</v>
      </c>
      <c r="G18" s="159" t="str">
        <f aca="false">VLOOKUP(A18,A_4_INPUT_DATE_E_RISULTATI_GIRONI,5,0)</f>
        <v>Serval</v>
      </c>
      <c r="H18" s="161" t="str">
        <f aca="false">VLOOKUP(A18,A_4_INPUT_DATE_E_RISULTATI_GIRONI,3,0)</f>
        <v>B</v>
      </c>
      <c r="I18" s="161" t="str">
        <f aca="false">VLOOKUP(A18,A_4_INPUT_DATE_E_RISULTATI_GIRONI,11,0)</f>
        <v>Cristo Re 2</v>
      </c>
      <c r="K18" s="212" t="s">
        <v>427</v>
      </c>
      <c r="L18" s="213" t="s">
        <v>61</v>
      </c>
      <c r="M18" s="213" t="s">
        <v>395</v>
      </c>
      <c r="N18" s="213" t="s">
        <v>396</v>
      </c>
      <c r="O18" s="213" t="s">
        <v>56</v>
      </c>
      <c r="P18" s="213" t="s">
        <v>397</v>
      </c>
      <c r="Q18" s="213" t="s">
        <v>398</v>
      </c>
      <c r="R18" s="214" t="s">
        <v>399</v>
      </c>
      <c r="T18" s="176"/>
      <c r="U18" s="177"/>
      <c r="V18" s="196"/>
      <c r="W18" s="215"/>
      <c r="X18" s="147"/>
      <c r="Y18" s="198" t="n">
        <f aca="false">VLOOKUP("1-8/3",B_PARTITE_2A_FASE_PER_CODICE,2,FALSE())</f>
        <v>70</v>
      </c>
      <c r="Z18" s="188" t="str">
        <f aca="false">VLOOKUP("1-8/3",B_PARTITE_2A_FASE_PER_CODICE,7,FALSE())</f>
        <v>Bisonti</v>
      </c>
      <c r="AA18" s="189" t="n">
        <f aca="false">VLOOKUP("1-8/3",B_PARTITE_2A_FASE_PER_CODICE,9,FALSE())</f>
        <v>60</v>
      </c>
      <c r="AB18" s="202" t="str">
        <f aca="false">VLOOKUP("1-8/3",B_PARTITE_2A_FASE_PER_CODICE,5,FALSE())</f>
        <v>V57</v>
      </c>
      <c r="AC18" s="147"/>
      <c r="AD18" s="147"/>
      <c r="AE18" s="147"/>
      <c r="AF18" s="196"/>
      <c r="AG18" s="197"/>
      <c r="AH18" s="147"/>
      <c r="AI18" s="147"/>
      <c r="AJ18" s="147"/>
      <c r="AK18" s="147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216" t="s">
        <v>428</v>
      </c>
      <c r="CW18" s="216" t="s">
        <v>61</v>
      </c>
      <c r="CX18" s="216" t="s">
        <v>395</v>
      </c>
      <c r="CY18" s="216" t="s">
        <v>401</v>
      </c>
      <c r="CZ18" s="216" t="s">
        <v>396</v>
      </c>
      <c r="DA18" s="216" t="s">
        <v>402</v>
      </c>
      <c r="DB18" s="216" t="s">
        <v>403</v>
      </c>
      <c r="DC18" s="216"/>
      <c r="DD18" s="216" t="s">
        <v>405</v>
      </c>
      <c r="DE18" s="216"/>
      <c r="DF18" s="168"/>
      <c r="DG18" s="147"/>
    </row>
    <row r="19" customFormat="false" ht="15.95" hidden="false" customHeight="true" outlineLevel="0" collapsed="false">
      <c r="A19" s="154" t="n">
        <v>15</v>
      </c>
      <c r="B19" s="155" t="n">
        <f aca="false">VLOOKUP(A19,A_4_INPUT_DATE_E_RISULTATI_GIRONI,8,0)</f>
        <v>44355</v>
      </c>
      <c r="C19" s="156" t="n">
        <f aca="false">VLOOKUP(A19,A_4_INPUT_DATE_E_RISULTATI_GIRONI,9,0)</f>
        <v>0.458333333333333</v>
      </c>
      <c r="D19" s="169" t="str">
        <f aca="false">VLOOKUP(A19,A_4_INPUT_DATE_E_RISULTATI_GIRONI,4,0)</f>
        <v>Giraffe</v>
      </c>
      <c r="E19" s="158" t="n">
        <f aca="false">VLOOKUP(A19,A_4_INPUT_DATE_E_RISULTATI_GIRONI,6,0)</f>
        <v>60</v>
      </c>
      <c r="F19" s="158" t="n">
        <f aca="false">VLOOKUP(A19,A_4_INPUT_DATE_E_RISULTATI_GIRONI,7,0)</f>
        <v>34</v>
      </c>
      <c r="G19" s="159" t="str">
        <f aca="false">VLOOKUP(A19,A_4_INPUT_DATE_E_RISULTATI_GIRONI,5,0)</f>
        <v>Iguane</v>
      </c>
      <c r="H19" s="161" t="str">
        <f aca="false">VLOOKUP(A19,A_4_INPUT_DATE_E_RISULTATI_GIRONI,3,0)</f>
        <v>C</v>
      </c>
      <c r="I19" s="161" t="str">
        <f aca="false">VLOOKUP(A19,A_4_INPUT_DATE_E_RISULTATI_GIRONI,11,0)</f>
        <v>Basket Giovane</v>
      </c>
      <c r="K19" s="162" t="str">
        <f aca="false">VLOOKUP(ROW()-18&amp;RIGHT(K$18,1),B_CLASSIFICA_GIRONE_D,4,0)</f>
        <v>Coccodrilli</v>
      </c>
      <c r="L19" s="163" t="n">
        <f aca="false">VLOOKUP(ROW()-18&amp;RIGHT(K$18,1),B_CLASSIFICA_GIRONE_D,5,0)</f>
        <v>3</v>
      </c>
      <c r="M19" s="163" t="n">
        <f aca="false">VLOOKUP(ROW()-18&amp;RIGHT(K$18,1),B_CLASSIFICA_GIRONE_D,6,0)</f>
        <v>2</v>
      </c>
      <c r="N19" s="163" t="n">
        <f aca="false">VLOOKUP(ROW()-18&amp;RIGHT(K$18,1),B_CLASSIFICA_GIRONE_D,7,0)</f>
        <v>1</v>
      </c>
      <c r="O19" s="163" t="n">
        <f aca="false">VLOOKUP(ROW()-18&amp;RIGHT(K$18,1),B_CLASSIFICA_GIRONE_D,8,0)</f>
        <v>0</v>
      </c>
      <c r="P19" s="163" t="n">
        <f aca="false">VLOOKUP(ROW()-18&amp;RIGHT(K$18,1),B_CLASSIFICA_GIRONE_D,9,0)</f>
        <v>5</v>
      </c>
      <c r="Q19" s="163" t="n">
        <f aca="false">VLOOKUP(ROW()-18&amp;RIGHT(K$18,1),B_CLASSIFICA_GIRONE_D,10,0)</f>
        <v>179</v>
      </c>
      <c r="R19" s="164" t="n">
        <f aca="false">VLOOKUP(ROW()-18&amp;RIGHT(K$18,1),B_CLASSIFICA_GIRONE_D,11,0)</f>
        <v>108</v>
      </c>
      <c r="T19" s="195" t="str">
        <f aca="false">TEXT(VLOOKUP(T20,A_5_INPUT_DATE_E_RISULTATI_2A_FASE,8,FALSE()),"GGG G MMM")&amp;" "&amp;TEXT(VLOOKUP(T20,A_5_INPUT_DATE_E_RISULTATI_2A_FASE,9,FALSE()),"h:mm")&amp;" ("&amp;VLOOKUP(T20,A_5_INPUT_DATE_E_RISULTATI_2A_FASE,11,FALSE())&amp;")"</f>
        <v>gio 10 giu 17:00 (Cristo Re 1)</v>
      </c>
      <c r="U19" s="177"/>
      <c r="V19" s="199"/>
      <c r="W19" s="215"/>
      <c r="X19" s="200"/>
      <c r="Y19" s="198"/>
      <c r="Z19" s="192" t="str">
        <f aca="false">VLOOKUP("1-8/3",B_PARTITE_2A_FASE_PER_CODICE,8,FALSE())</f>
        <v>Balene</v>
      </c>
      <c r="AA19" s="193" t="n">
        <f aca="false">VLOOKUP("1-8/3",B_PARTITE_2A_FASE_PER_CODICE,10,FALSE())</f>
        <v>31</v>
      </c>
      <c r="AB19" s="190" t="str">
        <f aca="false">VLOOKUP("1-8/3",B_PARTITE_2A_FASE_PER_CODICE,6,FALSE())</f>
        <v>V61</v>
      </c>
      <c r="AC19" s="147"/>
      <c r="AD19" s="147"/>
      <c r="AE19" s="147"/>
      <c r="AF19" s="196"/>
      <c r="AG19" s="197"/>
      <c r="AH19" s="147"/>
      <c r="AI19" s="147"/>
      <c r="AJ19" s="147"/>
      <c r="AK19" s="147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47"/>
      <c r="CT19" s="147"/>
      <c r="CU19" s="147"/>
      <c r="CV19" s="166" t="s">
        <v>429</v>
      </c>
      <c r="CW19" s="167" t="n">
        <v>3</v>
      </c>
      <c r="CX19" s="167" t="n">
        <v>1</v>
      </c>
      <c r="CY19" s="167" t="n">
        <v>0</v>
      </c>
      <c r="CZ19" s="167" t="n">
        <v>2</v>
      </c>
      <c r="DA19" s="167" t="n">
        <v>2</v>
      </c>
      <c r="DB19" s="167" t="n">
        <v>4</v>
      </c>
      <c r="DC19" s="167"/>
      <c r="DD19" s="167" t="n">
        <v>2.9998</v>
      </c>
      <c r="DE19" s="167"/>
      <c r="DF19" s="168"/>
      <c r="DG19" s="147"/>
    </row>
    <row r="20" customFormat="false" ht="15.95" hidden="false" customHeight="true" outlineLevel="0" collapsed="false">
      <c r="A20" s="154" t="n">
        <v>16</v>
      </c>
      <c r="B20" s="155" t="n">
        <f aca="false">VLOOKUP(A20,A_4_INPUT_DATE_E_RISULTATI_GIRONI,8,0)</f>
        <v>44355</v>
      </c>
      <c r="C20" s="156" t="n">
        <f aca="false">VLOOKUP(A20,A_4_INPUT_DATE_E_RISULTATI_GIRONI,9,0)</f>
        <v>0.458333333333333</v>
      </c>
      <c r="D20" s="169" t="str">
        <f aca="false">VLOOKUP(A20,A_4_INPUT_DATE_E_RISULTATI_GIRONI,4,0)</f>
        <v>Pitoni</v>
      </c>
      <c r="E20" s="158" t="n">
        <f aca="false">VLOOKUP(A20,A_4_INPUT_DATE_E_RISULTATI_GIRONI,6,0)</f>
        <v>83</v>
      </c>
      <c r="F20" s="158" t="n">
        <f aca="false">VLOOKUP(A20,A_4_INPUT_DATE_E_RISULTATI_GIRONI,7,0)</f>
        <v>57</v>
      </c>
      <c r="G20" s="159" t="str">
        <f aca="false">VLOOKUP(A20,A_4_INPUT_DATE_E_RISULTATI_GIRONI,5,0)</f>
        <v>Falchi</v>
      </c>
      <c r="H20" s="161" t="str">
        <f aca="false">VLOOKUP(A20,A_4_INPUT_DATE_E_RISULTATI_GIRONI,3,0)</f>
        <v>D</v>
      </c>
      <c r="I20" s="161" t="str">
        <f aca="false">VLOOKUP(A20,A_4_INPUT_DATE_E_RISULTATI_GIRONI,11,0)</f>
        <v>Nuova Scuola</v>
      </c>
      <c r="K20" s="170" t="str">
        <f aca="false">VLOOKUP(ROW()-18&amp;RIGHT(K$18,1),B_CLASSIFICA_GIRONE_D,4,0)</f>
        <v>Aquile</v>
      </c>
      <c r="L20" s="171" t="n">
        <f aca="false">VLOOKUP(ROW()-18&amp;RIGHT(K$18,1),B_CLASSIFICA_GIRONE_D,5,0)</f>
        <v>3</v>
      </c>
      <c r="M20" s="171" t="n">
        <f aca="false">VLOOKUP(ROW()-18&amp;RIGHT(K$18,1),B_CLASSIFICA_GIRONE_D,6,0)</f>
        <v>2</v>
      </c>
      <c r="N20" s="171" t="n">
        <f aca="false">VLOOKUP(ROW()-18&amp;RIGHT(K$18,1),B_CLASSIFICA_GIRONE_D,7,0)</f>
        <v>1</v>
      </c>
      <c r="O20" s="171" t="n">
        <f aca="false">VLOOKUP(ROW()-18&amp;RIGHT(K$18,1),B_CLASSIFICA_GIRONE_D,8,0)</f>
        <v>0</v>
      </c>
      <c r="P20" s="171" t="n">
        <f aca="false">VLOOKUP(ROW()-18&amp;RIGHT(K$18,1),B_CLASSIFICA_GIRONE_D,9,0)</f>
        <v>5</v>
      </c>
      <c r="Q20" s="171" t="n">
        <f aca="false">VLOOKUP(ROW()-18&amp;RIGHT(K$18,1),B_CLASSIFICA_GIRONE_D,10,0)</f>
        <v>126</v>
      </c>
      <c r="R20" s="172" t="n">
        <f aca="false">VLOOKUP(ROW()-18&amp;RIGHT(K$18,1),B_CLASSIFICA_GIRONE_D,11,0)</f>
        <v>106</v>
      </c>
      <c r="T20" s="187" t="n">
        <f aca="false">VLOOKUP("1-16/5",B_PARTITE_2A_FASE_PER_CODICE,2,FALSE())</f>
        <v>61</v>
      </c>
      <c r="U20" s="201" t="str">
        <f aca="false">VLOOKUP("1-16/5",B_PARTITE_2A_FASE_PER_CODICE,7,FALSE())</f>
        <v>Balene</v>
      </c>
      <c r="V20" s="189" t="n">
        <f aca="false">VLOOKUP("1-16/5",B_PARTITE_2A_FASE_PER_CODICE,9,FALSE())</f>
        <v>51</v>
      </c>
      <c r="W20" s="202" t="str">
        <f aca="false">VLOOKUP("1-16/5",B_PARTITE_2A_FASE_PER_CODICE,5,FALSE())</f>
        <v>1F</v>
      </c>
      <c r="X20" s="147"/>
      <c r="Y20" s="147"/>
      <c r="Z20" s="147"/>
      <c r="AA20" s="196"/>
      <c r="AB20" s="147"/>
      <c r="AC20" s="147"/>
      <c r="AD20" s="147"/>
      <c r="AE20" s="147"/>
      <c r="AF20" s="196"/>
      <c r="AG20" s="197"/>
      <c r="AH20" s="147"/>
      <c r="AI20" s="207" t="str">
        <f aca="false">TEXT(VLOOKUP(AI21,A_5_INPUT_DATE_E_RISULTATI_2A_FASE,8,FALSE()),"GGG G MMM")&amp;" "&amp;TEXT(VLOOKUP(AI21,A_5_INPUT_DATE_E_RISULTATI_2A_FASE,9,FALSE()),"h:mm")&amp;" ("&amp;VLOOKUP(AI21,A_5_INPUT_DATE_E_RISULTATI_2A_FASE,11,FALSE())&amp;")"</f>
        <v>dom 13 giu 10:30 (Basket Giovane)</v>
      </c>
      <c r="AJ20" s="147"/>
      <c r="AK20" s="147"/>
      <c r="AL20" s="146"/>
      <c r="AM20" s="146"/>
      <c r="AN20" s="146"/>
      <c r="AO20" s="146"/>
      <c r="AP20" s="146"/>
      <c r="AQ20" s="146"/>
      <c r="AR20" s="146"/>
      <c r="AS20" s="146"/>
      <c r="AT20" s="146"/>
      <c r="AU20" s="146"/>
      <c r="AV20" s="146"/>
      <c r="AW20" s="146"/>
      <c r="AX20" s="146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  <c r="CT20" s="147"/>
      <c r="CU20" s="147"/>
      <c r="CV20" s="166" t="s">
        <v>430</v>
      </c>
      <c r="CW20" s="167" t="n">
        <v>3</v>
      </c>
      <c r="CX20" s="167" t="n">
        <v>2</v>
      </c>
      <c r="CY20" s="167" t="n">
        <v>1</v>
      </c>
      <c r="CZ20" s="167" t="n">
        <v>0</v>
      </c>
      <c r="DA20" s="167" t="n">
        <v>5</v>
      </c>
      <c r="DB20" s="167" t="n">
        <v>3</v>
      </c>
      <c r="DC20" s="167"/>
      <c r="DD20" s="167" t="n">
        <v>7.0002</v>
      </c>
      <c r="DE20" s="167"/>
      <c r="DF20" s="168"/>
      <c r="DG20" s="147"/>
    </row>
    <row r="21" customFormat="false" ht="15.95" hidden="false" customHeight="true" outlineLevel="0" collapsed="false">
      <c r="A21" s="154" t="n">
        <v>17</v>
      </c>
      <c r="B21" s="155" t="n">
        <f aca="false">VLOOKUP(A21,A_4_INPUT_DATE_E_RISULTATI_GIRONI,8,0)</f>
        <v>44355</v>
      </c>
      <c r="C21" s="156" t="n">
        <f aca="false">VLOOKUP(A21,A_4_INPUT_DATE_E_RISULTATI_GIRONI,9,0)</f>
        <v>0.645833333333333</v>
      </c>
      <c r="D21" s="169" t="str">
        <f aca="false">VLOOKUP(A21,A_4_INPUT_DATE_E_RISULTATI_GIRONI,4,0)</f>
        <v>Bisonti</v>
      </c>
      <c r="E21" s="158" t="n">
        <f aca="false">VLOOKUP(A21,A_4_INPUT_DATE_E_RISULTATI_GIRONI,6,0)</f>
        <v>34</v>
      </c>
      <c r="F21" s="158" t="n">
        <f aca="false">VLOOKUP(A21,A_4_INPUT_DATE_E_RISULTATI_GIRONI,7,0)</f>
        <v>33</v>
      </c>
      <c r="G21" s="159" t="str">
        <f aca="false">VLOOKUP(A21,A_4_INPUT_DATE_E_RISULTATI_GIRONI,5,0)</f>
        <v>Bufali</v>
      </c>
      <c r="H21" s="161" t="str">
        <f aca="false">VLOOKUP(A21,A_4_INPUT_DATE_E_RISULTATI_GIRONI,3,0)</f>
        <v>E</v>
      </c>
      <c r="I21" s="161" t="str">
        <f aca="false">VLOOKUP(A21,A_4_INPUT_DATE_E_RISULTATI_GIRONI,11,0)</f>
        <v>Cristo Re 1</v>
      </c>
      <c r="K21" s="173" t="str">
        <f aca="false">VLOOKUP(ROW()-18&amp;RIGHT(K$18,1),B_CLASSIFICA_GIRONE_D,4,0)</f>
        <v>Pitoni</v>
      </c>
      <c r="L21" s="174" t="n">
        <f aca="false">VLOOKUP(ROW()-18&amp;RIGHT(K$18,1),B_CLASSIFICA_GIRONE_D,5,0)</f>
        <v>3</v>
      </c>
      <c r="M21" s="174" t="n">
        <f aca="false">VLOOKUP(ROW()-18&amp;RIGHT(K$18,1),B_CLASSIFICA_GIRONE_D,6,0)</f>
        <v>2</v>
      </c>
      <c r="N21" s="174" t="n">
        <f aca="false">VLOOKUP(ROW()-18&amp;RIGHT(K$18,1),B_CLASSIFICA_GIRONE_D,7,0)</f>
        <v>1</v>
      </c>
      <c r="O21" s="174" t="n">
        <f aca="false">VLOOKUP(ROW()-18&amp;RIGHT(K$18,1),B_CLASSIFICA_GIRONE_D,8,0)</f>
        <v>0</v>
      </c>
      <c r="P21" s="174" t="n">
        <f aca="false">VLOOKUP(ROW()-18&amp;RIGHT(K$18,1),B_CLASSIFICA_GIRONE_D,9,0)</f>
        <v>5</v>
      </c>
      <c r="Q21" s="174" t="n">
        <f aca="false">VLOOKUP(ROW()-18&amp;RIGHT(K$18,1),B_CLASSIFICA_GIRONE_D,10,0)</f>
        <v>133</v>
      </c>
      <c r="R21" s="175" t="n">
        <f aca="false">VLOOKUP(ROW()-18&amp;RIGHT(K$18,1),B_CLASSIFICA_GIRONE_D,11,0)</f>
        <v>168</v>
      </c>
      <c r="T21" s="187"/>
      <c r="U21" s="206" t="str">
        <f aca="false">VLOOKUP("1-16/5",B_PARTITE_2A_FASE_PER_CODICE,8,FALSE())</f>
        <v>Tonni</v>
      </c>
      <c r="V21" s="193" t="n">
        <f aca="false">VLOOKUP("1-16/5",B_PARTITE_2A_FASE_PER_CODICE,10,FALSE())</f>
        <v>47</v>
      </c>
      <c r="W21" s="190" t="str">
        <f aca="false">VLOOKUP("1-16/5",B_PARTITE_2A_FASE_PER_CODICE,6,FALSE())</f>
        <v>2H</v>
      </c>
      <c r="X21" s="147"/>
      <c r="Y21" s="147"/>
      <c r="Z21" s="147"/>
      <c r="AA21" s="196"/>
      <c r="AB21" s="147"/>
      <c r="AC21" s="147"/>
      <c r="AD21" s="147"/>
      <c r="AE21" s="147"/>
      <c r="AF21" s="196"/>
      <c r="AG21" s="197"/>
      <c r="AH21" s="147"/>
      <c r="AI21" s="217" t="n">
        <f aca="false">VLOOKUP("1-2/1",B_PARTITE_2A_FASE_PER_CODICE,2,FALSE())</f>
        <v>112</v>
      </c>
      <c r="AJ21" s="188" t="str">
        <f aca="false">VLOOKUP("1-2/1",B_PARTITE_2A_FASE_PER_CODICE,7,FALSE())</f>
        <v>Leoni</v>
      </c>
      <c r="AK21" s="189" t="n">
        <f aca="false">VLOOKUP("1-2/1",B_PARTITE_2A_FASE_PER_CODICE,9,FALSE())</f>
        <v>69</v>
      </c>
      <c r="AL21" s="218" t="str">
        <f aca="false">VLOOKUP("1-2/1",B_PARTITE_2A_FASE_PER_CODICE,5,FALSE())</f>
        <v>V87</v>
      </c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  <c r="CT21" s="147"/>
      <c r="CU21" s="147"/>
      <c r="CV21" s="166" t="s">
        <v>431</v>
      </c>
      <c r="CW21" s="167" t="n">
        <v>3</v>
      </c>
      <c r="CX21" s="178" t="n">
        <v>2</v>
      </c>
      <c r="CY21" s="178" t="n">
        <v>0</v>
      </c>
      <c r="CZ21" s="178" t="n">
        <v>1</v>
      </c>
      <c r="DA21" s="178" t="n">
        <v>5</v>
      </c>
      <c r="DB21" s="178" t="n">
        <v>2</v>
      </c>
      <c r="DC21" s="178"/>
      <c r="DD21" s="178" t="n">
        <v>6.0003</v>
      </c>
      <c r="DE21" s="178"/>
      <c r="DF21" s="168"/>
      <c r="DG21" s="147"/>
    </row>
    <row r="22" customFormat="false" ht="15.95" hidden="false" customHeight="true" outlineLevel="0" collapsed="false">
      <c r="A22" s="154" t="n">
        <v>18</v>
      </c>
      <c r="B22" s="155" t="n">
        <f aca="false">VLOOKUP(A22,A_4_INPUT_DATE_E_RISULTATI_GIRONI,8,0)</f>
        <v>44355</v>
      </c>
      <c r="C22" s="156" t="n">
        <f aca="false">VLOOKUP(A22,A_4_INPUT_DATE_E_RISULTATI_GIRONI,9,0)</f>
        <v>0.645833333333333</v>
      </c>
      <c r="D22" s="169" t="str">
        <f aca="false">VLOOKUP(A22,A_4_INPUT_DATE_E_RISULTATI_GIRONI,4,0)</f>
        <v>Balene</v>
      </c>
      <c r="E22" s="158" t="n">
        <f aca="false">VLOOKUP(A22,A_4_INPUT_DATE_E_RISULTATI_GIRONI,6,0)</f>
        <v>34</v>
      </c>
      <c r="F22" s="158" t="n">
        <f aca="false">VLOOKUP(A22,A_4_INPUT_DATE_E_RISULTATI_GIRONI,7,0)</f>
        <v>33</v>
      </c>
      <c r="G22" s="159" t="str">
        <f aca="false">VLOOKUP(A22,A_4_INPUT_DATE_E_RISULTATI_GIRONI,5,0)</f>
        <v>Gabbiani</v>
      </c>
      <c r="H22" s="161" t="str">
        <f aca="false">VLOOKUP(A22,A_4_INPUT_DATE_E_RISULTATI_GIRONI,3,0)</f>
        <v>F</v>
      </c>
      <c r="I22" s="161" t="str">
        <f aca="false">VLOOKUP(A22,A_4_INPUT_DATE_E_RISULTATI_GIRONI,11,0)</f>
        <v>Cristo Re 2</v>
      </c>
      <c r="K22" s="179" t="str">
        <f aca="false">VLOOKUP(ROW()-18&amp;RIGHT(K$18,1),B_CLASSIFICA_GIRONE_D,4,0)</f>
        <v>Falchi</v>
      </c>
      <c r="L22" s="180" t="n">
        <f aca="false">VLOOKUP(ROW()-18&amp;RIGHT(K$18,1),B_CLASSIFICA_GIRONE_D,5,0)</f>
        <v>3</v>
      </c>
      <c r="M22" s="180" t="n">
        <f aca="false">VLOOKUP(ROW()-18&amp;RIGHT(K$18,1),B_CLASSIFICA_GIRONE_D,6,0)</f>
        <v>0</v>
      </c>
      <c r="N22" s="180" t="n">
        <f aca="false">VLOOKUP(ROW()-18&amp;RIGHT(K$18,1),B_CLASSIFICA_GIRONE_D,7,0)</f>
        <v>3</v>
      </c>
      <c r="O22" s="180" t="n">
        <f aca="false">VLOOKUP(ROW()-18&amp;RIGHT(K$18,1),B_CLASSIFICA_GIRONE_D,8,0)</f>
        <v>0</v>
      </c>
      <c r="P22" s="180" t="n">
        <f aca="false">VLOOKUP(ROW()-18&amp;RIGHT(K$18,1),B_CLASSIFICA_GIRONE_D,9,0)</f>
        <v>3</v>
      </c>
      <c r="Q22" s="180" t="n">
        <f aca="false">VLOOKUP(ROW()-18&amp;RIGHT(K$18,1),B_CLASSIFICA_GIRONE_D,10,0)</f>
        <v>153</v>
      </c>
      <c r="R22" s="181" t="n">
        <f aca="false">VLOOKUP(ROW()-18&amp;RIGHT(K$18,1),B_CLASSIFICA_GIRONE_D,11,0)</f>
        <v>209</v>
      </c>
      <c r="T22" s="176"/>
      <c r="U22" s="177"/>
      <c r="V22" s="196"/>
      <c r="W22" s="190"/>
      <c r="X22" s="147"/>
      <c r="Y22" s="147"/>
      <c r="Z22" s="147"/>
      <c r="AA22" s="196"/>
      <c r="AB22" s="147"/>
      <c r="AC22" s="147"/>
      <c r="AD22" s="147"/>
      <c r="AE22" s="147"/>
      <c r="AF22" s="196"/>
      <c r="AG22" s="197"/>
      <c r="AH22" s="200"/>
      <c r="AI22" s="217"/>
      <c r="AJ22" s="192" t="str">
        <f aca="false">VLOOKUP("1-2/1",B_PARTITE_2A_FASE_PER_CODICE,8,FALSE())</f>
        <v>Pantere</v>
      </c>
      <c r="AK22" s="193" t="n">
        <f aca="false">VLOOKUP("1-2/1",B_PARTITE_2A_FASE_PER_CODICE,10,FALSE())</f>
        <v>42</v>
      </c>
      <c r="AL22" s="218" t="str">
        <f aca="false">VLOOKUP("1-2/1",B_PARTITE_2A_FASE_PER_CODICE,6,FALSE())</f>
        <v>V88</v>
      </c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  <c r="CT22" s="147"/>
      <c r="CU22" s="147"/>
      <c r="CV22" s="166" t="s">
        <v>432</v>
      </c>
      <c r="CW22" s="167" t="n">
        <v>3</v>
      </c>
      <c r="CX22" s="167" t="n">
        <v>0</v>
      </c>
      <c r="CY22" s="167" t="n">
        <v>1</v>
      </c>
      <c r="CZ22" s="167" t="n">
        <v>2</v>
      </c>
      <c r="DA22" s="167" t="n">
        <v>2</v>
      </c>
      <c r="DB22" s="167" t="n">
        <v>5</v>
      </c>
      <c r="DC22" s="167"/>
      <c r="DD22" s="167" t="n">
        <v>0.9997</v>
      </c>
      <c r="DE22" s="167"/>
      <c r="DF22" s="168"/>
      <c r="DG22" s="147"/>
    </row>
    <row r="23" customFormat="false" ht="15.95" hidden="false" customHeight="true" outlineLevel="0" collapsed="false">
      <c r="A23" s="154" t="n">
        <v>19</v>
      </c>
      <c r="B23" s="155" t="n">
        <f aca="false">VLOOKUP(A23,A_4_INPUT_DATE_E_RISULTATI_GIRONI,8,0)</f>
        <v>44355</v>
      </c>
      <c r="C23" s="156" t="n">
        <f aca="false">VLOOKUP(A23,A_4_INPUT_DATE_E_RISULTATI_GIRONI,9,0)</f>
        <v>0.645833333333333</v>
      </c>
      <c r="D23" s="169" t="str">
        <f aca="false">VLOOKUP(A23,A_4_INPUT_DATE_E_RISULTATI_GIRONI,4,0)</f>
        <v>Istrici</v>
      </c>
      <c r="E23" s="158" t="n">
        <f aca="false">VLOOKUP(A23,A_4_INPUT_DATE_E_RISULTATI_GIRONI,6,0)</f>
        <v>20</v>
      </c>
      <c r="F23" s="158" t="n">
        <f aca="false">VLOOKUP(A23,A_4_INPUT_DATE_E_RISULTATI_GIRONI,7,0)</f>
        <v>0</v>
      </c>
      <c r="G23" s="159" t="str">
        <f aca="false">VLOOKUP(A23,A_4_INPUT_DATE_E_RISULTATI_GIRONI,5,0)</f>
        <v>Gorilla</v>
      </c>
      <c r="H23" s="161" t="str">
        <f aca="false">VLOOKUP(A23,A_4_INPUT_DATE_E_RISULTATI_GIRONI,3,0)</f>
        <v>G</v>
      </c>
      <c r="I23" s="161" t="str">
        <f aca="false">VLOOKUP(A23,A_4_INPUT_DATE_E_RISULTATI_GIRONI,11,0)</f>
        <v>Basket Giovane</v>
      </c>
      <c r="K23" s="219" t="s">
        <v>433</v>
      </c>
      <c r="L23" s="220" t="s">
        <v>61</v>
      </c>
      <c r="M23" s="220" t="s">
        <v>395</v>
      </c>
      <c r="N23" s="220" t="s">
        <v>396</v>
      </c>
      <c r="O23" s="220" t="s">
        <v>56</v>
      </c>
      <c r="P23" s="220" t="s">
        <v>397</v>
      </c>
      <c r="Q23" s="220" t="s">
        <v>398</v>
      </c>
      <c r="R23" s="221" t="s">
        <v>399</v>
      </c>
      <c r="T23" s="222" t="str">
        <f aca="false">TEXT(VLOOKUP(T24,A_5_INPUT_DATE_E_RISULTATI_2A_FASE,8,FALSE()),"GGG G MMM")&amp;" "&amp;TEXT(VLOOKUP(T24,A_5_INPUT_DATE_E_RISULTATI_2A_FASE,9,FALSE()),"h:mm")&amp;" ("&amp;VLOOKUP(T24,A_5_INPUT_DATE_E_RISULTATI_2A_FASE,11,FALSE())&amp;")"</f>
        <v>gio 10 giu 9:00 (Cristo Re 2)</v>
      </c>
      <c r="U23" s="222"/>
      <c r="V23" s="222"/>
      <c r="W23" s="222"/>
      <c r="X23" s="147"/>
      <c r="Y23" s="147"/>
      <c r="Z23" s="147"/>
      <c r="AA23" s="196"/>
      <c r="AB23" s="147"/>
      <c r="AC23" s="147"/>
      <c r="AD23" s="147"/>
      <c r="AE23" s="147"/>
      <c r="AF23" s="196"/>
      <c r="AG23" s="197"/>
      <c r="AH23" s="147"/>
      <c r="AI23" s="147"/>
      <c r="AJ23" s="147"/>
      <c r="AK23" s="147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  <c r="CT23" s="147"/>
      <c r="CU23" s="147"/>
      <c r="CV23" s="223" t="s">
        <v>434</v>
      </c>
      <c r="CW23" s="223" t="s">
        <v>61</v>
      </c>
      <c r="CX23" s="223" t="s">
        <v>395</v>
      </c>
      <c r="CY23" s="223" t="s">
        <v>401</v>
      </c>
      <c r="CZ23" s="223" t="s">
        <v>396</v>
      </c>
      <c r="DA23" s="223" t="s">
        <v>402</v>
      </c>
      <c r="DB23" s="223" t="s">
        <v>403</v>
      </c>
      <c r="DC23" s="223"/>
      <c r="DD23" s="223" t="s">
        <v>405</v>
      </c>
      <c r="DE23" s="223"/>
      <c r="DF23" s="168"/>
      <c r="DG23" s="147"/>
    </row>
    <row r="24" customFormat="false" ht="15.95" hidden="false" customHeight="true" outlineLevel="0" collapsed="false">
      <c r="A24" s="154" t="n">
        <v>20</v>
      </c>
      <c r="B24" s="155" t="n">
        <f aca="false">VLOOKUP(A24,A_4_INPUT_DATE_E_RISULTATI_GIRONI,8,0)</f>
        <v>44355</v>
      </c>
      <c r="C24" s="156" t="n">
        <f aca="false">VLOOKUP(A24,A_4_INPUT_DATE_E_RISULTATI_GIRONI,9,0)</f>
        <v>0.645833333333333</v>
      </c>
      <c r="D24" s="169" t="str">
        <f aca="false">VLOOKUP(A24,A_4_INPUT_DATE_E_RISULTATI_GIRONI,4,0)</f>
        <v>Piranha</v>
      </c>
      <c r="E24" s="158" t="n">
        <f aca="false">VLOOKUP(A24,A_4_INPUT_DATE_E_RISULTATI_GIRONI,6,0)</f>
        <v>100</v>
      </c>
      <c r="F24" s="158" t="n">
        <f aca="false">VLOOKUP(A24,A_4_INPUT_DATE_E_RISULTATI_GIRONI,7,0)</f>
        <v>83</v>
      </c>
      <c r="G24" s="159" t="str">
        <f aca="false">VLOOKUP(A24,A_4_INPUT_DATE_E_RISULTATI_GIRONI,5,0)</f>
        <v>Scorpioni</v>
      </c>
      <c r="H24" s="161" t="str">
        <f aca="false">VLOOKUP(A24,A_4_INPUT_DATE_E_RISULTATI_GIRONI,3,0)</f>
        <v>H</v>
      </c>
      <c r="I24" s="161" t="str">
        <f aca="false">VLOOKUP(A24,A_4_INPUT_DATE_E_RISULTATI_GIRONI,11,0)</f>
        <v>Nuova Scuola</v>
      </c>
      <c r="K24" s="162" t="str">
        <f aca="false">VLOOKUP(ROW()-23&amp;RIGHT(K$23,1),B_CLASSIFICA_GIRONE_E,4,0)</f>
        <v>Bisonti</v>
      </c>
      <c r="L24" s="163" t="n">
        <f aca="false">VLOOKUP(ROW()-23&amp;RIGHT(K$23,1),B_CLASSIFICA_GIRONE_E,5,0)</f>
        <v>3</v>
      </c>
      <c r="M24" s="163" t="n">
        <f aca="false">VLOOKUP(ROW()-23&amp;RIGHT(K$23,1),B_CLASSIFICA_GIRONE_E,6,0)</f>
        <v>2</v>
      </c>
      <c r="N24" s="163" t="n">
        <f aca="false">VLOOKUP(ROW()-23&amp;RIGHT(K$23,1),B_CLASSIFICA_GIRONE_E,7,0)</f>
        <v>1</v>
      </c>
      <c r="O24" s="163" t="n">
        <f aca="false">VLOOKUP(ROW()-23&amp;RIGHT(K$23,1),B_CLASSIFICA_GIRONE_E,8,0)</f>
        <v>0</v>
      </c>
      <c r="P24" s="163" t="n">
        <f aca="false">VLOOKUP(ROW()-23&amp;RIGHT(K$23,1),B_CLASSIFICA_GIRONE_E,9,0)</f>
        <v>5</v>
      </c>
      <c r="Q24" s="163" t="n">
        <f aca="false">VLOOKUP(ROW()-23&amp;RIGHT(K$23,1),B_CLASSIFICA_GIRONE_E,10,0)</f>
        <v>103</v>
      </c>
      <c r="R24" s="164" t="n">
        <f aca="false">VLOOKUP(ROW()-23&amp;RIGHT(K$23,1),B_CLASSIFICA_GIRONE_E,11,0)</f>
        <v>100</v>
      </c>
      <c r="T24" s="187" t="n">
        <f aca="false">VLOOKUP("1-16/4",B_PARTITE_2A_FASE_PER_CODICE,2,FALSE())</f>
        <v>50</v>
      </c>
      <c r="U24" s="201" t="str">
        <f aca="false">VLOOKUP("1-16/4",B_PARTITE_2A_FASE_PER_CODICE,7,FALSE())</f>
        <v>Pantere</v>
      </c>
      <c r="V24" s="189" t="n">
        <f aca="false">VLOOKUP("1-16/4",B_PARTITE_2A_FASE_PER_CODICE,9,FALSE())</f>
        <v>55</v>
      </c>
      <c r="W24" s="190" t="str">
        <f aca="false">VLOOKUP("1-16/4",B_PARTITE_2A_FASE_PER_CODICE,5,FALSE())</f>
        <v>2A</v>
      </c>
      <c r="X24" s="147"/>
      <c r="Y24" s="147"/>
      <c r="Z24" s="147"/>
      <c r="AA24" s="196"/>
      <c r="AB24" s="147"/>
      <c r="AC24" s="147"/>
      <c r="AD24" s="147"/>
      <c r="AE24" s="147"/>
      <c r="AF24" s="196"/>
      <c r="AG24" s="197"/>
      <c r="AH24" s="147"/>
      <c r="AI24" s="147"/>
      <c r="AJ24" s="147"/>
      <c r="AK24" s="147"/>
      <c r="AL24" s="146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47"/>
      <c r="CT24" s="147"/>
      <c r="CU24" s="147"/>
      <c r="CV24" s="166" t="s">
        <v>435</v>
      </c>
      <c r="CW24" s="167" t="n">
        <v>3</v>
      </c>
      <c r="CX24" s="167" t="n">
        <v>2</v>
      </c>
      <c r="CY24" s="167" t="n">
        <v>0</v>
      </c>
      <c r="CZ24" s="167" t="n">
        <v>1</v>
      </c>
      <c r="DA24" s="167" t="n">
        <v>3</v>
      </c>
      <c r="DB24" s="167" t="n">
        <v>1</v>
      </c>
      <c r="DC24" s="167"/>
      <c r="DD24" s="167" t="n">
        <v>6.0002</v>
      </c>
      <c r="DE24" s="167"/>
      <c r="DF24" s="168"/>
      <c r="DG24" s="147"/>
    </row>
    <row r="25" customFormat="false" ht="15.95" hidden="false" customHeight="true" outlineLevel="0" collapsed="false">
      <c r="A25" s="154" t="n">
        <v>21</v>
      </c>
      <c r="B25" s="155" t="n">
        <f aca="false">VLOOKUP(A25,A_4_INPUT_DATE_E_RISULTATI_GIRONI,8,0)</f>
        <v>44355</v>
      </c>
      <c r="C25" s="156" t="n">
        <f aca="false">VLOOKUP(A25,A_4_INPUT_DATE_E_RISULTATI_GIRONI,9,0)</f>
        <v>0.708333333333333</v>
      </c>
      <c r="D25" s="169" t="str">
        <f aca="false">VLOOKUP(A25,A_4_INPUT_DATE_E_RISULTATI_GIRONI,4,0)</f>
        <v>Cervi</v>
      </c>
      <c r="E25" s="158" t="n">
        <f aca="false">VLOOKUP(A25,A_4_INPUT_DATE_E_RISULTATI_GIRONI,6,0)</f>
        <v>34</v>
      </c>
      <c r="F25" s="158" t="n">
        <f aca="false">VLOOKUP(A25,A_4_INPUT_DATE_E_RISULTATI_GIRONI,7,0)</f>
        <v>33</v>
      </c>
      <c r="G25" s="159" t="str">
        <f aca="false">VLOOKUP(A25,A_4_INPUT_DATE_E_RISULTATI_GIRONI,5,0)</f>
        <v>Cinghiali</v>
      </c>
      <c r="H25" s="161" t="str">
        <f aca="false">VLOOKUP(A25,A_4_INPUT_DATE_E_RISULTATI_GIRONI,3,0)</f>
        <v>E</v>
      </c>
      <c r="I25" s="161" t="str">
        <f aca="false">VLOOKUP(A25,A_4_INPUT_DATE_E_RISULTATI_GIRONI,11,0)</f>
        <v>Cristo Re 1</v>
      </c>
      <c r="K25" s="170" t="str">
        <f aca="false">VLOOKUP(ROW()-23&amp;RIGHT(K$23,1),B_CLASSIFICA_GIRONE_E,4,0)</f>
        <v>Bufali</v>
      </c>
      <c r="L25" s="171" t="n">
        <f aca="false">VLOOKUP(ROW()-23&amp;RIGHT(K$23,1),B_CLASSIFICA_GIRONE_E,5,0)</f>
        <v>3</v>
      </c>
      <c r="M25" s="171" t="n">
        <f aca="false">VLOOKUP(ROW()-23&amp;RIGHT(K$23,1),B_CLASSIFICA_GIRONE_E,6,0)</f>
        <v>2</v>
      </c>
      <c r="N25" s="171" t="n">
        <f aca="false">VLOOKUP(ROW()-23&amp;RIGHT(K$23,1),B_CLASSIFICA_GIRONE_E,7,0)</f>
        <v>1</v>
      </c>
      <c r="O25" s="171" t="n">
        <f aca="false">VLOOKUP(ROW()-23&amp;RIGHT(K$23,1),B_CLASSIFICA_GIRONE_E,8,0)</f>
        <v>0</v>
      </c>
      <c r="P25" s="171" t="n">
        <f aca="false">VLOOKUP(ROW()-23&amp;RIGHT(K$23,1),B_CLASSIFICA_GIRONE_E,9,0)</f>
        <v>5</v>
      </c>
      <c r="Q25" s="171" t="n">
        <f aca="false">VLOOKUP(ROW()-23&amp;RIGHT(K$23,1),B_CLASSIFICA_GIRONE_E,10,0)</f>
        <v>102</v>
      </c>
      <c r="R25" s="172" t="n">
        <f aca="false">VLOOKUP(ROW()-23&amp;RIGHT(K$23,1),B_CLASSIFICA_GIRONE_E,11,0)</f>
        <v>100</v>
      </c>
      <c r="T25" s="187"/>
      <c r="U25" s="206" t="str">
        <f aca="false">VLOOKUP("1-16/4",B_PARTITE_2A_FASE_PER_CODICE,8,FALSE())</f>
        <v>Giraffe</v>
      </c>
      <c r="V25" s="193" t="n">
        <f aca="false">VLOOKUP("1-16/4",B_PARTITE_2A_FASE_PER_CODICE,10,FALSE())</f>
        <v>36</v>
      </c>
      <c r="W25" s="194" t="str">
        <f aca="false">VLOOKUP("1-16/4",B_PARTITE_2A_FASE_PER_CODICE,6,FALSE())</f>
        <v>1C</v>
      </c>
      <c r="X25" s="147"/>
      <c r="Y25" s="207" t="str">
        <f aca="false">TEXT(VLOOKUP(Y26,A_5_INPUT_DATE_E_RISULTATI_2A_FASE,8,FALSE()),"GGG G MMM")&amp;" "&amp;TEXT(VLOOKUP(Y26,A_5_INPUT_DATE_E_RISULTATI_2A_FASE,9,FALSE()),"h:mm")&amp;" ("&amp;VLOOKUP(Y26,A_5_INPUT_DATE_E_RISULTATI_2A_FASE,11,FALSE())&amp;")"</f>
        <v>ven 11 giu 11:00 (Cristo Re 1)</v>
      </c>
      <c r="Z25" s="147"/>
      <c r="AA25" s="196"/>
      <c r="AB25" s="147"/>
      <c r="AC25" s="147"/>
      <c r="AD25" s="147"/>
      <c r="AE25" s="147"/>
      <c r="AF25" s="196"/>
      <c r="AG25" s="197"/>
      <c r="AH25" s="147"/>
      <c r="AI25" s="147"/>
      <c r="AJ25" s="147"/>
      <c r="AK25" s="147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  <c r="CT25" s="147"/>
      <c r="CU25" s="147"/>
      <c r="CV25" s="166" t="s">
        <v>436</v>
      </c>
      <c r="CW25" s="167" t="n">
        <v>3</v>
      </c>
      <c r="CX25" s="167" t="n">
        <v>2</v>
      </c>
      <c r="CY25" s="167" t="n">
        <v>0</v>
      </c>
      <c r="CZ25" s="167" t="n">
        <v>1</v>
      </c>
      <c r="DA25" s="167" t="n">
        <v>4</v>
      </c>
      <c r="DB25" s="167" t="n">
        <v>2</v>
      </c>
      <c r="DC25" s="167"/>
      <c r="DD25" s="167" t="n">
        <v>6.0002</v>
      </c>
      <c r="DE25" s="167"/>
      <c r="DF25" s="168"/>
      <c r="DG25" s="147"/>
    </row>
    <row r="26" customFormat="false" ht="15.95" hidden="false" customHeight="true" outlineLevel="0" collapsed="false">
      <c r="A26" s="154" t="n">
        <v>22</v>
      </c>
      <c r="B26" s="155" t="n">
        <f aca="false">VLOOKUP(A26,A_4_INPUT_DATE_E_RISULTATI_GIRONI,8,0)</f>
        <v>44355</v>
      </c>
      <c r="C26" s="156" t="n">
        <f aca="false">VLOOKUP(A26,A_4_INPUT_DATE_E_RISULTATI_GIRONI,9,0)</f>
        <v>0.708333333333333</v>
      </c>
      <c r="D26" s="169" t="str">
        <f aca="false">VLOOKUP(A26,A_4_INPUT_DATE_E_RISULTATI_GIRONI,4,0)</f>
        <v>Delfini</v>
      </c>
      <c r="E26" s="158" t="n">
        <f aca="false">VLOOKUP(A26,A_4_INPUT_DATE_E_RISULTATI_GIRONI,6,0)</f>
        <v>34</v>
      </c>
      <c r="F26" s="158" t="n">
        <f aca="false">VLOOKUP(A26,A_4_INPUT_DATE_E_RISULTATI_GIRONI,7,0)</f>
        <v>33</v>
      </c>
      <c r="G26" s="159" t="str">
        <f aca="false">VLOOKUP(A26,A_4_INPUT_DATE_E_RISULTATI_GIRONI,5,0)</f>
        <v>Fenicotteri</v>
      </c>
      <c r="H26" s="161" t="str">
        <f aca="false">VLOOKUP(A26,A_4_INPUT_DATE_E_RISULTATI_GIRONI,3,0)</f>
        <v>F</v>
      </c>
      <c r="I26" s="161" t="str">
        <f aca="false">VLOOKUP(A26,A_4_INPUT_DATE_E_RISULTATI_GIRONI,11,0)</f>
        <v>Cristo Re 2</v>
      </c>
      <c r="K26" s="173" t="str">
        <f aca="false">VLOOKUP(ROW()-23&amp;RIGHT(K$23,1),B_CLASSIFICA_GIRONE_E,4,0)</f>
        <v>Cervi</v>
      </c>
      <c r="L26" s="174" t="n">
        <f aca="false">VLOOKUP(ROW()-23&amp;RIGHT(K$23,1),B_CLASSIFICA_GIRONE_E,5,0)</f>
        <v>3</v>
      </c>
      <c r="M26" s="174" t="n">
        <f aca="false">VLOOKUP(ROW()-23&amp;RIGHT(K$23,1),B_CLASSIFICA_GIRONE_E,6,0)</f>
        <v>2</v>
      </c>
      <c r="N26" s="174" t="n">
        <f aca="false">VLOOKUP(ROW()-23&amp;RIGHT(K$23,1),B_CLASSIFICA_GIRONE_E,7,0)</f>
        <v>1</v>
      </c>
      <c r="O26" s="174" t="n">
        <f aca="false">VLOOKUP(ROW()-23&amp;RIGHT(K$23,1),B_CLASSIFICA_GIRONE_E,8,0)</f>
        <v>0</v>
      </c>
      <c r="P26" s="174" t="n">
        <f aca="false">VLOOKUP(ROW()-23&amp;RIGHT(K$23,1),B_CLASSIFICA_GIRONE_E,9,0)</f>
        <v>5</v>
      </c>
      <c r="Q26" s="174" t="n">
        <f aca="false">VLOOKUP(ROW()-23&amp;RIGHT(K$23,1),B_CLASSIFICA_GIRONE_E,10,0)</f>
        <v>101</v>
      </c>
      <c r="R26" s="175" t="n">
        <f aca="false">VLOOKUP(ROW()-23&amp;RIGHT(K$23,1),B_CLASSIFICA_GIRONE_E,11,0)</f>
        <v>100</v>
      </c>
      <c r="T26" s="176"/>
      <c r="U26" s="177"/>
      <c r="V26" s="196"/>
      <c r="W26" s="215"/>
      <c r="X26" s="147"/>
      <c r="Y26" s="198" t="n">
        <f aca="false">VLOOKUP("1-8/2",B_PARTITE_2A_FASE_PER_CODICE,2,FALSE())</f>
        <v>73</v>
      </c>
      <c r="Z26" s="188" t="str">
        <f aca="false">VLOOKUP("1-8/2",B_PARTITE_2A_FASE_PER_CODICE,7,FALSE())</f>
        <v>Pantere</v>
      </c>
      <c r="AA26" s="189" t="n">
        <f aca="false">VLOOKUP("1-8/2",B_PARTITE_2A_FASE_PER_CODICE,9,FALSE())</f>
        <v>56</v>
      </c>
      <c r="AB26" s="190" t="str">
        <f aca="false">VLOOKUP("1-8/2",B_PARTITE_2A_FASE_PER_CODICE,5,FALSE())</f>
        <v>V50</v>
      </c>
      <c r="AC26" s="147"/>
      <c r="AD26" s="147"/>
      <c r="AE26" s="147"/>
      <c r="AF26" s="196"/>
      <c r="AG26" s="197"/>
      <c r="AH26" s="147"/>
      <c r="AI26" s="147"/>
      <c r="AJ26" s="147"/>
      <c r="AK26" s="147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/>
      <c r="CU26" s="147"/>
      <c r="CV26" s="166" t="s">
        <v>437</v>
      </c>
      <c r="CW26" s="167" t="n">
        <v>3</v>
      </c>
      <c r="CX26" s="178" t="n">
        <v>0</v>
      </c>
      <c r="CY26" s="178" t="n">
        <v>1</v>
      </c>
      <c r="CZ26" s="178" t="n">
        <v>2</v>
      </c>
      <c r="DA26" s="178" t="n">
        <v>1</v>
      </c>
      <c r="DB26" s="178" t="n">
        <v>3</v>
      </c>
      <c r="DC26" s="178"/>
      <c r="DD26" s="178" t="n">
        <v>0.9998</v>
      </c>
      <c r="DE26" s="178"/>
      <c r="DF26" s="168"/>
      <c r="DG26" s="147"/>
    </row>
    <row r="27" customFormat="false" ht="15.95" hidden="false" customHeight="true" outlineLevel="0" collapsed="false">
      <c r="A27" s="154" t="n">
        <v>23</v>
      </c>
      <c r="B27" s="155" t="n">
        <f aca="false">VLOOKUP(A27,A_4_INPUT_DATE_E_RISULTATI_GIRONI,8,0)</f>
        <v>44355</v>
      </c>
      <c r="C27" s="156" t="n">
        <f aca="false">VLOOKUP(A27,A_4_INPUT_DATE_E_RISULTATI_GIRONI,9,0)</f>
        <v>0.708333333333333</v>
      </c>
      <c r="D27" s="169" t="str">
        <f aca="false">VLOOKUP(A27,A_4_INPUT_DATE_E_RISULTATI_GIRONI,4,0)</f>
        <v>Muli</v>
      </c>
      <c r="E27" s="158" t="n">
        <f aca="false">VLOOKUP(A27,A_4_INPUT_DATE_E_RISULTATI_GIRONI,6,0)</f>
        <v>0</v>
      </c>
      <c r="F27" s="158" t="n">
        <f aca="false">VLOOKUP(A27,A_4_INPUT_DATE_E_RISULTATI_GIRONI,7,0)</f>
        <v>20</v>
      </c>
      <c r="G27" s="159" t="str">
        <f aca="false">VLOOKUP(A27,A_4_INPUT_DATE_E_RISULTATI_GIRONI,5,0)</f>
        <v>Orche</v>
      </c>
      <c r="H27" s="161" t="str">
        <f aca="false">VLOOKUP(A27,A_4_INPUT_DATE_E_RISULTATI_GIRONI,3,0)</f>
        <v>G</v>
      </c>
      <c r="I27" s="161" t="str">
        <f aca="false">VLOOKUP(A27,A_4_INPUT_DATE_E_RISULTATI_GIRONI,11,0)</f>
        <v>Basket Giovane</v>
      </c>
      <c r="K27" s="179" t="str">
        <f aca="false">VLOOKUP(ROW()-23&amp;RIGHT(K$23,1),B_CLASSIFICA_GIRONE_E,4,0)</f>
        <v>Cinghiali</v>
      </c>
      <c r="L27" s="180" t="n">
        <f aca="false">VLOOKUP(ROW()-23&amp;RIGHT(K$23,1),B_CLASSIFICA_GIRONE_E,5,0)</f>
        <v>3</v>
      </c>
      <c r="M27" s="180" t="n">
        <f aca="false">VLOOKUP(ROW()-23&amp;RIGHT(K$23,1),B_CLASSIFICA_GIRONE_E,6,0)</f>
        <v>0</v>
      </c>
      <c r="N27" s="180" t="n">
        <f aca="false">VLOOKUP(ROW()-23&amp;RIGHT(K$23,1),B_CLASSIFICA_GIRONE_E,7,0)</f>
        <v>3</v>
      </c>
      <c r="O27" s="180" t="n">
        <f aca="false">VLOOKUP(ROW()-23&amp;RIGHT(K$23,1),B_CLASSIFICA_GIRONE_E,8,0)</f>
        <v>0</v>
      </c>
      <c r="P27" s="180" t="n">
        <f aca="false">VLOOKUP(ROW()-23&amp;RIGHT(K$23,1),B_CLASSIFICA_GIRONE_E,9,0)</f>
        <v>3</v>
      </c>
      <c r="Q27" s="180" t="n">
        <f aca="false">VLOOKUP(ROW()-23&amp;RIGHT(K$23,1),B_CLASSIFICA_GIRONE_E,10,0)</f>
        <v>99</v>
      </c>
      <c r="R27" s="181" t="n">
        <f aca="false">VLOOKUP(ROW()-23&amp;RIGHT(K$23,1),B_CLASSIFICA_GIRONE_E,11,0)</f>
        <v>105</v>
      </c>
      <c r="T27" s="195" t="str">
        <f aca="false">TEXT(VLOOKUP(T28,A_5_INPUT_DATE_E_RISULTATI_2A_FASE,8,FALSE()),"GGG G MMM")&amp;" "&amp;TEXT(VLOOKUP(T28,A_5_INPUT_DATE_E_RISULTATI_2A_FASE,9,FALSE()),"h:mm")&amp;" ("&amp;VLOOKUP(T28,A_5_INPUT_DATE_E_RISULTATI_2A_FASE,11,FALSE())&amp;")"</f>
        <v>gio 10 giu 11:00 (Cristo Re 2)</v>
      </c>
      <c r="U27" s="177"/>
      <c r="V27" s="199"/>
      <c r="W27" s="215"/>
      <c r="X27" s="200"/>
      <c r="Y27" s="198"/>
      <c r="Z27" s="192" t="str">
        <f aca="false">VLOOKUP("1-8/2",B_PARTITE_2A_FASE_PER_CODICE,8,FALSE())</f>
        <v>Coccodrilli</v>
      </c>
      <c r="AA27" s="193" t="n">
        <f aca="false">VLOOKUP("1-8/2",B_PARTITE_2A_FASE_PER_CODICE,10,FALSE())</f>
        <v>34</v>
      </c>
      <c r="AB27" s="194" t="str">
        <f aca="false">VLOOKUP("1-8/2",B_PARTITE_2A_FASE_PER_CODICE,6,FALSE())</f>
        <v>V54</v>
      </c>
      <c r="AC27" s="147"/>
      <c r="AD27" s="147"/>
      <c r="AE27" s="147"/>
      <c r="AF27" s="196"/>
      <c r="AG27" s="197"/>
      <c r="AH27" s="147"/>
      <c r="AI27" s="147"/>
      <c r="AJ27" s="147"/>
      <c r="AK27" s="147"/>
      <c r="AL27" s="146"/>
      <c r="AM27" s="146"/>
      <c r="AN27" s="146"/>
      <c r="AO27" s="146"/>
      <c r="AP27" s="146"/>
      <c r="AQ27" s="146"/>
      <c r="AR27" s="146"/>
      <c r="AS27" s="146"/>
      <c r="AT27" s="146"/>
      <c r="AU27" s="146"/>
      <c r="AV27" s="146"/>
      <c r="AW27" s="146"/>
      <c r="AX27" s="146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  <c r="CT27" s="147"/>
      <c r="CU27" s="147"/>
      <c r="CV27" s="166" t="s">
        <v>438</v>
      </c>
      <c r="CW27" s="167" t="n">
        <v>3</v>
      </c>
      <c r="CX27" s="167" t="n">
        <v>1</v>
      </c>
      <c r="CY27" s="167" t="n">
        <v>1</v>
      </c>
      <c r="CZ27" s="167" t="n">
        <v>1</v>
      </c>
      <c r="DA27" s="167" t="n">
        <v>2</v>
      </c>
      <c r="DB27" s="167" t="n">
        <v>4</v>
      </c>
      <c r="DC27" s="167"/>
      <c r="DD27" s="167" t="n">
        <v>3.9998</v>
      </c>
      <c r="DE27" s="167"/>
      <c r="DF27" s="168"/>
      <c r="DG27" s="147"/>
    </row>
    <row r="28" customFormat="false" ht="15.95" hidden="false" customHeight="true" outlineLevel="0" collapsed="false">
      <c r="A28" s="154" t="n">
        <v>24</v>
      </c>
      <c r="B28" s="155" t="n">
        <f aca="false">VLOOKUP(A28,A_4_INPUT_DATE_E_RISULTATI_GIRONI,8,0)</f>
        <v>44355</v>
      </c>
      <c r="C28" s="156" t="n">
        <f aca="false">VLOOKUP(A28,A_4_INPUT_DATE_E_RISULTATI_GIRONI,9,0)</f>
        <v>0.708333333333333</v>
      </c>
      <c r="D28" s="169" t="str">
        <f aca="false">VLOOKUP(A28,A_4_INPUT_DATE_E_RISULTATI_GIRONI,4,0)</f>
        <v>Tonni</v>
      </c>
      <c r="E28" s="158" t="n">
        <f aca="false">VLOOKUP(A28,A_4_INPUT_DATE_E_RISULTATI_GIRONI,6,0)</f>
        <v>20</v>
      </c>
      <c r="F28" s="158" t="n">
        <f aca="false">VLOOKUP(A28,A_4_INPUT_DATE_E_RISULTATI_GIRONI,7,0)</f>
        <v>0</v>
      </c>
      <c r="G28" s="159" t="str">
        <f aca="false">VLOOKUP(A28,A_4_INPUT_DATE_E_RISULTATI_GIRONI,5,0)</f>
        <v>Zebre</v>
      </c>
      <c r="H28" s="161" t="str">
        <f aca="false">VLOOKUP(A28,A_4_INPUT_DATE_E_RISULTATI_GIRONI,3,0)</f>
        <v>H</v>
      </c>
      <c r="I28" s="161" t="str">
        <f aca="false">VLOOKUP(A28,A_4_INPUT_DATE_E_RISULTATI_GIRONI,11,0)</f>
        <v>Nuova Scuola</v>
      </c>
      <c r="K28" s="224" t="s">
        <v>439</v>
      </c>
      <c r="L28" s="225" t="s">
        <v>61</v>
      </c>
      <c r="M28" s="225" t="s">
        <v>395</v>
      </c>
      <c r="N28" s="225" t="s">
        <v>396</v>
      </c>
      <c r="O28" s="225" t="s">
        <v>56</v>
      </c>
      <c r="P28" s="225" t="s">
        <v>397</v>
      </c>
      <c r="Q28" s="225" t="s">
        <v>398</v>
      </c>
      <c r="R28" s="226" t="s">
        <v>399</v>
      </c>
      <c r="T28" s="187" t="n">
        <f aca="false">VLOOKUP("1-16/3",B_PARTITE_2A_FASE_PER_CODICE,2,FALSE())</f>
        <v>54</v>
      </c>
      <c r="U28" s="227" t="str">
        <f aca="false">VLOOKUP("1-16/3",B_PARTITE_2A_FASE_PER_CODICE,7,FALSE())</f>
        <v>Coccodrilli</v>
      </c>
      <c r="V28" s="189" t="n">
        <f aca="false">VLOOKUP("1-16/3",B_PARTITE_2A_FASE_PER_CODICE,9,FALSE())</f>
        <v>67</v>
      </c>
      <c r="W28" s="202" t="str">
        <f aca="false">VLOOKUP("1-16/3",B_PARTITE_2A_FASE_PER_CODICE,5,FALSE())</f>
        <v>1D</v>
      </c>
      <c r="X28" s="147"/>
      <c r="Y28" s="147"/>
      <c r="Z28" s="147"/>
      <c r="AA28" s="196"/>
      <c r="AB28" s="197"/>
      <c r="AC28" s="147"/>
      <c r="AD28" s="147"/>
      <c r="AE28" s="147"/>
      <c r="AF28" s="196"/>
      <c r="AG28" s="197"/>
      <c r="AH28" s="147"/>
      <c r="AI28" s="147"/>
      <c r="AJ28" s="147"/>
      <c r="AK28" s="147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  <c r="CT28" s="147"/>
      <c r="CU28" s="147"/>
      <c r="CV28" s="228" t="s">
        <v>440</v>
      </c>
      <c r="CW28" s="228" t="s">
        <v>61</v>
      </c>
      <c r="CX28" s="228" t="s">
        <v>395</v>
      </c>
      <c r="CY28" s="228" t="s">
        <v>401</v>
      </c>
      <c r="CZ28" s="228" t="s">
        <v>396</v>
      </c>
      <c r="DA28" s="228" t="s">
        <v>402</v>
      </c>
      <c r="DB28" s="228" t="s">
        <v>403</v>
      </c>
      <c r="DC28" s="228"/>
      <c r="DD28" s="228" t="s">
        <v>405</v>
      </c>
      <c r="DE28" s="228"/>
      <c r="DF28" s="168"/>
      <c r="DG28" s="147"/>
    </row>
    <row r="29" customFormat="false" ht="15.95" hidden="false" customHeight="true" outlineLevel="0" collapsed="false">
      <c r="A29" s="154" t="n">
        <v>25</v>
      </c>
      <c r="B29" s="155" t="n">
        <f aca="false">VLOOKUP(A29,A_4_INPUT_DATE_E_RISULTATI_GIRONI,8,0)</f>
        <v>44355</v>
      </c>
      <c r="C29" s="156" t="n">
        <f aca="false">VLOOKUP(A29,A_4_INPUT_DATE_E_RISULTATI_GIRONI,9,0)</f>
        <v>0.770833333333333</v>
      </c>
      <c r="D29" s="169" t="str">
        <f aca="false">VLOOKUP(A29,A_4_INPUT_DATE_E_RISULTATI_GIRONI,4,0)</f>
        <v>Leoni</v>
      </c>
      <c r="E29" s="158" t="n">
        <f aca="false">VLOOKUP(A29,A_4_INPUT_DATE_E_RISULTATI_GIRONI,6,0)</f>
        <v>82</v>
      </c>
      <c r="F29" s="158" t="n">
        <f aca="false">VLOOKUP(A29,A_4_INPUT_DATE_E_RISULTATI_GIRONI,7,0)</f>
        <v>25</v>
      </c>
      <c r="G29" s="159" t="str">
        <f aca="false">VLOOKUP(A29,A_4_INPUT_DATE_E_RISULTATI_GIRONI,5,0)</f>
        <v>Ghepardi</v>
      </c>
      <c r="H29" s="161" t="str">
        <f aca="false">VLOOKUP(A29,A_4_INPUT_DATE_E_RISULTATI_GIRONI,3,0)</f>
        <v>A</v>
      </c>
      <c r="I29" s="161" t="str">
        <f aca="false">VLOOKUP(A29,A_4_INPUT_DATE_E_RISULTATI_GIRONI,11,0)</f>
        <v>Cristo Re 1</v>
      </c>
      <c r="K29" s="162" t="str">
        <f aca="false">VLOOKUP(ROW()-28&amp;RIGHT(K$28,1),B_CLASSIFICA_GIRONE_F,4,0)</f>
        <v>Balene</v>
      </c>
      <c r="L29" s="163" t="n">
        <f aca="false">VLOOKUP(ROW()-28&amp;RIGHT(K$28,1),B_CLASSIFICA_GIRONE_F,5,0)</f>
        <v>3</v>
      </c>
      <c r="M29" s="163" t="n">
        <f aca="false">VLOOKUP(ROW()-28&amp;RIGHT(K$28,1),B_CLASSIFICA_GIRONE_F,6,0)</f>
        <v>2</v>
      </c>
      <c r="N29" s="163" t="n">
        <f aca="false">VLOOKUP(ROW()-28&amp;RIGHT(K$28,1),B_CLASSIFICA_GIRONE_F,7,0)</f>
        <v>1</v>
      </c>
      <c r="O29" s="163" t="n">
        <f aca="false">VLOOKUP(ROW()-28&amp;RIGHT(K$28,1),B_CLASSIFICA_GIRONE_F,8,0)</f>
        <v>0</v>
      </c>
      <c r="P29" s="163" t="n">
        <f aca="false">VLOOKUP(ROW()-28&amp;RIGHT(K$28,1),B_CLASSIFICA_GIRONE_F,9,0)</f>
        <v>5</v>
      </c>
      <c r="Q29" s="163" t="n">
        <f aca="false">VLOOKUP(ROW()-28&amp;RIGHT(K$28,1),B_CLASSIFICA_GIRONE_F,10,0)</f>
        <v>103</v>
      </c>
      <c r="R29" s="164" t="n">
        <f aca="false">VLOOKUP(ROW()-28&amp;RIGHT(K$28,1),B_CLASSIFICA_GIRONE_F,11,0)</f>
        <v>102</v>
      </c>
      <c r="T29" s="187"/>
      <c r="U29" s="206" t="str">
        <f aca="false">VLOOKUP("1-16/3",B_PARTITE_2A_FASE_PER_CODICE,8,FALSE())</f>
        <v>Puma</v>
      </c>
      <c r="V29" s="193" t="n">
        <f aca="false">VLOOKUP("1-16/3",B_PARTITE_2A_FASE_PER_CODICE,10,FALSE())</f>
        <v>34</v>
      </c>
      <c r="W29" s="190" t="str">
        <f aca="false">VLOOKUP("1-16/3",B_PARTITE_2A_FASE_PER_CODICE,6,FALSE())</f>
        <v>2B</v>
      </c>
      <c r="X29" s="147"/>
      <c r="Y29" s="147"/>
      <c r="Z29" s="147"/>
      <c r="AA29" s="196"/>
      <c r="AB29" s="197"/>
      <c r="AC29" s="147"/>
      <c r="AD29" s="207" t="str">
        <f aca="false">TEXT(VLOOKUP(AD30,A_5_INPUT_DATE_E_RISULTATI_2A_FASE,8,FALSE()),"GGG G MMM")&amp;" "&amp;TEXT(VLOOKUP(AD30,A_5_INPUT_DATE_E_RISULTATI_2A_FASE,9,FALSE()),"h:mm")&amp;" ("&amp;VLOOKUP(AD30,A_5_INPUT_DATE_E_RISULTATI_2A_FASE,11,FALSE())&amp;")"</f>
        <v>ven 11 giu 22:00 (Basket Giovane)</v>
      </c>
      <c r="AE29" s="147"/>
      <c r="AF29" s="196"/>
      <c r="AG29" s="197"/>
      <c r="AH29" s="210"/>
      <c r="AI29" s="147"/>
      <c r="AJ29" s="147"/>
      <c r="AK29" s="147"/>
      <c r="AL29" s="146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  <c r="CT29" s="147"/>
      <c r="CU29" s="147"/>
      <c r="CV29" s="166" t="s">
        <v>441</v>
      </c>
      <c r="CW29" s="167" t="n">
        <v>3</v>
      </c>
      <c r="CX29" s="167" t="n">
        <v>0</v>
      </c>
      <c r="CY29" s="167" t="n">
        <v>3</v>
      </c>
      <c r="CZ29" s="167" t="n">
        <v>0</v>
      </c>
      <c r="DA29" s="167" t="n">
        <v>4</v>
      </c>
      <c r="DB29" s="167" t="n">
        <v>4</v>
      </c>
      <c r="DC29" s="167"/>
      <c r="DD29" s="167" t="n">
        <v>3</v>
      </c>
      <c r="DE29" s="167"/>
      <c r="DF29" s="168"/>
      <c r="DG29" s="147"/>
    </row>
    <row r="30" customFormat="false" ht="15.95" hidden="false" customHeight="true" outlineLevel="0" collapsed="false">
      <c r="A30" s="154" t="n">
        <v>26</v>
      </c>
      <c r="B30" s="155" t="n">
        <f aca="false">VLOOKUP(A30,A_4_INPUT_DATE_E_RISULTATI_GIRONI,8,0)</f>
        <v>44355</v>
      </c>
      <c r="C30" s="156" t="n">
        <f aca="false">VLOOKUP(A30,A_4_INPUT_DATE_E_RISULTATI_GIRONI,9,0)</f>
        <v>0.770833333333333</v>
      </c>
      <c r="D30" s="169" t="str">
        <f aca="false">VLOOKUP(A30,A_4_INPUT_DATE_E_RISULTATI_GIRONI,4,0)</f>
        <v>Giaguari</v>
      </c>
      <c r="E30" s="158" t="n">
        <f aca="false">VLOOKUP(A30,A_4_INPUT_DATE_E_RISULTATI_GIRONI,6,0)</f>
        <v>76</v>
      </c>
      <c r="F30" s="158" t="n">
        <f aca="false">VLOOKUP(A30,A_4_INPUT_DATE_E_RISULTATI_GIRONI,7,0)</f>
        <v>94</v>
      </c>
      <c r="G30" s="159" t="str">
        <f aca="false">VLOOKUP(A30,A_4_INPUT_DATE_E_RISULTATI_GIRONI,5,0)</f>
        <v>Serval</v>
      </c>
      <c r="H30" s="161" t="str">
        <f aca="false">VLOOKUP(A30,A_4_INPUT_DATE_E_RISULTATI_GIRONI,3,0)</f>
        <v>B</v>
      </c>
      <c r="I30" s="161" t="str">
        <f aca="false">VLOOKUP(A30,A_4_INPUT_DATE_E_RISULTATI_GIRONI,11,0)</f>
        <v>Cristo Re 2</v>
      </c>
      <c r="K30" s="170" t="str">
        <f aca="false">VLOOKUP(ROW()-28&amp;RIGHT(K$28,1),B_CLASSIFICA_GIRONE_F,4,0)</f>
        <v>Gabbiani</v>
      </c>
      <c r="L30" s="171" t="n">
        <f aca="false">VLOOKUP(ROW()-28&amp;RIGHT(K$28,1),B_CLASSIFICA_GIRONE_F,5,0)</f>
        <v>3</v>
      </c>
      <c r="M30" s="171" t="n">
        <f aca="false">VLOOKUP(ROW()-28&amp;RIGHT(K$28,1),B_CLASSIFICA_GIRONE_F,6,0)</f>
        <v>2</v>
      </c>
      <c r="N30" s="171" t="n">
        <f aca="false">VLOOKUP(ROW()-28&amp;RIGHT(K$28,1),B_CLASSIFICA_GIRONE_F,7,0)</f>
        <v>1</v>
      </c>
      <c r="O30" s="171" t="n">
        <f aca="false">VLOOKUP(ROW()-28&amp;RIGHT(K$28,1),B_CLASSIFICA_GIRONE_F,8,0)</f>
        <v>0</v>
      </c>
      <c r="P30" s="171" t="n">
        <f aca="false">VLOOKUP(ROW()-28&amp;RIGHT(K$28,1),B_CLASSIFICA_GIRONE_F,9,0)</f>
        <v>5</v>
      </c>
      <c r="Q30" s="171" t="n">
        <f aca="false">VLOOKUP(ROW()-28&amp;RIGHT(K$28,1),B_CLASSIFICA_GIRONE_F,10,0)</f>
        <v>102</v>
      </c>
      <c r="R30" s="172" t="n">
        <f aca="false">VLOOKUP(ROW()-28&amp;RIGHT(K$28,1),B_CLASSIFICA_GIRONE_F,11,0)</f>
        <v>101</v>
      </c>
      <c r="T30" s="176"/>
      <c r="U30" s="177"/>
      <c r="V30" s="196"/>
      <c r="W30" s="190"/>
      <c r="X30" s="147"/>
      <c r="Y30" s="147"/>
      <c r="Z30" s="147"/>
      <c r="AA30" s="196"/>
      <c r="AB30" s="197"/>
      <c r="AC30" s="147"/>
      <c r="AD30" s="209" t="n">
        <f aca="false">VLOOKUP("1-4/1",B_PARTITE_2A_FASE_PER_CODICE,2,FALSE())</f>
        <v>88</v>
      </c>
      <c r="AE30" s="188" t="str">
        <f aca="false">VLOOKUP("1-4/1",B_PARTITE_2A_FASE_PER_CODICE,7,FALSE())</f>
        <v>Pantere</v>
      </c>
      <c r="AF30" s="189" t="n">
        <f aca="false">VLOOKUP("1-4/1",B_PARTITE_2A_FASE_PER_CODICE,9,FALSE())</f>
        <v>68</v>
      </c>
      <c r="AG30" s="202" t="str">
        <f aca="false">VLOOKUP("1-4/1",B_PARTITE_2A_FASE_PER_CODICE,5,FALSE())</f>
        <v>V73</v>
      </c>
      <c r="AH30" s="210"/>
      <c r="AI30" s="147"/>
      <c r="AJ30" s="147"/>
      <c r="AK30" s="147"/>
      <c r="AL30" s="146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  <c r="CT30" s="147"/>
      <c r="CU30" s="147"/>
      <c r="CV30" s="166" t="s">
        <v>442</v>
      </c>
      <c r="CW30" s="167" t="n">
        <v>3</v>
      </c>
      <c r="CX30" s="167" t="n">
        <v>0</v>
      </c>
      <c r="CY30" s="167" t="n">
        <v>1</v>
      </c>
      <c r="CZ30" s="167" t="n">
        <v>2</v>
      </c>
      <c r="DA30" s="167" t="n">
        <v>1</v>
      </c>
      <c r="DB30" s="167" t="n">
        <v>4</v>
      </c>
      <c r="DC30" s="167"/>
      <c r="DD30" s="167" t="n">
        <v>0.9997</v>
      </c>
      <c r="DE30" s="167"/>
      <c r="DF30" s="168"/>
      <c r="DG30" s="147"/>
    </row>
    <row r="31" customFormat="false" ht="15.95" hidden="false" customHeight="true" outlineLevel="0" collapsed="false">
      <c r="A31" s="154" t="n">
        <v>27</v>
      </c>
      <c r="B31" s="155" t="n">
        <f aca="false">VLOOKUP(A31,A_4_INPUT_DATE_E_RISULTATI_GIRONI,8,0)</f>
        <v>44355</v>
      </c>
      <c r="C31" s="156" t="n">
        <f aca="false">VLOOKUP(A31,A_4_INPUT_DATE_E_RISULTATI_GIRONI,9,0)</f>
        <v>0.770833333333333</v>
      </c>
      <c r="D31" s="169" t="str">
        <f aca="false">VLOOKUP(A31,A_4_INPUT_DATE_E_RISULTATI_GIRONI,4,0)</f>
        <v>Elefanti</v>
      </c>
      <c r="E31" s="158" t="n">
        <f aca="false">VLOOKUP(A31,A_4_INPUT_DATE_E_RISULTATI_GIRONI,6,0)</f>
        <v>57</v>
      </c>
      <c r="F31" s="158" t="n">
        <f aca="false">VLOOKUP(A31,A_4_INPUT_DATE_E_RISULTATI_GIRONI,7,0)</f>
        <v>42</v>
      </c>
      <c r="G31" s="159" t="str">
        <f aca="false">VLOOKUP(A31,A_4_INPUT_DATE_E_RISULTATI_GIRONI,5,0)</f>
        <v>Iguane</v>
      </c>
      <c r="H31" s="161" t="str">
        <f aca="false">VLOOKUP(A31,A_4_INPUT_DATE_E_RISULTATI_GIRONI,3,0)</f>
        <v>C</v>
      </c>
      <c r="I31" s="161" t="str">
        <f aca="false">VLOOKUP(A31,A_4_INPUT_DATE_E_RISULTATI_GIRONI,11,0)</f>
        <v>Basket Giovane</v>
      </c>
      <c r="K31" s="173" t="str">
        <f aca="false">VLOOKUP(ROW()-28&amp;RIGHT(K$28,1),B_CLASSIFICA_GIRONE_F,4,0)</f>
        <v>Delfini</v>
      </c>
      <c r="L31" s="174" t="n">
        <f aca="false">VLOOKUP(ROW()-28&amp;RIGHT(K$28,1),B_CLASSIFICA_GIRONE_F,5,0)</f>
        <v>3</v>
      </c>
      <c r="M31" s="174" t="n">
        <f aca="false">VLOOKUP(ROW()-28&amp;RIGHT(K$28,1),B_CLASSIFICA_GIRONE_F,6,0)</f>
        <v>2</v>
      </c>
      <c r="N31" s="174" t="n">
        <f aca="false">VLOOKUP(ROW()-28&amp;RIGHT(K$28,1),B_CLASSIFICA_GIRONE_F,7,0)</f>
        <v>1</v>
      </c>
      <c r="O31" s="174" t="n">
        <f aca="false">VLOOKUP(ROW()-28&amp;RIGHT(K$28,1),B_CLASSIFICA_GIRONE_F,8,0)</f>
        <v>0</v>
      </c>
      <c r="P31" s="174" t="n">
        <f aca="false">VLOOKUP(ROW()-28&amp;RIGHT(K$28,1),B_CLASSIFICA_GIRONE_F,9,0)</f>
        <v>5</v>
      </c>
      <c r="Q31" s="174" t="n">
        <f aca="false">VLOOKUP(ROW()-28&amp;RIGHT(K$28,1),B_CLASSIFICA_GIRONE_F,10,0)</f>
        <v>101</v>
      </c>
      <c r="R31" s="175" t="n">
        <f aca="false">VLOOKUP(ROW()-28&amp;RIGHT(K$28,1),B_CLASSIFICA_GIRONE_F,11,0)</f>
        <v>100</v>
      </c>
      <c r="T31" s="195" t="str">
        <f aca="false">TEXT(VLOOKUP(T32,A_5_INPUT_DATE_E_RISULTATI_2A_FASE,8,FALSE()),"GGG G MMM")&amp;" "&amp;TEXT(VLOOKUP(T32,A_5_INPUT_DATE_E_RISULTATI_2A_FASE,9,FALSE()),"h:mm")&amp;" ("&amp;VLOOKUP(T32,A_5_INPUT_DATE_E_RISULTATI_2A_FASE,11,FALSE())&amp;")"</f>
        <v>gio 10 giu 15:30 (Cristo Re 2)</v>
      </c>
      <c r="U31" s="177"/>
      <c r="V31" s="199"/>
      <c r="W31" s="190"/>
      <c r="X31" s="147"/>
      <c r="Y31" s="147"/>
      <c r="Z31" s="147"/>
      <c r="AA31" s="199"/>
      <c r="AB31" s="197"/>
      <c r="AC31" s="200"/>
      <c r="AD31" s="209"/>
      <c r="AE31" s="192" t="str">
        <f aca="false">VLOOKUP("1-4/1",B_PARTITE_2A_FASE_PER_CODICE,8,FALSE())</f>
        <v>Istrici</v>
      </c>
      <c r="AF31" s="193" t="n">
        <f aca="false">VLOOKUP("1-4/1",B_PARTITE_2A_FASE_PER_CODICE,10,FALSE())</f>
        <v>47</v>
      </c>
      <c r="AG31" s="229" t="str">
        <f aca="false">VLOOKUP("1-4/1",B_PARTITE_2A_FASE_PER_CODICE,6,FALSE())</f>
        <v>V74</v>
      </c>
      <c r="AH31" s="210"/>
      <c r="AI31" s="147"/>
      <c r="AJ31" s="147"/>
      <c r="AK31" s="147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  <c r="CT31" s="147"/>
      <c r="CU31" s="147"/>
      <c r="CV31" s="166" t="s">
        <v>443</v>
      </c>
      <c r="CW31" s="167" t="n">
        <v>3</v>
      </c>
      <c r="CX31" s="178" t="n">
        <v>1</v>
      </c>
      <c r="CY31" s="178" t="n">
        <v>2</v>
      </c>
      <c r="CZ31" s="178" t="n">
        <v>0</v>
      </c>
      <c r="DA31" s="178" t="n">
        <v>6</v>
      </c>
      <c r="DB31" s="178" t="n">
        <v>4</v>
      </c>
      <c r="DC31" s="178"/>
      <c r="DD31" s="178" t="n">
        <v>5.0002</v>
      </c>
      <c r="DE31" s="178"/>
      <c r="DF31" s="168"/>
      <c r="DG31" s="147"/>
    </row>
    <row r="32" customFormat="false" ht="15.95" hidden="false" customHeight="true" outlineLevel="0" collapsed="false">
      <c r="A32" s="154" t="n">
        <v>28</v>
      </c>
      <c r="B32" s="155" t="n">
        <f aca="false">VLOOKUP(A32,A_4_INPUT_DATE_E_RISULTATI_GIRONI,8,0)</f>
        <v>44355</v>
      </c>
      <c r="C32" s="156" t="n">
        <f aca="false">VLOOKUP(A32,A_4_INPUT_DATE_E_RISULTATI_GIRONI,9,0)</f>
        <v>0.770833333333333</v>
      </c>
      <c r="D32" s="169" t="str">
        <f aca="false">VLOOKUP(A32,A_4_INPUT_DATE_E_RISULTATI_GIRONI,4,0)</f>
        <v>Coccodrilli</v>
      </c>
      <c r="E32" s="158" t="n">
        <f aca="false">VLOOKUP(A32,A_4_INPUT_DATE_E_RISULTATI_GIRONI,6,0)</f>
        <v>54</v>
      </c>
      <c r="F32" s="158" t="n">
        <f aca="false">VLOOKUP(A32,A_4_INPUT_DATE_E_RISULTATI_GIRONI,7,0)</f>
        <v>44</v>
      </c>
      <c r="G32" s="159" t="str">
        <f aca="false">VLOOKUP(A32,A_4_INPUT_DATE_E_RISULTATI_GIRONI,5,0)</f>
        <v>Falchi</v>
      </c>
      <c r="H32" s="161" t="str">
        <f aca="false">VLOOKUP(A32,A_4_INPUT_DATE_E_RISULTATI_GIRONI,3,0)</f>
        <v>D</v>
      </c>
      <c r="I32" s="161" t="str">
        <f aca="false">VLOOKUP(A32,A_4_INPUT_DATE_E_RISULTATI_GIRONI,11,0)</f>
        <v>Nuova Scuola</v>
      </c>
      <c r="K32" s="179" t="str">
        <f aca="false">VLOOKUP(ROW()-28&amp;RIGHT(K$28,1),B_CLASSIFICA_GIRONE_F,4,0)</f>
        <v>Fenicotteri</v>
      </c>
      <c r="L32" s="180" t="n">
        <f aca="false">VLOOKUP(ROW()-28&amp;RIGHT(K$28,1),B_CLASSIFICA_GIRONE_F,5,0)</f>
        <v>3</v>
      </c>
      <c r="M32" s="180" t="n">
        <f aca="false">VLOOKUP(ROW()-28&amp;RIGHT(K$28,1),B_CLASSIFICA_GIRONE_F,6,0)</f>
        <v>0</v>
      </c>
      <c r="N32" s="180" t="n">
        <f aca="false">VLOOKUP(ROW()-28&amp;RIGHT(K$28,1),B_CLASSIFICA_GIRONE_F,7,0)</f>
        <v>3</v>
      </c>
      <c r="O32" s="180" t="n">
        <f aca="false">VLOOKUP(ROW()-28&amp;RIGHT(K$28,1),B_CLASSIFICA_GIRONE_F,8,0)</f>
        <v>0</v>
      </c>
      <c r="P32" s="180" t="n">
        <f aca="false">VLOOKUP(ROW()-28&amp;RIGHT(K$28,1),B_CLASSIFICA_GIRONE_F,9,0)</f>
        <v>3</v>
      </c>
      <c r="Q32" s="180" t="n">
        <f aca="false">VLOOKUP(ROW()-28&amp;RIGHT(K$28,1),B_CLASSIFICA_GIRONE_F,10,0)</f>
        <v>102</v>
      </c>
      <c r="R32" s="181" t="n">
        <f aca="false">VLOOKUP(ROW()-28&amp;RIGHT(K$28,1),B_CLASSIFICA_GIRONE_F,11,0)</f>
        <v>105</v>
      </c>
      <c r="T32" s="187" t="n">
        <f aca="false">VLOOKUP("1-16/2",B_PARTITE_2A_FASE_PER_CODICE,2,FALSE())</f>
        <v>58</v>
      </c>
      <c r="U32" s="201" t="str">
        <f aca="false">VLOOKUP("1-16/2",B_PARTITE_2A_FASE_PER_CODICE,7,FALSE())</f>
        <v>Istrici</v>
      </c>
      <c r="V32" s="189" t="n">
        <f aca="false">VLOOKUP("1-16/2",B_PARTITE_2A_FASE_PER_CODICE,9,FALSE())</f>
        <v>64</v>
      </c>
      <c r="W32" s="190" t="str">
        <f aca="false">VLOOKUP("1-16/2",B_PARTITE_2A_FASE_PER_CODICE,5,FALSE())</f>
        <v>1G</v>
      </c>
      <c r="X32" s="147"/>
      <c r="Y32" s="147"/>
      <c r="Z32" s="147"/>
      <c r="AA32" s="199"/>
      <c r="AB32" s="19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  <c r="CT32" s="147"/>
      <c r="CU32" s="147"/>
      <c r="CV32" s="166" t="s">
        <v>444</v>
      </c>
      <c r="CW32" s="167" t="n">
        <v>3</v>
      </c>
      <c r="CX32" s="167" t="n">
        <v>1</v>
      </c>
      <c r="CY32" s="167" t="n">
        <v>2</v>
      </c>
      <c r="CZ32" s="167" t="n">
        <v>0</v>
      </c>
      <c r="DA32" s="167" t="n">
        <v>4</v>
      </c>
      <c r="DB32" s="167" t="n">
        <v>3</v>
      </c>
      <c r="DC32" s="167"/>
      <c r="DD32" s="167" t="n">
        <v>5.0001</v>
      </c>
      <c r="DE32" s="167"/>
      <c r="DF32" s="168"/>
      <c r="DG32" s="147"/>
    </row>
    <row r="33" customFormat="false" ht="15.95" hidden="false" customHeight="true" outlineLevel="0" collapsed="false">
      <c r="A33" s="154" t="n">
        <v>29</v>
      </c>
      <c r="B33" s="155" t="n">
        <f aca="false">VLOOKUP(A33,A_4_INPUT_DATE_E_RISULTATI_GIRONI,8,0)</f>
        <v>44356</v>
      </c>
      <c r="C33" s="156" t="n">
        <f aca="false">VLOOKUP(A33,A_4_INPUT_DATE_E_RISULTATI_GIRONI,9,0)</f>
        <v>0.375</v>
      </c>
      <c r="D33" s="169" t="str">
        <f aca="false">VLOOKUP(A33,A_4_INPUT_DATE_E_RISULTATI_GIRONI,4,0)</f>
        <v>Bisonti</v>
      </c>
      <c r="E33" s="158" t="n">
        <f aca="false">VLOOKUP(A33,A_4_INPUT_DATE_E_RISULTATI_GIRONI,6,0)</f>
        <v>33</v>
      </c>
      <c r="F33" s="158" t="n">
        <f aca="false">VLOOKUP(A33,A_4_INPUT_DATE_E_RISULTATI_GIRONI,7,0)</f>
        <v>34</v>
      </c>
      <c r="G33" s="159" t="str">
        <f aca="false">VLOOKUP(A33,A_4_INPUT_DATE_E_RISULTATI_GIRONI,5,0)</f>
        <v>Cervi</v>
      </c>
      <c r="H33" s="161" t="str">
        <f aca="false">VLOOKUP(A33,A_4_INPUT_DATE_E_RISULTATI_GIRONI,3,0)</f>
        <v>E</v>
      </c>
      <c r="I33" s="161" t="str">
        <f aca="false">VLOOKUP(A33,A_4_INPUT_DATE_E_RISULTATI_GIRONI,11,0)</f>
        <v>Cristo Re 1</v>
      </c>
      <c r="K33" s="230" t="s">
        <v>445</v>
      </c>
      <c r="L33" s="231" t="s">
        <v>61</v>
      </c>
      <c r="M33" s="231" t="s">
        <v>395</v>
      </c>
      <c r="N33" s="231" t="s">
        <v>396</v>
      </c>
      <c r="O33" s="231" t="s">
        <v>56</v>
      </c>
      <c r="P33" s="231" t="s">
        <v>397</v>
      </c>
      <c r="Q33" s="231" t="s">
        <v>398</v>
      </c>
      <c r="R33" s="232" t="s">
        <v>399</v>
      </c>
      <c r="T33" s="187"/>
      <c r="U33" s="206" t="str">
        <f aca="false">VLOOKUP("1-16/2",B_PARTITE_2A_FASE_PER_CODICE,8,FALSE())</f>
        <v>Bufali</v>
      </c>
      <c r="V33" s="193" t="n">
        <f aca="false">VLOOKUP("1-16/2",B_PARTITE_2A_FASE_PER_CODICE,10,FALSE())</f>
        <v>43</v>
      </c>
      <c r="W33" s="194" t="str">
        <f aca="false">VLOOKUP("1-16/2",B_PARTITE_2A_FASE_PER_CODICE,6,FALSE())</f>
        <v>2E</v>
      </c>
      <c r="X33" s="147"/>
      <c r="Y33" s="207" t="str">
        <f aca="false">TEXT(VLOOKUP(Y34,A_5_INPUT_DATE_E_RISULTATI_2A_FASE,8,FALSE()),"GGG G MMM")&amp;" "&amp;TEXT(VLOOKUP(Y34,A_5_INPUT_DATE_E_RISULTATI_2A_FASE,9,FALSE()),"h:mm")&amp;" ("&amp;VLOOKUP(Y34,A_5_INPUT_DATE_E_RISULTATI_2A_FASE,11,FALSE())&amp;")"</f>
        <v>ven 11 giu 11:00 (Cristo Re 2)</v>
      </c>
      <c r="Z33" s="147"/>
      <c r="AA33" s="199"/>
      <c r="AB33" s="19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  <c r="CT33" s="147"/>
      <c r="CU33" s="147"/>
      <c r="CV33" s="233" t="s">
        <v>446</v>
      </c>
      <c r="CW33" s="233" t="s">
        <v>61</v>
      </c>
      <c r="CX33" s="233" t="s">
        <v>395</v>
      </c>
      <c r="CY33" s="233" t="s">
        <v>401</v>
      </c>
      <c r="CZ33" s="233" t="s">
        <v>396</v>
      </c>
      <c r="DA33" s="233" t="s">
        <v>402</v>
      </c>
      <c r="DB33" s="233" t="s">
        <v>403</v>
      </c>
      <c r="DC33" s="233"/>
      <c r="DD33" s="233" t="s">
        <v>405</v>
      </c>
      <c r="DE33" s="233"/>
      <c r="DF33" s="147"/>
      <c r="DG33" s="147"/>
    </row>
    <row r="34" customFormat="false" ht="15.95" hidden="false" customHeight="true" outlineLevel="0" collapsed="false">
      <c r="A34" s="154" t="n">
        <v>30</v>
      </c>
      <c r="B34" s="155" t="n">
        <f aca="false">VLOOKUP(A34,A_4_INPUT_DATE_E_RISULTATI_GIRONI,8,0)</f>
        <v>44356</v>
      </c>
      <c r="C34" s="156" t="n">
        <f aca="false">VLOOKUP(A34,A_4_INPUT_DATE_E_RISULTATI_GIRONI,9,0)</f>
        <v>0.375</v>
      </c>
      <c r="D34" s="169" t="str">
        <f aca="false">VLOOKUP(A34,A_4_INPUT_DATE_E_RISULTATI_GIRONI,4,0)</f>
        <v>Balene</v>
      </c>
      <c r="E34" s="158" t="n">
        <f aca="false">VLOOKUP(A34,A_4_INPUT_DATE_E_RISULTATI_GIRONI,6,0)</f>
        <v>33</v>
      </c>
      <c r="F34" s="158" t="n">
        <f aca="false">VLOOKUP(A34,A_4_INPUT_DATE_E_RISULTATI_GIRONI,7,0)</f>
        <v>34</v>
      </c>
      <c r="G34" s="159" t="str">
        <f aca="false">VLOOKUP(A34,A_4_INPUT_DATE_E_RISULTATI_GIRONI,5,0)</f>
        <v>Delfini</v>
      </c>
      <c r="H34" s="161" t="str">
        <f aca="false">VLOOKUP(A34,A_4_INPUT_DATE_E_RISULTATI_GIRONI,3,0)</f>
        <v>F</v>
      </c>
      <c r="I34" s="161" t="str">
        <f aca="false">VLOOKUP(A34,A_4_INPUT_DATE_E_RISULTATI_GIRONI,11,0)</f>
        <v>Cristo Re 2</v>
      </c>
      <c r="K34" s="162" t="str">
        <f aca="false">VLOOKUP(ROW()-33&amp;RIGHT(K$33,1),B_CLASSIFICA_GIRONE_G,4,0)</f>
        <v>Istrici</v>
      </c>
      <c r="L34" s="163" t="n">
        <f aca="false">VLOOKUP(ROW()-33&amp;RIGHT(K$33,1),B_CLASSIFICA_GIRONE_G,5,0)</f>
        <v>3</v>
      </c>
      <c r="M34" s="163" t="n">
        <f aca="false">VLOOKUP(ROW()-33&amp;RIGHT(K$33,1),B_CLASSIFICA_GIRONE_G,6,0)</f>
        <v>3</v>
      </c>
      <c r="N34" s="163" t="n">
        <f aca="false">VLOOKUP(ROW()-33&amp;RIGHT(K$33,1),B_CLASSIFICA_GIRONE_G,7,0)</f>
        <v>0</v>
      </c>
      <c r="O34" s="163" t="n">
        <f aca="false">VLOOKUP(ROW()-33&amp;RIGHT(K$33,1),B_CLASSIFICA_GIRONE_G,8,0)</f>
        <v>0</v>
      </c>
      <c r="P34" s="163" t="n">
        <f aca="false">VLOOKUP(ROW()-33&amp;RIGHT(K$33,1),B_CLASSIFICA_GIRONE_G,9,0)</f>
        <v>6</v>
      </c>
      <c r="Q34" s="163" t="n">
        <f aca="false">VLOOKUP(ROW()-33&amp;RIGHT(K$33,1),B_CLASSIFICA_GIRONE_G,10,0)</f>
        <v>60</v>
      </c>
      <c r="R34" s="164" t="n">
        <f aca="false">VLOOKUP(ROW()-33&amp;RIGHT(K$33,1),B_CLASSIFICA_GIRONE_G,11,0)</f>
        <v>0</v>
      </c>
      <c r="T34" s="176"/>
      <c r="U34" s="177"/>
      <c r="V34" s="196"/>
      <c r="W34" s="215"/>
      <c r="X34" s="147"/>
      <c r="Y34" s="198" t="n">
        <f aca="false">VLOOKUP("1-8/1",B_PARTITE_2A_FASE_PER_CODICE,2,FALSE())</f>
        <v>74</v>
      </c>
      <c r="Z34" s="188" t="str">
        <f aca="false">VLOOKUP("1-8/1",B_PARTITE_2A_FASE_PER_CODICE,7,FALSE())</f>
        <v>Istrici</v>
      </c>
      <c r="AA34" s="189" t="n">
        <f aca="false">VLOOKUP("1-8/1",B_PARTITE_2A_FASE_PER_CODICE,9,FALSE())</f>
        <v>52</v>
      </c>
      <c r="AB34" s="202" t="str">
        <f aca="false">VLOOKUP("1-8/1",B_PARTITE_2A_FASE_PER_CODICE,5,FALSE())</f>
        <v>V58</v>
      </c>
      <c r="AC34" s="147"/>
      <c r="AD34" s="147"/>
      <c r="AE34" s="147"/>
      <c r="AF34" s="147"/>
      <c r="AG34" s="147"/>
      <c r="AH34" s="147"/>
      <c r="AI34" s="147"/>
      <c r="AJ34" s="147"/>
      <c r="AK34" s="147"/>
      <c r="AL34" s="146"/>
      <c r="AM34" s="146"/>
      <c r="AN34" s="146"/>
      <c r="AO34" s="146"/>
      <c r="AP34" s="146"/>
      <c r="AQ34" s="146"/>
      <c r="AR34" s="146"/>
      <c r="AS34" s="146"/>
      <c r="AT34" s="146"/>
      <c r="AU34" s="146"/>
      <c r="AV34" s="146"/>
      <c r="AW34" s="146"/>
      <c r="AX34" s="146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  <c r="CT34" s="147"/>
      <c r="CU34" s="147"/>
      <c r="CV34" s="167" t="s">
        <v>428</v>
      </c>
      <c r="CW34" s="167" t="n">
        <v>0</v>
      </c>
      <c r="CX34" s="178" t="n">
        <v>0</v>
      </c>
      <c r="CY34" s="178" t="n">
        <v>0</v>
      </c>
      <c r="CZ34" s="178" t="n">
        <v>0</v>
      </c>
      <c r="DA34" s="178" t="n">
        <v>0</v>
      </c>
      <c r="DB34" s="178" t="n">
        <v>0</v>
      </c>
      <c r="DC34" s="178"/>
      <c r="DD34" s="178" t="n">
        <v>0</v>
      </c>
      <c r="DE34" s="178"/>
      <c r="DF34" s="147"/>
      <c r="DG34" s="147"/>
    </row>
    <row r="35" customFormat="false" ht="15.95" hidden="false" customHeight="true" outlineLevel="0" collapsed="false">
      <c r="A35" s="154" t="n">
        <v>31</v>
      </c>
      <c r="B35" s="155" t="n">
        <f aca="false">VLOOKUP(A35,A_4_INPUT_DATE_E_RISULTATI_GIRONI,8,0)</f>
        <v>44356</v>
      </c>
      <c r="C35" s="156" t="n">
        <f aca="false">VLOOKUP(A35,A_4_INPUT_DATE_E_RISULTATI_GIRONI,9,0)</f>
        <v>0.375</v>
      </c>
      <c r="D35" s="169" t="str">
        <f aca="false">VLOOKUP(A35,A_4_INPUT_DATE_E_RISULTATI_GIRONI,4,0)</f>
        <v>Istrici</v>
      </c>
      <c r="E35" s="158" t="n">
        <f aca="false">VLOOKUP(A35,A_4_INPUT_DATE_E_RISULTATI_GIRONI,6,0)</f>
        <v>20</v>
      </c>
      <c r="F35" s="158" t="n">
        <f aca="false">VLOOKUP(A35,A_4_INPUT_DATE_E_RISULTATI_GIRONI,7,0)</f>
        <v>0</v>
      </c>
      <c r="G35" s="159" t="str">
        <f aca="false">VLOOKUP(A35,A_4_INPUT_DATE_E_RISULTATI_GIRONI,5,0)</f>
        <v>Muli</v>
      </c>
      <c r="H35" s="161" t="str">
        <f aca="false">VLOOKUP(A35,A_4_INPUT_DATE_E_RISULTATI_GIRONI,3,0)</f>
        <v>G</v>
      </c>
      <c r="I35" s="161" t="str">
        <f aca="false">VLOOKUP(A35,A_4_INPUT_DATE_E_RISULTATI_GIRONI,11,0)</f>
        <v>Basket Giovane</v>
      </c>
      <c r="K35" s="170" t="str">
        <f aca="false">VLOOKUP(ROW()-33&amp;RIGHT(K$33,1),B_CLASSIFICA_GIRONE_G,4,0)</f>
        <v>Gorilla</v>
      </c>
      <c r="L35" s="171" t="n">
        <f aca="false">VLOOKUP(ROW()-33&amp;RIGHT(K$33,1),B_CLASSIFICA_GIRONE_G,5,0)</f>
        <v>3</v>
      </c>
      <c r="M35" s="171" t="n">
        <f aca="false">VLOOKUP(ROW()-33&amp;RIGHT(K$33,1),B_CLASSIFICA_GIRONE_G,6,0)</f>
        <v>2</v>
      </c>
      <c r="N35" s="171" t="n">
        <f aca="false">VLOOKUP(ROW()-33&amp;RIGHT(K$33,1),B_CLASSIFICA_GIRONE_G,7,0)</f>
        <v>0</v>
      </c>
      <c r="O35" s="171" t="n">
        <f aca="false">VLOOKUP(ROW()-33&amp;RIGHT(K$33,1),B_CLASSIFICA_GIRONE_G,8,0)</f>
        <v>1</v>
      </c>
      <c r="P35" s="171" t="n">
        <f aca="false">VLOOKUP(ROW()-33&amp;RIGHT(K$33,1),B_CLASSIFICA_GIRONE_G,9,0)</f>
        <v>4</v>
      </c>
      <c r="Q35" s="171" t="n">
        <f aca="false">VLOOKUP(ROW()-33&amp;RIGHT(K$33,1),B_CLASSIFICA_GIRONE_G,10,0)</f>
        <v>40</v>
      </c>
      <c r="R35" s="172" t="n">
        <f aca="false">VLOOKUP(ROW()-33&amp;RIGHT(K$33,1),B_CLASSIFICA_GIRONE_G,11,0)</f>
        <v>20</v>
      </c>
      <c r="T35" s="195" t="str">
        <f aca="false">TEXT(VLOOKUP(T36,A_5_INPUT_DATE_E_RISULTATI_2A_FASE,8,FALSE()),"GGG G MMM")&amp;" "&amp;TEXT(VLOOKUP(T36,A_5_INPUT_DATE_E_RISULTATI_2A_FASE,9,FALSE()),"h:mm")&amp;" ("&amp;VLOOKUP(T36,A_5_INPUT_DATE_E_RISULTATI_2A_FASE,11,FALSE())&amp;")"</f>
        <v>gio 10 giu 17:00 (Cristo Re 2)</v>
      </c>
      <c r="U35" s="234"/>
      <c r="V35" s="235"/>
      <c r="W35" s="236"/>
      <c r="X35" s="200"/>
      <c r="Y35" s="198"/>
      <c r="Z35" s="192" t="str">
        <f aca="false">VLOOKUP("1-8/1",B_PARTITE_2A_FASE_PER_CODICE,8,FALSE())</f>
        <v>Piranha</v>
      </c>
      <c r="AA35" s="193" t="n">
        <f aca="false">VLOOKUP("1-8/1",B_PARTITE_2A_FASE_PER_CODICE,10,FALSE())</f>
        <v>36</v>
      </c>
      <c r="AB35" s="190" t="str">
        <f aca="false">VLOOKUP("1-8/1",B_PARTITE_2A_FASE_PER_CODICE,6,FALSE())</f>
        <v>V62</v>
      </c>
      <c r="AC35" s="147"/>
      <c r="AD35" s="147"/>
      <c r="AE35" s="147"/>
      <c r="AF35" s="147"/>
      <c r="AG35" s="147"/>
      <c r="AH35" s="147"/>
      <c r="AI35" s="147"/>
      <c r="AJ35" s="147"/>
      <c r="AK35" s="147"/>
      <c r="AL35" s="146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66" t="s">
        <v>413</v>
      </c>
      <c r="CW35" s="178" t="n">
        <v>3</v>
      </c>
      <c r="CX35" s="178" t="n">
        <v>1</v>
      </c>
      <c r="CY35" s="178" t="n">
        <v>2</v>
      </c>
      <c r="CZ35" s="178" t="n">
        <v>0</v>
      </c>
      <c r="DA35" s="178" t="n">
        <v>2</v>
      </c>
      <c r="DB35" s="178" t="n">
        <v>1</v>
      </c>
      <c r="DC35" s="178"/>
      <c r="DD35" s="178" t="n">
        <v>5.0001</v>
      </c>
      <c r="DE35" s="178"/>
      <c r="DF35" s="147"/>
      <c r="DG35" s="147"/>
    </row>
    <row r="36" customFormat="false" ht="15.95" hidden="false" customHeight="true" outlineLevel="0" collapsed="false">
      <c r="A36" s="154" t="n">
        <v>32</v>
      </c>
      <c r="B36" s="155" t="n">
        <f aca="false">VLOOKUP(A36,A_4_INPUT_DATE_E_RISULTATI_GIRONI,8,0)</f>
        <v>44356</v>
      </c>
      <c r="C36" s="156" t="n">
        <f aca="false">VLOOKUP(A36,A_4_INPUT_DATE_E_RISULTATI_GIRONI,9,0)</f>
        <v>0.375</v>
      </c>
      <c r="D36" s="169" t="str">
        <f aca="false">VLOOKUP(A36,A_4_INPUT_DATE_E_RISULTATI_GIRONI,4,0)</f>
        <v>Piranha</v>
      </c>
      <c r="E36" s="158" t="n">
        <f aca="false">VLOOKUP(A36,A_4_INPUT_DATE_E_RISULTATI_GIRONI,6,0)</f>
        <v>97</v>
      </c>
      <c r="F36" s="158" t="n">
        <f aca="false">VLOOKUP(A36,A_4_INPUT_DATE_E_RISULTATI_GIRONI,7,0)</f>
        <v>78</v>
      </c>
      <c r="G36" s="159" t="str">
        <f aca="false">VLOOKUP(A36,A_4_INPUT_DATE_E_RISULTATI_GIRONI,5,0)</f>
        <v>Tonni</v>
      </c>
      <c r="H36" s="161" t="str">
        <f aca="false">VLOOKUP(A36,A_4_INPUT_DATE_E_RISULTATI_GIRONI,3,0)</f>
        <v>H</v>
      </c>
      <c r="I36" s="161" t="str">
        <f aca="false">VLOOKUP(A36,A_4_INPUT_DATE_E_RISULTATI_GIRONI,11,0)</f>
        <v>Nuova Scuola</v>
      </c>
      <c r="K36" s="173" t="str">
        <f aca="false">VLOOKUP(ROW()-33&amp;RIGHT(K$33,1),B_CLASSIFICA_GIRONE_G,4,0)</f>
        <v>Orche</v>
      </c>
      <c r="L36" s="174" t="n">
        <f aca="false">VLOOKUP(ROW()-33&amp;RIGHT(K$33,1),B_CLASSIFICA_GIRONE_G,5,0)</f>
        <v>3</v>
      </c>
      <c r="M36" s="174" t="n">
        <f aca="false">VLOOKUP(ROW()-33&amp;RIGHT(K$33,1),B_CLASSIFICA_GIRONE_G,6,0)</f>
        <v>1</v>
      </c>
      <c r="N36" s="174" t="n">
        <f aca="false">VLOOKUP(ROW()-33&amp;RIGHT(K$33,1),B_CLASSIFICA_GIRONE_G,7,0)</f>
        <v>0</v>
      </c>
      <c r="O36" s="174" t="n">
        <f aca="false">VLOOKUP(ROW()-33&amp;RIGHT(K$33,1),B_CLASSIFICA_GIRONE_G,8,0)</f>
        <v>2</v>
      </c>
      <c r="P36" s="174" t="n">
        <f aca="false">VLOOKUP(ROW()-33&amp;RIGHT(K$33,1),B_CLASSIFICA_GIRONE_G,9,0)</f>
        <v>2</v>
      </c>
      <c r="Q36" s="174" t="n">
        <f aca="false">VLOOKUP(ROW()-33&amp;RIGHT(K$33,1),B_CLASSIFICA_GIRONE_G,10,0)</f>
        <v>20</v>
      </c>
      <c r="R36" s="175" t="n">
        <f aca="false">VLOOKUP(ROW()-33&amp;RIGHT(K$33,1),B_CLASSIFICA_GIRONE_G,11,0)</f>
        <v>40</v>
      </c>
      <c r="T36" s="187" t="n">
        <f aca="false">VLOOKUP("1-16/1",B_PARTITE_2A_FASE_PER_CODICE,2,FALSE())</f>
        <v>62</v>
      </c>
      <c r="U36" s="201" t="str">
        <f aca="false">VLOOKUP("1-16/1",B_PARTITE_2A_FASE_PER_CODICE,7,FALSE())</f>
        <v>Piranha</v>
      </c>
      <c r="V36" s="189" t="n">
        <f aca="false">VLOOKUP("1-16/1",B_PARTITE_2A_FASE_PER_CODICE,9,FALSE())</f>
        <v>60</v>
      </c>
      <c r="W36" s="202" t="str">
        <f aca="false">VLOOKUP("1-16/1",B_PARTITE_2A_FASE_PER_CODICE,5,FALSE())</f>
        <v>1H</v>
      </c>
      <c r="X36" s="147"/>
      <c r="Y36" s="147"/>
      <c r="Z36" s="147"/>
      <c r="AA36" s="146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6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66" t="s">
        <v>425</v>
      </c>
      <c r="CW36" s="178" t="n">
        <v>3</v>
      </c>
      <c r="CX36" s="178" t="n">
        <v>2</v>
      </c>
      <c r="CY36" s="178" t="n">
        <v>1</v>
      </c>
      <c r="CZ36" s="178" t="n">
        <v>0</v>
      </c>
      <c r="DA36" s="178" t="n">
        <v>2</v>
      </c>
      <c r="DB36" s="178" t="n">
        <v>0</v>
      </c>
      <c r="DC36" s="178"/>
      <c r="DD36" s="178" t="n">
        <v>7.0002</v>
      </c>
      <c r="DE36" s="178"/>
      <c r="DF36" s="147"/>
      <c r="DG36" s="147"/>
    </row>
    <row r="37" customFormat="false" ht="15.95" hidden="false" customHeight="true" outlineLevel="0" collapsed="false">
      <c r="A37" s="154" t="n">
        <v>33</v>
      </c>
      <c r="B37" s="155" t="n">
        <f aca="false">VLOOKUP(A37,A_4_INPUT_DATE_E_RISULTATI_GIRONI,8,0)</f>
        <v>44356</v>
      </c>
      <c r="C37" s="156" t="n">
        <f aca="false">VLOOKUP(A37,A_4_INPUT_DATE_E_RISULTATI_GIRONI,9,0)</f>
        <v>0.458333333333333</v>
      </c>
      <c r="D37" s="169" t="str">
        <f aca="false">VLOOKUP(A37,A_4_INPUT_DATE_E_RISULTATI_GIRONI,4,0)</f>
        <v>Bufali</v>
      </c>
      <c r="E37" s="158" t="n">
        <f aca="false">VLOOKUP(A37,A_4_INPUT_DATE_E_RISULTATI_GIRONI,6,0)</f>
        <v>35</v>
      </c>
      <c r="F37" s="158" t="n">
        <f aca="false">VLOOKUP(A37,A_4_INPUT_DATE_E_RISULTATI_GIRONI,7,0)</f>
        <v>33</v>
      </c>
      <c r="G37" s="159" t="str">
        <f aca="false">VLOOKUP(A37,A_4_INPUT_DATE_E_RISULTATI_GIRONI,5,0)</f>
        <v>Cinghiali</v>
      </c>
      <c r="H37" s="161" t="str">
        <f aca="false">VLOOKUP(A37,A_4_INPUT_DATE_E_RISULTATI_GIRONI,3,0)</f>
        <v>E</v>
      </c>
      <c r="I37" s="161" t="str">
        <f aca="false">VLOOKUP(A37,A_4_INPUT_DATE_E_RISULTATI_GIRONI,11,0)</f>
        <v>Cristo Re 1</v>
      </c>
      <c r="K37" s="179" t="str">
        <f aca="false">VLOOKUP(ROW()-33&amp;RIGHT(K$33,1),B_CLASSIFICA_GIRONE_G,4,0)</f>
        <v>Muli</v>
      </c>
      <c r="L37" s="180" t="n">
        <f aca="false">VLOOKUP(ROW()-33&amp;RIGHT(K$33,1),B_CLASSIFICA_GIRONE_G,5,0)</f>
        <v>3</v>
      </c>
      <c r="M37" s="180" t="n">
        <f aca="false">VLOOKUP(ROW()-33&amp;RIGHT(K$33,1),B_CLASSIFICA_GIRONE_G,6,0)</f>
        <v>0</v>
      </c>
      <c r="N37" s="180" t="n">
        <f aca="false">VLOOKUP(ROW()-33&amp;RIGHT(K$33,1),B_CLASSIFICA_GIRONE_G,7,0)</f>
        <v>0</v>
      </c>
      <c r="O37" s="180" t="n">
        <f aca="false">VLOOKUP(ROW()-33&amp;RIGHT(K$33,1),B_CLASSIFICA_GIRONE_G,8,0)</f>
        <v>3</v>
      </c>
      <c r="P37" s="180" t="n">
        <f aca="false">VLOOKUP(ROW()-33&amp;RIGHT(K$33,1),B_CLASSIFICA_GIRONE_G,9,0)</f>
        <v>0</v>
      </c>
      <c r="Q37" s="180" t="n">
        <f aca="false">VLOOKUP(ROW()-33&amp;RIGHT(K$33,1),B_CLASSIFICA_GIRONE_G,10,0)</f>
        <v>0</v>
      </c>
      <c r="R37" s="181" t="n">
        <f aca="false">VLOOKUP(ROW()-33&amp;RIGHT(K$33,1),B_CLASSIFICA_GIRONE_G,11,0)</f>
        <v>60</v>
      </c>
      <c r="T37" s="187"/>
      <c r="U37" s="206" t="str">
        <f aca="false">VLOOKUP("1-16/1",B_PARTITE_2A_FASE_PER_CODICE,8,FALSE())</f>
        <v>Gabbiani</v>
      </c>
      <c r="V37" s="193" t="n">
        <f aca="false">VLOOKUP("1-16/1",B_PARTITE_2A_FASE_PER_CODICE,10,FALSE())</f>
        <v>30</v>
      </c>
      <c r="W37" s="190" t="str">
        <f aca="false">VLOOKUP("1-16/1",B_PARTITE_2A_FASE_PER_CODICE,6,FALSE())</f>
        <v>2F</v>
      </c>
      <c r="X37" s="147"/>
      <c r="Y37" s="147"/>
      <c r="Z37" s="147"/>
      <c r="AA37" s="146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6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  <c r="CT37" s="147"/>
      <c r="CU37" s="147"/>
      <c r="CV37" s="166" t="s">
        <v>436</v>
      </c>
      <c r="CW37" s="178" t="n">
        <v>3</v>
      </c>
      <c r="CX37" s="178" t="n">
        <v>2</v>
      </c>
      <c r="CY37" s="178" t="n">
        <v>0</v>
      </c>
      <c r="CZ37" s="178" t="n">
        <v>1</v>
      </c>
      <c r="DA37" s="178" t="n">
        <v>4</v>
      </c>
      <c r="DB37" s="178" t="n">
        <v>2</v>
      </c>
      <c r="DC37" s="178"/>
      <c r="DD37" s="178" t="n">
        <v>6.0002</v>
      </c>
      <c r="DE37" s="178"/>
      <c r="DF37" s="147"/>
      <c r="DG37" s="147"/>
    </row>
    <row r="38" customFormat="false" ht="15.95" hidden="false" customHeight="true" outlineLevel="0" collapsed="false">
      <c r="A38" s="154" t="n">
        <v>34</v>
      </c>
      <c r="B38" s="155" t="n">
        <f aca="false">VLOOKUP(A38,A_4_INPUT_DATE_E_RISULTATI_GIRONI,8,0)</f>
        <v>44356</v>
      </c>
      <c r="C38" s="156" t="n">
        <f aca="false">VLOOKUP(A38,A_4_INPUT_DATE_E_RISULTATI_GIRONI,9,0)</f>
        <v>0.458333333333333</v>
      </c>
      <c r="D38" s="169" t="str">
        <f aca="false">VLOOKUP(A38,A_4_INPUT_DATE_E_RISULTATI_GIRONI,4,0)</f>
        <v>Gabbiani</v>
      </c>
      <c r="E38" s="158" t="n">
        <f aca="false">VLOOKUP(A38,A_4_INPUT_DATE_E_RISULTATI_GIRONI,6,0)</f>
        <v>35</v>
      </c>
      <c r="F38" s="158" t="n">
        <f aca="false">VLOOKUP(A38,A_4_INPUT_DATE_E_RISULTATI_GIRONI,7,0)</f>
        <v>34</v>
      </c>
      <c r="G38" s="159" t="str">
        <f aca="false">VLOOKUP(A38,A_4_INPUT_DATE_E_RISULTATI_GIRONI,5,0)</f>
        <v>Fenicotteri</v>
      </c>
      <c r="H38" s="161" t="str">
        <f aca="false">VLOOKUP(A38,A_4_INPUT_DATE_E_RISULTATI_GIRONI,3,0)</f>
        <v>F</v>
      </c>
      <c r="I38" s="161" t="str">
        <f aca="false">VLOOKUP(A38,A_4_INPUT_DATE_E_RISULTATI_GIRONI,11,0)</f>
        <v>Cristo Re 2</v>
      </c>
      <c r="K38" s="237" t="s">
        <v>447</v>
      </c>
      <c r="L38" s="238" t="s">
        <v>61</v>
      </c>
      <c r="M38" s="238" t="s">
        <v>395</v>
      </c>
      <c r="N38" s="238" t="s">
        <v>396</v>
      </c>
      <c r="O38" s="238" t="s">
        <v>56</v>
      </c>
      <c r="P38" s="238" t="s">
        <v>397</v>
      </c>
      <c r="Q38" s="238" t="s">
        <v>398</v>
      </c>
      <c r="R38" s="239" t="s">
        <v>399</v>
      </c>
      <c r="T38" s="146"/>
      <c r="U38" s="240"/>
      <c r="V38" s="146"/>
      <c r="W38" s="146"/>
      <c r="X38" s="146"/>
      <c r="Y38" s="147"/>
      <c r="Z38" s="147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  <c r="CT38" s="147"/>
      <c r="CU38" s="147"/>
      <c r="CV38" s="166" t="s">
        <v>442</v>
      </c>
      <c r="CW38" s="178" t="n">
        <v>3</v>
      </c>
      <c r="CX38" s="178" t="n">
        <v>0</v>
      </c>
      <c r="CY38" s="178" t="n">
        <v>1</v>
      </c>
      <c r="CZ38" s="178" t="n">
        <v>2</v>
      </c>
      <c r="DA38" s="178" t="n">
        <v>1</v>
      </c>
      <c r="DB38" s="178" t="n">
        <v>4</v>
      </c>
      <c r="DC38" s="178"/>
      <c r="DD38" s="178" t="n">
        <v>0.9997</v>
      </c>
      <c r="DE38" s="178"/>
      <c r="DF38" s="147"/>
      <c r="DG38" s="147"/>
    </row>
    <row r="39" customFormat="false" ht="15.95" hidden="false" customHeight="true" outlineLevel="0" collapsed="false">
      <c r="A39" s="154" t="n">
        <v>35</v>
      </c>
      <c r="B39" s="155" t="n">
        <f aca="false">VLOOKUP(A39,A_4_INPUT_DATE_E_RISULTATI_GIRONI,8,0)</f>
        <v>44356</v>
      </c>
      <c r="C39" s="156" t="n">
        <f aca="false">VLOOKUP(A39,A_4_INPUT_DATE_E_RISULTATI_GIRONI,9,0)</f>
        <v>0.458333333333333</v>
      </c>
      <c r="D39" s="169" t="str">
        <f aca="false">VLOOKUP(A39,A_4_INPUT_DATE_E_RISULTATI_GIRONI,4,0)</f>
        <v>Gorilla</v>
      </c>
      <c r="E39" s="158" t="n">
        <f aca="false">VLOOKUP(A39,A_4_INPUT_DATE_E_RISULTATI_GIRONI,6,0)</f>
        <v>20</v>
      </c>
      <c r="F39" s="158" t="n">
        <f aca="false">VLOOKUP(A39,A_4_INPUT_DATE_E_RISULTATI_GIRONI,7,0)</f>
        <v>0</v>
      </c>
      <c r="G39" s="159" t="str">
        <f aca="false">VLOOKUP(A39,A_4_INPUT_DATE_E_RISULTATI_GIRONI,5,0)</f>
        <v>Orche</v>
      </c>
      <c r="H39" s="161" t="str">
        <f aca="false">VLOOKUP(A39,A_4_INPUT_DATE_E_RISULTATI_GIRONI,3,0)</f>
        <v>G</v>
      </c>
      <c r="I39" s="161" t="str">
        <f aca="false">VLOOKUP(A39,A_4_INPUT_DATE_E_RISULTATI_GIRONI,11,0)</f>
        <v>Basket Giovane</v>
      </c>
      <c r="K39" s="162" t="str">
        <f aca="false">VLOOKUP(ROW()-38&amp;RIGHT(K$38,1),B_CLASSIFICA_GIRONE_H,4,0)</f>
        <v>Piranha</v>
      </c>
      <c r="L39" s="163" t="n">
        <f aca="false">VLOOKUP(ROW()-38&amp;RIGHT(K$38,1),B_CLASSIFICA_GIRONE_H,5,0)</f>
        <v>3</v>
      </c>
      <c r="M39" s="163" t="n">
        <f aca="false">VLOOKUP(ROW()-38&amp;RIGHT(K$38,1),B_CLASSIFICA_GIRONE_H,6,0)</f>
        <v>2</v>
      </c>
      <c r="N39" s="163" t="n">
        <f aca="false">VLOOKUP(ROW()-38&amp;RIGHT(K$38,1),B_CLASSIFICA_GIRONE_H,7,0)</f>
        <v>1</v>
      </c>
      <c r="O39" s="163" t="n">
        <f aca="false">VLOOKUP(ROW()-38&amp;RIGHT(K$38,1),B_CLASSIFICA_GIRONE_H,8,0)</f>
        <v>0</v>
      </c>
      <c r="P39" s="163" t="n">
        <f aca="false">VLOOKUP(ROW()-38&amp;RIGHT(K$38,1),B_CLASSIFICA_GIRONE_H,9,0)</f>
        <v>5</v>
      </c>
      <c r="Q39" s="163" t="n">
        <f aca="false">VLOOKUP(ROW()-38&amp;RIGHT(K$38,1),B_CLASSIFICA_GIRONE_H,10,0)</f>
        <v>245</v>
      </c>
      <c r="R39" s="164" t="n">
        <f aca="false">VLOOKUP(ROW()-38&amp;RIGHT(K$38,1),B_CLASSIFICA_GIRONE_H,11,0)</f>
        <v>215</v>
      </c>
      <c r="T39" s="146"/>
      <c r="U39" s="240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  <c r="CT39" s="147"/>
      <c r="CU39" s="147"/>
      <c r="CV39" s="166" t="s">
        <v>424</v>
      </c>
      <c r="CW39" s="178" t="n">
        <v>3</v>
      </c>
      <c r="CX39" s="178" t="n">
        <v>2</v>
      </c>
      <c r="CY39" s="178" t="n">
        <v>1</v>
      </c>
      <c r="CZ39" s="178" t="n">
        <v>0</v>
      </c>
      <c r="DA39" s="178" t="n">
        <v>3</v>
      </c>
      <c r="DB39" s="178" t="n">
        <v>0</v>
      </c>
      <c r="DC39" s="178"/>
      <c r="DD39" s="178" t="n">
        <v>7.0003</v>
      </c>
      <c r="DE39" s="178"/>
      <c r="DF39" s="147"/>
      <c r="DG39" s="147"/>
    </row>
    <row r="40" customFormat="false" ht="15.95" hidden="false" customHeight="true" outlineLevel="0" collapsed="false">
      <c r="A40" s="154" t="n">
        <v>36</v>
      </c>
      <c r="B40" s="155" t="n">
        <f aca="false">VLOOKUP(A40,A_4_INPUT_DATE_E_RISULTATI_GIRONI,8,0)</f>
        <v>44356</v>
      </c>
      <c r="C40" s="156" t="n">
        <f aca="false">VLOOKUP(A40,A_4_INPUT_DATE_E_RISULTATI_GIRONI,9,0)</f>
        <v>0.458333333333333</v>
      </c>
      <c r="D40" s="169" t="str">
        <f aca="false">VLOOKUP(A40,A_4_INPUT_DATE_E_RISULTATI_GIRONI,4,0)</f>
        <v>Scorpioni</v>
      </c>
      <c r="E40" s="158" t="n">
        <f aca="false">VLOOKUP(A40,A_4_INPUT_DATE_E_RISULTATI_GIRONI,6,0)</f>
        <v>74</v>
      </c>
      <c r="F40" s="158" t="n">
        <f aca="false">VLOOKUP(A40,A_4_INPUT_DATE_E_RISULTATI_GIRONI,7,0)</f>
        <v>79</v>
      </c>
      <c r="G40" s="159" t="str">
        <f aca="false">VLOOKUP(A40,A_4_INPUT_DATE_E_RISULTATI_GIRONI,5,0)</f>
        <v>Zebre</v>
      </c>
      <c r="H40" s="161" t="str">
        <f aca="false">VLOOKUP(A40,A_4_INPUT_DATE_E_RISULTATI_GIRONI,3,0)</f>
        <v>H</v>
      </c>
      <c r="I40" s="161" t="str">
        <f aca="false">VLOOKUP(A40,A_4_INPUT_DATE_E_RISULTATI_GIRONI,11,0)</f>
        <v>Nuova Scuola</v>
      </c>
      <c r="K40" s="170" t="str">
        <f aca="false">VLOOKUP(ROW()-38&amp;RIGHT(K$38,1),B_CLASSIFICA_GIRONE_H,4,0)</f>
        <v>Tonni</v>
      </c>
      <c r="L40" s="171" t="n">
        <f aca="false">VLOOKUP(ROW()-38&amp;RIGHT(K$38,1),B_CLASSIFICA_GIRONE_H,5,0)</f>
        <v>3</v>
      </c>
      <c r="M40" s="171" t="n">
        <f aca="false">VLOOKUP(ROW()-38&amp;RIGHT(K$38,1),B_CLASSIFICA_GIRONE_H,6,0)</f>
        <v>2</v>
      </c>
      <c r="N40" s="171" t="n">
        <f aca="false">VLOOKUP(ROW()-38&amp;RIGHT(K$38,1),B_CLASSIFICA_GIRONE_H,7,0)</f>
        <v>1</v>
      </c>
      <c r="O40" s="171" t="n">
        <f aca="false">VLOOKUP(ROW()-38&amp;RIGHT(K$38,1),B_CLASSIFICA_GIRONE_H,8,0)</f>
        <v>0</v>
      </c>
      <c r="P40" s="171" t="n">
        <f aca="false">VLOOKUP(ROW()-38&amp;RIGHT(K$38,1),B_CLASSIFICA_GIRONE_H,9,0)</f>
        <v>5</v>
      </c>
      <c r="Q40" s="171" t="n">
        <f aca="false">VLOOKUP(ROW()-38&amp;RIGHT(K$38,1),B_CLASSIFICA_GIRONE_H,10,0)</f>
        <v>163</v>
      </c>
      <c r="R40" s="172" t="n">
        <f aca="false">VLOOKUP(ROW()-38&amp;RIGHT(K$38,1),B_CLASSIFICA_GIRONE_H,11,0)</f>
        <v>110</v>
      </c>
      <c r="T40" s="146"/>
      <c r="U40" s="240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  <c r="CT40" s="147"/>
      <c r="CU40" s="147"/>
      <c r="CV40" s="241"/>
      <c r="CW40" s="241"/>
      <c r="CX40" s="242"/>
      <c r="CY40" s="242"/>
      <c r="CZ40" s="242"/>
      <c r="DA40" s="242"/>
      <c r="DB40" s="242"/>
      <c r="DC40" s="242"/>
      <c r="DD40" s="242"/>
      <c r="DE40" s="242"/>
      <c r="DF40" s="147"/>
      <c r="DG40" s="147"/>
    </row>
    <row r="41" customFormat="false" ht="15.95" hidden="false" customHeight="true" outlineLevel="0" collapsed="false">
      <c r="A41" s="154" t="n">
        <v>37</v>
      </c>
      <c r="B41" s="155" t="n">
        <f aca="false">VLOOKUP(A41,A_4_INPUT_DATE_E_RISULTATI_GIRONI,8,0)</f>
        <v>44356</v>
      </c>
      <c r="C41" s="156" t="n">
        <f aca="false">VLOOKUP(A41,A_4_INPUT_DATE_E_RISULTATI_GIRONI,9,0)</f>
        <v>0.645833333333333</v>
      </c>
      <c r="D41" s="169" t="str">
        <f aca="false">VLOOKUP(A41,A_4_INPUT_DATE_E_RISULTATI_GIRONI,4,0)</f>
        <v>Pantere</v>
      </c>
      <c r="E41" s="158" t="n">
        <f aca="false">VLOOKUP(A41,A_4_INPUT_DATE_E_RISULTATI_GIRONI,6,0)</f>
        <v>93</v>
      </c>
      <c r="F41" s="158" t="n">
        <f aca="false">VLOOKUP(A41,A_4_INPUT_DATE_E_RISULTATI_GIRONI,7,0)</f>
        <v>30</v>
      </c>
      <c r="G41" s="159" t="str">
        <f aca="false">VLOOKUP(A41,A_4_INPUT_DATE_E_RISULTATI_GIRONI,5,0)</f>
        <v>Tigri</v>
      </c>
      <c r="H41" s="161" t="str">
        <f aca="false">VLOOKUP(A41,A_4_INPUT_DATE_E_RISULTATI_GIRONI,3,0)</f>
        <v>A</v>
      </c>
      <c r="I41" s="161" t="str">
        <f aca="false">VLOOKUP(A41,A_4_INPUT_DATE_E_RISULTATI_GIRONI,11,0)</f>
        <v>Cristo Re 1</v>
      </c>
      <c r="K41" s="173" t="str">
        <f aca="false">VLOOKUP(ROW()-38&amp;RIGHT(K$38,1),B_CLASSIFICA_GIRONE_H,4,0)</f>
        <v>Zebre</v>
      </c>
      <c r="L41" s="174" t="n">
        <f aca="false">VLOOKUP(ROW()-38&amp;RIGHT(K$38,1),B_CLASSIFICA_GIRONE_H,5,0)</f>
        <v>3</v>
      </c>
      <c r="M41" s="174" t="n">
        <f aca="false">VLOOKUP(ROW()-38&amp;RIGHT(K$38,1),B_CLASSIFICA_GIRONE_H,6,0)</f>
        <v>2</v>
      </c>
      <c r="N41" s="174" t="n">
        <f aca="false">VLOOKUP(ROW()-38&amp;RIGHT(K$38,1),B_CLASSIFICA_GIRONE_H,7,0)</f>
        <v>0</v>
      </c>
      <c r="O41" s="174" t="n">
        <f aca="false">VLOOKUP(ROW()-38&amp;RIGHT(K$38,1),B_CLASSIFICA_GIRONE_H,8,0)</f>
        <v>1</v>
      </c>
      <c r="P41" s="174" t="n">
        <f aca="false">VLOOKUP(ROW()-38&amp;RIGHT(K$38,1),B_CLASSIFICA_GIRONE_H,9,0)</f>
        <v>4</v>
      </c>
      <c r="Q41" s="174" t="n">
        <f aca="false">VLOOKUP(ROW()-38&amp;RIGHT(K$38,1),B_CLASSIFICA_GIRONE_H,10,0)</f>
        <v>133</v>
      </c>
      <c r="R41" s="175" t="n">
        <f aca="false">VLOOKUP(ROW()-38&amp;RIGHT(K$38,1),B_CLASSIFICA_GIRONE_H,11,0)</f>
        <v>142</v>
      </c>
      <c r="T41" s="146"/>
      <c r="U41" s="240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241"/>
      <c r="CW41" s="147"/>
      <c r="CX41" s="177"/>
      <c r="CY41" s="177"/>
      <c r="CZ41" s="177"/>
      <c r="DA41" s="177"/>
      <c r="DB41" s="177"/>
      <c r="DC41" s="177"/>
      <c r="DD41" s="177"/>
      <c r="DE41" s="177"/>
      <c r="DF41" s="147"/>
      <c r="DG41" s="147"/>
    </row>
    <row r="42" customFormat="false" ht="15.95" hidden="false" customHeight="true" outlineLevel="0" collapsed="false">
      <c r="A42" s="154" t="n">
        <v>38</v>
      </c>
      <c r="B42" s="155" t="n">
        <f aca="false">VLOOKUP(A42,A_4_INPUT_DATE_E_RISULTATI_GIRONI,8,0)</f>
        <v>44356</v>
      </c>
      <c r="C42" s="156" t="n">
        <f aca="false">VLOOKUP(A42,A_4_INPUT_DATE_E_RISULTATI_GIRONI,9,0)</f>
        <v>0.645833333333333</v>
      </c>
      <c r="D42" s="169" t="str">
        <f aca="false">VLOOKUP(A42,A_4_INPUT_DATE_E_RISULTATI_GIRONI,4,0)</f>
        <v>Puma</v>
      </c>
      <c r="E42" s="158" t="n">
        <f aca="false">VLOOKUP(A42,A_4_INPUT_DATE_E_RISULTATI_GIRONI,6,0)</f>
        <v>97</v>
      </c>
      <c r="F42" s="158" t="n">
        <f aca="false">VLOOKUP(A42,A_4_INPUT_DATE_E_RISULTATI_GIRONI,7,0)</f>
        <v>72</v>
      </c>
      <c r="G42" s="159" t="str">
        <f aca="false">VLOOKUP(A42,A_4_INPUT_DATE_E_RISULTATI_GIRONI,5,0)</f>
        <v>Linci</v>
      </c>
      <c r="H42" s="161" t="str">
        <f aca="false">VLOOKUP(A42,A_4_INPUT_DATE_E_RISULTATI_GIRONI,3,0)</f>
        <v>B</v>
      </c>
      <c r="I42" s="161" t="str">
        <f aca="false">VLOOKUP(A42,A_4_INPUT_DATE_E_RISULTATI_GIRONI,11,0)</f>
        <v>Cristo Re 2</v>
      </c>
      <c r="K42" s="179" t="str">
        <f aca="false">VLOOKUP(ROW()-38&amp;RIGHT(K$38,1),B_CLASSIFICA_GIRONE_H,4,0)</f>
        <v>Scorpioni</v>
      </c>
      <c r="L42" s="243" t="n">
        <f aca="false">VLOOKUP(ROW()-38&amp;RIGHT(K$38,1),B_CLASSIFICA_GIRONE_H,5,0)</f>
        <v>3</v>
      </c>
      <c r="M42" s="243" t="n">
        <f aca="false">VLOOKUP(ROW()-38&amp;RIGHT(K$38,1),B_CLASSIFICA_GIRONE_H,6,0)</f>
        <v>0</v>
      </c>
      <c r="N42" s="243" t="n">
        <f aca="false">VLOOKUP(ROW()-38&amp;RIGHT(K$38,1),B_CLASSIFICA_GIRONE_H,7,0)</f>
        <v>3</v>
      </c>
      <c r="O42" s="243" t="n">
        <f aca="false">VLOOKUP(ROW()-38&amp;RIGHT(K$38,1),B_CLASSIFICA_GIRONE_H,8,0)</f>
        <v>0</v>
      </c>
      <c r="P42" s="243" t="n">
        <f aca="false">VLOOKUP(ROW()-38&amp;RIGHT(K$38,1),B_CLASSIFICA_GIRONE_H,9,0)</f>
        <v>3</v>
      </c>
      <c r="Q42" s="243" t="n">
        <f aca="false">VLOOKUP(ROW()-38&amp;RIGHT(K$38,1),B_CLASSIFICA_GIRONE_H,10,0)</f>
        <v>170</v>
      </c>
      <c r="R42" s="244" t="n">
        <f aca="false">VLOOKUP(ROW()-38&amp;RIGHT(K$38,1),B_CLASSIFICA_GIRONE_H,11,0)</f>
        <v>244</v>
      </c>
      <c r="T42" s="146"/>
      <c r="U42" s="240"/>
      <c r="V42" s="146"/>
      <c r="W42" s="146"/>
      <c r="X42" s="146"/>
      <c r="Y42" s="146"/>
      <c r="Z42" s="146"/>
      <c r="AA42" s="146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  <c r="CT42" s="147"/>
      <c r="CU42" s="147"/>
      <c r="CV42" s="241"/>
      <c r="CW42" s="147"/>
      <c r="CX42" s="177"/>
      <c r="CY42" s="177"/>
      <c r="CZ42" s="177"/>
      <c r="DA42" s="177"/>
      <c r="DB42" s="177"/>
      <c r="DC42" s="177"/>
      <c r="DD42" s="177"/>
      <c r="DE42" s="177"/>
      <c r="DF42" s="147"/>
      <c r="DG42" s="147"/>
    </row>
    <row r="43" customFormat="false" ht="15.95" hidden="false" customHeight="true" outlineLevel="0" collapsed="false">
      <c r="A43" s="154" t="n">
        <v>39</v>
      </c>
      <c r="B43" s="155" t="n">
        <f aca="false">VLOOKUP(A43,A_4_INPUT_DATE_E_RISULTATI_GIRONI,8,0)</f>
        <v>44356</v>
      </c>
      <c r="C43" s="156" t="n">
        <f aca="false">VLOOKUP(A43,A_4_INPUT_DATE_E_RISULTATI_GIRONI,9,0)</f>
        <v>0.645833333333333</v>
      </c>
      <c r="D43" s="169" t="str">
        <f aca="false">VLOOKUP(A43,A_4_INPUT_DATE_E_RISULTATI_GIRONI,4,0)</f>
        <v>Giraffe</v>
      </c>
      <c r="E43" s="158" t="n">
        <f aca="false">VLOOKUP(A43,A_4_INPUT_DATE_E_RISULTATI_GIRONI,6,0)</f>
        <v>98</v>
      </c>
      <c r="F43" s="158" t="n">
        <f aca="false">VLOOKUP(A43,A_4_INPUT_DATE_E_RISULTATI_GIRONI,7,0)</f>
        <v>49</v>
      </c>
      <c r="G43" s="159" t="str">
        <f aca="false">VLOOKUP(A43,A_4_INPUT_DATE_E_RISULTATI_GIRONI,5,0)</f>
        <v>Ippopotami</v>
      </c>
      <c r="H43" s="161" t="str">
        <f aca="false">VLOOKUP(A43,A_4_INPUT_DATE_E_RISULTATI_GIRONI,3,0)</f>
        <v>C</v>
      </c>
      <c r="I43" s="161" t="str">
        <f aca="false">VLOOKUP(A43,A_4_INPUT_DATE_E_RISULTATI_GIRONI,11,0)</f>
        <v>Basket Giovane</v>
      </c>
    </row>
    <row r="44" customFormat="false" ht="15.95" hidden="false" customHeight="true" outlineLevel="0" collapsed="false">
      <c r="A44" s="154" t="n">
        <v>40</v>
      </c>
      <c r="B44" s="155" t="n">
        <f aca="false">VLOOKUP(A44,A_4_INPUT_DATE_E_RISULTATI_GIRONI,8,0)</f>
        <v>44356</v>
      </c>
      <c r="C44" s="156" t="n">
        <f aca="false">VLOOKUP(A44,A_4_INPUT_DATE_E_RISULTATI_GIRONI,9,0)</f>
        <v>0.645833333333333</v>
      </c>
      <c r="D44" s="169" t="str">
        <f aca="false">VLOOKUP(A44,A_4_INPUT_DATE_E_RISULTATI_GIRONI,4,0)</f>
        <v>Pitoni</v>
      </c>
      <c r="E44" s="158" t="n">
        <f aca="false">VLOOKUP(A44,A_4_INPUT_DATE_E_RISULTATI_GIRONI,6,0)</f>
        <v>25</v>
      </c>
      <c r="F44" s="158" t="n">
        <f aca="false">VLOOKUP(A44,A_4_INPUT_DATE_E_RISULTATI_GIRONI,7,0)</f>
        <v>15</v>
      </c>
      <c r="G44" s="159" t="str">
        <f aca="false">VLOOKUP(A44,A_4_INPUT_DATE_E_RISULTATI_GIRONI,5,0)</f>
        <v>Aquile</v>
      </c>
      <c r="H44" s="161" t="str">
        <f aca="false">VLOOKUP(A44,A_4_INPUT_DATE_E_RISULTATI_GIRONI,3,0)</f>
        <v>D</v>
      </c>
      <c r="I44" s="161" t="str">
        <f aca="false">VLOOKUP(A44,A_4_INPUT_DATE_E_RISULTATI_GIRONI,11,0)</f>
        <v>Nuova Scuola</v>
      </c>
    </row>
    <row r="45" customFormat="false" ht="15.95" hidden="false" customHeight="true" outlineLevel="0" collapsed="false">
      <c r="A45" s="154" t="n">
        <v>41</v>
      </c>
      <c r="B45" s="155" t="n">
        <f aca="false">VLOOKUP(A45,A_4_INPUT_DATE_E_RISULTATI_GIRONI,8,0)</f>
        <v>44356</v>
      </c>
      <c r="C45" s="156" t="n">
        <f aca="false">VLOOKUP(A45,A_4_INPUT_DATE_E_RISULTATI_GIRONI,9,0)</f>
        <v>0.708333333333333</v>
      </c>
      <c r="D45" s="169" t="str">
        <f aca="false">VLOOKUP(A45,A_4_INPUT_DATE_E_RISULTATI_GIRONI,4,0)</f>
        <v>Bisonti</v>
      </c>
      <c r="E45" s="158" t="n">
        <f aca="false">VLOOKUP(A45,A_4_INPUT_DATE_E_RISULTATI_GIRONI,6,0)</f>
        <v>36</v>
      </c>
      <c r="F45" s="158" t="n">
        <f aca="false">VLOOKUP(A45,A_4_INPUT_DATE_E_RISULTATI_GIRONI,7,0)</f>
        <v>33</v>
      </c>
      <c r="G45" s="159" t="str">
        <f aca="false">VLOOKUP(A45,A_4_INPUT_DATE_E_RISULTATI_GIRONI,5,0)</f>
        <v>Cinghiali</v>
      </c>
      <c r="H45" s="161" t="str">
        <f aca="false">VLOOKUP(A45,A_4_INPUT_DATE_E_RISULTATI_GIRONI,3,0)</f>
        <v>E</v>
      </c>
      <c r="I45" s="161" t="str">
        <f aca="false">VLOOKUP(A45,A_4_INPUT_DATE_E_RISULTATI_GIRONI,11,0)</f>
        <v>Cristo Re 1</v>
      </c>
    </row>
    <row r="46" customFormat="false" ht="15.95" hidden="false" customHeight="true" outlineLevel="0" collapsed="false">
      <c r="A46" s="154" t="n">
        <v>42</v>
      </c>
      <c r="B46" s="155" t="n">
        <f aca="false">VLOOKUP(A46,A_4_INPUT_DATE_E_RISULTATI_GIRONI,8,0)</f>
        <v>44356</v>
      </c>
      <c r="C46" s="156" t="n">
        <f aca="false">VLOOKUP(A46,A_4_INPUT_DATE_E_RISULTATI_GIRONI,9,0)</f>
        <v>0.708333333333333</v>
      </c>
      <c r="D46" s="169" t="str">
        <f aca="false">VLOOKUP(A46,A_4_INPUT_DATE_E_RISULTATI_GIRONI,4,0)</f>
        <v>Balene</v>
      </c>
      <c r="E46" s="158" t="n">
        <f aca="false">VLOOKUP(A46,A_4_INPUT_DATE_E_RISULTATI_GIRONI,6,0)</f>
        <v>36</v>
      </c>
      <c r="F46" s="158" t="n">
        <f aca="false">VLOOKUP(A46,A_4_INPUT_DATE_E_RISULTATI_GIRONI,7,0)</f>
        <v>35</v>
      </c>
      <c r="G46" s="159" t="str">
        <f aca="false">VLOOKUP(A46,A_4_INPUT_DATE_E_RISULTATI_GIRONI,5,0)</f>
        <v>Fenicotteri</v>
      </c>
      <c r="H46" s="161" t="str">
        <f aca="false">VLOOKUP(A46,A_4_INPUT_DATE_E_RISULTATI_GIRONI,3,0)</f>
        <v>F</v>
      </c>
      <c r="I46" s="161" t="str">
        <f aca="false">VLOOKUP(A46,A_4_INPUT_DATE_E_RISULTATI_GIRONI,11,0)</f>
        <v>Cristo Re 2</v>
      </c>
    </row>
    <row r="47" customFormat="false" ht="15.95" hidden="false" customHeight="true" outlineLevel="0" collapsed="false">
      <c r="A47" s="154" t="n">
        <v>43</v>
      </c>
      <c r="B47" s="155" t="n">
        <f aca="false">VLOOKUP(A47,A_4_INPUT_DATE_E_RISULTATI_GIRONI,8,0)</f>
        <v>44356</v>
      </c>
      <c r="C47" s="156" t="n">
        <f aca="false">VLOOKUP(A47,A_4_INPUT_DATE_E_RISULTATI_GIRONI,9,0)</f>
        <v>0.708333333333333</v>
      </c>
      <c r="D47" s="169" t="str">
        <f aca="false">VLOOKUP(A47,A_4_INPUT_DATE_E_RISULTATI_GIRONI,4,0)</f>
        <v>Istrici</v>
      </c>
      <c r="E47" s="158" t="n">
        <f aca="false">VLOOKUP(A47,A_4_INPUT_DATE_E_RISULTATI_GIRONI,6,0)</f>
        <v>20</v>
      </c>
      <c r="F47" s="158" t="n">
        <f aca="false">VLOOKUP(A47,A_4_INPUT_DATE_E_RISULTATI_GIRONI,7,0)</f>
        <v>0</v>
      </c>
      <c r="G47" s="159" t="str">
        <f aca="false">VLOOKUP(A47,A_4_INPUT_DATE_E_RISULTATI_GIRONI,5,0)</f>
        <v>Orche</v>
      </c>
      <c r="H47" s="161" t="str">
        <f aca="false">VLOOKUP(A47,A_4_INPUT_DATE_E_RISULTATI_GIRONI,3,0)</f>
        <v>G</v>
      </c>
      <c r="I47" s="161" t="str">
        <f aca="false">VLOOKUP(A47,A_4_INPUT_DATE_E_RISULTATI_GIRONI,11,0)</f>
        <v>Basket Giovane</v>
      </c>
    </row>
    <row r="48" customFormat="false" ht="15.95" hidden="false" customHeight="true" outlineLevel="0" collapsed="false">
      <c r="A48" s="154" t="n">
        <v>44</v>
      </c>
      <c r="B48" s="155" t="n">
        <f aca="false">VLOOKUP(A48,A_4_INPUT_DATE_E_RISULTATI_GIRONI,8,0)</f>
        <v>44356</v>
      </c>
      <c r="C48" s="156" t="n">
        <f aca="false">VLOOKUP(A48,A_4_INPUT_DATE_E_RISULTATI_GIRONI,9,0)</f>
        <v>0.708333333333333</v>
      </c>
      <c r="D48" s="169" t="str">
        <f aca="false">VLOOKUP(A48,A_4_INPUT_DATE_E_RISULTATI_GIRONI,4,0)</f>
        <v>Tonni</v>
      </c>
      <c r="E48" s="158" t="n">
        <f aca="false">VLOOKUP(A48,A_4_INPUT_DATE_E_RISULTATI_GIRONI,6,0)</f>
        <v>65</v>
      </c>
      <c r="F48" s="158" t="n">
        <f aca="false">VLOOKUP(A48,A_4_INPUT_DATE_E_RISULTATI_GIRONI,7,0)</f>
        <v>13</v>
      </c>
      <c r="G48" s="159" t="str">
        <f aca="false">VLOOKUP(A48,A_4_INPUT_DATE_E_RISULTATI_GIRONI,5,0)</f>
        <v>Scorpioni</v>
      </c>
      <c r="H48" s="161" t="str">
        <f aca="false">VLOOKUP(A48,A_4_INPUT_DATE_E_RISULTATI_GIRONI,3,0)</f>
        <v>H</v>
      </c>
      <c r="I48" s="161" t="str">
        <f aca="false">VLOOKUP(A48,A_4_INPUT_DATE_E_RISULTATI_GIRONI,11,0)</f>
        <v>Nuova Scuola</v>
      </c>
    </row>
    <row r="49" customFormat="false" ht="15.95" hidden="false" customHeight="true" outlineLevel="0" collapsed="false">
      <c r="A49" s="154" t="n">
        <v>45</v>
      </c>
      <c r="B49" s="155" t="n">
        <f aca="false">VLOOKUP(A49,A_4_INPUT_DATE_E_RISULTATI_GIRONI,8,0)</f>
        <v>44356</v>
      </c>
      <c r="C49" s="156" t="n">
        <f aca="false">VLOOKUP(A49,A_4_INPUT_DATE_E_RISULTATI_GIRONI,9,0)</f>
        <v>0.770833333333333</v>
      </c>
      <c r="D49" s="169" t="str">
        <f aca="false">VLOOKUP(A49,A_4_INPUT_DATE_E_RISULTATI_GIRONI,4,0)</f>
        <v>Bufali</v>
      </c>
      <c r="E49" s="158" t="n">
        <f aca="false">VLOOKUP(A49,A_4_INPUT_DATE_E_RISULTATI_GIRONI,6,0)</f>
        <v>34</v>
      </c>
      <c r="F49" s="158" t="n">
        <f aca="false">VLOOKUP(A49,A_4_INPUT_DATE_E_RISULTATI_GIRONI,7,0)</f>
        <v>33</v>
      </c>
      <c r="G49" s="159" t="str">
        <f aca="false">VLOOKUP(A49,A_4_INPUT_DATE_E_RISULTATI_GIRONI,5,0)</f>
        <v>Cervi</v>
      </c>
      <c r="H49" s="161" t="str">
        <f aca="false">VLOOKUP(A49,A_4_INPUT_DATE_E_RISULTATI_GIRONI,3,0)</f>
        <v>E</v>
      </c>
      <c r="I49" s="161" t="str">
        <f aca="false">VLOOKUP(A49,A_4_INPUT_DATE_E_RISULTATI_GIRONI,11,0)</f>
        <v>Cristo Re 1</v>
      </c>
    </row>
    <row r="50" customFormat="false" ht="15.95" hidden="false" customHeight="true" outlineLevel="0" collapsed="false">
      <c r="A50" s="154" t="n">
        <v>46</v>
      </c>
      <c r="B50" s="155" t="n">
        <f aca="false">VLOOKUP(A50,A_4_INPUT_DATE_E_RISULTATI_GIRONI,8,0)</f>
        <v>44356</v>
      </c>
      <c r="C50" s="156" t="n">
        <f aca="false">VLOOKUP(A50,A_4_INPUT_DATE_E_RISULTATI_GIRONI,9,0)</f>
        <v>0.770833333333333</v>
      </c>
      <c r="D50" s="169" t="str">
        <f aca="false">VLOOKUP(A50,A_4_INPUT_DATE_E_RISULTATI_GIRONI,4,0)</f>
        <v>Gabbiani</v>
      </c>
      <c r="E50" s="158" t="n">
        <f aca="false">VLOOKUP(A50,A_4_INPUT_DATE_E_RISULTATI_GIRONI,6,0)</f>
        <v>34</v>
      </c>
      <c r="F50" s="158" t="n">
        <f aca="false">VLOOKUP(A50,A_4_INPUT_DATE_E_RISULTATI_GIRONI,7,0)</f>
        <v>33</v>
      </c>
      <c r="G50" s="159" t="str">
        <f aca="false">VLOOKUP(A50,A_4_INPUT_DATE_E_RISULTATI_GIRONI,5,0)</f>
        <v>Delfini</v>
      </c>
      <c r="H50" s="161" t="str">
        <f aca="false">VLOOKUP(A50,A_4_INPUT_DATE_E_RISULTATI_GIRONI,3,0)</f>
        <v>F</v>
      </c>
      <c r="I50" s="161" t="str">
        <f aca="false">VLOOKUP(A50,A_4_INPUT_DATE_E_RISULTATI_GIRONI,11,0)</f>
        <v>Cristo Re 2</v>
      </c>
    </row>
    <row r="51" customFormat="false" ht="15.95" hidden="false" customHeight="true" outlineLevel="0" collapsed="false">
      <c r="A51" s="154" t="n">
        <v>47</v>
      </c>
      <c r="B51" s="155" t="n">
        <f aca="false">VLOOKUP(A51,A_4_INPUT_DATE_E_RISULTATI_GIRONI,8,0)</f>
        <v>44356</v>
      </c>
      <c r="C51" s="156" t="n">
        <f aca="false">VLOOKUP(A51,A_4_INPUT_DATE_E_RISULTATI_GIRONI,9,0)</f>
        <v>0.770833333333333</v>
      </c>
      <c r="D51" s="169" t="str">
        <f aca="false">VLOOKUP(A51,A_4_INPUT_DATE_E_RISULTATI_GIRONI,4,0)</f>
        <v>Gorilla</v>
      </c>
      <c r="E51" s="158" t="n">
        <f aca="false">VLOOKUP(A51,A_4_INPUT_DATE_E_RISULTATI_GIRONI,6,0)</f>
        <v>20</v>
      </c>
      <c r="F51" s="158" t="n">
        <f aca="false">VLOOKUP(A51,A_4_INPUT_DATE_E_RISULTATI_GIRONI,7,0)</f>
        <v>0</v>
      </c>
      <c r="G51" s="159" t="str">
        <f aca="false">VLOOKUP(A51,A_4_INPUT_DATE_E_RISULTATI_GIRONI,5,0)</f>
        <v>Muli</v>
      </c>
      <c r="H51" s="161" t="str">
        <f aca="false">VLOOKUP(A51,A_4_INPUT_DATE_E_RISULTATI_GIRONI,3,0)</f>
        <v>G</v>
      </c>
      <c r="I51" s="161" t="str">
        <f aca="false">VLOOKUP(A51,A_4_INPUT_DATE_E_RISULTATI_GIRONI,11,0)</f>
        <v>Basket Giovane</v>
      </c>
    </row>
    <row r="52" customFormat="false" ht="15.95" hidden="false" customHeight="true" outlineLevel="0" collapsed="false">
      <c r="A52" s="154" t="n">
        <v>48</v>
      </c>
      <c r="B52" s="155" t="n">
        <f aca="false">VLOOKUP(A52,A_4_INPUT_DATE_E_RISULTATI_GIRONI,8,0)</f>
        <v>44356</v>
      </c>
      <c r="C52" s="156" t="n">
        <f aca="false">VLOOKUP(A52,A_4_INPUT_DATE_E_RISULTATI_GIRONI,9,0)</f>
        <v>0.770833333333333</v>
      </c>
      <c r="D52" s="169" t="str">
        <f aca="false">VLOOKUP(A52,A_4_INPUT_DATE_E_RISULTATI_GIRONI,4,0)</f>
        <v>Zebre</v>
      </c>
      <c r="E52" s="158" t="n">
        <f aca="false">VLOOKUP(A52,A_4_INPUT_DATE_E_RISULTATI_GIRONI,6,0)</f>
        <v>54</v>
      </c>
      <c r="F52" s="158" t="n">
        <f aca="false">VLOOKUP(A52,A_4_INPUT_DATE_E_RISULTATI_GIRONI,7,0)</f>
        <v>48</v>
      </c>
      <c r="G52" s="159" t="str">
        <f aca="false">VLOOKUP(A52,A_4_INPUT_DATE_E_RISULTATI_GIRONI,5,0)</f>
        <v>Piranha</v>
      </c>
      <c r="H52" s="161" t="str">
        <f aca="false">VLOOKUP(A52,A_4_INPUT_DATE_E_RISULTATI_GIRONI,3,0)</f>
        <v>H</v>
      </c>
      <c r="I52" s="161" t="str">
        <f aca="false">VLOOKUP(A52,A_4_INPUT_DATE_E_RISULTATI_GIRONI,11,0)</f>
        <v>Nuova Scuola</v>
      </c>
    </row>
  </sheetData>
  <mergeCells count="27">
    <mergeCell ref="B1:I1"/>
    <mergeCell ref="K1:R1"/>
    <mergeCell ref="T1:AL1"/>
    <mergeCell ref="B2:I2"/>
    <mergeCell ref="K2:R2"/>
    <mergeCell ref="T2:AL2"/>
    <mergeCell ref="E3:F3"/>
    <mergeCell ref="T4:V5"/>
    <mergeCell ref="Y4:AA5"/>
    <mergeCell ref="AD4:AF5"/>
    <mergeCell ref="AI4:AK5"/>
    <mergeCell ref="T8:T9"/>
    <mergeCell ref="Y10:Y11"/>
    <mergeCell ref="T12:T13"/>
    <mergeCell ref="AD14:AD15"/>
    <mergeCell ref="T16:T17"/>
    <mergeCell ref="Y18:Y19"/>
    <mergeCell ref="T20:T21"/>
    <mergeCell ref="AI21:AI22"/>
    <mergeCell ref="T23:W23"/>
    <mergeCell ref="T24:T25"/>
    <mergeCell ref="Y26:Y27"/>
    <mergeCell ref="T28:T29"/>
    <mergeCell ref="AD30:AD31"/>
    <mergeCell ref="T32:T33"/>
    <mergeCell ref="Y34:Y35"/>
    <mergeCell ref="T36:T37"/>
  </mergeCells>
  <conditionalFormatting sqref="AM25:AX25 AL29">
    <cfRule type="expression" priority="2" aboveAverage="0" equalAverage="0" bottom="0" percent="0" rank="0" text="" dxfId="8">
      <formula>IF(#REF!=#REF!,1,IF(#REF!=#REF!,1,0))</formula>
    </cfRule>
  </conditionalFormatting>
  <conditionalFormatting sqref="B5:D52">
    <cfRule type="expression" priority="3" aboveAverage="0" equalAverage="0" bottom="0" percent="0" rank="0" text="" dxfId="8">
      <formula>IF(#REF!=CONCATENATE($D4,"_win"),1,0)</formula>
    </cfRule>
  </conditionalFormatting>
  <conditionalFormatting sqref="G4:G52 H4 B4:D52">
    <cfRule type="expression" priority="4" aboveAverage="0" equalAverage="0" bottom="0" percent="0" rank="0" text="" dxfId="8">
      <formula>IF(#REF!=CONCATENATE($G4,"_win"),1,0)</formula>
    </cfRule>
  </conditionalFormatting>
  <conditionalFormatting sqref="K23 M23:R23">
    <cfRule type="expression" priority="5" aboveAverage="0" equalAverage="0" bottom="0" percent="0" rank="0" text="" dxfId="8">
      <formula>IF(#REF!=#REF!,1,IF(#REF!=#REF!,1,0))</formula>
    </cfRule>
  </conditionalFormatting>
  <conditionalFormatting sqref="CV40:DE40">
    <cfRule type="expression" priority="6" aboveAverage="0" equalAverage="0" bottom="0" percent="0" rank="0" text="" dxfId="8">
      <formula>IF(#REF!=#REF!,1,IF(#REF!=#REF!,1,0))</formula>
    </cfRule>
  </conditionalFormatting>
  <conditionalFormatting sqref="CV18 CX18:DE18">
    <cfRule type="expression" priority="7" aboveAverage="0" equalAverage="0" bottom="0" percent="0" rank="0" text="" dxfId="8">
      <formula>IF(#REF!=#REF!,1,IF(#REF!=#REF!,1,0))</formula>
    </cfRule>
  </conditionalFormatting>
  <conditionalFormatting sqref="CV23 CX23:DE23">
    <cfRule type="expression" priority="8" aboveAverage="0" equalAverage="0" bottom="0" percent="0" rank="0" text="" dxfId="8">
      <formula>IF(#REF!=#REF!,1,IF(#REF!=#REF!,1,0))</formula>
    </cfRule>
  </conditionalFormatting>
  <conditionalFormatting sqref="G3:I3 B3:E3">
    <cfRule type="expression" priority="9" aboveAverage="0" equalAverage="0" bottom="0" percent="0" rank="0" text="" dxfId="8">
      <formula>$P$4="Black and White"</formula>
    </cfRule>
  </conditionalFormatting>
  <conditionalFormatting sqref="K8:R8 K18:R18 K13:R13">
    <cfRule type="expression" priority="10" aboveAverage="0" equalAverage="0" bottom="0" percent="0" rank="0" text="" dxfId="8">
      <formula>$P$4="Black and White"</formula>
    </cfRule>
  </conditionalFormatting>
  <conditionalFormatting sqref="K3:R3">
    <cfRule type="expression" priority="11" aboveAverage="0" equalAverage="0" bottom="0" percent="0" rank="0" text="" dxfId="8">
      <formula>$P$4="Black and White"</formula>
    </cfRule>
  </conditionalFormatting>
  <conditionalFormatting sqref="K24:R24">
    <cfRule type="expression" priority="12" aboveAverage="0" equalAverage="0" bottom="0" percent="0" rank="0" text="" dxfId="8">
      <formula>$P$4="Black and White"</formula>
    </cfRule>
  </conditionalFormatting>
  <conditionalFormatting sqref="K33">
    <cfRule type="expression" priority="13" aboveAverage="0" equalAverage="0" bottom="0" percent="0" rank="0" text="" dxfId="8">
      <formula>$P$4="Black and White"</formula>
    </cfRule>
  </conditionalFormatting>
  <conditionalFormatting sqref="L33">
    <cfRule type="expression" priority="14" aboveAverage="0" equalAverage="0" bottom="0" percent="0" rank="0" text="" dxfId="8">
      <formula>$P$4="Black and White"</formula>
    </cfRule>
  </conditionalFormatting>
  <conditionalFormatting sqref="M33:R33">
    <cfRule type="expression" priority="15" aboveAverage="0" equalAverage="0" bottom="0" percent="0" rank="0" text="" dxfId="8">
      <formula>$P$4="Black and White"</formula>
    </cfRule>
  </conditionalFormatting>
  <conditionalFormatting sqref="K26:K27">
    <cfRule type="expression" priority="16" aboveAverage="0" equalAverage="0" bottom="0" percent="0" rank="0" text="" dxfId="8">
      <formula>$P$4="Black and White"</formula>
    </cfRule>
  </conditionalFormatting>
  <conditionalFormatting sqref="K25">
    <cfRule type="expression" priority="17" aboveAverage="0" equalAverage="0" bottom="0" percent="0" rank="0" text="" dxfId="8">
      <formula>$P$4="Black and White"</formula>
    </cfRule>
  </conditionalFormatting>
  <conditionalFormatting sqref="M26">
    <cfRule type="expression" priority="18" aboveAverage="0" equalAverage="0" bottom="0" percent="0" rank="0" text="" dxfId="8">
      <formula>$P$4="Black and White"</formula>
    </cfRule>
  </conditionalFormatting>
  <conditionalFormatting sqref="M27">
    <cfRule type="expression" priority="19" aboveAverage="0" equalAverage="0" bottom="0" percent="0" rank="0" text="" dxfId="8">
      <formula>$P$4="Black and White"</formula>
    </cfRule>
  </conditionalFormatting>
  <conditionalFormatting sqref="N26:N27">
    <cfRule type="expression" priority="20" aboveAverage="0" equalAverage="0" bottom="0" percent="0" rank="0" text="" dxfId="8">
      <formula>$P$4="Black and White"</formula>
    </cfRule>
  </conditionalFormatting>
  <conditionalFormatting sqref="O26:R27">
    <cfRule type="expression" priority="21" aboveAverage="0" equalAverage="0" bottom="0" percent="0" rank="0" text="" dxfId="8">
      <formula>$P$4="Black and White"</formula>
    </cfRule>
  </conditionalFormatting>
  <conditionalFormatting sqref="M25:R25">
    <cfRule type="expression" priority="22" aboveAverage="0" equalAverage="0" bottom="0" percent="0" rank="0" text="" dxfId="8">
      <formula>$P$4="Black and White"</formula>
    </cfRule>
  </conditionalFormatting>
  <conditionalFormatting sqref="L27">
    <cfRule type="expression" priority="23" aboveAverage="0" equalAverage="0" bottom="0" percent="0" rank="0" text="" dxfId="8">
      <formula>$P$4="Black and White"</formula>
    </cfRule>
  </conditionalFormatting>
  <conditionalFormatting sqref="L26">
    <cfRule type="expression" priority="24" aboveAverage="0" equalAverage="0" bottom="0" percent="0" rank="0" text="" dxfId="8">
      <formula>$P$4="Black and White"</formula>
    </cfRule>
  </conditionalFormatting>
  <conditionalFormatting sqref="L29:R29 L34:R34 L39:R39">
    <cfRule type="expression" priority="25" aboveAverage="0" equalAverage="0" bottom="0" percent="0" rank="0" text="" dxfId="8">
      <formula>$P$4="Black and White"</formula>
    </cfRule>
  </conditionalFormatting>
  <conditionalFormatting sqref="L32 L37">
    <cfRule type="expression" priority="26" aboveAverage="0" equalAverage="0" bottom="0" percent="0" rank="0" text="" dxfId="8">
      <formula>$P$4="Black and White"</formula>
    </cfRule>
  </conditionalFormatting>
  <conditionalFormatting sqref="L31 L36">
    <cfRule type="expression" priority="27" aboveAverage="0" equalAverage="0" bottom="0" percent="0" rank="0" text="" dxfId="8">
      <formula>$P$4="Black and White"</formula>
    </cfRule>
  </conditionalFormatting>
  <conditionalFormatting sqref="K34 K29 K39">
    <cfRule type="expression" priority="28" aboveAverage="0" equalAverage="0" bottom="0" percent="0" rank="0" text="" dxfId="8">
      <formula>$P$4="Black and White"</formula>
    </cfRule>
  </conditionalFormatting>
  <conditionalFormatting sqref="K30 K35 K40">
    <cfRule type="expression" priority="29" aboveAverage="0" equalAverage="0" bottom="0" percent="0" rank="0" text="" dxfId="8">
      <formula>$P$4="Black and White"</formula>
    </cfRule>
  </conditionalFormatting>
  <conditionalFormatting sqref="K31:K32 K36:K37">
    <cfRule type="expression" priority="30" aboveAverage="0" equalAverage="0" bottom="0" percent="0" rank="0" text="" dxfId="8">
      <formula>$P$4="Black and White"</formula>
    </cfRule>
  </conditionalFormatting>
  <conditionalFormatting sqref="K19">
    <cfRule type="expression" priority="31" aboveAverage="0" equalAverage="0" bottom="0" percent="0" rank="0" text="" dxfId="8">
      <formula>$P$4="Black and White"</formula>
    </cfRule>
  </conditionalFormatting>
  <conditionalFormatting sqref="K21:K22">
    <cfRule type="expression" priority="32" aboveAverage="0" equalAverage="0" bottom="0" percent="0" rank="0" text="" dxfId="8">
      <formula>$P$4="Black and White"</formula>
    </cfRule>
  </conditionalFormatting>
  <conditionalFormatting sqref="K20">
    <cfRule type="expression" priority="33" aboveAverage="0" equalAverage="0" bottom="0" percent="0" rank="0" text="" dxfId="8">
      <formula>$P$4="Black and White"</formula>
    </cfRule>
  </conditionalFormatting>
  <conditionalFormatting sqref="K14">
    <cfRule type="expression" priority="34" aboveAverage="0" equalAverage="0" bottom="0" percent="0" rank="0" text="" dxfId="8">
      <formula>$P$4="Black and White"</formula>
    </cfRule>
  </conditionalFormatting>
  <conditionalFormatting sqref="K16:K17">
    <cfRule type="expression" priority="35" aboveAverage="0" equalAverage="0" bottom="0" percent="0" rank="0" text="" dxfId="8">
      <formula>$P$4="Black and White"</formula>
    </cfRule>
  </conditionalFormatting>
  <conditionalFormatting sqref="K15">
    <cfRule type="expression" priority="36" aboveAverage="0" equalAverage="0" bottom="0" percent="0" rank="0" text="" dxfId="8">
      <formula>$P$4="Black and White"</formula>
    </cfRule>
  </conditionalFormatting>
  <conditionalFormatting sqref="K9">
    <cfRule type="expression" priority="37" aboveAverage="0" equalAverage="0" bottom="0" percent="0" rank="0" text="" dxfId="8">
      <formula>$P$4="Black and White"</formula>
    </cfRule>
  </conditionalFormatting>
  <conditionalFormatting sqref="K11:K12">
    <cfRule type="expression" priority="38" aboveAverage="0" equalAverage="0" bottom="0" percent="0" rank="0" text="" dxfId="8">
      <formula>$P$4="Black and White"</formula>
    </cfRule>
  </conditionalFormatting>
  <conditionalFormatting sqref="K10">
    <cfRule type="expression" priority="39" aboveAverage="0" equalAverage="0" bottom="0" percent="0" rank="0" text="" dxfId="8">
      <formula>$P$4="Black and White"</formula>
    </cfRule>
  </conditionalFormatting>
  <conditionalFormatting sqref="K4">
    <cfRule type="expression" priority="40" aboveAverage="0" equalAverage="0" bottom="0" percent="0" rank="0" text="" dxfId="8">
      <formula>$P$4="Black and White"</formula>
    </cfRule>
  </conditionalFormatting>
  <conditionalFormatting sqref="K6:K7">
    <cfRule type="expression" priority="41" aboveAverage="0" equalAverage="0" bottom="0" percent="0" rank="0" text="" dxfId="8">
      <formula>$P$4="Black and White"</formula>
    </cfRule>
  </conditionalFormatting>
  <conditionalFormatting sqref="K5">
    <cfRule type="expression" priority="42" aboveAverage="0" equalAverage="0" bottom="0" percent="0" rank="0" text="" dxfId="8">
      <formula>$P$4="Black and White"</formula>
    </cfRule>
  </conditionalFormatting>
  <conditionalFormatting sqref="L25">
    <cfRule type="expression" priority="43" aboveAverage="0" equalAverage="0" bottom="0" percent="0" rank="0" text="" dxfId="8">
      <formula>$P$4="Black and White"</formula>
    </cfRule>
  </conditionalFormatting>
  <conditionalFormatting sqref="L30:R30 L35:R35 L40:R40">
    <cfRule type="expression" priority="44" aboveAverage="0" equalAverage="0" bottom="0" percent="0" rank="0" text="" dxfId="8">
      <formula>$P$4="Black and White"</formula>
    </cfRule>
  </conditionalFormatting>
  <conditionalFormatting sqref="M31:R32 M36:R37">
    <cfRule type="expression" priority="45" aboveAverage="0" equalAverage="0" bottom="0" percent="0" rank="0" text="" dxfId="8">
      <formula>$P$4="Black and White"</formula>
    </cfRule>
  </conditionalFormatting>
  <conditionalFormatting sqref="L19:R19">
    <cfRule type="expression" priority="46" aboveAverage="0" equalAverage="0" bottom="0" percent="0" rank="0" text="" dxfId="8">
      <formula>$P$4="Black and White"</formula>
    </cfRule>
  </conditionalFormatting>
  <conditionalFormatting sqref="M21">
    <cfRule type="expression" priority="47" aboveAverage="0" equalAverage="0" bottom="0" percent="0" rank="0" text="" dxfId="8">
      <formula>$P$4="Black and White"</formula>
    </cfRule>
  </conditionalFormatting>
  <conditionalFormatting sqref="M22">
    <cfRule type="expression" priority="48" aboveAverage="0" equalAverage="0" bottom="0" percent="0" rank="0" text="" dxfId="8">
      <formula>$P$4="Black and White"</formula>
    </cfRule>
  </conditionalFormatting>
  <conditionalFormatting sqref="N21:N22">
    <cfRule type="expression" priority="49" aboveAverage="0" equalAverage="0" bottom="0" percent="0" rank="0" text="" dxfId="8">
      <formula>$P$4="Black and White"</formula>
    </cfRule>
  </conditionalFormatting>
  <conditionalFormatting sqref="O21:R22">
    <cfRule type="expression" priority="50" aboveAverage="0" equalAverage="0" bottom="0" percent="0" rank="0" text="" dxfId="8">
      <formula>$P$4="Black and White"</formula>
    </cfRule>
  </conditionalFormatting>
  <conditionalFormatting sqref="M20:R20">
    <cfRule type="expression" priority="51" aboveAverage="0" equalAverage="0" bottom="0" percent="0" rank="0" text="" dxfId="8">
      <formula>$P$4="Black and White"</formula>
    </cfRule>
  </conditionalFormatting>
  <conditionalFormatting sqref="L22">
    <cfRule type="expression" priority="52" aboveAverage="0" equalAverage="0" bottom="0" percent="0" rank="0" text="" dxfId="8">
      <formula>$P$4="Black and White"</formula>
    </cfRule>
  </conditionalFormatting>
  <conditionalFormatting sqref="L21">
    <cfRule type="expression" priority="53" aboveAverage="0" equalAverage="0" bottom="0" percent="0" rank="0" text="" dxfId="8">
      <formula>$P$4="Black and White"</formula>
    </cfRule>
  </conditionalFormatting>
  <conditionalFormatting sqref="L20">
    <cfRule type="expression" priority="54" aboveAverage="0" equalAverage="0" bottom="0" percent="0" rank="0" text="" dxfId="8">
      <formula>$P$4="Black and White"</formula>
    </cfRule>
  </conditionalFormatting>
  <conditionalFormatting sqref="L14:R14">
    <cfRule type="expression" priority="55" aboveAverage="0" equalAverage="0" bottom="0" percent="0" rank="0" text="" dxfId="8">
      <formula>$P$4="Black and White"</formula>
    </cfRule>
  </conditionalFormatting>
  <conditionalFormatting sqref="M16">
    <cfRule type="expression" priority="56" aboveAverage="0" equalAverage="0" bottom="0" percent="0" rank="0" text="" dxfId="8">
      <formula>$P$4="Black and White"</formula>
    </cfRule>
  </conditionalFormatting>
  <conditionalFormatting sqref="M17">
    <cfRule type="expression" priority="57" aboveAverage="0" equalAverage="0" bottom="0" percent="0" rank="0" text="" dxfId="8">
      <formula>$P$4="Black and White"</formula>
    </cfRule>
  </conditionalFormatting>
  <conditionalFormatting sqref="N16:N17">
    <cfRule type="expression" priority="58" aboveAverage="0" equalAverage="0" bottom="0" percent="0" rank="0" text="" dxfId="8">
      <formula>$P$4="Black and White"</formula>
    </cfRule>
  </conditionalFormatting>
  <conditionalFormatting sqref="O16:R17">
    <cfRule type="expression" priority="59" aboveAverage="0" equalAverage="0" bottom="0" percent="0" rank="0" text="" dxfId="8">
      <formula>$P$4="Black and White"</formula>
    </cfRule>
  </conditionalFormatting>
  <conditionalFormatting sqref="M15:R15">
    <cfRule type="expression" priority="60" aboveAverage="0" equalAverage="0" bottom="0" percent="0" rank="0" text="" dxfId="8">
      <formula>$P$4="Black and White"</formula>
    </cfRule>
  </conditionalFormatting>
  <conditionalFormatting sqref="L17">
    <cfRule type="expression" priority="61" aboveAverage="0" equalAverage="0" bottom="0" percent="0" rank="0" text="" dxfId="8">
      <formula>$P$4="Black and White"</formula>
    </cfRule>
  </conditionalFormatting>
  <conditionalFormatting sqref="L16">
    <cfRule type="expression" priority="62" aboveAverage="0" equalAverage="0" bottom="0" percent="0" rank="0" text="" dxfId="8">
      <formula>$P$4="Black and White"</formula>
    </cfRule>
  </conditionalFormatting>
  <conditionalFormatting sqref="L15">
    <cfRule type="expression" priority="63" aboveAverage="0" equalAverage="0" bottom="0" percent="0" rank="0" text="" dxfId="8">
      <formula>$P$4="Black and White"</formula>
    </cfRule>
  </conditionalFormatting>
  <conditionalFormatting sqref="L9:R9">
    <cfRule type="expression" priority="64" aboveAverage="0" equalAverage="0" bottom="0" percent="0" rank="0" text="" dxfId="8">
      <formula>$P$4="Black and White"</formula>
    </cfRule>
  </conditionalFormatting>
  <conditionalFormatting sqref="M11">
    <cfRule type="expression" priority="65" aboveAverage="0" equalAverage="0" bottom="0" percent="0" rank="0" text="" dxfId="8">
      <formula>$P$4="Black and White"</formula>
    </cfRule>
  </conditionalFormatting>
  <conditionalFormatting sqref="M12">
    <cfRule type="expression" priority="66" aboveAverage="0" equalAverage="0" bottom="0" percent="0" rank="0" text="" dxfId="8">
      <formula>$P$4="Black and White"</formula>
    </cfRule>
  </conditionalFormatting>
  <conditionalFormatting sqref="N11:N12">
    <cfRule type="expression" priority="67" aboveAverage="0" equalAverage="0" bottom="0" percent="0" rank="0" text="" dxfId="8">
      <formula>$P$4="Black and White"</formula>
    </cfRule>
  </conditionalFormatting>
  <conditionalFormatting sqref="O11:R12">
    <cfRule type="expression" priority="68" aboveAverage="0" equalAverage="0" bottom="0" percent="0" rank="0" text="" dxfId="8">
      <formula>$P$4="Black and White"</formula>
    </cfRule>
  </conditionalFormatting>
  <conditionalFormatting sqref="M10:R10">
    <cfRule type="expression" priority="69" aboveAverage="0" equalAverage="0" bottom="0" percent="0" rank="0" text="" dxfId="8">
      <formula>$P$4="Black and White"</formula>
    </cfRule>
  </conditionalFormatting>
  <conditionalFormatting sqref="L12">
    <cfRule type="expression" priority="70" aboveAverage="0" equalAverage="0" bottom="0" percent="0" rank="0" text="" dxfId="8">
      <formula>$P$4="Black and White"</formula>
    </cfRule>
  </conditionalFormatting>
  <conditionalFormatting sqref="L11">
    <cfRule type="expression" priority="71" aboveAverage="0" equalAverage="0" bottom="0" percent="0" rank="0" text="" dxfId="8">
      <formula>$P$4="Black and White"</formula>
    </cfRule>
  </conditionalFormatting>
  <conditionalFormatting sqref="L10">
    <cfRule type="expression" priority="72" aboveAverage="0" equalAverage="0" bottom="0" percent="0" rank="0" text="" dxfId="8">
      <formula>$P$4="Black and White"</formula>
    </cfRule>
  </conditionalFormatting>
  <conditionalFormatting sqref="L4:R4">
    <cfRule type="expression" priority="73" aboveAverage="0" equalAverage="0" bottom="0" percent="0" rank="0" text="" dxfId="8">
      <formula>$P$4="Black and White"</formula>
    </cfRule>
  </conditionalFormatting>
  <conditionalFormatting sqref="M6">
    <cfRule type="expression" priority="74" aboveAverage="0" equalAverage="0" bottom="0" percent="0" rank="0" text="" dxfId="8">
      <formula>$P$4="Black and White"</formula>
    </cfRule>
  </conditionalFormatting>
  <conditionalFormatting sqref="M7">
    <cfRule type="expression" priority="75" aboveAverage="0" equalAverage="0" bottom="0" percent="0" rank="0" text="" dxfId="8">
      <formula>$P$4="Black and White"</formula>
    </cfRule>
  </conditionalFormatting>
  <conditionalFormatting sqref="N6:N7">
    <cfRule type="expression" priority="76" aboveAverage="0" equalAverage="0" bottom="0" percent="0" rank="0" text="" dxfId="8">
      <formula>$P$4="Black and White"</formula>
    </cfRule>
  </conditionalFormatting>
  <conditionalFormatting sqref="O6:R7">
    <cfRule type="expression" priority="77" aboveAverage="0" equalAverage="0" bottom="0" percent="0" rank="0" text="" dxfId="8">
      <formula>$P$4="Black and White"</formula>
    </cfRule>
  </conditionalFormatting>
  <conditionalFormatting sqref="M5:R5">
    <cfRule type="expression" priority="78" aboveAverage="0" equalAverage="0" bottom="0" percent="0" rank="0" text="" dxfId="8">
      <formula>$P$4="Black and White"</formula>
    </cfRule>
  </conditionalFormatting>
  <conditionalFormatting sqref="L7">
    <cfRule type="expression" priority="79" aboveAverage="0" equalAverage="0" bottom="0" percent="0" rank="0" text="" dxfId="8">
      <formula>$P$4="Black and White"</formula>
    </cfRule>
  </conditionalFormatting>
  <conditionalFormatting sqref="L6">
    <cfRule type="expression" priority="80" aboveAverage="0" equalAverage="0" bottom="0" percent="0" rank="0" text="" dxfId="8">
      <formula>$P$4="Black and White"</formula>
    </cfRule>
  </conditionalFormatting>
  <conditionalFormatting sqref="L5">
    <cfRule type="expression" priority="81" aboveAverage="0" equalAverage="0" bottom="0" percent="0" rank="0" text="" dxfId="8">
      <formula>$P$4="Black and White"</formula>
    </cfRule>
  </conditionalFormatting>
  <conditionalFormatting sqref="K41">
    <cfRule type="expression" priority="82" aboveAverage="0" equalAverage="0" bottom="0" percent="0" rank="0" text="" dxfId="8">
      <formula>$P$4="Black and White"</formula>
    </cfRule>
  </conditionalFormatting>
  <conditionalFormatting sqref="K42">
    <cfRule type="expression" priority="83" aboveAverage="0" equalAverage="0" bottom="0" percent="0" rank="0" text="" dxfId="8">
      <formula>$P$4="Black and White"</formula>
    </cfRule>
  </conditionalFormatting>
  <conditionalFormatting sqref="L41">
    <cfRule type="expression" priority="84" aboveAverage="0" equalAverage="0" bottom="0" percent="0" rank="0" text="" dxfId="8">
      <formula>$P$4="Black and White"</formula>
    </cfRule>
  </conditionalFormatting>
  <conditionalFormatting sqref="L42">
    <cfRule type="expression" priority="85" aboveAverage="0" equalAverage="0" bottom="0" percent="0" rank="0" text="" dxfId="8">
      <formula>$P$4="Black and White"</formula>
    </cfRule>
  </conditionalFormatting>
  <conditionalFormatting sqref="M42:R42">
    <cfRule type="expression" priority="86" aboveAverage="0" equalAverage="0" bottom="0" percent="0" rank="0" text="" dxfId="8">
      <formula>$P$4="Black and White"</formula>
    </cfRule>
  </conditionalFormatting>
  <conditionalFormatting sqref="M41:R41">
    <cfRule type="expression" priority="87" aboveAverage="0" equalAverage="0" bottom="0" percent="0" rank="0" text="" dxfId="8">
      <formula>$P$4="Black and White"</formula>
    </cfRule>
  </conditionalFormatting>
  <conditionalFormatting sqref="U15">
    <cfRule type="expression" priority="88" aboveAverage="0" equalAverage="0" bottom="0" percent="0" rank="0" text="" dxfId="8">
      <formula>IF($AU15=#REF!,1,0)</formula>
    </cfRule>
    <cfRule type="expression" priority="89" aboveAverage="0" equalAverage="0" bottom="0" percent="0" rank="0" text="" dxfId="8">
      <formula>IF($AU14=#REF!,1,0)</formula>
    </cfRule>
  </conditionalFormatting>
  <conditionalFormatting sqref="U35">
    <cfRule type="expression" priority="90" aboveAverage="0" equalAverage="0" bottom="0" percent="0" rank="0" text="" dxfId="8">
      <formula>IF($AU35=#REF!,1,0)</formula>
    </cfRule>
    <cfRule type="expression" priority="91" aboveAverage="0" equalAverage="0" bottom="0" percent="0" rank="0" text="" dxfId="8">
      <formula>IF($AU34=#REF!,1,0)</formula>
    </cfRule>
  </conditionalFormatting>
  <conditionalFormatting sqref="U27">
    <cfRule type="expression" priority="92" aboveAverage="0" equalAverage="0" bottom="0" percent="0" rank="0" text="" dxfId="8">
      <formula>IF($AU27=#REF!,1,0)</formula>
    </cfRule>
    <cfRule type="expression" priority="93" aboveAverage="0" equalAverage="0" bottom="0" percent="0" rank="0" text="" dxfId="8">
      <formula>IF($AU26=#REF!,1,0)</formula>
    </cfRule>
  </conditionalFormatting>
  <conditionalFormatting sqref="U18 U14 U26 U34 U30:U31 U22">
    <cfRule type="expression" priority="94" aboveAverage="0" equalAverage="0" bottom="0" percent="0" rank="0" text="" dxfId="8">
      <formula>IF($AU14=#REF!,1,0)</formula>
    </cfRule>
    <cfRule type="expression" priority="95" aboveAverage="0" equalAverage="0" bottom="0" percent="0" rank="0" text="" dxfId="8">
      <formula>IF($AU15=#REF!,1,0)</formula>
    </cfRule>
  </conditionalFormatting>
  <conditionalFormatting sqref="U19">
    <cfRule type="expression" priority="96" aboveAverage="0" equalAverage="0" bottom="0" percent="0" rank="0" text="" dxfId="8">
      <formula>IF($AU19=#REF!,1,0)</formula>
    </cfRule>
    <cfRule type="expression" priority="97" aboveAverage="0" equalAverage="0" bottom="0" percent="0" rank="0" text="" dxfId="8">
      <formula>IF($AU18=#REF!,1,0)</formula>
    </cfRule>
  </conditionalFormatting>
  <conditionalFormatting sqref="V14 V34 V37 V26 V30 V18 V22 V10">
    <cfRule type="expression" priority="98" aboveAverage="0" equalAverage="0" bottom="0" percent="0" rank="0" text="" dxfId="8">
      <formula>IF(AND(#REF!&gt;#REF!,ISNUMBER(#REF!),ISNUMBER(#REF!)),1,0)</formula>
    </cfRule>
  </conditionalFormatting>
  <conditionalFormatting sqref="V15 V35 V27 V31 V19 V23 V11">
    <cfRule type="expression" priority="99" aboveAverage="0" equalAverage="0" bottom="0" percent="0" rank="0" text="" dxfId="8">
      <formula>IF(AND(#REF!&lt;#REF!,ISNUMBER(#REF!),ISNUMBER(#REF!)),1,0)</formula>
    </cfRule>
  </conditionalFormatting>
  <conditionalFormatting sqref="U10">
    <cfRule type="expression" priority="100" aboveAverage="0" equalAverage="0" bottom="0" percent="0" rank="0" text="" dxfId="8">
      <formula>$P$4="Black and White"</formula>
    </cfRule>
  </conditionalFormatting>
  <conditionalFormatting sqref="U11">
    <cfRule type="expression" priority="101" aboveAverage="0" equalAverage="0" bottom="0" percent="0" rank="0" text="" dxfId="8">
      <formula>$P$4="Black and White"</formula>
    </cfRule>
  </conditionalFormatting>
  <conditionalFormatting sqref="U23">
    <cfRule type="expression" priority="102" aboveAverage="0" equalAverage="0" bottom="0" percent="0" rank="0" text="" dxfId="8">
      <formula>IF($AU23=#REF!,1,0)</formula>
    </cfRule>
    <cfRule type="expression" priority="103" aboveAverage="0" equalAverage="0" bottom="0" percent="0" rank="0" text="" dxfId="8">
      <formula>IF($AU22=#REF!,1,0)</formula>
    </cfRule>
  </conditionalFormatting>
  <conditionalFormatting sqref="U37">
    <cfRule type="expression" priority="104" aboveAverage="0" equalAverage="0" bottom="0" percent="0" rank="0" text="" dxfId="8">
      <formula>IF($AU37=#REF!,1,0)</formula>
    </cfRule>
    <cfRule type="expression" priority="105" aboveAverage="0" equalAverage="0" bottom="0" percent="0" rank="0" text="" dxfId="8">
      <formula>IF($AU38=#REF!,1,0)</formula>
    </cfRule>
  </conditionalFormatting>
  <conditionalFormatting sqref="AA12">
    <cfRule type="expression" priority="106" aboveAverage="0" equalAverage="0" bottom="0" percent="0" rank="0" text="" dxfId="8">
      <formula>IF(AND(#REF!&gt;#REF!,ISNUMBER(#REF!),ISNUMBER(#REF!)),1,0)</formula>
    </cfRule>
  </conditionalFormatting>
  <conditionalFormatting sqref="AA13">
    <cfRule type="expression" priority="107" aboveAverage="0" equalAverage="0" bottom="0" percent="0" rank="0" text="" dxfId="8">
      <formula>IF(AND(#REF!&lt;#REF!,ISNUMBER(#REF!),ISNUMBER(#REF!)),1,0)</formula>
    </cfRule>
  </conditionalFormatting>
  <conditionalFormatting sqref="AA20">
    <cfRule type="expression" priority="108" aboveAverage="0" equalAverage="0" bottom="0" percent="0" rank="0" text="" dxfId="8">
      <formula>IF(AND(#REF!&gt;#REF!,ISNUMBER(#REF!),ISNUMBER(#REF!)),1,0)</formula>
    </cfRule>
  </conditionalFormatting>
  <conditionalFormatting sqref="AA21">
    <cfRule type="expression" priority="109" aboveAverage="0" equalAverage="0" bottom="0" percent="0" rank="0" text="" dxfId="8">
      <formula>IF(AND(#REF!&lt;#REF!,ISNUMBER(#REF!),ISNUMBER(#REF!)),1,0)</formula>
    </cfRule>
  </conditionalFormatting>
  <conditionalFormatting sqref="AA36">
    <cfRule type="expression" priority="110" aboveAverage="0" equalAverage="0" bottom="0" percent="0" rank="0" text="" dxfId="8">
      <formula>IF(AND(#REF!&gt;#REF!,ISNUMBER(#REF!),ISNUMBER(#REF!)),1,0)</formula>
    </cfRule>
  </conditionalFormatting>
  <conditionalFormatting sqref="AA37">
    <cfRule type="expression" priority="111" aboveAverage="0" equalAverage="0" bottom="0" percent="0" rank="0" text="" dxfId="8">
      <formula>IF(AND(#REF!&lt;#REF!,ISNUMBER(#REF!),ISNUMBER(#REF!)),1,0)</formula>
    </cfRule>
  </conditionalFormatting>
  <conditionalFormatting sqref="Z13">
    <cfRule type="expression" priority="112" aboveAverage="0" equalAverage="0" bottom="0" percent="0" rank="0" text="" dxfId="8">
      <formula>$P$4="Black and White"</formula>
    </cfRule>
  </conditionalFormatting>
  <conditionalFormatting sqref="Z21">
    <cfRule type="expression" priority="113" aboveAverage="0" equalAverage="0" bottom="0" percent="0" rank="0" text="" dxfId="8">
      <formula>$P$4="Black and White"</formula>
    </cfRule>
  </conditionalFormatting>
  <conditionalFormatting sqref="Z37">
    <cfRule type="expression" priority="114" aboveAverage="0" equalAverage="0" bottom="0" percent="0" rank="0" text="" dxfId="8">
      <formula>$P$4="Black and White"</formula>
    </cfRule>
  </conditionalFormatting>
  <conditionalFormatting sqref="Z12 Z20 Z36 Z28 AE16 AE32 AJ23">
    <cfRule type="expression" priority="115" aboveAverage="0" equalAverage="0" bottom="0" percent="0" rank="0" text="" dxfId="8">
      <formula>$P$4="Black and White"</formula>
    </cfRule>
  </conditionalFormatting>
  <conditionalFormatting sqref="AA28">
    <cfRule type="expression" priority="116" aboveAverage="0" equalAverage="0" bottom="0" percent="0" rank="0" text="" dxfId="8">
      <formula>IF(AND(#REF!&gt;#REF!,ISNUMBER(#REF!),ISNUMBER(#REF!)),1,0)</formula>
    </cfRule>
  </conditionalFormatting>
  <conditionalFormatting sqref="AA29">
    <cfRule type="expression" priority="117" aboveAverage="0" equalAverage="0" bottom="0" percent="0" rank="0" text="" dxfId="8">
      <formula>IF(AND(#REF!&lt;#REF!,ISNUMBER(#REF!),ISNUMBER(#REF!)),1,0)</formula>
    </cfRule>
  </conditionalFormatting>
  <conditionalFormatting sqref="Z29">
    <cfRule type="expression" priority="118" aboveAverage="0" equalAverage="0" bottom="0" percent="0" rank="0" text="" dxfId="8">
      <formula>$P$4="Black and White"</formula>
    </cfRule>
  </conditionalFormatting>
  <conditionalFormatting sqref="AF16">
    <cfRule type="expression" priority="119" aboveAverage="0" equalAverage="0" bottom="0" percent="0" rank="0" text="" dxfId="8">
      <formula>IF(AND(#REF!&gt;#REF!,ISNUMBER(#REF!),ISNUMBER(#REF!)),1,0)</formula>
    </cfRule>
  </conditionalFormatting>
  <conditionalFormatting sqref="AF17">
    <cfRule type="expression" priority="120" aboveAverage="0" equalAverage="0" bottom="0" percent="0" rank="0" text="" dxfId="8">
      <formula>IF(AND(#REF!&lt;#REF!,ISNUMBER(#REF!),ISNUMBER(#REF!)),1,0)</formula>
    </cfRule>
  </conditionalFormatting>
  <conditionalFormatting sqref="AF32">
    <cfRule type="expression" priority="121" aboveAverage="0" equalAverage="0" bottom="0" percent="0" rank="0" text="" dxfId="8">
      <formula>IF(AND(#REF!&gt;#REF!,ISNUMBER(#REF!),ISNUMBER(#REF!)),1,0)</formula>
    </cfRule>
  </conditionalFormatting>
  <conditionalFormatting sqref="AF33">
    <cfRule type="expression" priority="122" aboveAverage="0" equalAverage="0" bottom="0" percent="0" rank="0" text="" dxfId="8">
      <formula>IF(AND(#REF!&lt;#REF!,ISNUMBER(#REF!),ISNUMBER(#REF!)),1,0)</formula>
    </cfRule>
  </conditionalFormatting>
  <conditionalFormatting sqref="AK23">
    <cfRule type="expression" priority="123" aboveAverage="0" equalAverage="0" bottom="0" percent="0" rank="0" text="" dxfId="8">
      <formula>IF(AND(#REF!&gt;#REF!,ISNUMBER(#REF!),ISNUMBER(#REF!)),1,0)</formula>
    </cfRule>
  </conditionalFormatting>
  <conditionalFormatting sqref="AK24">
    <cfRule type="expression" priority="124" aboveAverage="0" equalAverage="0" bottom="0" percent="0" rank="0" text="" dxfId="8">
      <formula>IF(AND(#REF!&lt;#REF!,ISNUMBER(#REF!),ISNUMBER(#REF!)),1,0)</formula>
    </cfRule>
  </conditionalFormatting>
  <conditionalFormatting sqref="AE17">
    <cfRule type="expression" priority="125" aboveAverage="0" equalAverage="0" bottom="0" percent="0" rank="0" text="" dxfId="8">
      <formula>$P$4="Black and White"</formula>
    </cfRule>
  </conditionalFormatting>
  <conditionalFormatting sqref="AE33">
    <cfRule type="expression" priority="126" aboveAverage="0" equalAverage="0" bottom="0" percent="0" rank="0" text="" dxfId="8">
      <formula>$P$4="Black and White"</formula>
    </cfRule>
  </conditionalFormatting>
  <conditionalFormatting sqref="AJ24">
    <cfRule type="expression" priority="127" aboveAverage="0" equalAverage="0" bottom="0" percent="0" rank="0" text="" dxfId="8">
      <formula>$P$4="Black and White"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it-IT</dc:language>
  <cp:lastModifiedBy/>
  <dcterms:modified xsi:type="dcterms:W3CDTF">2020-08-01T13:15:17Z</dcterms:modified>
  <cp:revision>128</cp:revision>
  <dc:subject/>
  <dc:title/>
</cp:coreProperties>
</file>