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_INPUT" sheetId="1" state="visible" r:id="rId2"/>
    <sheet name="B_ELABORAZIONE" sheetId="2" state="visible" r:id="rId3"/>
    <sheet name="C_OUTPUT" sheetId="3" state="visible" r:id="rId4"/>
  </sheets>
  <definedNames>
    <definedName function="false" hidden="false" name="A_1_INPUT_DATI_TORNEO" vbProcedure="false">A_INPUT!$A$3:$B$4</definedName>
    <definedName function="false" hidden="false" name="A_2_INPUT_SQUADRE" vbProcedure="false">A_INPUT!$D$3:$I$34</definedName>
    <definedName function="false" hidden="false" name="A_3_INPUT_CAMPI" vbProcedure="false">A_INPUT!$K$3:$L$34</definedName>
    <definedName function="false" hidden="false" name="A_4_INPUT_DATE_E_RISULTATI_GIRONI" vbProcedure="false">A_INPUT!$N$3:$X$50</definedName>
    <definedName function="false" hidden="false" name="A_SQUADRE_PER_CODICE" vbProcedure="false">A_INPUT!$E$3:$I$34</definedName>
    <definedName function="false" hidden="false" name="B_CLASSIFICA_GIRONE_A" vbProcedure="false">B_ELABORAZIONE!$Y$3:$AQ$6</definedName>
    <definedName function="false" hidden="false" name="B_CLASSIFICA_GIRONE_B" vbProcedure="false">B_ELABORAZIONE!$Y$7:$AQ$10</definedName>
    <definedName function="false" hidden="false" name="B_CLASSIFICA_GIRONE_C" vbProcedure="false">B_ELABORAZIONE!$Y$11:$AQ$14</definedName>
    <definedName function="false" hidden="false" name="B_CLASSIFICA_GIRONE_D" vbProcedure="false">B_ELABORAZIONE!$Y$15:$AQ$18</definedName>
    <definedName function="false" hidden="false" name="B_CLASSIFICA_GIRONE_E" vbProcedure="false">B_ELABORAZIONE!$Y$19:$AQ$22</definedName>
    <definedName function="false" hidden="false" name="B_CLASSIFICA_GIRONE_F" vbProcedure="false">B_ELABORAZIONE!$Y$23:$AQ$26</definedName>
    <definedName function="false" hidden="false" name="B_CLASSIFICA_GIRONE_G" vbProcedure="false">B_ELABORAZIONE!$Y$27:$AQ$30</definedName>
    <definedName function="false" hidden="false" name="B_CLASSIFICA_GIRONE_H" vbProcedure="false">B_ELABORAZIONE!$Y$31:$AQ$34</definedName>
    <definedName function="false" hidden="false" name="B_COEFF_GIRONE_A" vbProcedure="false">B_ELABORAZIONE!$AQ$3:$AQ$6</definedName>
    <definedName function="false" hidden="false" name="B_COEFF_GIRONE_B" vbProcedure="false">B_ELABORAZIONE!$AQ$7:$AQ$10</definedName>
    <definedName function="false" hidden="false" name="B_COEFF_GIRONE_C" vbProcedure="false">B_ELABORAZIONE!$AQ$11:$AQ$14</definedName>
    <definedName function="false" hidden="false" name="B_COEFF_GIRONE_D" vbProcedure="false">B_ELABORAZIONE!$AQ$15:$AQ$18</definedName>
    <definedName function="false" hidden="false" name="B_COEFF_GIRONE_E" vbProcedure="false">B_ELABORAZIONE!$AQ$19:$AQ$22</definedName>
    <definedName function="false" hidden="false" name="B_COEFF_GIRONE_F" vbProcedure="false">B_ELABORAZIONE!$AQ$23:$AQ$26</definedName>
    <definedName function="false" hidden="false" name="B_COEFF_GIRONE_G" vbProcedure="false">B_ELABORAZIONE!$AQ$27:$AQ$30</definedName>
    <definedName function="false" hidden="false" name="B_COEFF_GIRONE_H" vbProcedure="false">B_ELABORAZIONE!$AQ$31:$AQ$34</definedName>
    <definedName function="false" hidden="false" name="B_DIFF_CANESTRI_SQUADRA_A_GIRONI" vbProcedure="false">B_ELABORAZIONE!$Q$3:$Q$50</definedName>
    <definedName function="false" hidden="false" name="B_DIFF_CANESTRI_SQUADRA_B_GIRONI" vbProcedure="false">B_ELABORAZIONE!$W$3:$W$50</definedName>
    <definedName function="false" hidden="false" name="B_FORFAIT_SQUADRA_A_GIRONI" vbProcedure="false">B_ELABORAZIONE!$N$3:$N$50</definedName>
    <definedName function="false" hidden="false" name="B_FORFAIT_SQUADRA_B_GIRONI" vbProcedure="false">B_ELABORAZIONE!$T$3:$T$50</definedName>
    <definedName function="false" hidden="false" name="B_PARTITE_GIRONI" vbProcedure="false">B_ELABORAZIONE!$A$3:$W$50</definedName>
    <definedName function="false" hidden="false" name="B_PERSE_SQUADRA_A_GIRONI" vbProcedure="false">B_ELABORAZIONE!$M$3:$M$50</definedName>
    <definedName function="false" hidden="false" name="B_PERSE_SQUADRA_B_GIRONI" vbProcedure="false">B_ELABORAZIONE!$S$3:$S$50</definedName>
    <definedName function="false" hidden="false" name="B_PUNTI_FATTI_SQUADRA_A_GIRONI" vbProcedure="false">B_ELABORAZIONE!$O$3:$O$50</definedName>
    <definedName function="false" hidden="false" name="B_PUNTI_FATTI_SQUADRA_B_GIRONI" vbProcedure="false">B_ELABORAZIONE!$U$3:$U$50</definedName>
    <definedName function="false" hidden="false" name="B_PUNTI_SUBITI_SQUADRA_A_GIRONI" vbProcedure="false">B_ELABORAZIONE!$P$3:$P$50</definedName>
    <definedName function="false" hidden="false" name="B_PUNTI_SUBITI_SQUADRA_B_GIRONI" vbProcedure="false">B_ELABORAZIONE!$V$3:$V$50</definedName>
    <definedName function="false" hidden="false" name="B_SQUADRA_A_GIRONI" vbProcedure="false">B_ELABORAZIONE!$F$3:$F$50</definedName>
    <definedName function="false" hidden="false" name="B_SQUADRA_B_GIRONI" vbProcedure="false">B_ELABORAZIONE!$G$3:$G$50</definedName>
    <definedName function="false" hidden="false" name="B_VINTE_SQUADRA_A_GIRONI" vbProcedure="false">B_ELABORAZIONE!$L$3:$L$50</definedName>
    <definedName function="false" hidden="false" name="B_VINTE_SQUADRA_B_GIRONI" vbProcedure="false">B_ELABORAZIONE!$R$3:$R$50</definedName>
    <definedName function="false" hidden="false" name="CLASSIFICA_GIRONE_A" vbProcedure="false">#REF!</definedName>
    <definedName function="false" hidden="false" name="CLASSIFICA_GIRONE_B" vbProcedure="false">#REF!</definedName>
    <definedName function="false" hidden="false" name="CLASSIFICA_GIRONE_C" vbProcedure="false">#REF!</definedName>
    <definedName function="false" hidden="false" name="CLASSIFICA_GIRONE_D" vbProcedure="false">#REF!</definedName>
    <definedName function="false" hidden="false" name="CLASSIFICA_GIRONE_E" vbProcedure="false">#REF!</definedName>
    <definedName function="false" hidden="false" name="CLASSIFICA_GIRONE_F" vbProcedure="false">#REF!</definedName>
    <definedName function="false" hidden="false" name="CLASSIFICA_GIRONE_G" vbProcedure="false">#REF!</definedName>
    <definedName function="false" hidden="false" name="CLASSIFICA_GIRONE_H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<sst xmlns="http://schemas.openxmlformats.org/spreadsheetml/2006/main" count="614" uniqueCount="252">
  <si>
    <t xml:space="preserve">DATI_TORNEO</t>
  </si>
  <si>
    <t xml:space="preserve">SQUADRE</t>
  </si>
  <si>
    <t xml:space="preserve">CAMPI</t>
  </si>
  <si>
    <t xml:space="preserve">DATE_E_RISULTATI_GIRONI</t>
  </si>
  <si>
    <t xml:space="preserve">ID</t>
  </si>
  <si>
    <t xml:space="preserve">Valore</t>
  </si>
  <si>
    <t xml:space="preserve">Codice</t>
  </si>
  <si>
    <t xml:space="preserve">Nome</t>
  </si>
  <si>
    <t xml:space="preserve">Note</t>
  </si>
  <si>
    <t xml:space="preserve">Girone</t>
  </si>
  <si>
    <t xml:space="preserve">ID Nel Girone</t>
  </si>
  <si>
    <t xml:space="preserve">N.
Gara</t>
  </si>
  <si>
    <t xml:space="preserve">Girone
/
Fase</t>
  </si>
  <si>
    <t xml:space="preserve">Squadra
A</t>
  </si>
  <si>
    <t xml:space="preserve">Squadra
B</t>
  </si>
  <si>
    <t xml:space="preserve">Risultato
Squadra
A</t>
  </si>
  <si>
    <t xml:space="preserve">Risultato
Squadra
B</t>
  </si>
  <si>
    <t xml:space="preserve">Data</t>
  </si>
  <si>
    <t xml:space="preserve">Ora</t>
  </si>
  <si>
    <t xml:space="preserve">ID
Campo</t>
  </si>
  <si>
    <t xml:space="preserve">Nome Campo</t>
  </si>
  <si>
    <t xml:space="preserve">NOME_TORNEO</t>
  </si>
  <si>
    <t xml:space="preserve">Torneo dell’Estate</t>
  </si>
  <si>
    <t xml:space="preserve">Leoni</t>
  </si>
  <si>
    <t xml:space="preserve">A</t>
  </si>
  <si>
    <t xml:space="preserve">Cristo Re 1</t>
  </si>
  <si>
    <t xml:space="preserve">STAGIONE</t>
  </si>
  <si>
    <t xml:space="preserve">Pantere</t>
  </si>
  <si>
    <t xml:space="preserve">Cristo Re 2</t>
  </si>
  <si>
    <t xml:space="preserve">Tigri</t>
  </si>
  <si>
    <t xml:space="preserve">Basket Giovane</t>
  </si>
  <si>
    <t xml:space="preserve">Ghepardi</t>
  </si>
  <si>
    <t xml:space="preserve">Nuova Scuola</t>
  </si>
  <si>
    <t xml:space="preserve">Giaguari</t>
  </si>
  <si>
    <t xml:space="preserve">B</t>
  </si>
  <si>
    <t xml:space="preserve">Puma</t>
  </si>
  <si>
    <t xml:space="preserve">Linci</t>
  </si>
  <si>
    <t xml:space="preserve">Serval</t>
  </si>
  <si>
    <t xml:space="preserve">Elefanti</t>
  </si>
  <si>
    <t xml:space="preserve">C</t>
  </si>
  <si>
    <t xml:space="preserve">Giraffe</t>
  </si>
  <si>
    <t xml:space="preserve">Ippopotami</t>
  </si>
  <si>
    <t xml:space="preserve">Iguane</t>
  </si>
  <si>
    <t xml:space="preserve">Coccodrilli</t>
  </si>
  <si>
    <t xml:space="preserve">D</t>
  </si>
  <si>
    <t xml:space="preserve">Pitoni</t>
  </si>
  <si>
    <t xml:space="preserve">Aquile</t>
  </si>
  <si>
    <t xml:space="preserve">Falchi</t>
  </si>
  <si>
    <t xml:space="preserve">Bisonti</t>
  </si>
  <si>
    <t xml:space="preserve">E</t>
  </si>
  <si>
    <t xml:space="preserve">Bufali</t>
  </si>
  <si>
    <t xml:space="preserve">Cervi</t>
  </si>
  <si>
    <t xml:space="preserve">Cinghiali</t>
  </si>
  <si>
    <t xml:space="preserve">Balene</t>
  </si>
  <si>
    <t xml:space="preserve">F</t>
  </si>
  <si>
    <t xml:space="preserve">Gabbiani</t>
  </si>
  <si>
    <t xml:space="preserve">Delfini</t>
  </si>
  <si>
    <t xml:space="preserve">Fenicotteri</t>
  </si>
  <si>
    <t xml:space="preserve">Istrici</t>
  </si>
  <si>
    <t xml:space="preserve">G</t>
  </si>
  <si>
    <t xml:space="preserve">Gorilla</t>
  </si>
  <si>
    <t xml:space="preserve">Muli</t>
  </si>
  <si>
    <t xml:space="preserve">Orche</t>
  </si>
  <si>
    <t xml:space="preserve">Piranha</t>
  </si>
  <si>
    <t xml:space="preserve">H</t>
  </si>
  <si>
    <t xml:space="preserve">Scorpioni</t>
  </si>
  <si>
    <t xml:space="preserve">Tonni</t>
  </si>
  <si>
    <t xml:space="preserve">Zebre</t>
  </si>
  <si>
    <t xml:space="preserve">COLORI</t>
  </si>
  <si>
    <t xml:space="preserve">ROSSO</t>
  </si>
  <si>
    <t xml:space="preserve">ff0000</t>
  </si>
  <si>
    <t xml:space="preserve">ARANCIONE</t>
  </si>
  <si>
    <t xml:space="preserve">ffa500</t>
  </si>
  <si>
    <t xml:space="preserve">GIALLO</t>
  </si>
  <si>
    <t xml:space="preserve">ffff00</t>
  </si>
  <si>
    <t xml:space="preserve">VERDE</t>
  </si>
  <si>
    <t xml:space="preserve">000800</t>
  </si>
  <si>
    <t xml:space="preserve">BLU</t>
  </si>
  <si>
    <t xml:space="preserve">0000ff</t>
  </si>
  <si>
    <t xml:space="preserve">INDACO</t>
  </si>
  <si>
    <t xml:space="preserve">4b0082</t>
  </si>
  <si>
    <t xml:space="preserve">VIOLETTO</t>
  </si>
  <si>
    <t xml:space="preserve">ee82ee</t>
  </si>
  <si>
    <t xml:space="preserve">NERO</t>
  </si>
  <si>
    <t xml:space="preserve">000000</t>
  </si>
  <si>
    <t xml:space="preserve">BLU_SCURO</t>
  </si>
  <si>
    <t xml:space="preserve">1f4e79</t>
  </si>
  <si>
    <t xml:space="preserve">VERDE_MEDIO</t>
  </si>
  <si>
    <t xml:space="preserve">a9d18e</t>
  </si>
  <si>
    <t xml:space="preserve">VERDE_CHIARO</t>
  </si>
  <si>
    <t xml:space="preserve">c5e0b4</t>
  </si>
  <si>
    <t xml:space="preserve">PARTITE_GIRONI</t>
  </si>
  <si>
    <t xml:space="preserve">Tipo
Gara</t>
  </si>
  <si>
    <t xml:space="preserve">Girone
/
Turno</t>
  </si>
  <si>
    <t xml:space="preserve">Codice
Sq.
A</t>
  </si>
  <si>
    <t xml:space="preserve">Codice
Sq.
B</t>
  </si>
  <si>
    <t xml:space="preserve">Squadra A</t>
  </si>
  <si>
    <t xml:space="preserve">Squadra B</t>
  </si>
  <si>
    <t xml:space="preserve">Squadra
Vincente</t>
  </si>
  <si>
    <t xml:space="preserve">Squadra
Perdente</t>
  </si>
  <si>
    <t xml:space="preserve">Vinta
A</t>
  </si>
  <si>
    <t xml:space="preserve">Persa
A</t>
  </si>
  <si>
    <t xml:space="preserve">Forfait
A</t>
  </si>
  <si>
    <t xml:space="preserve">P. Fatti
A</t>
  </si>
  <si>
    <t xml:space="preserve">P. Subiti
A</t>
  </si>
  <si>
    <t xml:space="preserve">Differenza
Canestri
A</t>
  </si>
  <si>
    <t xml:space="preserve">Vinta
B</t>
  </si>
  <si>
    <t xml:space="preserve">Persa
B</t>
  </si>
  <si>
    <t xml:space="preserve">Forfait
B</t>
  </si>
  <si>
    <t xml:space="preserve">P. Fatti
B</t>
  </si>
  <si>
    <t xml:space="preserve">P. Subiti
B</t>
  </si>
  <si>
    <t xml:space="preserve">Differenza
Canestri
B</t>
  </si>
  <si>
    <t xml:space="preserve">Posiz.</t>
  </si>
  <si>
    <t xml:space="preserve">Codice
Squadra</t>
  </si>
  <si>
    <t xml:space="preserve">Squadra</t>
  </si>
  <si>
    <t xml:space="preserve">Giocate</t>
  </si>
  <si>
    <t xml:space="preserve">Vinte</t>
  </si>
  <si>
    <t xml:space="preserve">Perse</t>
  </si>
  <si>
    <t xml:space="preserve">Forfait</t>
  </si>
  <si>
    <t xml:space="preserve">Punti
Class.</t>
  </si>
  <si>
    <t xml:space="preserve">Punti
Gara
Fatti
Tot.</t>
  </si>
  <si>
    <t xml:space="preserve">Punti
Gara
Subiti
Tot.</t>
  </si>
  <si>
    <t xml:space="preserve">Diff.
Punti
Gara
Tot.</t>
  </si>
  <si>
    <t xml:space="preserve">Punti
Gara
Fatti
Scontro
Dir. 1</t>
  </si>
  <si>
    <t xml:space="preserve">Punti
Gara
Fatti
Scontro
Dir. 2</t>
  </si>
  <si>
    <t xml:space="preserve">Punti
Gara
Fatti
Scontro
Dir. 3</t>
  </si>
  <si>
    <t xml:space="preserve">Diff.
Punti
Gara
Scontro
Dir. 1</t>
  </si>
  <si>
    <t xml:space="preserve">Diff.
Punti
Gara
Scontro
Dir. 2</t>
  </si>
  <si>
    <t xml:space="preserve">Diff.
Punti
Gara
Scontro
Dir. 3</t>
  </si>
  <si>
    <t xml:space="preserve">Coefficiente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</si>
  <si>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</si>
  <si>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</si>
  <si>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</si>
  <si>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</si>
  <si>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</si>
  <si>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</si>
  <si>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</si>
  <si>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B4</t>
  </si>
  <si>
    <t xml:space="preserve">C1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</si>
  <si>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</si>
  <si>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</si>
  <si>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</si>
  <si>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</si>
  <si>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</si>
  <si>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</si>
  <si>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</si>
  <si>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E1</t>
  </si>
  <si>
    <t xml:space="preserve">E2</t>
  </si>
  <si>
    <t xml:space="preserve">E3</t>
  </si>
  <si>
    <t xml:space="preserve">E4</t>
  </si>
  <si>
    <t xml:space="preserve">F1</t>
  </si>
  <si>
    <t xml:space="preserve">F2</t>
  </si>
  <si>
    <t xml:space="preserve">F3</t>
  </si>
  <si>
    <t xml:space="preserve">F4</t>
  </si>
  <si>
    <t xml:space="preserve">G1</t>
  </si>
  <si>
    <t xml:space="preserve">G2</t>
  </si>
  <si>
    <t xml:space="preserve">G3</t>
  </si>
  <si>
    <t xml:space="preserve">G4</t>
  </si>
  <si>
    <t xml:space="preserve">H1</t>
  </si>
  <si>
    <t xml:space="preserve">H2</t>
  </si>
  <si>
    <t xml:space="preserve">H3</t>
  </si>
  <si>
    <t xml:space="preserve">H4</t>
  </si>
  <si>
    <t xml:space="preserve">Fase a Gironi</t>
  </si>
  <si>
    <t xml:space="preserve">Classifiche Gironi</t>
  </si>
  <si>
    <t xml:space="preserve">Ottavi di finale</t>
  </si>
  <si>
    <t xml:space="preserve">Quarti di finale</t>
  </si>
  <si>
    <t xml:space="preserve">Semifinali</t>
  </si>
  <si>
    <t xml:space="preserve">Finale</t>
  </si>
  <si>
    <t xml:space="preserve">Risultato</t>
  </si>
  <si>
    <t xml:space="preserve">Gp</t>
  </si>
  <si>
    <t xml:space="preserve">Campo</t>
  </si>
  <si>
    <t xml:space="preserve">Girone A</t>
  </si>
  <si>
    <t xml:space="preserve">V</t>
  </si>
  <si>
    <t xml:space="preserve">P</t>
  </si>
  <si>
    <t xml:space="preserve">PC</t>
  </si>
  <si>
    <t xml:space="preserve">PGF</t>
  </si>
  <si>
    <t xml:space="preserve">PGS</t>
  </si>
  <si>
    <t xml:space="preserve">Gruppo A</t>
  </si>
  <si>
    <t xml:space="preserve">N</t>
  </si>
  <si>
    <t xml:space="preserve">GF</t>
  </si>
  <si>
    <t xml:space="preserve">GS</t>
  </si>
  <si>
    <t xml:space="preserve">DR</t>
  </si>
  <si>
    <t xml:space="preserve">P.ti</t>
  </si>
  <si>
    <t xml:space="preserve">Rank</t>
  </si>
  <si>
    <t xml:space="preserve">Francia</t>
  </si>
  <si>
    <t xml:space="preserve">gio 10 giu h. 9:00</t>
  </si>
  <si>
    <t xml:space="preserve">Albania</t>
  </si>
  <si>
    <t xml:space="preserve">1A</t>
  </si>
  <si>
    <t xml:space="preserve">Svizzera</t>
  </si>
  <si>
    <t xml:space="preserve">2C</t>
  </si>
  <si>
    <t xml:space="preserve">30 Giu  h. 21</t>
  </si>
  <si>
    <t xml:space="preserve">Romania</t>
  </si>
  <si>
    <t xml:space="preserve">Girone B</t>
  </si>
  <si>
    <t xml:space="preserve">Gruppo B</t>
  </si>
  <si>
    <t xml:space="preserve">gio 10 giu h. 11:00</t>
  </si>
  <si>
    <t xml:space="preserve">Inghilterra</t>
  </si>
  <si>
    <t xml:space="preserve">1B</t>
  </si>
  <si>
    <t xml:space="preserve">Galles</t>
  </si>
  <si>
    <t xml:space="preserve">2D</t>
  </si>
  <si>
    <t xml:space="preserve">06 Lug  h. 21</t>
  </si>
  <si>
    <t xml:space="preserve">Slovacchia</t>
  </si>
  <si>
    <t xml:space="preserve">Russia</t>
  </si>
  <si>
    <t xml:space="preserve">Girone C</t>
  </si>
  <si>
    <t xml:space="preserve">25 Giu  h. 18</t>
  </si>
  <si>
    <t xml:space="preserve">Gruppo C</t>
  </si>
  <si>
    <t xml:space="preserve">1E</t>
  </si>
  <si>
    <t xml:space="preserve">Irlanda</t>
  </si>
  <si>
    <t xml:space="preserve">2G</t>
  </si>
  <si>
    <t xml:space="preserve">01 Lug  h. 21</t>
  </si>
  <si>
    <t xml:space="preserve">Germania</t>
  </si>
  <si>
    <t xml:space="preserve">Polonia</t>
  </si>
  <si>
    <t xml:space="preserve">26 Giu  h. 21</t>
  </si>
  <si>
    <t xml:space="preserve">Ucraina</t>
  </si>
  <si>
    <t xml:space="preserve">Girone D</t>
  </si>
  <si>
    <t xml:space="preserve">1F</t>
  </si>
  <si>
    <t xml:space="preserve">10 Lug  h. 21</t>
  </si>
  <si>
    <t xml:space="preserve">Gruppo D</t>
  </si>
  <si>
    <t xml:space="preserve">2H</t>
  </si>
  <si>
    <t xml:space="preserve">Turchia</t>
  </si>
  <si>
    <t xml:space="preserve">Croazia</t>
  </si>
  <si>
    <t xml:space="preserve">26 Giu  h. 18</t>
  </si>
  <si>
    <t xml:space="preserve">Spagna</t>
  </si>
  <si>
    <t xml:space="preserve">1H</t>
  </si>
  <si>
    <t xml:space="preserve">Rep. Ceca</t>
  </si>
  <si>
    <t xml:space="preserve">Girone E</t>
  </si>
  <si>
    <t xml:space="preserve">2F</t>
  </si>
  <si>
    <t xml:space="preserve">02 Lug  h. 21</t>
  </si>
  <si>
    <t xml:space="preserve">Gruppo E</t>
  </si>
  <si>
    <t xml:space="preserve">Italia</t>
  </si>
  <si>
    <t xml:space="preserve">27 Giu  h. 18</t>
  </si>
  <si>
    <t xml:space="preserve">Belgio</t>
  </si>
  <si>
    <t xml:space="preserve">1G</t>
  </si>
  <si>
    <t xml:space="preserve">Svezia</t>
  </si>
  <si>
    <t xml:space="preserve">2E</t>
  </si>
  <si>
    <t xml:space="preserve">07 Lug  h. 21</t>
  </si>
  <si>
    <t xml:space="preserve">Rep. d'Irlanda</t>
  </si>
  <si>
    <t xml:space="preserve">Girone F</t>
  </si>
  <si>
    <t xml:space="preserve">Gruppo F</t>
  </si>
  <si>
    <t xml:space="preserve">26 Giu  h. 15</t>
  </si>
  <si>
    <t xml:space="preserve">Portogallo</t>
  </si>
  <si>
    <t xml:space="preserve">1D</t>
  </si>
  <si>
    <t xml:space="preserve">Austria</t>
  </si>
  <si>
    <t xml:space="preserve">2B</t>
  </si>
  <si>
    <t xml:space="preserve">03 Lug  h. 21</t>
  </si>
  <si>
    <t xml:space="preserve">Ungheria</t>
  </si>
  <si>
    <t xml:space="preserve">Islanda</t>
  </si>
  <si>
    <t xml:space="preserve">Girone G</t>
  </si>
  <si>
    <t xml:space="preserve">27 Giu  h. 21</t>
  </si>
  <si>
    <t xml:space="preserve">Gruppo Terze</t>
  </si>
  <si>
    <t xml:space="preserve">1C</t>
  </si>
  <si>
    <t xml:space="preserve">2A</t>
  </si>
  <si>
    <t xml:space="preserve">Girone H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</si>
</sst>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dd\ dd/mm/yyyy"/>
    <numFmt numFmtId="167" formatCode="hh:mm"/>
    <numFmt numFmtId="168" formatCode="\+0;\-0"/>
    <numFmt numFmtId="169" formatCode="#.000000000000"/>
    <numFmt numFmtId="170" formatCode="ddd\ d\ mmm"/>
    <numFmt numFmtId="171" formatCode="0"/>
    <numFmt numFmtId="172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angal"/>
      <family val="2"/>
    </font>
    <font>
      <b val="true"/>
      <sz val="10"/>
      <name val="Mang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969696"/>
      <name val="Arial"/>
      <family val="2"/>
    </font>
    <font>
      <sz val="10"/>
      <color rgb="FF7F7F7F"/>
      <name val="Arial"/>
      <family val="2"/>
    </font>
    <font>
      <b val="true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800080"/>
      </patternFill>
    </fill>
    <fill>
      <patternFill patternType="solid">
        <fgColor rgb="FFEE82EE"/>
        <bgColor rgb="FFFF8080"/>
      </patternFill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9D9D9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808000"/>
        <bgColor rgb="FF7F7F7F"/>
      </patternFill>
    </fill>
    <fill>
      <patternFill patternType="solid">
        <fgColor rgb="FFFBE5D6"/>
        <bgColor rgb="FFFFF2CC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8080"/>
      </patternFill>
    </fill>
    <fill>
      <patternFill patternType="solid">
        <fgColor rgb="FF003366"/>
        <bgColor rgb="FF1F4E79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dotted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hair"/>
      <bottom style="dotted"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/>
      <right style="hair"/>
      <top style="hair"/>
      <bottom style="dotted"/>
      <diagonal/>
    </border>
    <border diagonalUp="false" diagonalDown="false">
      <left style="hair"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dotted"/>
      <diagonal/>
    </border>
    <border diagonalUp="false" diagonalDown="false">
      <left style="hair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thin"/>
      <bottom style="dotted"/>
      <diagonal/>
    </border>
    <border diagonalUp="false" diagonalDown="false">
      <left style="hair"/>
      <right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4472C4"/>
      </top>
      <bottom style="hair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 diagonalUp="false" diagonalDown="false">
      <left/>
      <right/>
      <top style="hair">
        <color rgb="FF4472C4"/>
      </top>
      <bottom style="thin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 diagonalUp="false" diagonalDown="false">
      <left/>
      <right style="thin">
        <color rgb="FF8497B0"/>
      </right>
      <top style="thin">
        <color rgb="FF8497B0"/>
      </top>
      <bottom/>
      <diagonal/>
    </border>
    <border diagonalUp="false" diagonalDown="false">
      <left/>
      <right/>
      <top/>
      <bottom style="thin">
        <color rgb="FF3366FF"/>
      </bottom>
      <diagonal/>
    </border>
    <border diagonalUp="false" diagonalDown="false">
      <left/>
      <right style="thin">
        <color rgb="FF8497B0"/>
      </right>
      <top/>
      <bottom/>
      <diagonal/>
    </border>
    <border diagonalUp="false" diagonalDown="false">
      <left style="thin">
        <color rgb="FF8497B0"/>
      </left>
      <right/>
      <top style="thin">
        <color rgb="FF8497B0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 style="hair">
        <color rgb="FF3366FF"/>
      </bottom>
      <diagonal/>
    </border>
    <border diagonalUp="false" diagonalDown="false">
      <left/>
      <right style="thin">
        <color rgb="FF8497B0"/>
      </right>
      <top/>
      <bottom style="thin">
        <color rgb="FF8497B0"/>
      </bottom>
      <diagonal/>
    </border>
    <border diagonalUp="false" diagonalDown="false">
      <left style="thin">
        <color rgb="FF3366FF"/>
      </left>
      <right/>
      <top style="hair">
        <color rgb="FF3366FF"/>
      </top>
      <bottom style="thin">
        <color rgb="FF3366FF"/>
      </bottom>
      <diagonal/>
    </border>
    <border diagonalUp="false" diagonalDown="false">
      <left style="thin">
        <color rgb="FF8497B0"/>
      </left>
      <right/>
      <top/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center" vertical="bottom" textRotation="0" wrapText="false" indent="0" shrinkToFit="false"/>
    </xf>
    <xf numFmtId="164" fontId="4" fillId="5" borderId="0" applyFont="true" applyBorder="false" applyAlignment="true" applyProtection="false">
      <alignment horizontal="center" vertical="bottom" textRotation="0" wrapText="false" indent="0" shrinkToFit="false"/>
    </xf>
    <xf numFmtId="164" fontId="4" fillId="6" borderId="0" applyFont="true" applyBorder="false" applyAlignment="true" applyProtection="false">
      <alignment horizontal="center" vertical="bottom" textRotation="0" wrapText="false" indent="0" shrinkToFit="false"/>
    </xf>
    <xf numFmtId="164" fontId="4" fillId="7" borderId="0" applyFont="true" applyBorder="false" applyAlignment="true" applyProtection="false">
      <alignment horizontal="center" vertical="bottom" textRotation="0" wrapText="false" indent="0" shrinkToFit="false"/>
    </xf>
    <xf numFmtId="164" fontId="4" fillId="8" borderId="0" applyFont="true" applyBorder="false" applyAlignment="true" applyProtection="false">
      <alignment horizontal="center" vertical="bottom" textRotation="0" wrapText="false" indent="0" shrinkToFit="false"/>
    </xf>
    <xf numFmtId="164" fontId="4" fillId="9" borderId="0" applyFont="true" applyBorder="false" applyAlignment="true" applyProtection="false">
      <alignment horizontal="center" vertical="bottom" textRotation="0" wrapText="false" indent="0" shrinkToFit="false"/>
    </xf>
    <xf numFmtId="164" fontId="4" fillId="10" borderId="0" applyFont="true" applyBorder="false" applyAlignment="true" applyProtection="false">
      <alignment horizontal="center" vertical="center" textRotation="0" wrapText="false" indent="0" shrinkToFit="false"/>
    </xf>
    <xf numFmtId="164" fontId="6" fillId="10" borderId="0" applyFont="true" applyBorder="true" applyAlignment="true" applyProtection="true">
      <alignment horizontal="center" vertical="center" textRotation="0" wrapText="false" indent="0" shrinkToFit="false"/>
      <protection locked="true" hidden="true"/>
    </xf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21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9" fillId="4" borderId="4" xfId="22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5" borderId="4" xfId="23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6" borderId="4" xfId="24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7" borderId="4" xfId="25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8" borderId="4" xfId="26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9" borderId="4" xfId="27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10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29" applyFont="false" applyBorder="false" applyAlignment="false" applyProtection="false">
      <alignment horizontal="center" vertical="center" textRotation="0" wrapText="false" indent="0" shrinkToFit="false"/>
      <protection locked="true" hidden="true"/>
    </xf>
    <xf numFmtId="164" fontId="7" fillId="10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1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3" fillId="14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10" borderId="0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2" xfId="2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3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7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2" fillId="1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4" borderId="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12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11" fillId="1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11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9" fillId="12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9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9" fillId="1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0" fillId="15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15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7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3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71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3" borderId="3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4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2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1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3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18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4" borderId="4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9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5" fillId="4" borderId="1" xfId="22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5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5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14" borderId="47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4" fillId="14" borderId="4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5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5" borderId="1" xfId="23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5" borderId="3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1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true"/>
    </xf>
    <xf numFmtId="164" fontId="7" fillId="6" borderId="1" xfId="24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7" borderId="1" xfId="25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7" borderId="3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1" xfId="26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1" fontId="7" fillId="8" borderId="3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7" fillId="8" borderId="2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3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1" xfId="27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3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2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tru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IRONE_A" xfId="20"/>
    <cellStyle name="GIRONE_B" xfId="21"/>
    <cellStyle name="GIRONE_C" xfId="22"/>
    <cellStyle name="GIRONE_D" xfId="23"/>
    <cellStyle name="GIRONE_E" xfId="24"/>
    <cellStyle name="GIRONE_F" xfId="25"/>
    <cellStyle name="GIRONE_G" xfId="26"/>
    <cellStyle name="GIRONE_H" xfId="27"/>
    <cellStyle name="INTESTAZIONE" xfId="28"/>
    <cellStyle name="INTESTAZIONE_GRANDE" xfId="29"/>
  </cellStyles>
  <dxfs count="8">
    <dxf>
      <font>
        <name val="Mangal"/>
        <family val="2"/>
        <b val="1"/>
        <color rgb="FFFFFFFF"/>
      </font>
      <fill>
        <patternFill>
          <bgColor rgb="FFFF0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FFA5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</font>
      <fill>
        <patternFill>
          <bgColor rgb="FFFFFF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8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FF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4B0082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EE82EE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00"/>
        </patternFill>
      </fill>
      <alignment horizontal="center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497B0"/>
      <rgbColor rgb="FF993366"/>
      <rgbColor rgb="FFFFF2CC"/>
      <rgbColor rgb="FFDEEBF7"/>
      <rgbColor rgb="FF4B0082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C5E0B4"/>
      <rgbColor rgb="FFEE82EE"/>
      <rgbColor rgb="FFFBE5D6"/>
      <rgbColor rgb="FFFFE699"/>
      <rgbColor rgb="FF3366FF"/>
      <rgbColor rgb="FF33CCCC"/>
      <rgbColor rgb="FF99CC00"/>
      <rgbColor rgb="FFFFCC00"/>
      <rgbColor rgb="FFFFA500"/>
      <rgbColor rgb="FFFF6600"/>
      <rgbColor rgb="FF4472C4"/>
      <rgbColor rgb="FF969696"/>
      <rgbColor rgb="FF003366"/>
      <rgbColor rgb="FF5B9BD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H13" colorId="64" zoomScale="140" zoomScaleNormal="140" zoomScalePageLayoutView="100" workbookViewId="0">
      <selection pane="topLeft" activeCell="T43" activeCellId="0" sqref="T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"/>
    <col collapsed="false" customWidth="true" hidden="false" outlineLevel="0" max="4" min="4" style="0" width="3.57"/>
    <col collapsed="false" customWidth="true" hidden="false" outlineLevel="0" max="5" min="5" style="0" width="7.73"/>
    <col collapsed="false" customWidth="true" hidden="false" outlineLevel="0" max="6" min="6" style="0" width="10.62"/>
    <col collapsed="false" customWidth="true" hidden="false" outlineLevel="0" max="7" min="7" style="0" width="15.72"/>
    <col collapsed="false" customWidth="true" hidden="false" outlineLevel="0" max="8" min="8" style="0" width="7.38"/>
    <col collapsed="false" customWidth="true" hidden="false" outlineLevel="0" max="9" min="9" style="0" width="13.06"/>
    <col collapsed="false" customWidth="true" hidden="false" outlineLevel="0" max="11" min="11" style="0" width="3.57"/>
    <col collapsed="false" customWidth="true" hidden="false" outlineLevel="0" max="12" min="12" style="0" width="14.56"/>
    <col collapsed="false" customWidth="true" hidden="false" outlineLevel="0" max="14" min="14" style="0" width="5.64"/>
    <col collapsed="false" customWidth="true" hidden="false" outlineLevel="0" max="16" min="15" style="0" width="7.38"/>
    <col collapsed="false" customWidth="true" hidden="false" outlineLevel="0" max="18" min="17" style="0" width="14.21"/>
    <col collapsed="false" customWidth="true" hidden="false" outlineLevel="0" max="20" min="19" style="0" width="9.35"/>
    <col collapsed="false" customWidth="true" hidden="false" outlineLevel="0" max="21" min="21" style="0" width="14.33"/>
    <col collapsed="false" customWidth="true" hidden="false" outlineLevel="0" max="22" min="22" style="0" width="6.11"/>
    <col collapsed="false" customWidth="true" hidden="false" outlineLevel="0" max="23" min="23" style="1" width="7.85"/>
    <col collapsed="false" customWidth="true" hidden="false" outlineLevel="0" max="24" min="24" style="0" width="14.56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/>
      <c r="H1" s="2"/>
      <c r="I1" s="2"/>
      <c r="K1" s="2" t="s">
        <v>2</v>
      </c>
      <c r="L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35.05" hidden="false" customHeight="false" outlineLevel="0" collapsed="false">
      <c r="A2" s="3" t="s">
        <v>4</v>
      </c>
      <c r="B2" s="4" t="s">
        <v>5</v>
      </c>
      <c r="D2" s="3" t="s">
        <v>4</v>
      </c>
      <c r="E2" s="5" t="s">
        <v>6</v>
      </c>
      <c r="F2" s="6" t="s">
        <v>7</v>
      </c>
      <c r="G2" s="6" t="s">
        <v>8</v>
      </c>
      <c r="H2" s="7" t="s">
        <v>9</v>
      </c>
      <c r="I2" s="8" t="s">
        <v>10</v>
      </c>
      <c r="K2" s="3" t="s">
        <v>4</v>
      </c>
      <c r="L2" s="4" t="s">
        <v>7</v>
      </c>
      <c r="N2" s="9" t="s">
        <v>11</v>
      </c>
      <c r="O2" s="10" t="s">
        <v>12</v>
      </c>
      <c r="P2" s="7" t="s">
        <v>9</v>
      </c>
      <c r="Q2" s="10" t="s">
        <v>13</v>
      </c>
      <c r="R2" s="10" t="s">
        <v>14</v>
      </c>
      <c r="S2" s="11" t="s">
        <v>15</v>
      </c>
      <c r="T2" s="11" t="s">
        <v>16</v>
      </c>
      <c r="U2" s="12" t="s">
        <v>17</v>
      </c>
      <c r="V2" s="12" t="s">
        <v>18</v>
      </c>
      <c r="W2" s="10" t="s">
        <v>19</v>
      </c>
      <c r="X2" s="4" t="s">
        <v>20</v>
      </c>
    </row>
    <row r="3" customFormat="false" ht="12.8" hidden="false" customHeight="false" outlineLevel="0" collapsed="false">
      <c r="A3" s="13" t="s">
        <v>21</v>
      </c>
      <c r="B3" s="14" t="s">
        <v>22</v>
      </c>
      <c r="D3" s="15" t="n">
        <v>1</v>
      </c>
      <c r="E3" s="16" t="str">
        <f aca="false">H3&amp;I3</f>
        <v>A1</v>
      </c>
      <c r="F3" s="17" t="s">
        <v>23</v>
      </c>
      <c r="G3" s="17"/>
      <c r="H3" s="18" t="s">
        <v>24</v>
      </c>
      <c r="I3" s="19" t="n">
        <v>1</v>
      </c>
      <c r="K3" s="15" t="n">
        <v>1</v>
      </c>
      <c r="L3" s="14" t="s">
        <v>25</v>
      </c>
      <c r="M3" s="0" t="n">
        <f aca="false">ROW()</f>
        <v>3</v>
      </c>
      <c r="N3" s="20" t="n">
        <v>1</v>
      </c>
      <c r="O3" s="21" t="str">
        <f aca="false">VLOOKUP(N3,B_PARTITE_GIRONI,2,0)</f>
        <v>Girone</v>
      </c>
      <c r="P3" s="21" t="str">
        <f aca="false">VLOOKUP(N3,B_PARTITE_GIRONI,3,0)</f>
        <v>A</v>
      </c>
      <c r="Q3" s="22" t="str">
        <f aca="false">VLOOKUP(N3,B_PARTITE_GIRONI,6,0)</f>
        <v>Leoni</v>
      </c>
      <c r="R3" s="23" t="str">
        <f aca="false">VLOOKUP(N3,B_PARTITE_GIRONI,7,0)</f>
        <v>Pantere</v>
      </c>
      <c r="S3" s="24" t="n">
        <v>72</v>
      </c>
      <c r="T3" s="24" t="n">
        <v>49</v>
      </c>
      <c r="U3" s="25" t="n">
        <v>44354</v>
      </c>
      <c r="V3" s="26" t="n">
        <v>0.666666666666667</v>
      </c>
      <c r="W3" s="27" t="n">
        <v>1</v>
      </c>
      <c r="X3" s="28" t="str">
        <f aca="false">VLOOKUP(W3,A_3_INPUT_CAMPI,2,0)</f>
        <v>Cristo Re 1</v>
      </c>
    </row>
    <row r="4" customFormat="false" ht="12.8" hidden="false" customHeight="false" outlineLevel="0" collapsed="false">
      <c r="A4" s="29" t="s">
        <v>26</v>
      </c>
      <c r="B4" s="30" t="n">
        <v>2021</v>
      </c>
      <c r="D4" s="31" t="n">
        <v>2</v>
      </c>
      <c r="E4" s="16" t="str">
        <f aca="false">H4&amp;I4</f>
        <v>A2</v>
      </c>
      <c r="F4" s="32" t="s">
        <v>27</v>
      </c>
      <c r="G4" s="32"/>
      <c r="H4" s="33" t="s">
        <v>24</v>
      </c>
      <c r="I4" s="34" t="n">
        <v>2</v>
      </c>
      <c r="K4" s="31" t="n">
        <v>2</v>
      </c>
      <c r="L4" s="35" t="s">
        <v>28</v>
      </c>
      <c r="M4" s="0" t="n">
        <f aca="false">ROW()</f>
        <v>4</v>
      </c>
      <c r="N4" s="36" t="n">
        <v>2</v>
      </c>
      <c r="O4" s="33" t="str">
        <f aca="false">VLOOKUP(N4,B_PARTITE_GIRONI,2,0)</f>
        <v>Girone</v>
      </c>
      <c r="P4" s="21" t="str">
        <f aca="false">VLOOKUP(N4,B_PARTITE_GIRONI,3,0)</f>
        <v>B</v>
      </c>
      <c r="Q4" s="37" t="str">
        <f aca="false">VLOOKUP(N4,B_PARTITE_GIRONI,6,0)</f>
        <v>Giaguari</v>
      </c>
      <c r="R4" s="37" t="str">
        <f aca="false">VLOOKUP(N4,B_PARTITE_GIRONI,7,0)</f>
        <v>Puma</v>
      </c>
      <c r="S4" s="38" t="n">
        <v>67</v>
      </c>
      <c r="T4" s="38" t="n">
        <v>51</v>
      </c>
      <c r="U4" s="39" t="n">
        <v>44354</v>
      </c>
      <c r="V4" s="40" t="n">
        <v>0.666666666666667</v>
      </c>
      <c r="W4" s="41" t="n">
        <v>2</v>
      </c>
      <c r="X4" s="42" t="str">
        <f aca="false">VLOOKUP(W4,A_3_INPUT_CAMPI,2,0)</f>
        <v>Cristo Re 2</v>
      </c>
    </row>
    <row r="5" customFormat="false" ht="12.8" hidden="false" customHeight="false" outlineLevel="0" collapsed="false">
      <c r="D5" s="31" t="n">
        <v>3</v>
      </c>
      <c r="E5" s="16" t="str">
        <f aca="false">H5&amp;I5</f>
        <v>A3</v>
      </c>
      <c r="F5" s="32" t="s">
        <v>29</v>
      </c>
      <c r="G5" s="32"/>
      <c r="H5" s="33" t="s">
        <v>24</v>
      </c>
      <c r="I5" s="34" t="n">
        <v>3</v>
      </c>
      <c r="K5" s="31" t="n">
        <v>3</v>
      </c>
      <c r="L5" s="35" t="s">
        <v>30</v>
      </c>
      <c r="M5" s="0" t="n">
        <f aca="false">ROW()</f>
        <v>5</v>
      </c>
      <c r="N5" s="36" t="n">
        <v>3</v>
      </c>
      <c r="O5" s="33" t="str">
        <f aca="false">VLOOKUP(N5,B_PARTITE_GIRONI,2,0)</f>
        <v>Girone</v>
      </c>
      <c r="P5" s="21" t="str">
        <f aca="false">VLOOKUP(N5,B_PARTITE_GIRONI,3,0)</f>
        <v>C</v>
      </c>
      <c r="Q5" s="37" t="str">
        <f aca="false">VLOOKUP(N5,B_PARTITE_GIRONI,6,0)</f>
        <v>Elefanti</v>
      </c>
      <c r="R5" s="37" t="str">
        <f aca="false">VLOOKUP(N5,B_PARTITE_GIRONI,7,0)</f>
        <v>Giraffe</v>
      </c>
      <c r="S5" s="38" t="n">
        <v>100</v>
      </c>
      <c r="T5" s="38" t="n">
        <v>51</v>
      </c>
      <c r="U5" s="39" t="n">
        <v>44354</v>
      </c>
      <c r="V5" s="40" t="n">
        <v>0.666666666666667</v>
      </c>
      <c r="W5" s="41" t="n">
        <v>3</v>
      </c>
      <c r="X5" s="42" t="str">
        <f aca="false">VLOOKUP(W5,A_3_INPUT_CAMPI,2,0)</f>
        <v>Basket Giovane</v>
      </c>
    </row>
    <row r="6" customFormat="false" ht="12.8" hidden="false" customHeight="false" outlineLevel="0" collapsed="false">
      <c r="D6" s="31" t="n">
        <v>4</v>
      </c>
      <c r="E6" s="16" t="str">
        <f aca="false">H6&amp;I6</f>
        <v>A4</v>
      </c>
      <c r="F6" s="32" t="s">
        <v>31</v>
      </c>
      <c r="G6" s="32"/>
      <c r="H6" s="33" t="s">
        <v>24</v>
      </c>
      <c r="I6" s="34" t="n">
        <v>4</v>
      </c>
      <c r="K6" s="31" t="n">
        <v>4</v>
      </c>
      <c r="L6" s="35" t="s">
        <v>32</v>
      </c>
      <c r="M6" s="0" t="n">
        <f aca="false">ROW()</f>
        <v>6</v>
      </c>
      <c r="N6" s="36" t="n">
        <v>4</v>
      </c>
      <c r="O6" s="33" t="str">
        <f aca="false">VLOOKUP(N6,B_PARTITE_GIRONI,2,0)</f>
        <v>Girone</v>
      </c>
      <c r="P6" s="21" t="str">
        <f aca="false">VLOOKUP(N6,B_PARTITE_GIRONI,3,0)</f>
        <v>D</v>
      </c>
      <c r="Q6" s="37" t="str">
        <f aca="false">VLOOKUP(N6,B_PARTITE_GIRONI,6,0)</f>
        <v>Coccodrilli</v>
      </c>
      <c r="R6" s="37" t="str">
        <f aca="false">VLOOKUP(N6,B_PARTITE_GIRONI,7,0)</f>
        <v>Pitoni</v>
      </c>
      <c r="S6" s="38" t="n">
        <v>96</v>
      </c>
      <c r="T6" s="38" t="n">
        <v>86</v>
      </c>
      <c r="U6" s="39" t="n">
        <v>44354</v>
      </c>
      <c r="V6" s="40" t="n">
        <v>0.666666666666667</v>
      </c>
      <c r="W6" s="41" t="n">
        <v>4</v>
      </c>
      <c r="X6" s="42" t="str">
        <f aca="false">VLOOKUP(W6,A_3_INPUT_CAMPI,2,0)</f>
        <v>Nuova Scuola</v>
      </c>
    </row>
    <row r="7" customFormat="false" ht="12.8" hidden="false" customHeight="false" outlineLevel="0" collapsed="false">
      <c r="D7" s="31" t="n">
        <v>5</v>
      </c>
      <c r="E7" s="16" t="str">
        <f aca="false">H7&amp;I7</f>
        <v>B1</v>
      </c>
      <c r="F7" s="32" t="s">
        <v>33</v>
      </c>
      <c r="G7" s="32"/>
      <c r="H7" s="33" t="s">
        <v>34</v>
      </c>
      <c r="I7" s="34" t="n">
        <v>1</v>
      </c>
      <c r="K7" s="31" t="n">
        <v>5</v>
      </c>
      <c r="L7" s="35" t="str">
        <f aca="false">"CAMPO "&amp;ROMAN(K7)</f>
        <v>CAMPO V</v>
      </c>
      <c r="M7" s="0" t="n">
        <f aca="false">ROW()</f>
        <v>7</v>
      </c>
      <c r="N7" s="36" t="n">
        <v>5</v>
      </c>
      <c r="O7" s="33" t="str">
        <f aca="false">VLOOKUP(N7,B_PARTITE_GIRONI,2,0)</f>
        <v>Girone</v>
      </c>
      <c r="P7" s="21" t="str">
        <f aca="false">VLOOKUP(N7,B_PARTITE_GIRONI,3,0)</f>
        <v>A</v>
      </c>
      <c r="Q7" s="37" t="str">
        <f aca="false">VLOOKUP(N7,B_PARTITE_GIRONI,6,0)</f>
        <v>Tigri</v>
      </c>
      <c r="R7" s="37" t="str">
        <f aca="false">VLOOKUP(N7,B_PARTITE_GIRONI,7,0)</f>
        <v>Ghepardi</v>
      </c>
      <c r="S7" s="38" t="n">
        <v>79</v>
      </c>
      <c r="T7" s="38" t="n">
        <v>48</v>
      </c>
      <c r="U7" s="39" t="n">
        <v>44354</v>
      </c>
      <c r="V7" s="40" t="n">
        <v>0.75</v>
      </c>
      <c r="W7" s="41" t="n">
        <v>1</v>
      </c>
      <c r="X7" s="42" t="str">
        <f aca="false">VLOOKUP(W7,A_3_INPUT_CAMPI,2,0)</f>
        <v>Cristo Re 1</v>
      </c>
    </row>
    <row r="8" customFormat="false" ht="12.8" hidden="false" customHeight="false" outlineLevel="0" collapsed="false">
      <c r="D8" s="31" t="n">
        <v>6</v>
      </c>
      <c r="E8" s="16" t="str">
        <f aca="false">H8&amp;I8</f>
        <v>B2</v>
      </c>
      <c r="F8" s="32" t="s">
        <v>35</v>
      </c>
      <c r="G8" s="32"/>
      <c r="H8" s="33" t="s">
        <v>34</v>
      </c>
      <c r="I8" s="34" t="n">
        <v>2</v>
      </c>
      <c r="K8" s="31" t="n">
        <v>6</v>
      </c>
      <c r="L8" s="35" t="str">
        <f aca="false">"CAMPO "&amp;ROMAN(K8)</f>
        <v>CAMPO VI</v>
      </c>
      <c r="M8" s="0" t="n">
        <f aca="false">ROW()</f>
        <v>8</v>
      </c>
      <c r="N8" s="36" t="n">
        <v>6</v>
      </c>
      <c r="O8" s="33" t="str">
        <f aca="false">VLOOKUP(N8,B_PARTITE_GIRONI,2,0)</f>
        <v>Girone</v>
      </c>
      <c r="P8" s="21" t="str">
        <f aca="false">VLOOKUP(N8,B_PARTITE_GIRONI,3,0)</f>
        <v>B</v>
      </c>
      <c r="Q8" s="37" t="str">
        <f aca="false">VLOOKUP(N8,B_PARTITE_GIRONI,6,0)</f>
        <v>Linci</v>
      </c>
      <c r="R8" s="37" t="str">
        <f aca="false">VLOOKUP(N8,B_PARTITE_GIRONI,7,0)</f>
        <v>Serval</v>
      </c>
      <c r="S8" s="38" t="n">
        <v>62</v>
      </c>
      <c r="T8" s="38" t="n">
        <v>44</v>
      </c>
      <c r="U8" s="39" t="n">
        <v>44354</v>
      </c>
      <c r="V8" s="40" t="n">
        <v>0.75</v>
      </c>
      <c r="W8" s="41" t="n">
        <v>2</v>
      </c>
      <c r="X8" s="42" t="str">
        <f aca="false">VLOOKUP(W8,A_3_INPUT_CAMPI,2,0)</f>
        <v>Cristo Re 2</v>
      </c>
    </row>
    <row r="9" customFormat="false" ht="12.8" hidden="false" customHeight="false" outlineLevel="0" collapsed="false">
      <c r="D9" s="31" t="n">
        <v>7</v>
      </c>
      <c r="E9" s="16" t="str">
        <f aca="false">H9&amp;I9</f>
        <v>B3</v>
      </c>
      <c r="F9" s="32" t="s">
        <v>36</v>
      </c>
      <c r="G9" s="32"/>
      <c r="H9" s="33" t="s">
        <v>34</v>
      </c>
      <c r="I9" s="34" t="n">
        <v>3</v>
      </c>
      <c r="K9" s="31" t="n">
        <v>7</v>
      </c>
      <c r="L9" s="35" t="str">
        <f aca="false">"CAMPO "&amp;ROMAN(K9)</f>
        <v>CAMPO VII</v>
      </c>
      <c r="M9" s="0" t="n">
        <f aca="false">ROW()</f>
        <v>9</v>
      </c>
      <c r="N9" s="36" t="n">
        <v>7</v>
      </c>
      <c r="O9" s="33" t="str">
        <f aca="false">VLOOKUP(N9,B_PARTITE_GIRONI,2,0)</f>
        <v>Girone</v>
      </c>
      <c r="P9" s="21" t="str">
        <f aca="false">VLOOKUP(N9,B_PARTITE_GIRONI,3,0)</f>
        <v>C</v>
      </c>
      <c r="Q9" s="37" t="str">
        <f aca="false">VLOOKUP(N9,B_PARTITE_GIRONI,6,0)</f>
        <v>Ippopotami</v>
      </c>
      <c r="R9" s="37" t="str">
        <f aca="false">VLOOKUP(N9,B_PARTITE_GIRONI,7,0)</f>
        <v>Iguane</v>
      </c>
      <c r="S9" s="38" t="n">
        <v>96</v>
      </c>
      <c r="T9" s="38" t="n">
        <v>25</v>
      </c>
      <c r="U9" s="39" t="n">
        <v>44354</v>
      </c>
      <c r="V9" s="40" t="n">
        <v>0.75</v>
      </c>
      <c r="W9" s="41" t="n">
        <v>3</v>
      </c>
      <c r="X9" s="42" t="str">
        <f aca="false">VLOOKUP(W9,A_3_INPUT_CAMPI,2,0)</f>
        <v>Basket Giovane</v>
      </c>
    </row>
    <row r="10" customFormat="false" ht="12.8" hidden="false" customHeight="false" outlineLevel="0" collapsed="false">
      <c r="D10" s="31" t="n">
        <v>8</v>
      </c>
      <c r="E10" s="16" t="str">
        <f aca="false">H10&amp;I10</f>
        <v>B4</v>
      </c>
      <c r="F10" s="32" t="s">
        <v>37</v>
      </c>
      <c r="G10" s="32"/>
      <c r="H10" s="33" t="s">
        <v>34</v>
      </c>
      <c r="I10" s="34" t="n">
        <v>4</v>
      </c>
      <c r="K10" s="31" t="n">
        <v>8</v>
      </c>
      <c r="L10" s="35" t="str">
        <f aca="false">"CAMPO "&amp;ROMAN(K10)</f>
        <v>CAMPO VIII</v>
      </c>
      <c r="M10" s="0" t="n">
        <f aca="false">ROW()</f>
        <v>10</v>
      </c>
      <c r="N10" s="36" t="n">
        <v>8</v>
      </c>
      <c r="O10" s="33" t="str">
        <f aca="false">VLOOKUP(N10,B_PARTITE_GIRONI,2,0)</f>
        <v>Girone</v>
      </c>
      <c r="P10" s="21" t="str">
        <f aca="false">VLOOKUP(N10,B_PARTITE_GIRONI,3,0)</f>
        <v>D</v>
      </c>
      <c r="Q10" s="37" t="str">
        <f aca="false">VLOOKUP(N10,B_PARTITE_GIRONI,6,0)</f>
        <v>Aquile</v>
      </c>
      <c r="R10" s="37" t="str">
        <f aca="false">VLOOKUP(N10,B_PARTITE_GIRONI,7,0)</f>
        <v>Falchi</v>
      </c>
      <c r="S10" s="38" t="n">
        <v>72</v>
      </c>
      <c r="T10" s="38" t="n">
        <v>52</v>
      </c>
      <c r="U10" s="39" t="n">
        <v>44354</v>
      </c>
      <c r="V10" s="40" t="n">
        <v>0.75</v>
      </c>
      <c r="W10" s="41" t="n">
        <v>4</v>
      </c>
      <c r="X10" s="42" t="str">
        <f aca="false">VLOOKUP(W10,A_3_INPUT_CAMPI,2,0)</f>
        <v>Nuova Scuola</v>
      </c>
    </row>
    <row r="11" customFormat="false" ht="12.8" hidden="false" customHeight="false" outlineLevel="0" collapsed="false">
      <c r="D11" s="31" t="n">
        <v>9</v>
      </c>
      <c r="E11" s="16" t="str">
        <f aca="false">H11&amp;I11</f>
        <v>C1</v>
      </c>
      <c r="F11" s="32" t="s">
        <v>38</v>
      </c>
      <c r="G11" s="32"/>
      <c r="H11" s="33" t="s">
        <v>39</v>
      </c>
      <c r="I11" s="34" t="n">
        <v>1</v>
      </c>
      <c r="K11" s="31" t="n">
        <v>9</v>
      </c>
      <c r="L11" s="35" t="str">
        <f aca="false">"CAMPO "&amp;ROMAN(K11)</f>
        <v>CAMPO IX</v>
      </c>
      <c r="M11" s="0" t="n">
        <f aca="false">ROW()</f>
        <v>11</v>
      </c>
      <c r="N11" s="36" t="n">
        <v>9</v>
      </c>
      <c r="O11" s="33" t="str">
        <f aca="false">VLOOKUP(N11,B_PARTITE_GIRONI,2,0)</f>
        <v>Girone</v>
      </c>
      <c r="P11" s="21" t="str">
        <f aca="false">VLOOKUP(N11,B_PARTITE_GIRONI,3,0)</f>
        <v>A</v>
      </c>
      <c r="Q11" s="37" t="str">
        <f aca="false">VLOOKUP(N11,B_PARTITE_GIRONI,6,0)</f>
        <v>Leoni</v>
      </c>
      <c r="R11" s="37" t="str">
        <f aca="false">VLOOKUP(N11,B_PARTITE_GIRONI,7,0)</f>
        <v>Tigri</v>
      </c>
      <c r="S11" s="38" t="n">
        <v>90</v>
      </c>
      <c r="T11" s="38" t="n">
        <v>22</v>
      </c>
      <c r="U11" s="39" t="n">
        <v>44355</v>
      </c>
      <c r="V11" s="40" t="n">
        <v>0.375</v>
      </c>
      <c r="W11" s="41" t="n">
        <v>1</v>
      </c>
      <c r="X11" s="42" t="str">
        <f aca="false">VLOOKUP(W11,A_3_INPUT_CAMPI,2,0)</f>
        <v>Cristo Re 1</v>
      </c>
    </row>
    <row r="12" customFormat="false" ht="12.8" hidden="false" customHeight="false" outlineLevel="0" collapsed="false">
      <c r="D12" s="31" t="n">
        <v>10</v>
      </c>
      <c r="E12" s="16" t="str">
        <f aca="false">H12&amp;I12</f>
        <v>C2</v>
      </c>
      <c r="F12" s="32" t="s">
        <v>40</v>
      </c>
      <c r="G12" s="32"/>
      <c r="H12" s="33" t="s">
        <v>39</v>
      </c>
      <c r="I12" s="34" t="n">
        <v>2</v>
      </c>
      <c r="K12" s="31" t="n">
        <v>10</v>
      </c>
      <c r="L12" s="35" t="str">
        <f aca="false">"CAMPO "&amp;ROMAN(K12)</f>
        <v>CAMPO X</v>
      </c>
      <c r="M12" s="0" t="n">
        <f aca="false">ROW()</f>
        <v>12</v>
      </c>
      <c r="N12" s="36" t="n">
        <v>10</v>
      </c>
      <c r="O12" s="33" t="str">
        <f aca="false">VLOOKUP(N12,B_PARTITE_GIRONI,2,0)</f>
        <v>Girone</v>
      </c>
      <c r="P12" s="21" t="str">
        <f aca="false">VLOOKUP(N12,B_PARTITE_GIRONI,3,0)</f>
        <v>B</v>
      </c>
      <c r="Q12" s="37" t="str">
        <f aca="false">VLOOKUP(N12,B_PARTITE_GIRONI,6,0)</f>
        <v>Giaguari</v>
      </c>
      <c r="R12" s="37" t="str">
        <f aca="false">VLOOKUP(N12,B_PARTITE_GIRONI,7,0)</f>
        <v>Linci</v>
      </c>
      <c r="S12" s="38" t="n">
        <v>56</v>
      </c>
      <c r="T12" s="38" t="n">
        <v>47</v>
      </c>
      <c r="U12" s="39" t="n">
        <v>44355</v>
      </c>
      <c r="V12" s="40" t="n">
        <v>0.375</v>
      </c>
      <c r="W12" s="41" t="n">
        <v>2</v>
      </c>
      <c r="X12" s="42" t="str">
        <f aca="false">VLOOKUP(W12,A_3_INPUT_CAMPI,2,0)</f>
        <v>Cristo Re 2</v>
      </c>
    </row>
    <row r="13" customFormat="false" ht="12.8" hidden="false" customHeight="false" outlineLevel="0" collapsed="false">
      <c r="D13" s="31" t="n">
        <v>11</v>
      </c>
      <c r="E13" s="16" t="str">
        <f aca="false">H13&amp;I13</f>
        <v>C3</v>
      </c>
      <c r="F13" s="32" t="s">
        <v>41</v>
      </c>
      <c r="G13" s="32"/>
      <c r="H13" s="33" t="s">
        <v>39</v>
      </c>
      <c r="I13" s="34" t="n">
        <v>3</v>
      </c>
      <c r="K13" s="31" t="n">
        <v>11</v>
      </c>
      <c r="L13" s="35" t="str">
        <f aca="false">"CAMPO "&amp;ROMAN(K13)</f>
        <v>CAMPO XI</v>
      </c>
      <c r="M13" s="0" t="n">
        <f aca="false">ROW()</f>
        <v>13</v>
      </c>
      <c r="N13" s="36" t="n">
        <v>11</v>
      </c>
      <c r="O13" s="33" t="str">
        <f aca="false">VLOOKUP(N13,B_PARTITE_GIRONI,2,0)</f>
        <v>Girone</v>
      </c>
      <c r="P13" s="21" t="str">
        <f aca="false">VLOOKUP(N13,B_PARTITE_GIRONI,3,0)</f>
        <v>C</v>
      </c>
      <c r="Q13" s="37" t="str">
        <f aca="false">VLOOKUP(N13,B_PARTITE_GIRONI,6,0)</f>
        <v>Elefanti</v>
      </c>
      <c r="R13" s="37" t="str">
        <f aca="false">VLOOKUP(N13,B_PARTITE_GIRONI,7,0)</f>
        <v>Ippopotami</v>
      </c>
      <c r="S13" s="38" t="n">
        <v>66</v>
      </c>
      <c r="T13" s="38" t="n">
        <v>95</v>
      </c>
      <c r="U13" s="39" t="n">
        <v>44355</v>
      </c>
      <c r="V13" s="40" t="n">
        <v>0.375</v>
      </c>
      <c r="W13" s="41" t="n">
        <v>3</v>
      </c>
      <c r="X13" s="42" t="str">
        <f aca="false">VLOOKUP(W13,A_3_INPUT_CAMPI,2,0)</f>
        <v>Basket Giovane</v>
      </c>
    </row>
    <row r="14" customFormat="false" ht="12.8" hidden="false" customHeight="false" outlineLevel="0" collapsed="false">
      <c r="D14" s="31" t="n">
        <v>12</v>
      </c>
      <c r="E14" s="16" t="str">
        <f aca="false">H14&amp;I14</f>
        <v>C4</v>
      </c>
      <c r="F14" s="32" t="s">
        <v>42</v>
      </c>
      <c r="G14" s="32"/>
      <c r="H14" s="33" t="s">
        <v>39</v>
      </c>
      <c r="I14" s="34" t="n">
        <v>4</v>
      </c>
      <c r="K14" s="31" t="n">
        <v>12</v>
      </c>
      <c r="L14" s="35" t="str">
        <f aca="false">"CAMPO "&amp;ROMAN(K14)</f>
        <v>CAMPO XII</v>
      </c>
      <c r="M14" s="0" t="n">
        <f aca="false">ROW()</f>
        <v>14</v>
      </c>
      <c r="N14" s="36" t="n">
        <v>12</v>
      </c>
      <c r="O14" s="33" t="str">
        <f aca="false">VLOOKUP(N14,B_PARTITE_GIRONI,2,0)</f>
        <v>Girone</v>
      </c>
      <c r="P14" s="21" t="str">
        <f aca="false">VLOOKUP(N14,B_PARTITE_GIRONI,3,0)</f>
        <v>D</v>
      </c>
      <c r="Q14" s="37" t="str">
        <f aca="false">VLOOKUP(N14,B_PARTITE_GIRONI,6,0)</f>
        <v>Coccodrilli</v>
      </c>
      <c r="R14" s="37" t="str">
        <f aca="false">VLOOKUP(N14,B_PARTITE_GIRONI,7,0)</f>
        <v>Aquile</v>
      </c>
      <c r="S14" s="38" t="n">
        <v>29</v>
      </c>
      <c r="T14" s="38" t="n">
        <v>39</v>
      </c>
      <c r="U14" s="39" t="n">
        <v>44355</v>
      </c>
      <c r="V14" s="40" t="n">
        <v>0.375</v>
      </c>
      <c r="W14" s="41" t="n">
        <v>4</v>
      </c>
      <c r="X14" s="42" t="str">
        <f aca="false">VLOOKUP(W14,A_3_INPUT_CAMPI,2,0)</f>
        <v>Nuova Scuola</v>
      </c>
    </row>
    <row r="15" customFormat="false" ht="12.8" hidden="false" customHeight="false" outlineLevel="0" collapsed="false">
      <c r="D15" s="31" t="n">
        <v>13</v>
      </c>
      <c r="E15" s="16" t="str">
        <f aca="false">H15&amp;I15</f>
        <v>D1</v>
      </c>
      <c r="F15" s="32" t="s">
        <v>43</v>
      </c>
      <c r="G15" s="32"/>
      <c r="H15" s="33" t="s">
        <v>44</v>
      </c>
      <c r="I15" s="34" t="n">
        <v>1</v>
      </c>
      <c r="K15" s="31" t="n">
        <v>13</v>
      </c>
      <c r="L15" s="35" t="str">
        <f aca="false">"CAMPO "&amp;ROMAN(K15)</f>
        <v>CAMPO XIII</v>
      </c>
      <c r="M15" s="0" t="n">
        <f aca="false">ROW()</f>
        <v>15</v>
      </c>
      <c r="N15" s="36" t="n">
        <v>13</v>
      </c>
      <c r="O15" s="33" t="str">
        <f aca="false">VLOOKUP(N15,B_PARTITE_GIRONI,2,0)</f>
        <v>Girone</v>
      </c>
      <c r="P15" s="21" t="str">
        <f aca="false">VLOOKUP(N15,B_PARTITE_GIRONI,3,0)</f>
        <v>A</v>
      </c>
      <c r="Q15" s="37" t="str">
        <f aca="false">VLOOKUP(N15,B_PARTITE_GIRONI,6,0)</f>
        <v>Pantere</v>
      </c>
      <c r="R15" s="37" t="str">
        <f aca="false">VLOOKUP(N15,B_PARTITE_GIRONI,7,0)</f>
        <v>Ghepardi</v>
      </c>
      <c r="S15" s="38" t="n">
        <v>57</v>
      </c>
      <c r="T15" s="38" t="n">
        <v>21</v>
      </c>
      <c r="U15" s="39" t="n">
        <v>44355</v>
      </c>
      <c r="V15" s="40" t="n">
        <v>0.458333333333333</v>
      </c>
      <c r="W15" s="41" t="n">
        <v>1</v>
      </c>
      <c r="X15" s="42" t="str">
        <f aca="false">VLOOKUP(W15,A_3_INPUT_CAMPI,2,0)</f>
        <v>Cristo Re 1</v>
      </c>
    </row>
    <row r="16" customFormat="false" ht="12.8" hidden="false" customHeight="false" outlineLevel="0" collapsed="false">
      <c r="D16" s="31" t="n">
        <v>14</v>
      </c>
      <c r="E16" s="16" t="str">
        <f aca="false">H16&amp;I16</f>
        <v>D2</v>
      </c>
      <c r="F16" s="32" t="s">
        <v>45</v>
      </c>
      <c r="G16" s="32"/>
      <c r="H16" s="33" t="s">
        <v>44</v>
      </c>
      <c r="I16" s="34" t="n">
        <v>2</v>
      </c>
      <c r="K16" s="31" t="n">
        <v>14</v>
      </c>
      <c r="L16" s="35" t="str">
        <f aca="false">"CAMPO "&amp;ROMAN(K16)</f>
        <v>CAMPO XIV</v>
      </c>
      <c r="M16" s="0" t="n">
        <f aca="false">ROW()</f>
        <v>16</v>
      </c>
      <c r="N16" s="36" t="n">
        <v>14</v>
      </c>
      <c r="O16" s="33" t="str">
        <f aca="false">VLOOKUP(N16,B_PARTITE_GIRONI,2,0)</f>
        <v>Girone</v>
      </c>
      <c r="P16" s="21" t="str">
        <f aca="false">VLOOKUP(N16,B_PARTITE_GIRONI,3,0)</f>
        <v>B</v>
      </c>
      <c r="Q16" s="37" t="str">
        <f aca="false">VLOOKUP(N16,B_PARTITE_GIRONI,6,0)</f>
        <v>Puma</v>
      </c>
      <c r="R16" s="37" t="str">
        <f aca="false">VLOOKUP(N16,B_PARTITE_GIRONI,7,0)</f>
        <v>Serval</v>
      </c>
      <c r="S16" s="38" t="n">
        <v>68</v>
      </c>
      <c r="T16" s="38" t="n">
        <v>45</v>
      </c>
      <c r="U16" s="39" t="n">
        <v>44355</v>
      </c>
      <c r="V16" s="40" t="n">
        <v>0.458333333333333</v>
      </c>
      <c r="W16" s="41" t="n">
        <v>2</v>
      </c>
      <c r="X16" s="42" t="str">
        <f aca="false">VLOOKUP(W16,A_3_INPUT_CAMPI,2,0)</f>
        <v>Cristo Re 2</v>
      </c>
    </row>
    <row r="17" customFormat="false" ht="12.8" hidden="false" customHeight="false" outlineLevel="0" collapsed="false">
      <c r="D17" s="31" t="n">
        <v>15</v>
      </c>
      <c r="E17" s="16" t="str">
        <f aca="false">H17&amp;I17</f>
        <v>D3</v>
      </c>
      <c r="F17" s="32" t="s">
        <v>46</v>
      </c>
      <c r="G17" s="32"/>
      <c r="H17" s="33" t="s">
        <v>44</v>
      </c>
      <c r="I17" s="34" t="n">
        <v>3</v>
      </c>
      <c r="K17" s="31" t="n">
        <v>15</v>
      </c>
      <c r="L17" s="35" t="str">
        <f aca="false">"CAMPO "&amp;ROMAN(K17)</f>
        <v>CAMPO XV</v>
      </c>
      <c r="M17" s="0" t="n">
        <f aca="false">ROW()</f>
        <v>17</v>
      </c>
      <c r="N17" s="36" t="n">
        <v>15</v>
      </c>
      <c r="O17" s="33" t="str">
        <f aca="false">VLOOKUP(N17,B_PARTITE_GIRONI,2,0)</f>
        <v>Girone</v>
      </c>
      <c r="P17" s="21" t="str">
        <f aca="false">VLOOKUP(N17,B_PARTITE_GIRONI,3,0)</f>
        <v>C</v>
      </c>
      <c r="Q17" s="37" t="str">
        <f aca="false">VLOOKUP(N17,B_PARTITE_GIRONI,6,0)</f>
        <v>Giraffe</v>
      </c>
      <c r="R17" s="37" t="str">
        <f aca="false">VLOOKUP(N17,B_PARTITE_GIRONI,7,0)</f>
        <v>Iguane</v>
      </c>
      <c r="S17" s="38" t="n">
        <v>60</v>
      </c>
      <c r="T17" s="38" t="n">
        <v>34</v>
      </c>
      <c r="U17" s="39" t="n">
        <v>44355</v>
      </c>
      <c r="V17" s="40" t="n">
        <v>0.458333333333333</v>
      </c>
      <c r="W17" s="41" t="n">
        <v>3</v>
      </c>
      <c r="X17" s="42" t="str">
        <f aca="false">VLOOKUP(W17,A_3_INPUT_CAMPI,2,0)</f>
        <v>Basket Giovane</v>
      </c>
    </row>
    <row r="18" customFormat="false" ht="12.8" hidden="false" customHeight="false" outlineLevel="0" collapsed="false">
      <c r="D18" s="31" t="n">
        <v>16</v>
      </c>
      <c r="E18" s="16" t="str">
        <f aca="false">H18&amp;I18</f>
        <v>D4</v>
      </c>
      <c r="F18" s="32" t="s">
        <v>47</v>
      </c>
      <c r="G18" s="32"/>
      <c r="H18" s="33" t="s">
        <v>44</v>
      </c>
      <c r="I18" s="34" t="n">
        <v>4</v>
      </c>
      <c r="K18" s="31" t="n">
        <v>16</v>
      </c>
      <c r="L18" s="35" t="str">
        <f aca="false">"CAMPO "&amp;ROMAN(K18)</f>
        <v>CAMPO XVI</v>
      </c>
      <c r="M18" s="0" t="n">
        <f aca="false">ROW()</f>
        <v>18</v>
      </c>
      <c r="N18" s="36" t="n">
        <v>16</v>
      </c>
      <c r="O18" s="33" t="str">
        <f aca="false">VLOOKUP(N18,B_PARTITE_GIRONI,2,0)</f>
        <v>Girone</v>
      </c>
      <c r="P18" s="21" t="str">
        <f aca="false">VLOOKUP(N18,B_PARTITE_GIRONI,3,0)</f>
        <v>D</v>
      </c>
      <c r="Q18" s="37" t="str">
        <f aca="false">VLOOKUP(N18,B_PARTITE_GIRONI,6,0)</f>
        <v>Pitoni</v>
      </c>
      <c r="R18" s="37" t="str">
        <f aca="false">VLOOKUP(N18,B_PARTITE_GIRONI,7,0)</f>
        <v>Falchi</v>
      </c>
      <c r="S18" s="38" t="n">
        <v>83</v>
      </c>
      <c r="T18" s="38" t="n">
        <v>57</v>
      </c>
      <c r="U18" s="39" t="n">
        <v>44355</v>
      </c>
      <c r="V18" s="40" t="n">
        <v>0.458333333333333</v>
      </c>
      <c r="W18" s="41" t="n">
        <v>4</v>
      </c>
      <c r="X18" s="42" t="str">
        <f aca="false">VLOOKUP(W18,A_3_INPUT_CAMPI,2,0)</f>
        <v>Nuova Scuola</v>
      </c>
    </row>
    <row r="19" customFormat="false" ht="12.8" hidden="false" customHeight="false" outlineLevel="0" collapsed="false">
      <c r="D19" s="31" t="n">
        <v>17</v>
      </c>
      <c r="E19" s="16" t="str">
        <f aca="false">H19&amp;I19</f>
        <v>E1</v>
      </c>
      <c r="F19" s="32" t="s">
        <v>48</v>
      </c>
      <c r="G19" s="32"/>
      <c r="H19" s="33" t="s">
        <v>49</v>
      </c>
      <c r="I19" s="34" t="n">
        <v>1</v>
      </c>
      <c r="K19" s="31" t="n">
        <v>17</v>
      </c>
      <c r="L19" s="35" t="str">
        <f aca="false">"CAMPO "&amp;ROMAN(K19)</f>
        <v>CAMPO XVII</v>
      </c>
      <c r="M19" s="0" t="n">
        <f aca="false">ROW()</f>
        <v>19</v>
      </c>
      <c r="N19" s="36" t="n">
        <v>17</v>
      </c>
      <c r="O19" s="33" t="str">
        <f aca="false">VLOOKUP(N19,B_PARTITE_GIRONI,2,0)</f>
        <v>Girone</v>
      </c>
      <c r="P19" s="21" t="str">
        <f aca="false">VLOOKUP(N19,B_PARTITE_GIRONI,3,0)</f>
        <v>E</v>
      </c>
      <c r="Q19" s="37" t="str">
        <f aca="false">VLOOKUP(N19,B_PARTITE_GIRONI,6,0)</f>
        <v>Bisonti</v>
      </c>
      <c r="R19" s="37" t="str">
        <f aca="false">VLOOKUP(N19,B_PARTITE_GIRONI,7,0)</f>
        <v>Bufali</v>
      </c>
      <c r="S19" s="38" t="n">
        <v>86</v>
      </c>
      <c r="T19" s="38" t="n">
        <v>97</v>
      </c>
      <c r="U19" s="39" t="n">
        <v>44355</v>
      </c>
      <c r="V19" s="40" t="n">
        <v>0.645833333333333</v>
      </c>
      <c r="W19" s="41" t="n">
        <v>1</v>
      </c>
      <c r="X19" s="42" t="str">
        <f aca="false">VLOOKUP(W19,A_3_INPUT_CAMPI,2,0)</f>
        <v>Cristo Re 1</v>
      </c>
    </row>
    <row r="20" customFormat="false" ht="12.8" hidden="false" customHeight="false" outlineLevel="0" collapsed="false">
      <c r="D20" s="31" t="n">
        <v>18</v>
      </c>
      <c r="E20" s="16" t="str">
        <f aca="false">H20&amp;I20</f>
        <v>E2</v>
      </c>
      <c r="F20" s="32" t="s">
        <v>50</v>
      </c>
      <c r="G20" s="32"/>
      <c r="H20" s="33" t="s">
        <v>49</v>
      </c>
      <c r="I20" s="34" t="n">
        <v>2</v>
      </c>
      <c r="K20" s="31" t="n">
        <v>18</v>
      </c>
      <c r="L20" s="35" t="str">
        <f aca="false">"CAMPO "&amp;ROMAN(K20)</f>
        <v>CAMPO XVIII</v>
      </c>
      <c r="M20" s="0" t="n">
        <f aca="false">ROW()</f>
        <v>20</v>
      </c>
      <c r="N20" s="36" t="n">
        <v>18</v>
      </c>
      <c r="O20" s="33" t="str">
        <f aca="false">VLOOKUP(N20,B_PARTITE_GIRONI,2,0)</f>
        <v>Girone</v>
      </c>
      <c r="P20" s="21" t="str">
        <f aca="false">VLOOKUP(N20,B_PARTITE_GIRONI,3,0)</f>
        <v>F</v>
      </c>
      <c r="Q20" s="37" t="str">
        <f aca="false">VLOOKUP(N20,B_PARTITE_GIRONI,6,0)</f>
        <v>Balene</v>
      </c>
      <c r="R20" s="37" t="str">
        <f aca="false">VLOOKUP(N20,B_PARTITE_GIRONI,7,0)</f>
        <v>Gabbiani</v>
      </c>
      <c r="S20" s="38" t="n">
        <v>61</v>
      </c>
      <c r="T20" s="38" t="n">
        <v>41</v>
      </c>
      <c r="U20" s="39" t="n">
        <v>44355</v>
      </c>
      <c r="V20" s="40" t="n">
        <v>0.645833333333333</v>
      </c>
      <c r="W20" s="41" t="n">
        <v>2</v>
      </c>
      <c r="X20" s="42" t="str">
        <f aca="false">VLOOKUP(W20,A_3_INPUT_CAMPI,2,0)</f>
        <v>Cristo Re 2</v>
      </c>
    </row>
    <row r="21" customFormat="false" ht="12.8" hidden="false" customHeight="false" outlineLevel="0" collapsed="false">
      <c r="D21" s="31" t="n">
        <v>19</v>
      </c>
      <c r="E21" s="16" t="str">
        <f aca="false">H21&amp;I21</f>
        <v>E3</v>
      </c>
      <c r="F21" s="32" t="s">
        <v>51</v>
      </c>
      <c r="G21" s="32"/>
      <c r="H21" s="33" t="s">
        <v>49</v>
      </c>
      <c r="I21" s="34" t="n">
        <v>3</v>
      </c>
      <c r="K21" s="31" t="n">
        <v>19</v>
      </c>
      <c r="L21" s="35" t="str">
        <f aca="false">"CAMPO "&amp;ROMAN(K21)</f>
        <v>CAMPO XIX</v>
      </c>
      <c r="M21" s="0" t="n">
        <f aca="false">ROW()</f>
        <v>21</v>
      </c>
      <c r="N21" s="36" t="n">
        <v>19</v>
      </c>
      <c r="O21" s="33" t="str">
        <f aca="false">VLOOKUP(N21,B_PARTITE_GIRONI,2,0)</f>
        <v>Girone</v>
      </c>
      <c r="P21" s="21" t="str">
        <f aca="false">VLOOKUP(N21,B_PARTITE_GIRONI,3,0)</f>
        <v>G</v>
      </c>
      <c r="Q21" s="37" t="str">
        <f aca="false">VLOOKUP(N21,B_PARTITE_GIRONI,6,0)</f>
        <v>Istrici</v>
      </c>
      <c r="R21" s="37" t="str">
        <f aca="false">VLOOKUP(N21,B_PARTITE_GIRONI,7,0)</f>
        <v>Gorilla</v>
      </c>
      <c r="S21" s="38" t="n">
        <v>57</v>
      </c>
      <c r="T21" s="38" t="n">
        <v>55</v>
      </c>
      <c r="U21" s="39" t="n">
        <v>44355</v>
      </c>
      <c r="V21" s="40" t="n">
        <v>0.645833333333333</v>
      </c>
      <c r="W21" s="41" t="n">
        <v>3</v>
      </c>
      <c r="X21" s="42" t="str">
        <f aca="false">VLOOKUP(W21,A_3_INPUT_CAMPI,2,0)</f>
        <v>Basket Giovane</v>
      </c>
    </row>
    <row r="22" customFormat="false" ht="12.8" hidden="false" customHeight="false" outlineLevel="0" collapsed="false">
      <c r="D22" s="31" t="n">
        <v>20</v>
      </c>
      <c r="E22" s="16" t="str">
        <f aca="false">H22&amp;I22</f>
        <v>E4</v>
      </c>
      <c r="F22" s="32" t="s">
        <v>52</v>
      </c>
      <c r="G22" s="32"/>
      <c r="H22" s="33" t="s">
        <v>49</v>
      </c>
      <c r="I22" s="34" t="n">
        <v>4</v>
      </c>
      <c r="K22" s="31" t="n">
        <v>20</v>
      </c>
      <c r="L22" s="35" t="str">
        <f aca="false">"CAMPO "&amp;ROMAN(K22)</f>
        <v>CAMPO XX</v>
      </c>
      <c r="M22" s="0" t="n">
        <f aca="false">ROW()</f>
        <v>22</v>
      </c>
      <c r="N22" s="36" t="n">
        <v>20</v>
      </c>
      <c r="O22" s="33" t="str">
        <f aca="false">VLOOKUP(N22,B_PARTITE_GIRONI,2,0)</f>
        <v>Girone</v>
      </c>
      <c r="P22" s="21" t="str">
        <f aca="false">VLOOKUP(N22,B_PARTITE_GIRONI,3,0)</f>
        <v>H</v>
      </c>
      <c r="Q22" s="37" t="str">
        <f aca="false">VLOOKUP(N22,B_PARTITE_GIRONI,6,0)</f>
        <v>Piranha</v>
      </c>
      <c r="R22" s="37" t="str">
        <f aca="false">VLOOKUP(N22,B_PARTITE_GIRONI,7,0)</f>
        <v>Scorpioni</v>
      </c>
      <c r="S22" s="38" t="n">
        <v>28</v>
      </c>
      <c r="T22" s="38" t="n">
        <v>93</v>
      </c>
      <c r="U22" s="39" t="n">
        <v>44355</v>
      </c>
      <c r="V22" s="40" t="n">
        <v>0.645833333333333</v>
      </c>
      <c r="W22" s="41" t="n">
        <v>4</v>
      </c>
      <c r="X22" s="42" t="str">
        <f aca="false">VLOOKUP(W22,A_3_INPUT_CAMPI,2,0)</f>
        <v>Nuova Scuola</v>
      </c>
    </row>
    <row r="23" customFormat="false" ht="12.8" hidden="false" customHeight="false" outlineLevel="0" collapsed="false">
      <c r="D23" s="31" t="n">
        <v>21</v>
      </c>
      <c r="E23" s="16" t="str">
        <f aca="false">H23&amp;I23</f>
        <v>F1</v>
      </c>
      <c r="F23" s="32" t="s">
        <v>53</v>
      </c>
      <c r="G23" s="32"/>
      <c r="H23" s="33" t="s">
        <v>54</v>
      </c>
      <c r="I23" s="34" t="n">
        <v>1</v>
      </c>
      <c r="K23" s="31" t="n">
        <v>21</v>
      </c>
      <c r="L23" s="35" t="str">
        <f aca="false">"CAMPO "&amp;ROMAN(K23)</f>
        <v>CAMPO XXI</v>
      </c>
      <c r="M23" s="0" t="n">
        <f aca="false">ROW()</f>
        <v>23</v>
      </c>
      <c r="N23" s="36" t="n">
        <v>21</v>
      </c>
      <c r="O23" s="33" t="str">
        <f aca="false">VLOOKUP(N23,B_PARTITE_GIRONI,2,0)</f>
        <v>Girone</v>
      </c>
      <c r="P23" s="21" t="str">
        <f aca="false">VLOOKUP(N23,B_PARTITE_GIRONI,3,0)</f>
        <v>E</v>
      </c>
      <c r="Q23" s="37" t="str">
        <f aca="false">VLOOKUP(N23,B_PARTITE_GIRONI,6,0)</f>
        <v>Cervi</v>
      </c>
      <c r="R23" s="37" t="str">
        <f aca="false">VLOOKUP(N23,B_PARTITE_GIRONI,7,0)</f>
        <v>Cinghiali</v>
      </c>
      <c r="S23" s="38" t="n">
        <v>0</v>
      </c>
      <c r="T23" s="38" t="n">
        <v>20</v>
      </c>
      <c r="U23" s="39" t="n">
        <v>44355</v>
      </c>
      <c r="V23" s="40" t="n">
        <v>0.708333333333333</v>
      </c>
      <c r="W23" s="41" t="n">
        <v>1</v>
      </c>
      <c r="X23" s="42" t="str">
        <f aca="false">VLOOKUP(W23,A_3_INPUT_CAMPI,2,0)</f>
        <v>Cristo Re 1</v>
      </c>
    </row>
    <row r="24" customFormat="false" ht="12.8" hidden="false" customHeight="false" outlineLevel="0" collapsed="false">
      <c r="D24" s="31" t="n">
        <v>22</v>
      </c>
      <c r="E24" s="16" t="str">
        <f aca="false">H24&amp;I24</f>
        <v>F2</v>
      </c>
      <c r="F24" s="32" t="s">
        <v>55</v>
      </c>
      <c r="G24" s="32"/>
      <c r="H24" s="33" t="s">
        <v>54</v>
      </c>
      <c r="I24" s="34" t="n">
        <v>2</v>
      </c>
      <c r="K24" s="31" t="n">
        <v>22</v>
      </c>
      <c r="L24" s="35" t="str">
        <f aca="false">"CAMPO "&amp;ROMAN(K24)</f>
        <v>CAMPO XXII</v>
      </c>
      <c r="M24" s="0" t="n">
        <f aca="false">ROW()</f>
        <v>24</v>
      </c>
      <c r="N24" s="36" t="n">
        <v>22</v>
      </c>
      <c r="O24" s="33" t="str">
        <f aca="false">VLOOKUP(N24,B_PARTITE_GIRONI,2,0)</f>
        <v>Girone</v>
      </c>
      <c r="P24" s="21" t="str">
        <f aca="false">VLOOKUP(N24,B_PARTITE_GIRONI,3,0)</f>
        <v>F</v>
      </c>
      <c r="Q24" s="37" t="str">
        <f aca="false">VLOOKUP(N24,B_PARTITE_GIRONI,6,0)</f>
        <v>Delfini</v>
      </c>
      <c r="R24" s="37" t="str">
        <f aca="false">VLOOKUP(N24,B_PARTITE_GIRONI,7,0)</f>
        <v>Fenicotteri</v>
      </c>
      <c r="S24" s="38" t="n">
        <v>72</v>
      </c>
      <c r="T24" s="38" t="n">
        <v>46</v>
      </c>
      <c r="U24" s="39" t="n">
        <v>44355</v>
      </c>
      <c r="V24" s="40" t="n">
        <v>0.708333333333333</v>
      </c>
      <c r="W24" s="41" t="n">
        <v>2</v>
      </c>
      <c r="X24" s="42" t="str">
        <f aca="false">VLOOKUP(W24,A_3_INPUT_CAMPI,2,0)</f>
        <v>Cristo Re 2</v>
      </c>
    </row>
    <row r="25" customFormat="false" ht="12.8" hidden="false" customHeight="false" outlineLevel="0" collapsed="false">
      <c r="D25" s="31" t="n">
        <v>23</v>
      </c>
      <c r="E25" s="16" t="str">
        <f aca="false">H25&amp;I25</f>
        <v>F3</v>
      </c>
      <c r="F25" s="32" t="s">
        <v>56</v>
      </c>
      <c r="G25" s="32"/>
      <c r="H25" s="33" t="s">
        <v>54</v>
      </c>
      <c r="I25" s="34" t="n">
        <v>3</v>
      </c>
      <c r="K25" s="31" t="n">
        <v>23</v>
      </c>
      <c r="L25" s="35" t="str">
        <f aca="false">"CAMPO "&amp;ROMAN(K25)</f>
        <v>CAMPO XXIII</v>
      </c>
      <c r="M25" s="0" t="n">
        <f aca="false">ROW()</f>
        <v>25</v>
      </c>
      <c r="N25" s="36" t="n">
        <v>23</v>
      </c>
      <c r="O25" s="33" t="str">
        <f aca="false">VLOOKUP(N25,B_PARTITE_GIRONI,2,0)</f>
        <v>Girone</v>
      </c>
      <c r="P25" s="21" t="str">
        <f aca="false">VLOOKUP(N25,B_PARTITE_GIRONI,3,0)</f>
        <v>G</v>
      </c>
      <c r="Q25" s="37" t="str">
        <f aca="false">VLOOKUP(N25,B_PARTITE_GIRONI,6,0)</f>
        <v>Muli</v>
      </c>
      <c r="R25" s="37" t="str">
        <f aca="false">VLOOKUP(N25,B_PARTITE_GIRONI,7,0)</f>
        <v>Orche</v>
      </c>
      <c r="S25" s="38" t="n">
        <v>49</v>
      </c>
      <c r="T25" s="38" t="n">
        <v>88</v>
      </c>
      <c r="U25" s="39" t="n">
        <v>44355</v>
      </c>
      <c r="V25" s="40" t="n">
        <v>0.708333333333333</v>
      </c>
      <c r="W25" s="41" t="n">
        <v>3</v>
      </c>
      <c r="X25" s="42" t="str">
        <f aca="false">VLOOKUP(W25,A_3_INPUT_CAMPI,2,0)</f>
        <v>Basket Giovane</v>
      </c>
    </row>
    <row r="26" customFormat="false" ht="12.8" hidden="false" customHeight="false" outlineLevel="0" collapsed="false">
      <c r="D26" s="31" t="n">
        <v>24</v>
      </c>
      <c r="E26" s="16" t="str">
        <f aca="false">H26&amp;I26</f>
        <v>F4</v>
      </c>
      <c r="F26" s="32" t="s">
        <v>57</v>
      </c>
      <c r="G26" s="32"/>
      <c r="H26" s="33" t="s">
        <v>54</v>
      </c>
      <c r="I26" s="34" t="n">
        <v>4</v>
      </c>
      <c r="K26" s="31" t="n">
        <v>24</v>
      </c>
      <c r="L26" s="35" t="str">
        <f aca="false">"CAMPO "&amp;ROMAN(K26)</f>
        <v>CAMPO XXIV</v>
      </c>
      <c r="M26" s="0" t="n">
        <f aca="false">ROW()</f>
        <v>26</v>
      </c>
      <c r="N26" s="36" t="n">
        <v>24</v>
      </c>
      <c r="O26" s="33" t="str">
        <f aca="false">VLOOKUP(N26,B_PARTITE_GIRONI,2,0)</f>
        <v>Girone</v>
      </c>
      <c r="P26" s="21" t="str">
        <f aca="false">VLOOKUP(N26,B_PARTITE_GIRONI,3,0)</f>
        <v>H</v>
      </c>
      <c r="Q26" s="37" t="str">
        <f aca="false">VLOOKUP(N26,B_PARTITE_GIRONI,6,0)</f>
        <v>Tonni</v>
      </c>
      <c r="R26" s="37" t="str">
        <f aca="false">VLOOKUP(N26,B_PARTITE_GIRONI,7,0)</f>
        <v>Zebre</v>
      </c>
      <c r="S26" s="38" t="n">
        <v>55</v>
      </c>
      <c r="T26" s="38" t="n">
        <v>69</v>
      </c>
      <c r="U26" s="39" t="n">
        <v>44355</v>
      </c>
      <c r="V26" s="40" t="n">
        <v>0.708333333333333</v>
      </c>
      <c r="W26" s="41" t="n">
        <v>4</v>
      </c>
      <c r="X26" s="42" t="str">
        <f aca="false">VLOOKUP(W26,A_3_INPUT_CAMPI,2,0)</f>
        <v>Nuova Scuola</v>
      </c>
    </row>
    <row r="27" customFormat="false" ht="12.8" hidden="false" customHeight="false" outlineLevel="0" collapsed="false">
      <c r="D27" s="31" t="n">
        <v>25</v>
      </c>
      <c r="E27" s="16" t="str">
        <f aca="false">H27&amp;I27</f>
        <v>G1</v>
      </c>
      <c r="F27" s="32" t="s">
        <v>58</v>
      </c>
      <c r="G27" s="32"/>
      <c r="H27" s="33" t="s">
        <v>59</v>
      </c>
      <c r="I27" s="34" t="n">
        <v>1</v>
      </c>
      <c r="K27" s="31" t="n">
        <v>25</v>
      </c>
      <c r="L27" s="35" t="str">
        <f aca="false">"CAMPO "&amp;ROMAN(K27)</f>
        <v>CAMPO XXV</v>
      </c>
      <c r="M27" s="0" t="n">
        <f aca="false">ROW()</f>
        <v>27</v>
      </c>
      <c r="N27" s="36" t="n">
        <v>25</v>
      </c>
      <c r="O27" s="33" t="str">
        <f aca="false">VLOOKUP(N27,B_PARTITE_GIRONI,2,0)</f>
        <v>Girone</v>
      </c>
      <c r="P27" s="21" t="str">
        <f aca="false">VLOOKUP(N27,B_PARTITE_GIRONI,3,0)</f>
        <v>A</v>
      </c>
      <c r="Q27" s="37" t="str">
        <f aca="false">VLOOKUP(N27,B_PARTITE_GIRONI,6,0)</f>
        <v>Leoni</v>
      </c>
      <c r="R27" s="37" t="str">
        <f aca="false">VLOOKUP(N27,B_PARTITE_GIRONI,7,0)</f>
        <v>Ghepardi</v>
      </c>
      <c r="S27" s="38" t="n">
        <v>82</v>
      </c>
      <c r="T27" s="38" t="n">
        <v>25</v>
      </c>
      <c r="U27" s="39" t="n">
        <v>44355</v>
      </c>
      <c r="V27" s="40" t="n">
        <v>0.770833333333333</v>
      </c>
      <c r="W27" s="41" t="n">
        <v>1</v>
      </c>
      <c r="X27" s="42" t="str">
        <f aca="false">VLOOKUP(W27,A_3_INPUT_CAMPI,2,0)</f>
        <v>Cristo Re 1</v>
      </c>
    </row>
    <row r="28" customFormat="false" ht="12.8" hidden="false" customHeight="false" outlineLevel="0" collapsed="false">
      <c r="D28" s="31" t="n">
        <v>26</v>
      </c>
      <c r="E28" s="16" t="str">
        <f aca="false">H28&amp;I28</f>
        <v>G2</v>
      </c>
      <c r="F28" s="32" t="s">
        <v>60</v>
      </c>
      <c r="G28" s="32"/>
      <c r="H28" s="33" t="s">
        <v>59</v>
      </c>
      <c r="I28" s="34" t="n">
        <v>2</v>
      </c>
      <c r="K28" s="31" t="n">
        <v>26</v>
      </c>
      <c r="L28" s="35" t="str">
        <f aca="false">"CAMPO "&amp;ROMAN(K28)</f>
        <v>CAMPO XXVI</v>
      </c>
      <c r="M28" s="0" t="n">
        <f aca="false">ROW()</f>
        <v>28</v>
      </c>
      <c r="N28" s="36" t="n">
        <v>26</v>
      </c>
      <c r="O28" s="33" t="str">
        <f aca="false">VLOOKUP(N28,B_PARTITE_GIRONI,2,0)</f>
        <v>Girone</v>
      </c>
      <c r="P28" s="21" t="str">
        <f aca="false">VLOOKUP(N28,B_PARTITE_GIRONI,3,0)</f>
        <v>B</v>
      </c>
      <c r="Q28" s="37" t="str">
        <f aca="false">VLOOKUP(N28,B_PARTITE_GIRONI,6,0)</f>
        <v>Giaguari</v>
      </c>
      <c r="R28" s="37" t="str">
        <f aca="false">VLOOKUP(N28,B_PARTITE_GIRONI,7,0)</f>
        <v>Serval</v>
      </c>
      <c r="S28" s="38" t="n">
        <v>76</v>
      </c>
      <c r="T28" s="38" t="n">
        <v>94</v>
      </c>
      <c r="U28" s="39" t="n">
        <v>44355</v>
      </c>
      <c r="V28" s="40" t="n">
        <v>0.770833333333333</v>
      </c>
      <c r="W28" s="41" t="n">
        <v>2</v>
      </c>
      <c r="X28" s="42" t="str">
        <f aca="false">VLOOKUP(W28,A_3_INPUT_CAMPI,2,0)</f>
        <v>Cristo Re 2</v>
      </c>
    </row>
    <row r="29" customFormat="false" ht="12.8" hidden="false" customHeight="false" outlineLevel="0" collapsed="false">
      <c r="D29" s="31" t="n">
        <v>27</v>
      </c>
      <c r="E29" s="16" t="str">
        <f aca="false">H29&amp;I29</f>
        <v>G3</v>
      </c>
      <c r="F29" s="32" t="s">
        <v>61</v>
      </c>
      <c r="G29" s="32"/>
      <c r="H29" s="33" t="s">
        <v>59</v>
      </c>
      <c r="I29" s="34" t="n">
        <v>3</v>
      </c>
      <c r="K29" s="31" t="n">
        <v>27</v>
      </c>
      <c r="L29" s="35" t="str">
        <f aca="false">"CAMPO "&amp;ROMAN(K29)</f>
        <v>CAMPO XXVII</v>
      </c>
      <c r="M29" s="0" t="n">
        <f aca="false">ROW()</f>
        <v>29</v>
      </c>
      <c r="N29" s="36" t="n">
        <v>27</v>
      </c>
      <c r="O29" s="33" t="str">
        <f aca="false">VLOOKUP(N29,B_PARTITE_GIRONI,2,0)</f>
        <v>Girone</v>
      </c>
      <c r="P29" s="21" t="str">
        <f aca="false">VLOOKUP(N29,B_PARTITE_GIRONI,3,0)</f>
        <v>C</v>
      </c>
      <c r="Q29" s="37" t="str">
        <f aca="false">VLOOKUP(N29,B_PARTITE_GIRONI,6,0)</f>
        <v>Elefanti</v>
      </c>
      <c r="R29" s="37" t="str">
        <f aca="false">VLOOKUP(N29,B_PARTITE_GIRONI,7,0)</f>
        <v>Iguane</v>
      </c>
      <c r="S29" s="38" t="n">
        <v>57</v>
      </c>
      <c r="T29" s="38" t="n">
        <v>42</v>
      </c>
      <c r="U29" s="39" t="n">
        <v>44355</v>
      </c>
      <c r="V29" s="40" t="n">
        <v>0.770833333333333</v>
      </c>
      <c r="W29" s="41" t="n">
        <v>3</v>
      </c>
      <c r="X29" s="42" t="str">
        <f aca="false">VLOOKUP(W29,A_3_INPUT_CAMPI,2,0)</f>
        <v>Basket Giovane</v>
      </c>
    </row>
    <row r="30" customFormat="false" ht="12.8" hidden="false" customHeight="false" outlineLevel="0" collapsed="false">
      <c r="D30" s="31" t="n">
        <v>28</v>
      </c>
      <c r="E30" s="16" t="str">
        <f aca="false">H30&amp;I30</f>
        <v>G4</v>
      </c>
      <c r="F30" s="32" t="s">
        <v>62</v>
      </c>
      <c r="G30" s="32"/>
      <c r="H30" s="33" t="s">
        <v>59</v>
      </c>
      <c r="I30" s="34" t="n">
        <v>4</v>
      </c>
      <c r="K30" s="31" t="n">
        <v>28</v>
      </c>
      <c r="L30" s="35" t="str">
        <f aca="false">"CAMPO "&amp;ROMAN(K30)</f>
        <v>CAMPO XXVIII</v>
      </c>
      <c r="M30" s="0" t="n">
        <f aca="false">ROW()</f>
        <v>30</v>
      </c>
      <c r="N30" s="36" t="n">
        <v>28</v>
      </c>
      <c r="O30" s="33" t="str">
        <f aca="false">VLOOKUP(N30,B_PARTITE_GIRONI,2,0)</f>
        <v>Girone</v>
      </c>
      <c r="P30" s="21" t="str">
        <f aca="false">VLOOKUP(N30,B_PARTITE_GIRONI,3,0)</f>
        <v>D</v>
      </c>
      <c r="Q30" s="37" t="str">
        <f aca="false">VLOOKUP(N30,B_PARTITE_GIRONI,6,0)</f>
        <v>Coccodrilli</v>
      </c>
      <c r="R30" s="37" t="str">
        <f aca="false">VLOOKUP(N30,B_PARTITE_GIRONI,7,0)</f>
        <v>Falchi</v>
      </c>
      <c r="S30" s="38" t="n">
        <v>54</v>
      </c>
      <c r="T30" s="38" t="n">
        <v>44</v>
      </c>
      <c r="U30" s="39" t="n">
        <v>44355</v>
      </c>
      <c r="V30" s="40" t="n">
        <v>0.770833333333333</v>
      </c>
      <c r="W30" s="41" t="n">
        <v>4</v>
      </c>
      <c r="X30" s="42" t="str">
        <f aca="false">VLOOKUP(W30,A_3_INPUT_CAMPI,2,0)</f>
        <v>Nuova Scuola</v>
      </c>
    </row>
    <row r="31" customFormat="false" ht="12.8" hidden="false" customHeight="false" outlineLevel="0" collapsed="false">
      <c r="D31" s="31" t="n">
        <v>29</v>
      </c>
      <c r="E31" s="16" t="str">
        <f aca="false">H31&amp;I31</f>
        <v>H1</v>
      </c>
      <c r="F31" s="32" t="s">
        <v>63</v>
      </c>
      <c r="G31" s="32"/>
      <c r="H31" s="33" t="s">
        <v>64</v>
      </c>
      <c r="I31" s="34" t="n">
        <v>1</v>
      </c>
      <c r="K31" s="31" t="n">
        <v>29</v>
      </c>
      <c r="L31" s="35" t="str">
        <f aca="false">"CAMPO "&amp;ROMAN(K31)</f>
        <v>CAMPO XXIX</v>
      </c>
      <c r="M31" s="0" t="n">
        <f aca="false">ROW()</f>
        <v>31</v>
      </c>
      <c r="N31" s="36" t="n">
        <v>29</v>
      </c>
      <c r="O31" s="33" t="str">
        <f aca="false">VLOOKUP(N31,B_PARTITE_GIRONI,2,0)</f>
        <v>Girone</v>
      </c>
      <c r="P31" s="21" t="str">
        <f aca="false">VLOOKUP(N31,B_PARTITE_GIRONI,3,0)</f>
        <v>E</v>
      </c>
      <c r="Q31" s="37" t="str">
        <f aca="false">VLOOKUP(N31,B_PARTITE_GIRONI,6,0)</f>
        <v>Bisonti</v>
      </c>
      <c r="R31" s="37" t="str">
        <f aca="false">VLOOKUP(N31,B_PARTITE_GIRONI,7,0)</f>
        <v>Cervi</v>
      </c>
      <c r="S31" s="38" t="n">
        <v>20</v>
      </c>
      <c r="T31" s="38" t="n">
        <v>0</v>
      </c>
      <c r="U31" s="39" t="n">
        <v>44356</v>
      </c>
      <c r="V31" s="40" t="n">
        <v>0.375</v>
      </c>
      <c r="W31" s="41" t="n">
        <v>1</v>
      </c>
      <c r="X31" s="42" t="str">
        <f aca="false">VLOOKUP(W31,A_3_INPUT_CAMPI,2,0)</f>
        <v>Cristo Re 1</v>
      </c>
    </row>
    <row r="32" customFormat="false" ht="12.8" hidden="false" customHeight="false" outlineLevel="0" collapsed="false">
      <c r="D32" s="31" t="n">
        <v>30</v>
      </c>
      <c r="E32" s="16" t="str">
        <f aca="false">H32&amp;I32</f>
        <v>H2</v>
      </c>
      <c r="F32" s="32" t="s">
        <v>65</v>
      </c>
      <c r="G32" s="32"/>
      <c r="H32" s="33" t="s">
        <v>64</v>
      </c>
      <c r="I32" s="34" t="n">
        <v>2</v>
      </c>
      <c r="K32" s="31" t="n">
        <v>30</v>
      </c>
      <c r="L32" s="35" t="str">
        <f aca="false">"CAMPO "&amp;ROMAN(K32)</f>
        <v>CAMPO XXX</v>
      </c>
      <c r="M32" s="0" t="n">
        <f aca="false">ROW()</f>
        <v>32</v>
      </c>
      <c r="N32" s="36" t="n">
        <v>30</v>
      </c>
      <c r="O32" s="33" t="str">
        <f aca="false">VLOOKUP(N32,B_PARTITE_GIRONI,2,0)</f>
        <v>Girone</v>
      </c>
      <c r="P32" s="21" t="str">
        <f aca="false">VLOOKUP(N32,B_PARTITE_GIRONI,3,0)</f>
        <v>F</v>
      </c>
      <c r="Q32" s="37" t="str">
        <f aca="false">VLOOKUP(N32,B_PARTITE_GIRONI,6,0)</f>
        <v>Balene</v>
      </c>
      <c r="R32" s="37" t="str">
        <f aca="false">VLOOKUP(N32,B_PARTITE_GIRONI,7,0)</f>
        <v>Delfini</v>
      </c>
      <c r="S32" s="38" t="n">
        <v>64</v>
      </c>
      <c r="T32" s="38" t="n">
        <v>24</v>
      </c>
      <c r="U32" s="39" t="n">
        <v>44356</v>
      </c>
      <c r="V32" s="40" t="n">
        <v>0.375</v>
      </c>
      <c r="W32" s="41" t="n">
        <v>2</v>
      </c>
      <c r="X32" s="42" t="str">
        <f aca="false">VLOOKUP(W32,A_3_INPUT_CAMPI,2,0)</f>
        <v>Cristo Re 2</v>
      </c>
    </row>
    <row r="33" customFormat="false" ht="12.8" hidden="false" customHeight="false" outlineLevel="0" collapsed="false">
      <c r="D33" s="31" t="n">
        <v>31</v>
      </c>
      <c r="E33" s="16" t="str">
        <f aca="false">H33&amp;I33</f>
        <v>H3</v>
      </c>
      <c r="F33" s="32" t="s">
        <v>66</v>
      </c>
      <c r="G33" s="32"/>
      <c r="H33" s="33" t="s">
        <v>64</v>
      </c>
      <c r="I33" s="34" t="n">
        <v>3</v>
      </c>
      <c r="K33" s="31" t="n">
        <v>31</v>
      </c>
      <c r="L33" s="35" t="str">
        <f aca="false">"CAMPO "&amp;ROMAN(K33)</f>
        <v>CAMPO XXXI</v>
      </c>
      <c r="M33" s="0" t="n">
        <f aca="false">ROW()</f>
        <v>33</v>
      </c>
      <c r="N33" s="36" t="n">
        <v>31</v>
      </c>
      <c r="O33" s="33" t="str">
        <f aca="false">VLOOKUP(N33,B_PARTITE_GIRONI,2,0)</f>
        <v>Girone</v>
      </c>
      <c r="P33" s="21" t="str">
        <f aca="false">VLOOKUP(N33,B_PARTITE_GIRONI,3,0)</f>
        <v>G</v>
      </c>
      <c r="Q33" s="37" t="str">
        <f aca="false">VLOOKUP(N33,B_PARTITE_GIRONI,6,0)</f>
        <v>Istrici</v>
      </c>
      <c r="R33" s="37" t="str">
        <f aca="false">VLOOKUP(N33,B_PARTITE_GIRONI,7,0)</f>
        <v>Muli</v>
      </c>
      <c r="S33" s="38" t="n">
        <v>48</v>
      </c>
      <c r="T33" s="38" t="n">
        <v>36</v>
      </c>
      <c r="U33" s="39" t="n">
        <v>44356</v>
      </c>
      <c r="V33" s="40" t="n">
        <v>0.375</v>
      </c>
      <c r="W33" s="41" t="n">
        <v>3</v>
      </c>
      <c r="X33" s="42" t="str">
        <f aca="false">VLOOKUP(W33,A_3_INPUT_CAMPI,2,0)</f>
        <v>Basket Giovane</v>
      </c>
    </row>
    <row r="34" customFormat="false" ht="12.8" hidden="false" customHeight="false" outlineLevel="0" collapsed="false">
      <c r="D34" s="43" t="n">
        <v>32</v>
      </c>
      <c r="E34" s="16" t="str">
        <f aca="false">H34&amp;I34</f>
        <v>H4</v>
      </c>
      <c r="F34" s="44" t="s">
        <v>67</v>
      </c>
      <c r="G34" s="44"/>
      <c r="H34" s="45" t="s">
        <v>64</v>
      </c>
      <c r="I34" s="46" t="n">
        <v>4</v>
      </c>
      <c r="K34" s="43" t="n">
        <v>32</v>
      </c>
      <c r="L34" s="47" t="str">
        <f aca="false">"CAMPO "&amp;ROMAN(K34)</f>
        <v>CAMPO XXXII</v>
      </c>
      <c r="M34" s="0" t="n">
        <f aca="false">ROW()</f>
        <v>34</v>
      </c>
      <c r="N34" s="36" t="n">
        <v>32</v>
      </c>
      <c r="O34" s="33" t="str">
        <f aca="false">VLOOKUP(N34,B_PARTITE_GIRONI,2,0)</f>
        <v>Girone</v>
      </c>
      <c r="P34" s="21" t="str">
        <f aca="false">VLOOKUP(N34,B_PARTITE_GIRONI,3,0)</f>
        <v>H</v>
      </c>
      <c r="Q34" s="37" t="str">
        <f aca="false">VLOOKUP(N34,B_PARTITE_GIRONI,6,0)</f>
        <v>Piranha</v>
      </c>
      <c r="R34" s="37" t="str">
        <f aca="false">VLOOKUP(N34,B_PARTITE_GIRONI,7,0)</f>
        <v>Tonni</v>
      </c>
      <c r="S34" s="38" t="n">
        <v>75</v>
      </c>
      <c r="T34" s="38" t="n">
        <v>49</v>
      </c>
      <c r="U34" s="39" t="n">
        <v>44356</v>
      </c>
      <c r="V34" s="40" t="n">
        <v>0.375</v>
      </c>
      <c r="W34" s="41" t="n">
        <v>4</v>
      </c>
      <c r="X34" s="42" t="str">
        <f aca="false">VLOOKUP(W34,A_3_INPUT_CAMPI,2,0)</f>
        <v>Nuova Scuola</v>
      </c>
    </row>
    <row r="35" customFormat="false" ht="12.8" hidden="false" customHeight="false" outlineLevel="0" collapsed="false">
      <c r="K35" s="48"/>
      <c r="M35" s="0" t="n">
        <f aca="false">ROW()</f>
        <v>35</v>
      </c>
      <c r="N35" s="36" t="n">
        <v>33</v>
      </c>
      <c r="O35" s="33" t="str">
        <f aca="false">VLOOKUP(N35,B_PARTITE_GIRONI,2,0)</f>
        <v>Girone</v>
      </c>
      <c r="P35" s="21" t="str">
        <f aca="false">VLOOKUP(N35,B_PARTITE_GIRONI,3,0)</f>
        <v>E</v>
      </c>
      <c r="Q35" s="37" t="str">
        <f aca="false">VLOOKUP(N35,B_PARTITE_GIRONI,6,0)</f>
        <v>Bufali</v>
      </c>
      <c r="R35" s="37" t="str">
        <f aca="false">VLOOKUP(N35,B_PARTITE_GIRONI,7,0)</f>
        <v>Cinghiali</v>
      </c>
      <c r="S35" s="38" t="n">
        <v>0</v>
      </c>
      <c r="T35" s="38" t="n">
        <v>20</v>
      </c>
      <c r="U35" s="39" t="n">
        <v>44356</v>
      </c>
      <c r="V35" s="40" t="n">
        <v>0.458333333333333</v>
      </c>
      <c r="W35" s="41" t="n">
        <v>1</v>
      </c>
      <c r="X35" s="42" t="str">
        <f aca="false">VLOOKUP(W35,A_3_INPUT_CAMPI,2,0)</f>
        <v>Cristo Re 1</v>
      </c>
    </row>
    <row r="36" customFormat="false" ht="12.8" hidden="false" customHeight="false" outlineLevel="0" collapsed="false">
      <c r="M36" s="0" t="n">
        <f aca="false">ROW()</f>
        <v>36</v>
      </c>
      <c r="N36" s="36" t="n">
        <v>34</v>
      </c>
      <c r="O36" s="33" t="str">
        <f aca="false">VLOOKUP(N36,B_PARTITE_GIRONI,2,0)</f>
        <v>Girone</v>
      </c>
      <c r="P36" s="21" t="str">
        <f aca="false">VLOOKUP(N36,B_PARTITE_GIRONI,3,0)</f>
        <v>F</v>
      </c>
      <c r="Q36" s="37" t="str">
        <f aca="false">VLOOKUP(N36,B_PARTITE_GIRONI,6,0)</f>
        <v>Gabbiani</v>
      </c>
      <c r="R36" s="37" t="str">
        <f aca="false">VLOOKUP(N36,B_PARTITE_GIRONI,7,0)</f>
        <v>Fenicotteri</v>
      </c>
      <c r="S36" s="38" t="n">
        <v>41</v>
      </c>
      <c r="T36" s="38" t="n">
        <v>35</v>
      </c>
      <c r="U36" s="39" t="n">
        <v>44356</v>
      </c>
      <c r="V36" s="40" t="n">
        <v>0.458333333333333</v>
      </c>
      <c r="W36" s="41" t="n">
        <v>2</v>
      </c>
      <c r="X36" s="42" t="str">
        <f aca="false">VLOOKUP(W36,A_3_INPUT_CAMPI,2,0)</f>
        <v>Cristo Re 2</v>
      </c>
    </row>
    <row r="37" customFormat="false" ht="12.8" hidden="false" customHeight="false" outlineLevel="0" collapsed="false">
      <c r="M37" s="0" t="n">
        <f aca="false">ROW()</f>
        <v>37</v>
      </c>
      <c r="N37" s="36" t="n">
        <v>35</v>
      </c>
      <c r="O37" s="33" t="str">
        <f aca="false">VLOOKUP(N37,B_PARTITE_GIRONI,2,0)</f>
        <v>Girone</v>
      </c>
      <c r="P37" s="21" t="str">
        <f aca="false">VLOOKUP(N37,B_PARTITE_GIRONI,3,0)</f>
        <v>G</v>
      </c>
      <c r="Q37" s="37" t="str">
        <f aca="false">VLOOKUP(N37,B_PARTITE_GIRONI,6,0)</f>
        <v>Gorilla</v>
      </c>
      <c r="R37" s="37" t="str">
        <f aca="false">VLOOKUP(N37,B_PARTITE_GIRONI,7,0)</f>
        <v>Orche</v>
      </c>
      <c r="S37" s="38" t="n">
        <v>50</v>
      </c>
      <c r="T37" s="38" t="n">
        <v>64</v>
      </c>
      <c r="U37" s="39" t="n">
        <v>44356</v>
      </c>
      <c r="V37" s="40" t="n">
        <v>0.458333333333333</v>
      </c>
      <c r="W37" s="41" t="n">
        <v>3</v>
      </c>
      <c r="X37" s="42" t="str">
        <f aca="false">VLOOKUP(W37,A_3_INPUT_CAMPI,2,0)</f>
        <v>Basket Giovane</v>
      </c>
    </row>
    <row r="38" customFormat="false" ht="12.8" hidden="false" customHeight="false" outlineLevel="0" collapsed="false">
      <c r="M38" s="0" t="n">
        <f aca="false">ROW()</f>
        <v>38</v>
      </c>
      <c r="N38" s="36" t="n">
        <v>36</v>
      </c>
      <c r="O38" s="33" t="str">
        <f aca="false">VLOOKUP(N38,B_PARTITE_GIRONI,2,0)</f>
        <v>Girone</v>
      </c>
      <c r="P38" s="21" t="str">
        <f aca="false">VLOOKUP(N38,B_PARTITE_GIRONI,3,0)</f>
        <v>H</v>
      </c>
      <c r="Q38" s="37" t="str">
        <f aca="false">VLOOKUP(N38,B_PARTITE_GIRONI,6,0)</f>
        <v>Scorpioni</v>
      </c>
      <c r="R38" s="37" t="str">
        <f aca="false">VLOOKUP(N38,B_PARTITE_GIRONI,7,0)</f>
        <v>Zebre</v>
      </c>
      <c r="S38" s="38" t="n">
        <v>82</v>
      </c>
      <c r="T38" s="38" t="n">
        <v>74</v>
      </c>
      <c r="U38" s="39" t="n">
        <v>44356</v>
      </c>
      <c r="V38" s="40" t="n">
        <v>0.458333333333333</v>
      </c>
      <c r="W38" s="41" t="n">
        <v>4</v>
      </c>
      <c r="X38" s="42" t="str">
        <f aca="false">VLOOKUP(W38,A_3_INPUT_CAMPI,2,0)</f>
        <v>Nuova Scuola</v>
      </c>
    </row>
    <row r="39" customFormat="false" ht="12.8" hidden="false" customHeight="false" outlineLevel="0" collapsed="false">
      <c r="M39" s="0" t="n">
        <f aca="false">ROW()</f>
        <v>39</v>
      </c>
      <c r="N39" s="36" t="n">
        <v>37</v>
      </c>
      <c r="O39" s="33" t="str">
        <f aca="false">VLOOKUP(N39,B_PARTITE_GIRONI,2,0)</f>
        <v>Girone</v>
      </c>
      <c r="P39" s="21" t="str">
        <f aca="false">VLOOKUP(N39,B_PARTITE_GIRONI,3,0)</f>
        <v>A</v>
      </c>
      <c r="Q39" s="37" t="str">
        <f aca="false">VLOOKUP(N39,B_PARTITE_GIRONI,6,0)</f>
        <v>Pantere</v>
      </c>
      <c r="R39" s="37" t="str">
        <f aca="false">VLOOKUP(N39,B_PARTITE_GIRONI,7,0)</f>
        <v>Tigri</v>
      </c>
      <c r="S39" s="38" t="n">
        <v>93</v>
      </c>
      <c r="T39" s="38" t="n">
        <v>30</v>
      </c>
      <c r="U39" s="39" t="n">
        <v>44356</v>
      </c>
      <c r="V39" s="40" t="n">
        <v>0.645833333333333</v>
      </c>
      <c r="W39" s="41" t="n">
        <v>1</v>
      </c>
      <c r="X39" s="42" t="str">
        <f aca="false">VLOOKUP(W39,A_3_INPUT_CAMPI,2,0)</f>
        <v>Cristo Re 1</v>
      </c>
    </row>
    <row r="40" customFormat="false" ht="12.8" hidden="false" customHeight="false" outlineLevel="0" collapsed="false">
      <c r="A40" s="2" t="s">
        <v>68</v>
      </c>
      <c r="B40" s="2"/>
      <c r="M40" s="0" t="n">
        <f aca="false">ROW()</f>
        <v>40</v>
      </c>
      <c r="N40" s="36" t="n">
        <v>38</v>
      </c>
      <c r="O40" s="33" t="str">
        <f aca="false">VLOOKUP(N40,B_PARTITE_GIRONI,2,0)</f>
        <v>Girone</v>
      </c>
      <c r="P40" s="21" t="str">
        <f aca="false">VLOOKUP(N40,B_PARTITE_GIRONI,3,0)</f>
        <v>B</v>
      </c>
      <c r="Q40" s="37" t="str">
        <f aca="false">VLOOKUP(N40,B_PARTITE_GIRONI,6,0)</f>
        <v>Puma</v>
      </c>
      <c r="R40" s="37" t="str">
        <f aca="false">VLOOKUP(N40,B_PARTITE_GIRONI,7,0)</f>
        <v>Linci</v>
      </c>
      <c r="S40" s="38" t="n">
        <v>97</v>
      </c>
      <c r="T40" s="38" t="n">
        <v>72</v>
      </c>
      <c r="U40" s="39" t="n">
        <v>44356</v>
      </c>
      <c r="V40" s="40" t="n">
        <v>0.645833333333333</v>
      </c>
      <c r="W40" s="41" t="n">
        <v>2</v>
      </c>
      <c r="X40" s="42" t="str">
        <f aca="false">VLOOKUP(W40,A_3_INPUT_CAMPI,2,0)</f>
        <v>Cristo Re 2</v>
      </c>
    </row>
    <row r="41" customFormat="false" ht="12.8" hidden="false" customHeight="false" outlineLevel="0" collapsed="false">
      <c r="A41" s="49" t="s">
        <v>69</v>
      </c>
      <c r="B41" s="50" t="s">
        <v>70</v>
      </c>
      <c r="M41" s="0" t="n">
        <f aca="false">ROW()</f>
        <v>41</v>
      </c>
      <c r="N41" s="36" t="n">
        <v>39</v>
      </c>
      <c r="O41" s="33" t="str">
        <f aca="false">VLOOKUP(N41,B_PARTITE_GIRONI,2,0)</f>
        <v>Girone</v>
      </c>
      <c r="P41" s="21" t="str">
        <f aca="false">VLOOKUP(N41,B_PARTITE_GIRONI,3,0)</f>
        <v>C</v>
      </c>
      <c r="Q41" s="37" t="str">
        <f aca="false">VLOOKUP(N41,B_PARTITE_GIRONI,6,0)</f>
        <v>Giraffe</v>
      </c>
      <c r="R41" s="37" t="str">
        <f aca="false">VLOOKUP(N41,B_PARTITE_GIRONI,7,0)</f>
        <v>Ippopotami</v>
      </c>
      <c r="S41" s="38" t="n">
        <v>98</v>
      </c>
      <c r="T41" s="38" t="n">
        <v>49</v>
      </c>
      <c r="U41" s="39" t="n">
        <v>44356</v>
      </c>
      <c r="V41" s="40" t="n">
        <v>0.645833333333333</v>
      </c>
      <c r="W41" s="41" t="n">
        <v>3</v>
      </c>
      <c r="X41" s="42" t="str">
        <f aca="false">VLOOKUP(W41,A_3_INPUT_CAMPI,2,0)</f>
        <v>Basket Giovane</v>
      </c>
    </row>
    <row r="42" customFormat="false" ht="12.8" hidden="false" customHeight="false" outlineLevel="0" collapsed="false">
      <c r="A42" s="51" t="s">
        <v>71</v>
      </c>
      <c r="B42" s="50" t="s">
        <v>72</v>
      </c>
      <c r="M42" s="0" t="n">
        <f aca="false">ROW()</f>
        <v>42</v>
      </c>
      <c r="N42" s="36" t="n">
        <v>40</v>
      </c>
      <c r="O42" s="33" t="str">
        <f aca="false">VLOOKUP(N42,B_PARTITE_GIRONI,2,0)</f>
        <v>Girone</v>
      </c>
      <c r="P42" s="21" t="str">
        <f aca="false">VLOOKUP(N42,B_PARTITE_GIRONI,3,0)</f>
        <v>D</v>
      </c>
      <c r="Q42" s="37" t="str">
        <f aca="false">VLOOKUP(N42,B_PARTITE_GIRONI,6,0)</f>
        <v>Pitoni</v>
      </c>
      <c r="R42" s="37" t="str">
        <f aca="false">VLOOKUP(N42,B_PARTITE_GIRONI,7,0)</f>
        <v>Aquile</v>
      </c>
      <c r="S42" s="38" t="n">
        <v>25</v>
      </c>
      <c r="T42" s="38" t="n">
        <v>15</v>
      </c>
      <c r="U42" s="39" t="n">
        <v>44356</v>
      </c>
      <c r="V42" s="40" t="n">
        <v>0.645833333333333</v>
      </c>
      <c r="W42" s="41" t="n">
        <v>4</v>
      </c>
      <c r="X42" s="42" t="str">
        <f aca="false">VLOOKUP(W42,A_3_INPUT_CAMPI,2,0)</f>
        <v>Nuova Scuola</v>
      </c>
    </row>
    <row r="43" customFormat="false" ht="12.8" hidden="false" customHeight="false" outlineLevel="0" collapsed="false">
      <c r="A43" s="52" t="s">
        <v>73</v>
      </c>
      <c r="B43" s="50" t="s">
        <v>74</v>
      </c>
      <c r="M43" s="0" t="n">
        <f aca="false">ROW()</f>
        <v>43</v>
      </c>
      <c r="N43" s="36" t="n">
        <v>41</v>
      </c>
      <c r="O43" s="33" t="str">
        <f aca="false">VLOOKUP(N43,B_PARTITE_GIRONI,2,0)</f>
        <v>Girone</v>
      </c>
      <c r="P43" s="21" t="str">
        <f aca="false">VLOOKUP(N43,B_PARTITE_GIRONI,3,0)</f>
        <v>E</v>
      </c>
      <c r="Q43" s="37" t="str">
        <f aca="false">VLOOKUP(N43,B_PARTITE_GIRONI,6,0)</f>
        <v>Bisonti</v>
      </c>
      <c r="R43" s="37" t="str">
        <f aca="false">VLOOKUP(N43,B_PARTITE_GIRONI,7,0)</f>
        <v>Cinghiali</v>
      </c>
      <c r="S43" s="38" t="n">
        <v>42</v>
      </c>
      <c r="T43" s="38" t="n">
        <v>82</v>
      </c>
      <c r="U43" s="39" t="n">
        <v>44356</v>
      </c>
      <c r="V43" s="40" t="n">
        <v>0.708333333333333</v>
      </c>
      <c r="W43" s="41" t="n">
        <v>1</v>
      </c>
      <c r="X43" s="42" t="str">
        <f aca="false">VLOOKUP(W43,A_3_INPUT_CAMPI,2,0)</f>
        <v>Cristo Re 1</v>
      </c>
    </row>
    <row r="44" customFormat="false" ht="12.8" hidden="false" customHeight="false" outlineLevel="0" collapsed="false">
      <c r="A44" s="53" t="s">
        <v>75</v>
      </c>
      <c r="B44" s="50" t="s">
        <v>76</v>
      </c>
      <c r="M44" s="0" t="n">
        <f aca="false">ROW()</f>
        <v>44</v>
      </c>
      <c r="N44" s="36" t="n">
        <v>42</v>
      </c>
      <c r="O44" s="33" t="str">
        <f aca="false">VLOOKUP(N44,B_PARTITE_GIRONI,2,0)</f>
        <v>Girone</v>
      </c>
      <c r="P44" s="21" t="str">
        <f aca="false">VLOOKUP(N44,B_PARTITE_GIRONI,3,0)</f>
        <v>F</v>
      </c>
      <c r="Q44" s="37" t="str">
        <f aca="false">VLOOKUP(N44,B_PARTITE_GIRONI,6,0)</f>
        <v>Balene</v>
      </c>
      <c r="R44" s="37" t="str">
        <f aca="false">VLOOKUP(N44,B_PARTITE_GIRONI,7,0)</f>
        <v>Fenicotteri</v>
      </c>
      <c r="S44" s="38" t="n">
        <v>24</v>
      </c>
      <c r="T44" s="38" t="n">
        <v>23</v>
      </c>
      <c r="U44" s="39" t="n">
        <v>44356</v>
      </c>
      <c r="V44" s="40" t="n">
        <v>0.708333333333333</v>
      </c>
      <c r="W44" s="41" t="n">
        <v>2</v>
      </c>
      <c r="X44" s="42" t="str">
        <f aca="false">VLOOKUP(W44,A_3_INPUT_CAMPI,2,0)</f>
        <v>Cristo Re 2</v>
      </c>
    </row>
    <row r="45" customFormat="false" ht="12.8" hidden="false" customHeight="false" outlineLevel="0" collapsed="false">
      <c r="A45" s="54" t="s">
        <v>77</v>
      </c>
      <c r="B45" s="50" t="s">
        <v>78</v>
      </c>
      <c r="M45" s="0" t="n">
        <f aca="false">ROW()</f>
        <v>45</v>
      </c>
      <c r="N45" s="36" t="n">
        <v>43</v>
      </c>
      <c r="O45" s="33" t="str">
        <f aca="false">VLOOKUP(N45,B_PARTITE_GIRONI,2,0)</f>
        <v>Girone</v>
      </c>
      <c r="P45" s="21" t="str">
        <f aca="false">VLOOKUP(N45,B_PARTITE_GIRONI,3,0)</f>
        <v>G</v>
      </c>
      <c r="Q45" s="37" t="str">
        <f aca="false">VLOOKUP(N45,B_PARTITE_GIRONI,6,0)</f>
        <v>Istrici</v>
      </c>
      <c r="R45" s="37" t="str">
        <f aca="false">VLOOKUP(N45,B_PARTITE_GIRONI,7,0)</f>
        <v>Orche</v>
      </c>
      <c r="S45" s="38" t="n">
        <v>32</v>
      </c>
      <c r="T45" s="38" t="n">
        <v>31</v>
      </c>
      <c r="U45" s="39" t="n">
        <v>44356</v>
      </c>
      <c r="V45" s="40" t="n">
        <v>0.708333333333333</v>
      </c>
      <c r="W45" s="41" t="n">
        <v>3</v>
      </c>
      <c r="X45" s="42" t="str">
        <f aca="false">VLOOKUP(W45,A_3_INPUT_CAMPI,2,0)</f>
        <v>Basket Giovane</v>
      </c>
    </row>
    <row r="46" customFormat="false" ht="12.8" hidden="false" customHeight="false" outlineLevel="0" collapsed="false">
      <c r="A46" s="55" t="s">
        <v>79</v>
      </c>
      <c r="B46" s="50" t="s">
        <v>80</v>
      </c>
      <c r="M46" s="0" t="n">
        <f aca="false">ROW()</f>
        <v>46</v>
      </c>
      <c r="N46" s="36" t="n">
        <v>44</v>
      </c>
      <c r="O46" s="33" t="str">
        <f aca="false">VLOOKUP(N46,B_PARTITE_GIRONI,2,0)</f>
        <v>Girone</v>
      </c>
      <c r="P46" s="21" t="str">
        <f aca="false">VLOOKUP(N46,B_PARTITE_GIRONI,3,0)</f>
        <v>H</v>
      </c>
      <c r="Q46" s="37" t="str">
        <f aca="false">VLOOKUP(N46,B_PARTITE_GIRONI,6,0)</f>
        <v>Piranha</v>
      </c>
      <c r="R46" s="37" t="str">
        <f aca="false">VLOOKUP(N46,B_PARTITE_GIRONI,7,0)</f>
        <v>Zebre</v>
      </c>
      <c r="S46" s="38" t="n">
        <v>86</v>
      </c>
      <c r="T46" s="38" t="n">
        <v>73</v>
      </c>
      <c r="U46" s="39" t="n">
        <v>44356</v>
      </c>
      <c r="V46" s="40" t="n">
        <v>0.708333333333333</v>
      </c>
      <c r="W46" s="41" t="n">
        <v>4</v>
      </c>
      <c r="X46" s="42" t="str">
        <f aca="false">VLOOKUP(W46,A_3_INPUT_CAMPI,2,0)</f>
        <v>Nuova Scuola</v>
      </c>
    </row>
    <row r="47" customFormat="false" ht="12.8" hidden="false" customHeight="false" outlineLevel="0" collapsed="false">
      <c r="A47" s="56" t="s">
        <v>81</v>
      </c>
      <c r="B47" s="50" t="s">
        <v>82</v>
      </c>
      <c r="M47" s="0" t="n">
        <f aca="false">ROW()</f>
        <v>47</v>
      </c>
      <c r="N47" s="36" t="n">
        <v>45</v>
      </c>
      <c r="O47" s="33" t="str">
        <f aca="false">VLOOKUP(N47,B_PARTITE_GIRONI,2,0)</f>
        <v>Girone</v>
      </c>
      <c r="P47" s="21" t="str">
        <f aca="false">VLOOKUP(N47,B_PARTITE_GIRONI,3,0)</f>
        <v>E</v>
      </c>
      <c r="Q47" s="37" t="str">
        <f aca="false">VLOOKUP(N47,B_PARTITE_GIRONI,6,0)</f>
        <v>Bufali</v>
      </c>
      <c r="R47" s="37" t="str">
        <f aca="false">VLOOKUP(N47,B_PARTITE_GIRONI,7,0)</f>
        <v>Cervi</v>
      </c>
      <c r="S47" s="38" t="n">
        <v>66</v>
      </c>
      <c r="T47" s="38" t="n">
        <v>49</v>
      </c>
      <c r="U47" s="39" t="n">
        <v>44356</v>
      </c>
      <c r="V47" s="40" t="n">
        <v>0.770833333333333</v>
      </c>
      <c r="W47" s="41" t="n">
        <v>1</v>
      </c>
      <c r="X47" s="42" t="str">
        <f aca="false">VLOOKUP(W47,A_3_INPUT_CAMPI,2,0)</f>
        <v>Cristo Re 1</v>
      </c>
    </row>
    <row r="48" customFormat="false" ht="12.8" hidden="false" customHeight="false" outlineLevel="0" collapsed="false">
      <c r="A48" s="57" t="s">
        <v>83</v>
      </c>
      <c r="B48" s="50" t="s">
        <v>84</v>
      </c>
      <c r="M48" s="0" t="n">
        <f aca="false">ROW()</f>
        <v>48</v>
      </c>
      <c r="N48" s="36" t="n">
        <v>46</v>
      </c>
      <c r="O48" s="33" t="str">
        <f aca="false">VLOOKUP(N48,B_PARTITE_GIRONI,2,0)</f>
        <v>Girone</v>
      </c>
      <c r="P48" s="21" t="str">
        <f aca="false">VLOOKUP(N48,B_PARTITE_GIRONI,3,0)</f>
        <v>F</v>
      </c>
      <c r="Q48" s="37" t="str">
        <f aca="false">VLOOKUP(N48,B_PARTITE_GIRONI,6,0)</f>
        <v>Gabbiani</v>
      </c>
      <c r="R48" s="37" t="str">
        <f aca="false">VLOOKUP(N48,B_PARTITE_GIRONI,7,0)</f>
        <v>Delfini</v>
      </c>
      <c r="S48" s="38" t="n">
        <v>94</v>
      </c>
      <c r="T48" s="38" t="n">
        <v>38</v>
      </c>
      <c r="U48" s="39" t="n">
        <v>44356</v>
      </c>
      <c r="V48" s="40" t="n">
        <v>0.770833333333333</v>
      </c>
      <c r="W48" s="41" t="n">
        <v>2</v>
      </c>
      <c r="X48" s="42" t="str">
        <f aca="false">VLOOKUP(W48,A_3_INPUT_CAMPI,2,0)</f>
        <v>Cristo Re 2</v>
      </c>
    </row>
    <row r="49" customFormat="false" ht="12.8" hidden="false" customHeight="false" outlineLevel="0" collapsed="false">
      <c r="A49" s="58" t="s">
        <v>85</v>
      </c>
      <c r="B49" s="50" t="s">
        <v>86</v>
      </c>
      <c r="M49" s="0" t="n">
        <f aca="false">ROW()</f>
        <v>49</v>
      </c>
      <c r="N49" s="36" t="n">
        <v>47</v>
      </c>
      <c r="O49" s="33" t="str">
        <f aca="false">VLOOKUP(N49,B_PARTITE_GIRONI,2,0)</f>
        <v>Girone</v>
      </c>
      <c r="P49" s="21" t="str">
        <f aca="false">VLOOKUP(N49,B_PARTITE_GIRONI,3,0)</f>
        <v>G</v>
      </c>
      <c r="Q49" s="37" t="str">
        <f aca="false">VLOOKUP(N49,B_PARTITE_GIRONI,6,0)</f>
        <v>Gorilla</v>
      </c>
      <c r="R49" s="37" t="str">
        <f aca="false">VLOOKUP(N49,B_PARTITE_GIRONI,7,0)</f>
        <v>Muli</v>
      </c>
      <c r="S49" s="38" t="n">
        <v>56</v>
      </c>
      <c r="T49" s="38" t="n">
        <v>58</v>
      </c>
      <c r="U49" s="39" t="n">
        <v>44356</v>
      </c>
      <c r="V49" s="40" t="n">
        <v>0.770833333333333</v>
      </c>
      <c r="W49" s="41" t="n">
        <v>3</v>
      </c>
      <c r="X49" s="42" t="str">
        <f aca="false">VLOOKUP(W49,A_3_INPUT_CAMPI,2,0)</f>
        <v>Basket Giovane</v>
      </c>
    </row>
    <row r="50" customFormat="false" ht="12.8" hidden="false" customHeight="false" outlineLevel="0" collapsed="false">
      <c r="A50" s="59" t="s">
        <v>87</v>
      </c>
      <c r="B50" s="50" t="s">
        <v>88</v>
      </c>
      <c r="M50" s="0" t="n">
        <f aca="false">ROW()</f>
        <v>50</v>
      </c>
      <c r="N50" s="29" t="n">
        <v>48</v>
      </c>
      <c r="O50" s="45" t="str">
        <f aca="false">VLOOKUP(N50,B_PARTITE_GIRONI,2,0)</f>
        <v>Girone</v>
      </c>
      <c r="P50" s="21" t="str">
        <f aca="false">VLOOKUP(N50,B_PARTITE_GIRONI,3,0)</f>
        <v>H</v>
      </c>
      <c r="Q50" s="60" t="str">
        <f aca="false">VLOOKUP(N50,B_PARTITE_GIRONI,6,0)</f>
        <v>Scorpioni</v>
      </c>
      <c r="R50" s="60" t="str">
        <f aca="false">VLOOKUP(N50,B_PARTITE_GIRONI,7,0)</f>
        <v>Tonni</v>
      </c>
      <c r="S50" s="61" t="n">
        <v>39</v>
      </c>
      <c r="T50" s="61" t="n">
        <v>81</v>
      </c>
      <c r="U50" s="62" t="n">
        <v>44356</v>
      </c>
      <c r="V50" s="63" t="n">
        <v>0.770833333333333</v>
      </c>
      <c r="W50" s="64" t="n">
        <v>4</v>
      </c>
      <c r="X50" s="65" t="str">
        <f aca="false">VLOOKUP(W50,A_3_INPUT_CAMPI,2,0)</f>
        <v>Nuova Scuola</v>
      </c>
    </row>
    <row r="51" customFormat="false" ht="12.8" hidden="false" customHeight="false" outlineLevel="0" collapsed="false">
      <c r="A51" s="66" t="s">
        <v>89</v>
      </c>
      <c r="B51" s="50" t="s">
        <v>90</v>
      </c>
    </row>
  </sheetData>
  <mergeCells count="5">
    <mergeCell ref="A1:B1"/>
    <mergeCell ref="D1:I1"/>
    <mergeCell ref="K1:L1"/>
    <mergeCell ref="N1:X1"/>
    <mergeCell ref="A40:B40"/>
  </mergeCells>
  <conditionalFormatting sqref="H3:H34 O3:P50">
    <cfRule type="cellIs" priority="2" operator="equal" aboveAverage="0" equalAverage="0" bottom="0" percent="0" rank="0" text="" dxfId="0">
      <formula>"A"</formula>
    </cfRule>
  </conditionalFormatting>
  <conditionalFormatting sqref="H3:H34 O3:P50">
    <cfRule type="cellIs" priority="3" operator="equal" aboveAverage="0" equalAverage="0" bottom="0" percent="0" rank="0" text="" dxfId="1">
      <formula>"B"</formula>
    </cfRule>
  </conditionalFormatting>
  <conditionalFormatting sqref="H3:H34 O3:P50">
    <cfRule type="cellIs" priority="4" operator="equal" aboveAverage="0" equalAverage="0" bottom="0" percent="0" rank="0" text="" dxfId="2">
      <formula>"C"</formula>
    </cfRule>
  </conditionalFormatting>
  <conditionalFormatting sqref="H3:H34 O3:P50">
    <cfRule type="cellIs" priority="5" operator="equal" aboveAverage="0" equalAverage="0" bottom="0" percent="0" rank="0" text="" dxfId="3">
      <formula>"D"</formula>
    </cfRule>
  </conditionalFormatting>
  <conditionalFormatting sqref="H3:H34 O3:P50">
    <cfRule type="cellIs" priority="6" operator="equal" aboveAverage="0" equalAverage="0" bottom="0" percent="0" rank="0" text="" dxfId="4">
      <formula>"E"</formula>
    </cfRule>
  </conditionalFormatting>
  <conditionalFormatting sqref="H3:H34 O3:P50">
    <cfRule type="cellIs" priority="7" operator="equal" aboveAverage="0" equalAverage="0" bottom="0" percent="0" rank="0" text="" dxfId="5">
      <formula>"F"</formula>
    </cfRule>
  </conditionalFormatting>
  <conditionalFormatting sqref="H3:H34 O3:P50">
    <cfRule type="cellIs" priority="8" operator="equal" aboveAverage="0" equalAverage="0" bottom="0" percent="0" rank="0" text="" dxfId="6">
      <formula>"G"</formula>
    </cfRule>
  </conditionalFormatting>
  <conditionalFormatting sqref="H3:H34 O3:P50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colBreaks count="3" manualBreakCount="3">
    <brk id="3" man="true" max="65535" min="0"/>
    <brk id="10" man="true" max="65535" min="0"/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0"/>
  <sheetViews>
    <sheetView showFormulas="false" showGridLines="false" showRowColHeaders="true" showZeros="true" rightToLeft="false" tabSelected="true" showOutlineSymbols="true" defaultGridColor="true" view="normal" topLeftCell="X1" colorId="64" zoomScale="140" zoomScaleNormal="140" zoomScalePageLayoutView="100" workbookViewId="0">
      <selection pane="topLeft" activeCell="AB2" activeCellId="0" sqref="A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4"/>
    <col collapsed="false" customWidth="true" hidden="false" outlineLevel="0" max="2" min="2" style="67" width="7.04"/>
    <col collapsed="false" customWidth="true" hidden="false" outlineLevel="0" max="3" min="3" style="67" width="7.38"/>
    <col collapsed="false" customWidth="true" hidden="false" outlineLevel="0" max="5" min="4" style="0" width="7.73"/>
    <col collapsed="false" customWidth="true" hidden="false" outlineLevel="0" max="7" min="6" style="0" width="10.85"/>
    <col collapsed="false" customWidth="true" hidden="false" outlineLevel="0" max="9" min="8" style="0" width="9.35"/>
    <col collapsed="false" customWidth="true" hidden="false" outlineLevel="0" max="11" min="10" style="0" width="10.62"/>
    <col collapsed="false" customWidth="true" hidden="false" outlineLevel="0" max="12" min="12" style="0" width="5.99"/>
    <col collapsed="false" customWidth="true" hidden="false" outlineLevel="0" max="13" min="13" style="0" width="6.57"/>
    <col collapsed="false" customWidth="true" hidden="false" outlineLevel="0" max="14" min="14" style="0" width="7.15"/>
    <col collapsed="false" customWidth="true" hidden="false" outlineLevel="0" max="15" min="15" style="0" width="7.49"/>
    <col collapsed="false" customWidth="true" hidden="false" outlineLevel="0" max="16" min="16" style="0" width="8.78"/>
    <col collapsed="false" customWidth="true" hidden="false" outlineLevel="0" max="17" min="17" style="0" width="10.39"/>
    <col collapsed="false" customWidth="true" hidden="false" outlineLevel="0" max="18" min="18" style="0" width="5.99"/>
    <col collapsed="false" customWidth="true" hidden="false" outlineLevel="0" max="19" min="19" style="0" width="6.57"/>
    <col collapsed="false" customWidth="true" hidden="false" outlineLevel="0" max="20" min="20" style="0" width="7.15"/>
    <col collapsed="false" customWidth="true" hidden="false" outlineLevel="0" max="21" min="21" style="0" width="7.49"/>
    <col collapsed="false" customWidth="true" hidden="false" outlineLevel="0" max="22" min="22" style="0" width="8.78"/>
    <col collapsed="false" customWidth="true" hidden="false" outlineLevel="0" max="23" min="23" style="0" width="10.39"/>
    <col collapsed="false" customWidth="true" hidden="false" outlineLevel="0" max="25" min="25" style="0" width="6.81"/>
    <col collapsed="false" customWidth="true" hidden="false" outlineLevel="0" max="26" min="26" style="0" width="7.38"/>
    <col collapsed="false" customWidth="true" hidden="false" outlineLevel="0" max="27" min="27" style="0" width="9"/>
    <col collapsed="false" customWidth="true" hidden="false" outlineLevel="0" max="28" min="28" style="0" width="10.62"/>
    <col collapsed="false" customWidth="true" hidden="false" outlineLevel="0" max="29" min="29" style="0" width="8.19"/>
    <col collapsed="false" customWidth="true" hidden="false" outlineLevel="0" max="30" min="30" style="0" width="5.88"/>
    <col collapsed="false" customWidth="true" hidden="false" outlineLevel="0" max="31" min="31" style="0" width="6.57"/>
    <col collapsed="false" customWidth="true" hidden="false" outlineLevel="0" max="32" min="32" style="0" width="7.15"/>
    <col collapsed="false" customWidth="true" hidden="false" outlineLevel="0" max="33" min="33" style="0" width="6.92"/>
    <col collapsed="false" customWidth="true" hidden="false" outlineLevel="0" max="34" min="34" style="0" width="6.11"/>
    <col collapsed="false" customWidth="true" hidden="false" outlineLevel="0" max="35" min="35" style="0" width="6.57"/>
    <col collapsed="false" customWidth="true" hidden="false" outlineLevel="0" max="36" min="36" style="0" width="6.11"/>
    <col collapsed="false" customWidth="true" hidden="false" outlineLevel="0" max="42" min="37" style="0" width="8.54"/>
    <col collapsed="false" customWidth="true" hidden="false" outlineLevel="0" max="43" min="43" style="0" width="15.49"/>
  </cols>
  <sheetData>
    <row r="1" customFormat="false" ht="12.8" hidden="false" customHeight="false" outlineLevel="0" collapsed="false">
      <c r="A1" s="68" t="s">
        <v>91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customFormat="false" ht="57.3" hidden="false" customHeight="false" outlineLevel="0" collapsed="false">
      <c r="A2" s="9" t="s">
        <v>11</v>
      </c>
      <c r="B2" s="10" t="s">
        <v>92</v>
      </c>
      <c r="C2" s="10" t="s">
        <v>93</v>
      </c>
      <c r="D2" s="10" t="s">
        <v>94</v>
      </c>
      <c r="E2" s="10" t="s">
        <v>95</v>
      </c>
      <c r="F2" s="6" t="s">
        <v>96</v>
      </c>
      <c r="G2" s="6" t="s">
        <v>97</v>
      </c>
      <c r="H2" s="10" t="s">
        <v>15</v>
      </c>
      <c r="I2" s="10" t="s">
        <v>16</v>
      </c>
      <c r="J2" s="69" t="s">
        <v>98</v>
      </c>
      <c r="K2" s="69" t="s">
        <v>99</v>
      </c>
      <c r="L2" s="10" t="s">
        <v>100</v>
      </c>
      <c r="M2" s="10" t="s">
        <v>101</v>
      </c>
      <c r="N2" s="10" t="s">
        <v>102</v>
      </c>
      <c r="O2" s="10" t="s">
        <v>103</v>
      </c>
      <c r="P2" s="10" t="s">
        <v>104</v>
      </c>
      <c r="Q2" s="10" t="s">
        <v>105</v>
      </c>
      <c r="R2" s="10" t="s">
        <v>106</v>
      </c>
      <c r="S2" s="10" t="s">
        <v>107</v>
      </c>
      <c r="T2" s="10" t="s">
        <v>108</v>
      </c>
      <c r="U2" s="10" t="s">
        <v>109</v>
      </c>
      <c r="V2" s="10" t="s">
        <v>110</v>
      </c>
      <c r="W2" s="70" t="s">
        <v>111</v>
      </c>
      <c r="Y2" s="5" t="s">
        <v>112</v>
      </c>
      <c r="Z2" s="7" t="s">
        <v>9</v>
      </c>
      <c r="AA2" s="10" t="s">
        <v>113</v>
      </c>
      <c r="AB2" s="71" t="s">
        <v>114</v>
      </c>
      <c r="AC2" s="6" t="s">
        <v>115</v>
      </c>
      <c r="AD2" s="7" t="s">
        <v>116</v>
      </c>
      <c r="AE2" s="7" t="s">
        <v>117</v>
      </c>
      <c r="AF2" s="7" t="s">
        <v>118</v>
      </c>
      <c r="AG2" s="72" t="s">
        <v>119</v>
      </c>
      <c r="AH2" s="10" t="s">
        <v>120</v>
      </c>
      <c r="AI2" s="10" t="s">
        <v>121</v>
      </c>
      <c r="AJ2" s="10" t="s">
        <v>122</v>
      </c>
      <c r="AK2" s="10" t="s">
        <v>123</v>
      </c>
      <c r="AL2" s="10" t="s">
        <v>124</v>
      </c>
      <c r="AM2" s="10" t="s">
        <v>125</v>
      </c>
      <c r="AN2" s="10" t="s">
        <v>126</v>
      </c>
      <c r="AO2" s="10" t="s">
        <v>127</v>
      </c>
      <c r="AP2" s="10" t="s">
        <v>128</v>
      </c>
      <c r="AQ2" s="73" t="s">
        <v>129</v>
      </c>
    </row>
    <row r="3" customFormat="false" ht="12.8" hidden="false" customHeight="false" outlineLevel="0" collapsed="false">
      <c r="A3" s="74" t="n">
        <v>1</v>
      </c>
      <c r="B3" s="75" t="s">
        <v>9</v>
      </c>
      <c r="C3" s="75" t="s">
        <v>24</v>
      </c>
      <c r="D3" s="75" t="s">
        <v>130</v>
      </c>
      <c r="E3" s="75" t="s">
        <v>131</v>
      </c>
      <c r="F3" s="76" t="str">
        <f aca="false">IF(B3="Girone",VLOOKUP(D3,A_SQUADRE_PER_CODICE,2),"ERRORE!")</f>
        <v>Leoni</v>
      </c>
      <c r="G3" s="76" t="str">
        <f aca="false">IF(B3="Girone",VLOOKUP(E3,A_SQUADRE_PER_CODICE,2),"ERRORE!")</f>
        <v>Pantere</v>
      </c>
      <c r="H3" s="75" t="n">
        <f aca="false">VLOOKUP(A3,A_4_INPUT_DATE_E_RISULTATI_GIRONI,6,0)</f>
        <v>72</v>
      </c>
      <c r="I3" s="75" t="n">
        <f aca="false">VLOOKUP(A3,A_4_INPUT_DATE_E_RISULTATI_GIRONI,7,0)</f>
        <v>49</v>
      </c>
      <c r="J3" s="77" t="str">
        <f aca="false">IF(H3&gt;I3,F3,G3)</f>
        <v>Leoni</v>
      </c>
      <c r="K3" s="76" t="str">
        <f aca="false">IF(H3&lt;I3,F3,G3)</f>
        <v>Pantere</v>
      </c>
      <c r="L3" s="75" t="n">
        <f aca="false">1*(H3&gt;I3)</f>
        <v>1</v>
      </c>
      <c r="M3" s="78" t="n">
        <f aca="false">1*(H3&lt;I3)*NOT(AND(H3=0,I3=20))</f>
        <v>0</v>
      </c>
      <c r="N3" s="78" t="n">
        <f aca="false">1*AND(H3=0,I3=20)</f>
        <v>0</v>
      </c>
      <c r="O3" s="75" t="n">
        <f aca="false">H3</f>
        <v>72</v>
      </c>
      <c r="P3" s="75" t="n">
        <f aca="false">I3</f>
        <v>49</v>
      </c>
      <c r="Q3" s="79" t="n">
        <f aca="false">O3-P3</f>
        <v>23</v>
      </c>
      <c r="R3" s="75" t="n">
        <f aca="false">1*(I3&gt;H3)</f>
        <v>0</v>
      </c>
      <c r="S3" s="78" t="n">
        <f aca="false">1*(I3&lt;H3)*NOT(AND(H3=20,I3=0))</f>
        <v>1</v>
      </c>
      <c r="T3" s="78" t="n">
        <f aca="false">1*AND(H3=20,I3=0)</f>
        <v>0</v>
      </c>
      <c r="U3" s="75" t="n">
        <f aca="false">I3</f>
        <v>49</v>
      </c>
      <c r="V3" s="75" t="n">
        <f aca="false">H3</f>
        <v>72</v>
      </c>
      <c r="W3" s="80" t="n">
        <f aca="false">U3-V3</f>
        <v>-23</v>
      </c>
      <c r="Y3" s="81" t="str">
        <f aca="false">COUNTIF(B_COEFF_GIRONE_A,"&gt;="&amp;AQ3)&amp;Z3</f>
        <v>1A</v>
      </c>
      <c r="Z3" s="21" t="s">
        <v>24</v>
      </c>
      <c r="AA3" s="75" t="s">
        <v>130</v>
      </c>
      <c r="AB3" s="82" t="str">
        <f aca="false">VLOOKUP(AA3,A_SQUADRE_PER_CODICE,2)</f>
        <v>Leoni</v>
      </c>
      <c r="AC3" s="75" t="n">
        <f aca="false">AD3+AE3+AF3</f>
        <v>3</v>
      </c>
      <c r="AD3" s="75" t="n">
        <f aca="false">SUMIF(B_SQUADRA_A_GIRONI,AB3,B_VINTE_SQUADRA_A_GIRONI)+SUMIF(B_SQUADRA_B_GIRONI,AB3,B_VINTE_SQUADRA_B_GIRONI)</f>
        <v>3</v>
      </c>
      <c r="AE3" s="75" t="n">
        <f aca="false">SUMIF(B_SQUADRA_A_GIRONI,AB3,B_PERSE_SQUADRA_A_GIRONI)+SUMIF(B_SQUADRA_B_GIRONI,AB3,B_PERSE_SQUADRA_B_GIRONI)</f>
        <v>0</v>
      </c>
      <c r="AF3" s="75" t="n">
        <f aca="false">SUMIF(B_SQUADRA_A_GIRONI,AB3,B_FORFAIT_SQUADRA_A_GIRONI)+SUMIF(B_SQUADRA_B_GIRONI,AB3,B_FORFAIT_SQUADRA_B_GIRONI)</f>
        <v>0</v>
      </c>
      <c r="AG3" s="83" t="n">
        <f aca="false">2*AD3+1*AE3+0*AF3</f>
        <v>6</v>
      </c>
      <c r="AH3" s="75" t="n">
        <f aca="false">SUMIF(B_SQUADRA_A_GIRONI,AB3,B_PUNTI_FATTI_SQUADRA_A_GIRONI)+SUMIF(B_SQUADRA_B_GIRONI,AB3,B_PUNTI_FATTI_SQUADRA_B_GIRONI)</f>
        <v>244</v>
      </c>
      <c r="AI3" s="75" t="n">
        <f aca="false">SUMIF(B_SQUADRA_A_GIRONI,AB3,B_PUNTI_SUBITI_SQUADRA_A_GIRONI)+SUMIF(B_SQUADRA_B_GIRONI,AB3,B_PUNTI_SUBITI_SQUADRA_B_GIRONI)</f>
        <v>96</v>
      </c>
      <c r="AJ3" s="79" t="n">
        <f aca="false">SUMIF(B_SQUADRA_A_GIRONI,AB3,B_DIFF_CANESTRI_SQUADRA_A_GIRONI)+SUMIF(B_SQUADRA_B_GIRONI,AB3,B_DIFF_CANESTRI_SQUADRA_B_GIRONI)</f>
        <v>148</v>
      </c>
      <c r="AK3" s="78" t="n">
        <f aca="true">IF(AG3=AG4,INDIRECT("O"&amp;3+6*(FIND(Z3,"ABCDEFGH")-1)),0)</f>
        <v>0</v>
      </c>
      <c r="AL3" s="78" t="n">
        <f aca="true">IF(AG3=AG5,INDIRECT("O"&amp;4+6*(FIND(Z3,"ABCDEFGH")-1)),0)</f>
        <v>0</v>
      </c>
      <c r="AM3" s="75" t="n">
        <f aca="true">IF(AG3=AG6,INDIRECT("O"&amp;5+6*(FIND(Z3,"ABCDEFGH")-1)),0)</f>
        <v>0</v>
      </c>
      <c r="AN3" s="79" t="n">
        <f aca="true">IF(AG3=AG4,INDIRECT("Q"&amp;3+6*(FIND(Z3,"ABCDEFGH")-1)),0)</f>
        <v>0</v>
      </c>
      <c r="AO3" s="79" t="n">
        <f aca="true">IF(AG3=AG5,INDIRECT("Q"&amp;4+6*(FIND(Z3,"ABCDEFGH")-1)),0)</f>
        <v>0</v>
      </c>
      <c r="AP3" s="79" t="n">
        <f aca="true">IF(AG3=AG6,INDIRECT("Q"&amp;5+6*(FIND(Z3,"ABCDEFGH")-1)),0)</f>
        <v>0</v>
      </c>
      <c r="AQ3" s="84" t="n">
        <f aca="false">AG3+(500+AN3+AO3+AP3)*10^-3+(AK3+AL3+AM3)*10^-6+(500+AJ3)*10^-9+AH3*10^-12</f>
        <v>6.500000648244</v>
      </c>
    </row>
    <row r="4" customFormat="false" ht="12.8" hidden="false" customHeight="false" outlineLevel="0" collapsed="false">
      <c r="A4" s="31" t="n">
        <v>9</v>
      </c>
      <c r="B4" s="33" t="s">
        <v>9</v>
      </c>
      <c r="C4" s="33" t="s">
        <v>24</v>
      </c>
      <c r="D4" s="33" t="s">
        <v>130</v>
      </c>
      <c r="E4" s="33" t="s">
        <v>132</v>
      </c>
      <c r="F4" s="85" t="str">
        <f aca="false">IF(B4="Girone",VLOOKUP(D4,A_SQUADRE_PER_CODICE,2),"ERRORE!")</f>
        <v>Leoni</v>
      </c>
      <c r="G4" s="85" t="str">
        <f aca="false">IF(B4="Girone",VLOOKUP(E4,A_SQUADRE_PER_CODICE,2),"ERRORE!")</f>
        <v>Tigri</v>
      </c>
      <c r="H4" s="33" t="n">
        <f aca="false">VLOOKUP(A4,A_4_INPUT_DATE_E_RISULTATI_GIRONI,6,0)</f>
        <v>90</v>
      </c>
      <c r="I4" s="33" t="n">
        <f aca="false">VLOOKUP(A4,A_4_INPUT_DATE_E_RISULTATI_GIRONI,7,0)</f>
        <v>22</v>
      </c>
      <c r="J4" s="85" t="str">
        <f aca="false">IF(H4&gt;I4,F4,G4)</f>
        <v>Leoni</v>
      </c>
      <c r="K4" s="85" t="str">
        <f aca="false">IF(H4&lt;I4,F4,G4)</f>
        <v>Tigri</v>
      </c>
      <c r="L4" s="33" t="n">
        <f aca="false">1*(H4&gt;I4)</f>
        <v>1</v>
      </c>
      <c r="M4" s="86" t="n">
        <f aca="false">1*(H4&lt;I4)*NOT(AND(H4=0,I4=20))</f>
        <v>0</v>
      </c>
      <c r="N4" s="86" t="n">
        <f aca="false">1*AND(H4=0,I4=20)</f>
        <v>0</v>
      </c>
      <c r="O4" s="33" t="n">
        <f aca="false">H4</f>
        <v>90</v>
      </c>
      <c r="P4" s="33" t="n">
        <f aca="false">I4</f>
        <v>22</v>
      </c>
      <c r="Q4" s="87" t="n">
        <f aca="false">O4-P4</f>
        <v>68</v>
      </c>
      <c r="R4" s="33" t="n">
        <f aca="false">1*(I4&gt;H4)</f>
        <v>0</v>
      </c>
      <c r="S4" s="33" t="n">
        <f aca="false">1*(I4&lt;H4)*NOT(AND(H4=20,I4=0))</f>
        <v>1</v>
      </c>
      <c r="T4" s="33" t="n">
        <f aca="false">1*AND(H4=20,I4=0)</f>
        <v>0</v>
      </c>
      <c r="U4" s="33" t="n">
        <f aca="false">I4</f>
        <v>22</v>
      </c>
      <c r="V4" s="33" t="n">
        <f aca="false">H4</f>
        <v>90</v>
      </c>
      <c r="W4" s="88" t="n">
        <f aca="false">U4-V4</f>
        <v>-68</v>
      </c>
      <c r="Y4" s="89" t="str">
        <f aca="false">COUNTIF(B_COEFF_GIRONE_A,"&gt;="&amp;AQ4)&amp;Z4</f>
        <v>2A</v>
      </c>
      <c r="Z4" s="33" t="s">
        <v>24</v>
      </c>
      <c r="AA4" s="33" t="s">
        <v>131</v>
      </c>
      <c r="AB4" s="90" t="str">
        <f aca="false">VLOOKUP(AA4,A_SQUADRE_PER_CODICE,2)</f>
        <v>Pantere</v>
      </c>
      <c r="AC4" s="33" t="n">
        <f aca="false">AD4+AE4+AF4</f>
        <v>3</v>
      </c>
      <c r="AD4" s="33" t="n">
        <f aca="false">SUMIF(B_SQUADRA_A_GIRONI,AB4,B_VINTE_SQUADRA_A_GIRONI)+SUMIF(B_SQUADRA_B_GIRONI,AB4,B_VINTE_SQUADRA_B_GIRONI)</f>
        <v>2</v>
      </c>
      <c r="AE4" s="33" t="n">
        <f aca="false">SUMIF(B_SQUADRA_A_GIRONI,AB4,B_PERSE_SQUADRA_A_GIRONI)+SUMIF(B_SQUADRA_B_GIRONI,AB4,B_PERSE_SQUADRA_B_GIRONI)</f>
        <v>1</v>
      </c>
      <c r="AF4" s="33" t="n">
        <f aca="false">SUMIF(B_SQUADRA_A_GIRONI,AB4,B_FORFAIT_SQUADRA_A_GIRONI)+SUMIF(B_SQUADRA_B_GIRONI,AB4,B_FORFAIT_SQUADRA_B_GIRONI)</f>
        <v>0</v>
      </c>
      <c r="AG4" s="91" t="n">
        <f aca="false">2*AD4+1*AE4+0*AF4</f>
        <v>5</v>
      </c>
      <c r="AH4" s="33" t="n">
        <f aca="false">SUMIF(B_SQUADRA_A_GIRONI,AB4,B_PUNTI_FATTI_SQUADRA_A_GIRONI)+SUMIF(B_SQUADRA_B_GIRONI,AB4,B_PUNTI_FATTI_SQUADRA_B_GIRONI)</f>
        <v>199</v>
      </c>
      <c r="AI4" s="33" t="n">
        <f aca="false">SUMIF(B_SQUADRA_A_GIRONI,AB4,B_PUNTI_SUBITI_SQUADRA_A_GIRONI)+SUMIF(B_SQUADRA_B_GIRONI,AB4,B_PUNTI_SUBITI_SQUADRA_B_GIRONI)</f>
        <v>123</v>
      </c>
      <c r="AJ4" s="87" t="n">
        <f aca="false">SUMIF(B_SQUADRA_A_GIRONI,AB4,B_DIFF_CANESTRI_SQUADRA_A_GIRONI)+SUMIF(B_SQUADRA_B_GIRONI,AB4,B_DIFF_CANESTRI_SQUADRA_B_GIRONI)</f>
        <v>76</v>
      </c>
      <c r="AK4" s="33" t="n">
        <f aca="true">IF(AG4=AG5,INDIRECT("O"&amp;6+6*(FIND(Z4,"ABCDEFGH")-1)),0)</f>
        <v>0</v>
      </c>
      <c r="AL4" s="33" t="n">
        <f aca="true">IF(AG4=AG6,INDIRECT("O"&amp;7+6*(FIND(Z4,"ABCDEFGH")-1)),0)</f>
        <v>0</v>
      </c>
      <c r="AM4" s="33" t="n">
        <f aca="true">IF(AG4=AG3,INDIRECT("U"&amp;3+6*(FIND(Z4,"ABCDEFGH")-1)),0)</f>
        <v>0</v>
      </c>
      <c r="AN4" s="87" t="n">
        <f aca="true">IF(AG4=AG5,INDIRECT("Q"&amp;6+6*(FIND(Z4,"ABCDEFGH")-1)),0)</f>
        <v>0</v>
      </c>
      <c r="AO4" s="87" t="n">
        <f aca="true">IF(AG4=AG6,INDIRECT("Q"&amp;7+6*(FIND(Z4,"ABCDEFGH")-1)),0)</f>
        <v>0</v>
      </c>
      <c r="AP4" s="87" t="n">
        <f aca="true">IF(AG4=AG3,INDIRECT("W"&amp;3+6*(FIND(Z4,"ABCDEFGH")-1)),0)</f>
        <v>0</v>
      </c>
      <c r="AQ4" s="92" t="n">
        <f aca="false">AG4+(500+AN4+AO4+AP4)*10^-3+(AK4+AL4+AM4)*10^-6+(500+AJ4)*10^-9+AH4*10^-12</f>
        <v>5.500000576199</v>
      </c>
    </row>
    <row r="5" customFormat="false" ht="12.8" hidden="false" customHeight="false" outlineLevel="0" collapsed="false">
      <c r="A5" s="31" t="n">
        <v>25</v>
      </c>
      <c r="B5" s="33" t="s">
        <v>9</v>
      </c>
      <c r="C5" s="33" t="s">
        <v>24</v>
      </c>
      <c r="D5" s="33" t="s">
        <v>130</v>
      </c>
      <c r="E5" s="33" t="s">
        <v>133</v>
      </c>
      <c r="F5" s="85" t="str">
        <f aca="false">IF(B5="Girone",VLOOKUP(D5,A_SQUADRE_PER_CODICE,2),"ERRORE!")</f>
        <v>Leoni</v>
      </c>
      <c r="G5" s="85" t="str">
        <f aca="false">IF(B5="Girone",VLOOKUP(E5,A_SQUADRE_PER_CODICE,2),"ERRORE!")</f>
        <v>Ghepardi</v>
      </c>
      <c r="H5" s="33" t="n">
        <f aca="false">VLOOKUP(A5,A_4_INPUT_DATE_E_RISULTATI_GIRONI,6,0)</f>
        <v>82</v>
      </c>
      <c r="I5" s="33" t="n">
        <f aca="false">VLOOKUP(A5,A_4_INPUT_DATE_E_RISULTATI_GIRONI,7,0)</f>
        <v>25</v>
      </c>
      <c r="J5" s="85" t="str">
        <f aca="false">IF(H5&gt;I5,F5,G5)</f>
        <v>Leoni</v>
      </c>
      <c r="K5" s="85" t="str">
        <f aca="false">IF(H5&lt;I5,F5,G5)</f>
        <v>Ghepardi</v>
      </c>
      <c r="L5" s="33" t="n">
        <f aca="false">1*(H5&gt;I5)</f>
        <v>1</v>
      </c>
      <c r="M5" s="86" t="n">
        <f aca="false">1*(H5&lt;I5)*NOT(AND(H5=0,I5=20))</f>
        <v>0</v>
      </c>
      <c r="N5" s="86" t="n">
        <f aca="false">1*AND(H5=0,I5=20)</f>
        <v>0</v>
      </c>
      <c r="O5" s="33" t="n">
        <f aca="false">H5</f>
        <v>82</v>
      </c>
      <c r="P5" s="33" t="n">
        <f aca="false">I5</f>
        <v>25</v>
      </c>
      <c r="Q5" s="87" t="n">
        <f aca="false">O5-P5</f>
        <v>57</v>
      </c>
      <c r="R5" s="33" t="n">
        <f aca="false">1*(I5&gt;H5)</f>
        <v>0</v>
      </c>
      <c r="S5" s="33" t="n">
        <f aca="false">1*(I5&lt;H5)*NOT(AND(H5=20,I5=0))</f>
        <v>1</v>
      </c>
      <c r="T5" s="33" t="n">
        <f aca="false">1*AND(H5=20,I5=0)</f>
        <v>0</v>
      </c>
      <c r="U5" s="33" t="n">
        <f aca="false">I5</f>
        <v>25</v>
      </c>
      <c r="V5" s="33" t="n">
        <f aca="false">H5</f>
        <v>82</v>
      </c>
      <c r="W5" s="88" t="n">
        <f aca="false">U5-V5</f>
        <v>-57</v>
      </c>
      <c r="Y5" s="89" t="str">
        <f aca="false">COUNTIF(B_COEFF_GIRONE_A,"&gt;="&amp;AQ5)&amp;Z5</f>
        <v>3A</v>
      </c>
      <c r="Z5" s="33" t="s">
        <v>24</v>
      </c>
      <c r="AA5" s="33" t="s">
        <v>132</v>
      </c>
      <c r="AB5" s="90" t="str">
        <f aca="false">VLOOKUP(AA5,A_SQUADRE_PER_CODICE,2)</f>
        <v>Tigri</v>
      </c>
      <c r="AC5" s="33" t="n">
        <f aca="false">AD5+AE5+AF5</f>
        <v>3</v>
      </c>
      <c r="AD5" s="33" t="n">
        <f aca="false">SUMIF(B_SQUADRA_A_GIRONI,AB5,B_VINTE_SQUADRA_A_GIRONI)+SUMIF(B_SQUADRA_B_GIRONI,AB5,B_VINTE_SQUADRA_B_GIRONI)</f>
        <v>1</v>
      </c>
      <c r="AE5" s="33" t="n">
        <f aca="false">SUMIF(B_SQUADRA_A_GIRONI,AB5,B_PERSE_SQUADRA_A_GIRONI)+SUMIF(B_SQUADRA_B_GIRONI,AB5,B_PERSE_SQUADRA_B_GIRONI)</f>
        <v>2</v>
      </c>
      <c r="AF5" s="33" t="n">
        <f aca="false">SUMIF(B_SQUADRA_A_GIRONI,AB5,B_FORFAIT_SQUADRA_A_GIRONI)+SUMIF(B_SQUADRA_B_GIRONI,AB5,B_FORFAIT_SQUADRA_B_GIRONI)</f>
        <v>0</v>
      </c>
      <c r="AG5" s="91" t="n">
        <f aca="false">2*AD5+1*AE5+0*AF5</f>
        <v>4</v>
      </c>
      <c r="AH5" s="33" t="n">
        <f aca="false">SUMIF(B_SQUADRA_A_GIRONI,AB5,B_PUNTI_FATTI_SQUADRA_A_GIRONI)+SUMIF(B_SQUADRA_B_GIRONI,AB5,B_PUNTI_FATTI_SQUADRA_B_GIRONI)</f>
        <v>131</v>
      </c>
      <c r="AI5" s="33" t="n">
        <f aca="false">SUMIF(B_SQUADRA_A_GIRONI,AB5,B_PUNTI_SUBITI_SQUADRA_A_GIRONI)+SUMIF(B_SQUADRA_B_GIRONI,AB5,B_PUNTI_SUBITI_SQUADRA_B_GIRONI)</f>
        <v>231</v>
      </c>
      <c r="AJ5" s="87" t="n">
        <f aca="false">SUMIF(B_SQUADRA_A_GIRONI,AB5,B_DIFF_CANESTRI_SQUADRA_A_GIRONI)+SUMIF(B_SQUADRA_B_GIRONI,AB5,B_DIFF_CANESTRI_SQUADRA_B_GIRONI)</f>
        <v>-100</v>
      </c>
      <c r="AK5" s="33" t="n">
        <f aca="true">IF(AG5=AG6,INDIRECT("O"&amp;8+6*(FIND(Z5,"ABCDEFGH")-1)),0)</f>
        <v>0</v>
      </c>
      <c r="AL5" s="33" t="n">
        <f aca="true">IF(AG5=AG3,INDIRECT("U"&amp;4+6*(FIND(Z5,"ABCDEFGH")-1)),0)</f>
        <v>0</v>
      </c>
      <c r="AM5" s="33" t="n">
        <f aca="true">IF(AG5=AG4,INDIRECT("U"&amp;6+6*(FIND(Z5,"ABCDEFGH")-1)),0)</f>
        <v>0</v>
      </c>
      <c r="AN5" s="87" t="n">
        <f aca="true">IF(AG5=AG6,INDIRECT("Q"&amp;8+6*(FIND(Z5,"ABCDEFGH")-1)),0)</f>
        <v>0</v>
      </c>
      <c r="AO5" s="87" t="n">
        <f aca="true">IF(AG5=AG3,INDIRECT("W"&amp;4+6*(FIND(Z5,"ABCDEFGH")-1)),0)</f>
        <v>0</v>
      </c>
      <c r="AP5" s="87" t="n">
        <f aca="true">IF(AG5=AG4,INDIRECT("W"&amp;6+6*(FIND(Z5,"ABCDEFGH")-1)),0)</f>
        <v>0</v>
      </c>
      <c r="AQ5" s="92" t="n">
        <f aca="false">AG5+(500+AN5+AO5+AP5)*10^-3+(AK5+AL5+AM5)*10^-6+(500+AJ5)*10^-9+AH5*10^-12</f>
        <v>4.500000400131</v>
      </c>
    </row>
    <row r="6" customFormat="false" ht="12.8" hidden="false" customHeight="false" outlineLevel="0" collapsed="false">
      <c r="A6" s="31" t="n">
        <v>37</v>
      </c>
      <c r="B6" s="33" t="s">
        <v>9</v>
      </c>
      <c r="C6" s="33" t="s">
        <v>24</v>
      </c>
      <c r="D6" s="33" t="s">
        <v>131</v>
      </c>
      <c r="E6" s="33" t="s">
        <v>132</v>
      </c>
      <c r="F6" s="85" t="str">
        <f aca="false">IF(B6="Girone",VLOOKUP(D6,A_SQUADRE_PER_CODICE,2),"ERRORE!")</f>
        <v>Pantere</v>
      </c>
      <c r="G6" s="85" t="str">
        <f aca="false">IF(B6="Girone",VLOOKUP(E6,A_SQUADRE_PER_CODICE,2),"ERRORE!")</f>
        <v>Tigri</v>
      </c>
      <c r="H6" s="33" t="n">
        <f aca="false">VLOOKUP(A6,A_4_INPUT_DATE_E_RISULTATI_GIRONI,6,0)</f>
        <v>93</v>
      </c>
      <c r="I6" s="33" t="n">
        <f aca="false">VLOOKUP(A6,A_4_INPUT_DATE_E_RISULTATI_GIRONI,7,0)</f>
        <v>30</v>
      </c>
      <c r="J6" s="85" t="str">
        <f aca="false">IF(H6&gt;I6,F6,G6)</f>
        <v>Pantere</v>
      </c>
      <c r="K6" s="85" t="str">
        <f aca="false">IF(H6&lt;I6,F6,G6)</f>
        <v>Tigri</v>
      </c>
      <c r="L6" s="33" t="n">
        <f aca="false">1*(H6&gt;I6)</f>
        <v>1</v>
      </c>
      <c r="M6" s="86" t="n">
        <f aca="false">1*(H6&lt;I6)*NOT(AND(H6=0,I6=20))</f>
        <v>0</v>
      </c>
      <c r="N6" s="86" t="n">
        <f aca="false">1*AND(H6=0,I6=20)</f>
        <v>0</v>
      </c>
      <c r="O6" s="33" t="n">
        <f aca="false">H6</f>
        <v>93</v>
      </c>
      <c r="P6" s="33" t="n">
        <f aca="false">I6</f>
        <v>30</v>
      </c>
      <c r="Q6" s="87" t="n">
        <f aca="false">O6-P6</f>
        <v>63</v>
      </c>
      <c r="R6" s="33" t="n">
        <f aca="false">1*(I6&gt;H6)</f>
        <v>0</v>
      </c>
      <c r="S6" s="33" t="n">
        <f aca="false">1*(I6&lt;H6)*NOT(AND(H6=20,I6=0))</f>
        <v>1</v>
      </c>
      <c r="T6" s="33" t="n">
        <f aca="false">1*AND(H6=20,I6=0)</f>
        <v>0</v>
      </c>
      <c r="U6" s="33" t="n">
        <f aca="false">I6</f>
        <v>30</v>
      </c>
      <c r="V6" s="33" t="n">
        <f aca="false">H6</f>
        <v>93</v>
      </c>
      <c r="W6" s="88" t="n">
        <f aca="false">U6-V6</f>
        <v>-63</v>
      </c>
      <c r="Y6" s="89" t="str">
        <f aca="false">COUNTIF(B_COEFF_GIRONE_A,"&gt;="&amp;AQ6)&amp;Z6</f>
        <v>4A</v>
      </c>
      <c r="Z6" s="33" t="s">
        <v>24</v>
      </c>
      <c r="AA6" s="33" t="s">
        <v>133</v>
      </c>
      <c r="AB6" s="90" t="str">
        <f aca="false">VLOOKUP(AA6,A_SQUADRE_PER_CODICE,2)</f>
        <v>Ghepardi</v>
      </c>
      <c r="AC6" s="33" t="n">
        <f aca="false">AD6+AE6+AF6</f>
        <v>3</v>
      </c>
      <c r="AD6" s="33" t="n">
        <f aca="false">SUMIF(B_SQUADRA_A_GIRONI,AB6,B_VINTE_SQUADRA_A_GIRONI)+SUMIF(B_SQUADRA_B_GIRONI,AB6,B_VINTE_SQUADRA_B_GIRONI)</f>
        <v>0</v>
      </c>
      <c r="AE6" s="33" t="n">
        <f aca="false">SUMIF(B_SQUADRA_A_GIRONI,AB6,B_PERSE_SQUADRA_A_GIRONI)+SUMIF(B_SQUADRA_B_GIRONI,AB6,B_PERSE_SQUADRA_B_GIRONI)</f>
        <v>3</v>
      </c>
      <c r="AF6" s="33" t="n">
        <f aca="false">SUMIF(B_SQUADRA_A_GIRONI,AB6,B_FORFAIT_SQUADRA_A_GIRONI)+SUMIF(B_SQUADRA_B_GIRONI,AB6,B_FORFAIT_SQUADRA_B_GIRONI)</f>
        <v>0</v>
      </c>
      <c r="AG6" s="91" t="n">
        <f aca="false">2*AD6+1*AE6+0*AF6</f>
        <v>3</v>
      </c>
      <c r="AH6" s="33" t="n">
        <f aca="false">SUMIF(B_SQUADRA_A_GIRONI,AB6,B_PUNTI_FATTI_SQUADRA_A_GIRONI)+SUMIF(B_SQUADRA_B_GIRONI,AB6,B_PUNTI_FATTI_SQUADRA_B_GIRONI)</f>
        <v>94</v>
      </c>
      <c r="AI6" s="33" t="n">
        <f aca="false">SUMIF(B_SQUADRA_A_GIRONI,AB6,B_PUNTI_SUBITI_SQUADRA_A_GIRONI)+SUMIF(B_SQUADRA_B_GIRONI,AB6,B_PUNTI_SUBITI_SQUADRA_B_GIRONI)</f>
        <v>218</v>
      </c>
      <c r="AJ6" s="87" t="n">
        <f aca="false">SUMIF(B_SQUADRA_A_GIRONI,AB6,B_DIFF_CANESTRI_SQUADRA_A_GIRONI)+SUMIF(B_SQUADRA_B_GIRONI,AB6,B_DIFF_CANESTRI_SQUADRA_B_GIRONI)</f>
        <v>-124</v>
      </c>
      <c r="AK6" s="33" t="n">
        <f aca="true">IF(AG6=AG3,INDIRECT("U"&amp;5+6*(FIND(Z6,"ABCDEFGH")-1)),0)</f>
        <v>0</v>
      </c>
      <c r="AL6" s="33" t="n">
        <f aca="true">IF(AG6=AG4,INDIRECT("U"&amp;7+6*(FIND(Z6,"ABCDEFGH")-1)),0)</f>
        <v>0</v>
      </c>
      <c r="AM6" s="33" t="n">
        <f aca="true">IF(AG6=AG5,INDIRECT("U"&amp;8+6*(FIND(Z6,"ABCDEFGH")-1)),0)</f>
        <v>0</v>
      </c>
      <c r="AN6" s="87" t="n">
        <f aca="true">IF(AG6=AG3,INDIRECT("W"&amp;5+6*(FIND(Z6,"ABCDEFGH")-1)),0)</f>
        <v>0</v>
      </c>
      <c r="AO6" s="87" t="n">
        <f aca="true">IF(AG6=AG4,INDIRECT("W"&amp;7+6*(FIND(Z6,"ABCDEFGH")-1)),0)</f>
        <v>0</v>
      </c>
      <c r="AP6" s="87" t="n">
        <f aca="true">IF(AG6=AG5,INDIRECT("W"&amp;8+6*(FIND(Z6,"ABCDEFGH")-1)),0)</f>
        <v>0</v>
      </c>
      <c r="AQ6" s="92" t="n">
        <f aca="false">AG6+(500+AN6+AO6+AP6)*10^-3+(AK6+AL6+AM6)*10^-6+(500+AJ6)*10^-9+AH6*10^-12</f>
        <v>3.500000376094</v>
      </c>
    </row>
    <row r="7" customFormat="false" ht="12.8" hidden="false" customHeight="false" outlineLevel="0" collapsed="false">
      <c r="A7" s="31" t="n">
        <v>13</v>
      </c>
      <c r="B7" s="33" t="s">
        <v>9</v>
      </c>
      <c r="C7" s="33" t="s">
        <v>24</v>
      </c>
      <c r="D7" s="33" t="s">
        <v>131</v>
      </c>
      <c r="E7" s="33" t="s">
        <v>133</v>
      </c>
      <c r="F7" s="85" t="str">
        <f aca="false">IF(B7="Girone",VLOOKUP(D7,A_SQUADRE_PER_CODICE,2),"ERRORE!")</f>
        <v>Pantere</v>
      </c>
      <c r="G7" s="85" t="str">
        <f aca="false">IF(B7="Girone",VLOOKUP(E7,A_SQUADRE_PER_CODICE,2),"ERRORE!")</f>
        <v>Ghepardi</v>
      </c>
      <c r="H7" s="33" t="n">
        <f aca="false">VLOOKUP(A7,A_4_INPUT_DATE_E_RISULTATI_GIRONI,6,0)</f>
        <v>57</v>
      </c>
      <c r="I7" s="33" t="n">
        <f aca="false">VLOOKUP(A7,A_4_INPUT_DATE_E_RISULTATI_GIRONI,7,0)</f>
        <v>21</v>
      </c>
      <c r="J7" s="85" t="str">
        <f aca="false">IF(H7&gt;I7,F7,G7)</f>
        <v>Pantere</v>
      </c>
      <c r="K7" s="85" t="str">
        <f aca="false">IF(H7&lt;I7,F7,G7)</f>
        <v>Ghepardi</v>
      </c>
      <c r="L7" s="33" t="n">
        <f aca="false">1*(H7&gt;I7)</f>
        <v>1</v>
      </c>
      <c r="M7" s="86" t="n">
        <f aca="false">1*(H7&lt;I7)*NOT(AND(H7=0,I7=20))</f>
        <v>0</v>
      </c>
      <c r="N7" s="86" t="n">
        <f aca="false">1*AND(H7=0,I7=20)</f>
        <v>0</v>
      </c>
      <c r="O7" s="33" t="n">
        <f aca="false">H7</f>
        <v>57</v>
      </c>
      <c r="P7" s="33" t="n">
        <f aca="false">I7</f>
        <v>21</v>
      </c>
      <c r="Q7" s="87" t="n">
        <f aca="false">O7-P7</f>
        <v>36</v>
      </c>
      <c r="R7" s="33" t="n">
        <f aca="false">1*(I7&gt;H7)</f>
        <v>0</v>
      </c>
      <c r="S7" s="33" t="n">
        <f aca="false">1*(I7&lt;H7)*NOT(AND(H7=20,I7=0))</f>
        <v>1</v>
      </c>
      <c r="T7" s="33" t="n">
        <f aca="false">1*AND(H7=20,I7=0)</f>
        <v>0</v>
      </c>
      <c r="U7" s="33" t="n">
        <f aca="false">I7</f>
        <v>21</v>
      </c>
      <c r="V7" s="33" t="n">
        <f aca="false">H7</f>
        <v>57</v>
      </c>
      <c r="W7" s="88" t="n">
        <f aca="false">U7-V7</f>
        <v>-36</v>
      </c>
      <c r="Y7" s="93" t="str">
        <f aca="false">COUNTIF(B_COEFF_GIRONE_B,"&gt;="&amp;AQ7)&amp;Z7</f>
        <v>1B</v>
      </c>
      <c r="Z7" s="94" t="s">
        <v>34</v>
      </c>
      <c r="AA7" s="94" t="s">
        <v>134</v>
      </c>
      <c r="AB7" s="95" t="str">
        <f aca="false">VLOOKUP(AA7,A_SQUADRE_PER_CODICE,2)</f>
        <v>Giaguari</v>
      </c>
      <c r="AC7" s="94" t="n">
        <f aca="false">AD7+AE7+AF7</f>
        <v>3</v>
      </c>
      <c r="AD7" s="94" t="n">
        <f aca="false">SUMIF(B_SQUADRA_A_GIRONI,AB7,B_VINTE_SQUADRA_A_GIRONI)+SUMIF(B_SQUADRA_B_GIRONI,AB7,B_VINTE_SQUADRA_B_GIRONI)</f>
        <v>2</v>
      </c>
      <c r="AE7" s="94" t="n">
        <f aca="false">SUMIF(B_SQUADRA_A_GIRONI,AB7,B_PERSE_SQUADRA_A_GIRONI)+SUMIF(B_SQUADRA_B_GIRONI,AB7,B_PERSE_SQUADRA_B_GIRONI)</f>
        <v>1</v>
      </c>
      <c r="AF7" s="94" t="n">
        <f aca="false">SUMIF(B_SQUADRA_A_GIRONI,AB7,B_FORFAIT_SQUADRA_A_GIRONI)+SUMIF(B_SQUADRA_B_GIRONI,AB7,B_FORFAIT_SQUADRA_B_GIRONI)</f>
        <v>0</v>
      </c>
      <c r="AG7" s="96" t="n">
        <f aca="false">2*AD7+1*AE7+0*AF7</f>
        <v>5</v>
      </c>
      <c r="AH7" s="94" t="n">
        <f aca="false">SUMIF(B_SQUADRA_A_GIRONI,AB7,B_PUNTI_FATTI_SQUADRA_A_GIRONI)+SUMIF(B_SQUADRA_B_GIRONI,AB7,B_PUNTI_FATTI_SQUADRA_B_GIRONI)</f>
        <v>199</v>
      </c>
      <c r="AI7" s="94" t="n">
        <f aca="false">SUMIF(B_SQUADRA_A_GIRONI,AB7,B_PUNTI_SUBITI_SQUADRA_A_GIRONI)+SUMIF(B_SQUADRA_B_GIRONI,AB7,B_PUNTI_SUBITI_SQUADRA_B_GIRONI)</f>
        <v>192</v>
      </c>
      <c r="AJ7" s="97" t="n">
        <f aca="false">SUMIF(B_SQUADRA_A_GIRONI,AB7,B_DIFF_CANESTRI_SQUADRA_A_GIRONI)+SUMIF(B_SQUADRA_B_GIRONI,AB7,B_DIFF_CANESTRI_SQUADRA_B_GIRONI)</f>
        <v>7</v>
      </c>
      <c r="AK7" s="94" t="n">
        <f aca="true">IF(AG7=AG8,INDIRECT("O"&amp;3+6*(FIND(Z7,"ABCDEFGH")-1)),0)</f>
        <v>67</v>
      </c>
      <c r="AL7" s="98" t="n">
        <f aca="true">IF(AG7=AG9,INDIRECT("O"&amp;4+6*(FIND(Z7,"ABCDEFGH")-1)),0)</f>
        <v>0</v>
      </c>
      <c r="AM7" s="94" t="n">
        <f aca="true">IF(AG7=AG10,INDIRECT("O"&amp;5+6*(FIND(Z7,"ABCDEFGH")-1)),0)</f>
        <v>0</v>
      </c>
      <c r="AN7" s="97" t="n">
        <f aca="true">IF(AG7=AG8,INDIRECT("Q"&amp;3+6*(FIND(Z7,"ABCDEFGH")-1)),0)</f>
        <v>16</v>
      </c>
      <c r="AO7" s="97" t="n">
        <f aca="true">IF(AG7=AG9,INDIRECT("Q"&amp;4+6*(FIND(Z7,"ABCDEFGH")-1)),0)</f>
        <v>0</v>
      </c>
      <c r="AP7" s="97" t="n">
        <f aca="true">IF(AG7=AG10,INDIRECT("Q"&amp;5+6*(FIND(Z7,"ABCDEFGH")-1)),0)</f>
        <v>0</v>
      </c>
      <c r="AQ7" s="99" t="n">
        <f aca="false">AG7+(500+AN7+AO7+AP7)*10^-3+(AK7+AL7+AM7)*10^-6+(500+AJ7)*10^-9+AH7*10^-12</f>
        <v>5.516067507199</v>
      </c>
    </row>
    <row r="8" customFormat="false" ht="12.8" hidden="false" customHeight="false" outlineLevel="0" collapsed="false">
      <c r="A8" s="31" t="n">
        <v>5</v>
      </c>
      <c r="B8" s="33" t="s">
        <v>9</v>
      </c>
      <c r="C8" s="33" t="s">
        <v>24</v>
      </c>
      <c r="D8" s="33" t="s">
        <v>132</v>
      </c>
      <c r="E8" s="33" t="s">
        <v>133</v>
      </c>
      <c r="F8" s="85" t="str">
        <f aca="false">IF(B8="Girone",VLOOKUP(D8,A_SQUADRE_PER_CODICE,2),"ERRORE!")</f>
        <v>Tigri</v>
      </c>
      <c r="G8" s="85" t="str">
        <f aca="false">IF(B8="Girone",VLOOKUP(E8,A_SQUADRE_PER_CODICE,2),"ERRORE!")</f>
        <v>Ghepardi</v>
      </c>
      <c r="H8" s="33" t="n">
        <f aca="false">VLOOKUP(A8,A_4_INPUT_DATE_E_RISULTATI_GIRONI,6,0)</f>
        <v>79</v>
      </c>
      <c r="I8" s="33" t="n">
        <f aca="false">VLOOKUP(A8,A_4_INPUT_DATE_E_RISULTATI_GIRONI,7,0)</f>
        <v>48</v>
      </c>
      <c r="J8" s="85" t="str">
        <f aca="false">IF(H8&gt;I8,F8,G8)</f>
        <v>Tigri</v>
      </c>
      <c r="K8" s="85" t="str">
        <f aca="false">IF(H8&lt;I8,F8,G8)</f>
        <v>Ghepardi</v>
      </c>
      <c r="L8" s="33" t="n">
        <f aca="false">1*(H8&gt;I8)</f>
        <v>1</v>
      </c>
      <c r="M8" s="86" t="n">
        <f aca="false">1*(H8&lt;I8)*NOT(AND(H8=0,I8=20))</f>
        <v>0</v>
      </c>
      <c r="N8" s="86" t="n">
        <f aca="false">1*AND(H8=0,I8=20)</f>
        <v>0</v>
      </c>
      <c r="O8" s="33" t="n">
        <f aca="false">H8</f>
        <v>79</v>
      </c>
      <c r="P8" s="33" t="n">
        <f aca="false">I8</f>
        <v>48</v>
      </c>
      <c r="Q8" s="87" t="n">
        <f aca="false">O8-P8</f>
        <v>31</v>
      </c>
      <c r="R8" s="33" t="n">
        <f aca="false">1*(I8&gt;H8)</f>
        <v>0</v>
      </c>
      <c r="S8" s="33" t="n">
        <f aca="false">1*(I8&lt;H8)*NOT(AND(H8=20,I8=0))</f>
        <v>1</v>
      </c>
      <c r="T8" s="33" t="n">
        <f aca="false">1*AND(H8=20,I8=0)</f>
        <v>0</v>
      </c>
      <c r="U8" s="33" t="n">
        <f aca="false">I8</f>
        <v>48</v>
      </c>
      <c r="V8" s="33" t="n">
        <f aca="false">H8</f>
        <v>79</v>
      </c>
      <c r="W8" s="88" t="n">
        <f aca="false">U8-V8</f>
        <v>-31</v>
      </c>
      <c r="Y8" s="89" t="str">
        <f aca="false">COUNTIF(B_COEFF_GIRONE_B,"&gt;="&amp;AQ8)&amp;Z8</f>
        <v>2B</v>
      </c>
      <c r="Z8" s="33" t="s">
        <v>34</v>
      </c>
      <c r="AA8" s="33" t="s">
        <v>135</v>
      </c>
      <c r="AB8" s="90" t="str">
        <f aca="false">VLOOKUP(AA8,A_SQUADRE_PER_CODICE,2)</f>
        <v>Puma</v>
      </c>
      <c r="AC8" s="33" t="n">
        <f aca="false">AD8+AE8+AF8</f>
        <v>3</v>
      </c>
      <c r="AD8" s="33" t="n">
        <f aca="false">SUMIF(B_SQUADRA_A_GIRONI,AB8,B_VINTE_SQUADRA_A_GIRONI)+SUMIF(B_SQUADRA_B_GIRONI,AB8,B_VINTE_SQUADRA_B_GIRONI)</f>
        <v>2</v>
      </c>
      <c r="AE8" s="33" t="n">
        <f aca="false">SUMIF(B_SQUADRA_A_GIRONI,AB8,B_PERSE_SQUADRA_A_GIRONI)+SUMIF(B_SQUADRA_B_GIRONI,AB8,B_PERSE_SQUADRA_B_GIRONI)</f>
        <v>1</v>
      </c>
      <c r="AF8" s="33" t="n">
        <f aca="false">SUMIF(B_SQUADRA_A_GIRONI,AB8,B_FORFAIT_SQUADRA_A_GIRONI)+SUMIF(B_SQUADRA_B_GIRONI,AB8,B_FORFAIT_SQUADRA_B_GIRONI)</f>
        <v>0</v>
      </c>
      <c r="AG8" s="91" t="n">
        <f aca="false">2*AD8+1*AE8+0*AF8</f>
        <v>5</v>
      </c>
      <c r="AH8" s="33" t="n">
        <f aca="false">SUMIF(B_SQUADRA_A_GIRONI,AB8,B_PUNTI_FATTI_SQUADRA_A_GIRONI)+SUMIF(B_SQUADRA_B_GIRONI,AB8,B_PUNTI_FATTI_SQUADRA_B_GIRONI)</f>
        <v>216</v>
      </c>
      <c r="AI8" s="33" t="n">
        <f aca="false">SUMIF(B_SQUADRA_A_GIRONI,AB8,B_PUNTI_SUBITI_SQUADRA_A_GIRONI)+SUMIF(B_SQUADRA_B_GIRONI,AB8,B_PUNTI_SUBITI_SQUADRA_B_GIRONI)</f>
        <v>184</v>
      </c>
      <c r="AJ8" s="87" t="n">
        <f aca="false">SUMIF(B_SQUADRA_A_GIRONI,AB8,B_DIFF_CANESTRI_SQUADRA_A_GIRONI)+SUMIF(B_SQUADRA_B_GIRONI,AB8,B_DIFF_CANESTRI_SQUADRA_B_GIRONI)</f>
        <v>32</v>
      </c>
      <c r="AK8" s="33" t="n">
        <f aca="true">IF(AG8=AG9,INDIRECT("O"&amp;6+6*(FIND(Z8,"ABCDEFGH")-1)),0)</f>
        <v>0</v>
      </c>
      <c r="AL8" s="33" t="n">
        <f aca="true">IF(AG8=AG10,INDIRECT("O"&amp;7+6*(FIND(Z8,"ABCDEFGH")-1)),0)</f>
        <v>0</v>
      </c>
      <c r="AM8" s="33" t="n">
        <f aca="true">IF(AG8=AG7,INDIRECT("U"&amp;3+6*(FIND(Z8,"ABCDEFGH")-1)),0)</f>
        <v>51</v>
      </c>
      <c r="AN8" s="87" t="n">
        <f aca="true">IF(AG8=AG9,INDIRECT("Q"&amp;6+6*(FIND(Z8,"ABCDEFGH")-1)),0)</f>
        <v>0</v>
      </c>
      <c r="AO8" s="87" t="n">
        <f aca="true">IF(AG8=AG10,INDIRECT("Q"&amp;7+6*(FIND(Z8,"ABCDEFGH")-1)),0)</f>
        <v>0</v>
      </c>
      <c r="AP8" s="87" t="n">
        <f aca="true">IF(AG8=AG7,INDIRECT("W"&amp;3+6*(FIND(Z8,"ABCDEFGH")-1)),0)</f>
        <v>-16</v>
      </c>
      <c r="AQ8" s="92" t="n">
        <f aca="false">AG8+(500+AN8+AO8+AP8)*10^-3+(AK8+AL8+AM8)*10^-6+(500+AJ8)*10^-9+AH8*10^-12</f>
        <v>5.484051532216</v>
      </c>
    </row>
    <row r="9" customFormat="false" ht="12.8" hidden="false" customHeight="false" outlineLevel="0" collapsed="false">
      <c r="A9" s="31" t="n">
        <v>2</v>
      </c>
      <c r="B9" s="33" t="s">
        <v>9</v>
      </c>
      <c r="C9" s="33" t="s">
        <v>34</v>
      </c>
      <c r="D9" s="33" t="s">
        <v>134</v>
      </c>
      <c r="E9" s="33" t="s">
        <v>135</v>
      </c>
      <c r="F9" s="85" t="str">
        <f aca="false">IF(B9="Girone",VLOOKUP(D9,A_SQUADRE_PER_CODICE,2),"ERRORE!")</f>
        <v>Giaguari</v>
      </c>
      <c r="G9" s="85" t="str">
        <f aca="false">IF(B9="Girone",VLOOKUP(E9,A_SQUADRE_PER_CODICE,2),"ERRORE!")</f>
        <v>Puma</v>
      </c>
      <c r="H9" s="33" t="n">
        <f aca="false">VLOOKUP(A9,A_4_INPUT_DATE_E_RISULTATI_GIRONI,6,0)</f>
        <v>67</v>
      </c>
      <c r="I9" s="33" t="n">
        <f aca="false">VLOOKUP(A9,A_4_INPUT_DATE_E_RISULTATI_GIRONI,7,0)</f>
        <v>51</v>
      </c>
      <c r="J9" s="85" t="str">
        <f aca="false">IF(H9&gt;I9,F9,G9)</f>
        <v>Giaguari</v>
      </c>
      <c r="K9" s="85" t="str">
        <f aca="false">IF(H9&lt;I9,F9,G9)</f>
        <v>Puma</v>
      </c>
      <c r="L9" s="33" t="n">
        <f aca="false">1*(H9&gt;I9)</f>
        <v>1</v>
      </c>
      <c r="M9" s="86" t="n">
        <f aca="false">1*(H9&lt;I9)*NOT(AND(H9=0,I9=20))</f>
        <v>0</v>
      </c>
      <c r="N9" s="86" t="n">
        <f aca="false">1*AND(H9=0,I9=20)</f>
        <v>0</v>
      </c>
      <c r="O9" s="33" t="n">
        <f aca="false">H9</f>
        <v>67</v>
      </c>
      <c r="P9" s="33" t="n">
        <f aca="false">I9</f>
        <v>51</v>
      </c>
      <c r="Q9" s="87" t="n">
        <f aca="false">O9-P9</f>
        <v>16</v>
      </c>
      <c r="R9" s="33" t="n">
        <f aca="false">1*(I9&gt;H9)</f>
        <v>0</v>
      </c>
      <c r="S9" s="33" t="n">
        <f aca="false">1*(I9&lt;H9)*NOT(AND(H9=20,I9=0))</f>
        <v>1</v>
      </c>
      <c r="T9" s="33" t="n">
        <f aca="false">1*AND(H9=20,I9=0)</f>
        <v>0</v>
      </c>
      <c r="U9" s="33" t="n">
        <f aca="false">I9</f>
        <v>51</v>
      </c>
      <c r="V9" s="33" t="n">
        <f aca="false">H9</f>
        <v>67</v>
      </c>
      <c r="W9" s="88" t="n">
        <f aca="false">U9-V9</f>
        <v>-16</v>
      </c>
      <c r="Y9" s="89" t="str">
        <f aca="false">COUNTIF(B_COEFF_GIRONE_B,"&gt;="&amp;AQ9)&amp;Z9</f>
        <v>3B</v>
      </c>
      <c r="Z9" s="33" t="s">
        <v>34</v>
      </c>
      <c r="AA9" s="33" t="s">
        <v>136</v>
      </c>
      <c r="AB9" s="90" t="str">
        <f aca="false">VLOOKUP(AA9,A_SQUADRE_PER_CODICE,2)</f>
        <v>Linci</v>
      </c>
      <c r="AC9" s="33" t="n">
        <f aca="false">AD9+AE9+AF9</f>
        <v>3</v>
      </c>
      <c r="AD9" s="33" t="n">
        <f aca="false">SUMIF(B_SQUADRA_A_GIRONI,AB9,B_VINTE_SQUADRA_A_GIRONI)+SUMIF(B_SQUADRA_B_GIRONI,AB9,B_VINTE_SQUADRA_B_GIRONI)</f>
        <v>1</v>
      </c>
      <c r="AE9" s="33" t="n">
        <f aca="false">SUMIF(B_SQUADRA_A_GIRONI,AB9,B_PERSE_SQUADRA_A_GIRONI)+SUMIF(B_SQUADRA_B_GIRONI,AB9,B_PERSE_SQUADRA_B_GIRONI)</f>
        <v>2</v>
      </c>
      <c r="AF9" s="33" t="n">
        <f aca="false">SUMIF(B_SQUADRA_A_GIRONI,AB9,B_FORFAIT_SQUADRA_A_GIRONI)+SUMIF(B_SQUADRA_B_GIRONI,AB9,B_FORFAIT_SQUADRA_B_GIRONI)</f>
        <v>0</v>
      </c>
      <c r="AG9" s="91" t="n">
        <f aca="false">2*AD9+1*AE9+0*AF9</f>
        <v>4</v>
      </c>
      <c r="AH9" s="33" t="n">
        <f aca="false">SUMIF(B_SQUADRA_A_GIRONI,AB9,B_PUNTI_FATTI_SQUADRA_A_GIRONI)+SUMIF(B_SQUADRA_B_GIRONI,AB9,B_PUNTI_FATTI_SQUADRA_B_GIRONI)</f>
        <v>181</v>
      </c>
      <c r="AI9" s="33" t="n">
        <f aca="false">SUMIF(B_SQUADRA_A_GIRONI,AB9,B_PUNTI_SUBITI_SQUADRA_A_GIRONI)+SUMIF(B_SQUADRA_B_GIRONI,AB9,B_PUNTI_SUBITI_SQUADRA_B_GIRONI)</f>
        <v>197</v>
      </c>
      <c r="AJ9" s="87" t="n">
        <f aca="false">SUMIF(B_SQUADRA_A_GIRONI,AB9,B_DIFF_CANESTRI_SQUADRA_A_GIRONI)+SUMIF(B_SQUADRA_B_GIRONI,AB9,B_DIFF_CANESTRI_SQUADRA_B_GIRONI)</f>
        <v>-16</v>
      </c>
      <c r="AK9" s="33" t="n">
        <f aca="true">IF(AG9=AG10,INDIRECT("O"&amp;8+6*(FIND(Z9,"ABCDEFGH")-1)),0)</f>
        <v>62</v>
      </c>
      <c r="AL9" s="33" t="n">
        <f aca="true">IF(AG9=AG7,INDIRECT("U"&amp;4+6*(FIND(Z9,"ABCDEFGH")-1)),0)</f>
        <v>0</v>
      </c>
      <c r="AM9" s="33" t="n">
        <f aca="true">IF(AG9=AG8,INDIRECT("U"&amp;6+6*(FIND(Z9,"ABCDEFGH")-1)),0)</f>
        <v>0</v>
      </c>
      <c r="AN9" s="87" t="n">
        <f aca="true">IF(AG9=AG10,INDIRECT("Q"&amp;8+6*(FIND(Z9,"ABCDEFGH")-1)),0)</f>
        <v>18</v>
      </c>
      <c r="AO9" s="87" t="n">
        <f aca="true">IF(AG9=AG7,INDIRECT("W"&amp;4+6*(FIND(Z9,"ABCDEFGH")-1)),0)</f>
        <v>0</v>
      </c>
      <c r="AP9" s="87" t="n">
        <f aca="true">IF(AG9=AG8,INDIRECT("W"&amp;6+6*(FIND(Z9,"ABCDEFGH")-1)),0)</f>
        <v>0</v>
      </c>
      <c r="AQ9" s="92" t="n">
        <f aca="false">AG9+(500+AN9+AO9+AP9)*10^-3+(AK9+AL9+AM9)*10^-6+(500+AJ9)*10^-9+AH9*10^-12</f>
        <v>4.518062484181</v>
      </c>
    </row>
    <row r="10" customFormat="false" ht="12.8" hidden="false" customHeight="false" outlineLevel="0" collapsed="false">
      <c r="A10" s="31" t="n">
        <v>10</v>
      </c>
      <c r="B10" s="33" t="s">
        <v>9</v>
      </c>
      <c r="C10" s="33" t="s">
        <v>34</v>
      </c>
      <c r="D10" s="33" t="s">
        <v>134</v>
      </c>
      <c r="E10" s="33" t="s">
        <v>136</v>
      </c>
      <c r="F10" s="85" t="str">
        <f aca="false">IF(B10="Girone",VLOOKUP(D10,A_SQUADRE_PER_CODICE,2),"ERRORE!")</f>
        <v>Giaguari</v>
      </c>
      <c r="G10" s="85" t="str">
        <f aca="false">IF(B10="Girone",VLOOKUP(E10,A_SQUADRE_PER_CODICE,2),"ERRORE!")</f>
        <v>Linci</v>
      </c>
      <c r="H10" s="33" t="n">
        <f aca="false">VLOOKUP(A10,A_4_INPUT_DATE_E_RISULTATI_GIRONI,6,0)</f>
        <v>56</v>
      </c>
      <c r="I10" s="33" t="n">
        <f aca="false">VLOOKUP(A10,A_4_INPUT_DATE_E_RISULTATI_GIRONI,7,0)</f>
        <v>47</v>
      </c>
      <c r="J10" s="85" t="str">
        <f aca="false">IF(H10&gt;I10,F10,G10)</f>
        <v>Giaguari</v>
      </c>
      <c r="K10" s="85" t="str">
        <f aca="false">IF(H10&lt;I10,F10,G10)</f>
        <v>Linci</v>
      </c>
      <c r="L10" s="33" t="n">
        <f aca="false">1*(H10&gt;I10)</f>
        <v>1</v>
      </c>
      <c r="M10" s="86" t="n">
        <f aca="false">1*(H10&lt;I10)*NOT(AND(H10=0,I10=20))</f>
        <v>0</v>
      </c>
      <c r="N10" s="86" t="n">
        <f aca="false">1*AND(H10=0,I10=20)</f>
        <v>0</v>
      </c>
      <c r="O10" s="33" t="n">
        <f aca="false">H10</f>
        <v>56</v>
      </c>
      <c r="P10" s="33" t="n">
        <f aca="false">I10</f>
        <v>47</v>
      </c>
      <c r="Q10" s="87" t="n">
        <f aca="false">O10-P10</f>
        <v>9</v>
      </c>
      <c r="R10" s="33" t="n">
        <f aca="false">1*(I10&gt;H10)</f>
        <v>0</v>
      </c>
      <c r="S10" s="33" t="n">
        <f aca="false">1*(I10&lt;H10)*NOT(AND(H10=20,I10=0))</f>
        <v>1</v>
      </c>
      <c r="T10" s="33" t="n">
        <f aca="false">1*AND(H10=20,I10=0)</f>
        <v>0</v>
      </c>
      <c r="U10" s="33" t="n">
        <f aca="false">I10</f>
        <v>47</v>
      </c>
      <c r="V10" s="33" t="n">
        <f aca="false">H10</f>
        <v>56</v>
      </c>
      <c r="W10" s="88" t="n">
        <f aca="false">U10-V10</f>
        <v>-9</v>
      </c>
      <c r="Y10" s="100" t="str">
        <f aca="false">COUNTIF(B_COEFF_GIRONE_B,"&gt;="&amp;AQ10)&amp;Z10</f>
        <v>4B</v>
      </c>
      <c r="Z10" s="101" t="s">
        <v>34</v>
      </c>
      <c r="AA10" s="101" t="s">
        <v>137</v>
      </c>
      <c r="AB10" s="102" t="str">
        <f aca="false">VLOOKUP(AA10,A_SQUADRE_PER_CODICE,2)</f>
        <v>Serval</v>
      </c>
      <c r="AC10" s="101" t="n">
        <f aca="false">AD10+AE10+AF10</f>
        <v>3</v>
      </c>
      <c r="AD10" s="101" t="n">
        <f aca="false">SUMIF(B_SQUADRA_A_GIRONI,AB10,B_VINTE_SQUADRA_A_GIRONI)+SUMIF(B_SQUADRA_B_GIRONI,AB10,B_VINTE_SQUADRA_B_GIRONI)</f>
        <v>1</v>
      </c>
      <c r="AE10" s="101" t="n">
        <f aca="false">SUMIF(B_SQUADRA_A_GIRONI,AB10,B_PERSE_SQUADRA_A_GIRONI)+SUMIF(B_SQUADRA_B_GIRONI,AB10,B_PERSE_SQUADRA_B_GIRONI)</f>
        <v>2</v>
      </c>
      <c r="AF10" s="101" t="n">
        <f aca="false">SUMIF(B_SQUADRA_A_GIRONI,AB10,B_FORFAIT_SQUADRA_A_GIRONI)+SUMIF(B_SQUADRA_B_GIRONI,AB10,B_FORFAIT_SQUADRA_B_GIRONI)</f>
        <v>0</v>
      </c>
      <c r="AG10" s="103" t="n">
        <f aca="false">2*AD10+1*AE10+0*AF10</f>
        <v>4</v>
      </c>
      <c r="AH10" s="101" t="n">
        <f aca="false">SUMIF(B_SQUADRA_A_GIRONI,AB10,B_PUNTI_FATTI_SQUADRA_A_GIRONI)+SUMIF(B_SQUADRA_B_GIRONI,AB10,B_PUNTI_FATTI_SQUADRA_B_GIRONI)</f>
        <v>183</v>
      </c>
      <c r="AI10" s="101" t="n">
        <f aca="false">SUMIF(B_SQUADRA_A_GIRONI,AB10,B_PUNTI_SUBITI_SQUADRA_A_GIRONI)+SUMIF(B_SQUADRA_B_GIRONI,AB10,B_PUNTI_SUBITI_SQUADRA_B_GIRONI)</f>
        <v>206</v>
      </c>
      <c r="AJ10" s="104" t="n">
        <f aca="false">SUMIF(B_SQUADRA_A_GIRONI,AB10,B_DIFF_CANESTRI_SQUADRA_A_GIRONI)+SUMIF(B_SQUADRA_B_GIRONI,AB10,B_DIFF_CANESTRI_SQUADRA_B_GIRONI)</f>
        <v>-23</v>
      </c>
      <c r="AK10" s="101" t="n">
        <f aca="true">IF(AG10=AG7,INDIRECT("U"&amp;5+6*(FIND(Z10,"ABCDEFGH")-1)),0)</f>
        <v>0</v>
      </c>
      <c r="AL10" s="101" t="n">
        <f aca="true">IF(AG10=AG8,INDIRECT("U"&amp;7+6*(FIND(Z10,"ABCDEFGH")-1)),0)</f>
        <v>0</v>
      </c>
      <c r="AM10" s="101" t="n">
        <f aca="true">IF(AG10=AG9,INDIRECT("U"&amp;8+6*(FIND(Z10,"ABCDEFGH")-1)),0)</f>
        <v>44</v>
      </c>
      <c r="AN10" s="104" t="n">
        <f aca="true">IF(AG10=AG7,INDIRECT("W"&amp;5+6*(FIND(Z10,"ABCDEFGH")-1)),0)</f>
        <v>0</v>
      </c>
      <c r="AO10" s="104" t="n">
        <f aca="true">IF(AG10=AG8,INDIRECT("W"&amp;7+6*(FIND(Z10,"ABCDEFGH")-1)),0)</f>
        <v>0</v>
      </c>
      <c r="AP10" s="104" t="n">
        <f aca="true">IF(AG10=AG9,INDIRECT("W"&amp;8+6*(FIND(Z10,"ABCDEFGH")-1)),0)</f>
        <v>-18</v>
      </c>
      <c r="AQ10" s="105" t="n">
        <f aca="false">AG10+(500+AN10+AO10+AP10)*10^-3+(AK10+AL10+AM10)*10^-6+(500+AJ10)*10^-9+AH10*10^-12</f>
        <v>4.482044477183</v>
      </c>
    </row>
    <row r="11" customFormat="false" ht="12.8" hidden="false" customHeight="false" outlineLevel="0" collapsed="false">
      <c r="A11" s="31" t="n">
        <v>26</v>
      </c>
      <c r="B11" s="33" t="s">
        <v>9</v>
      </c>
      <c r="C11" s="33" t="s">
        <v>34</v>
      </c>
      <c r="D11" s="33" t="s">
        <v>134</v>
      </c>
      <c r="E11" s="33" t="s">
        <v>137</v>
      </c>
      <c r="F11" s="85" t="str">
        <f aca="false">IF(B11="Girone",VLOOKUP(D11,A_SQUADRE_PER_CODICE,2),"ERRORE!")</f>
        <v>Giaguari</v>
      </c>
      <c r="G11" s="85" t="str">
        <f aca="false">IF(B11="Girone",VLOOKUP(E11,A_SQUADRE_PER_CODICE,2),"ERRORE!")</f>
        <v>Serval</v>
      </c>
      <c r="H11" s="33" t="n">
        <f aca="false">VLOOKUP(A11,A_4_INPUT_DATE_E_RISULTATI_GIRONI,6,0)</f>
        <v>76</v>
      </c>
      <c r="I11" s="33" t="n">
        <f aca="false">VLOOKUP(A11,A_4_INPUT_DATE_E_RISULTATI_GIRONI,7,0)</f>
        <v>94</v>
      </c>
      <c r="J11" s="85" t="str">
        <f aca="false">IF(H11&gt;I11,F11,G11)</f>
        <v>Serval</v>
      </c>
      <c r="K11" s="85" t="str">
        <f aca="false">IF(H11&lt;I11,F11,G11)</f>
        <v>Giaguari</v>
      </c>
      <c r="L11" s="33" t="n">
        <f aca="false">1*(H11&gt;I11)</f>
        <v>0</v>
      </c>
      <c r="M11" s="86" t="n">
        <f aca="false">1*(H11&lt;I11)*NOT(AND(H11=0,I11=20))</f>
        <v>1</v>
      </c>
      <c r="N11" s="86" t="n">
        <f aca="false">1*AND(H11=0,I11=20)</f>
        <v>0</v>
      </c>
      <c r="O11" s="33" t="n">
        <f aca="false">H11</f>
        <v>76</v>
      </c>
      <c r="P11" s="33" t="n">
        <f aca="false">I11</f>
        <v>94</v>
      </c>
      <c r="Q11" s="87" t="n">
        <f aca="false">O11-P11</f>
        <v>-18</v>
      </c>
      <c r="R11" s="33" t="n">
        <f aca="false">1*(I11&gt;H11)</f>
        <v>1</v>
      </c>
      <c r="S11" s="33" t="n">
        <f aca="false">1*(I11&lt;H11)*NOT(AND(H11=20,I11=0))</f>
        <v>0</v>
      </c>
      <c r="T11" s="33" t="n">
        <f aca="false">1*AND(H11=20,I11=0)</f>
        <v>0</v>
      </c>
      <c r="U11" s="33" t="n">
        <f aca="false">I11</f>
        <v>94</v>
      </c>
      <c r="V11" s="33" t="n">
        <f aca="false">H11</f>
        <v>76</v>
      </c>
      <c r="W11" s="88" t="n">
        <f aca="false">U11-V11</f>
        <v>18</v>
      </c>
      <c r="Y11" s="89" t="str">
        <f aca="false">COUNTIF(B_COEFF_GIRONE_C,"&gt;="&amp;AQ11)&amp;Z11</f>
        <v>1C</v>
      </c>
      <c r="Z11" s="33" t="s">
        <v>39</v>
      </c>
      <c r="AA11" s="33" t="s">
        <v>138</v>
      </c>
      <c r="AB11" s="90" t="str">
        <f aca="false">VLOOKUP(AA11,A_SQUADRE_PER_CODICE,2)</f>
        <v>Elefanti</v>
      </c>
      <c r="AC11" s="33" t="n">
        <f aca="false">AD11+AE11+AF11</f>
        <v>3</v>
      </c>
      <c r="AD11" s="33" t="n">
        <f aca="false">SUMIF(B_SQUADRA_A_GIRONI,AB11,B_VINTE_SQUADRA_A_GIRONI)+SUMIF(B_SQUADRA_B_GIRONI,AB11,B_VINTE_SQUADRA_B_GIRONI)</f>
        <v>2</v>
      </c>
      <c r="AE11" s="33" t="n">
        <f aca="false">SUMIF(B_SQUADRA_A_GIRONI,AB11,B_PERSE_SQUADRA_A_GIRONI)+SUMIF(B_SQUADRA_B_GIRONI,AB11,B_PERSE_SQUADRA_B_GIRONI)</f>
        <v>1</v>
      </c>
      <c r="AF11" s="33" t="n">
        <f aca="false">SUMIF(B_SQUADRA_A_GIRONI,AB11,B_FORFAIT_SQUADRA_A_GIRONI)+SUMIF(B_SQUADRA_B_GIRONI,AB11,B_FORFAIT_SQUADRA_B_GIRONI)</f>
        <v>0</v>
      </c>
      <c r="AG11" s="91" t="n">
        <f aca="false">2*AD11+1*AE11+0*AF11</f>
        <v>5</v>
      </c>
      <c r="AH11" s="33" t="n">
        <f aca="false">SUMIF(B_SQUADRA_A_GIRONI,AB11,B_PUNTI_FATTI_SQUADRA_A_GIRONI)+SUMIF(B_SQUADRA_B_GIRONI,AB11,B_PUNTI_FATTI_SQUADRA_B_GIRONI)</f>
        <v>223</v>
      </c>
      <c r="AI11" s="33" t="n">
        <f aca="false">SUMIF(B_SQUADRA_A_GIRONI,AB11,B_PUNTI_SUBITI_SQUADRA_A_GIRONI)+SUMIF(B_SQUADRA_B_GIRONI,AB11,B_PUNTI_SUBITI_SQUADRA_B_GIRONI)</f>
        <v>188</v>
      </c>
      <c r="AJ11" s="87" t="n">
        <f aca="false">SUMIF(B_SQUADRA_A_GIRONI,AB11,B_DIFF_CANESTRI_SQUADRA_A_GIRONI)+SUMIF(B_SQUADRA_B_GIRONI,AB11,B_DIFF_CANESTRI_SQUADRA_B_GIRONI)</f>
        <v>35</v>
      </c>
      <c r="AK11" s="33" t="n">
        <f aca="true">IF(AG11=AG12,INDIRECT("O"&amp;3+6*(FIND(Z11,"ABCDEFGH")-1)),0)</f>
        <v>100</v>
      </c>
      <c r="AL11" s="86" t="n">
        <f aca="true">IF(AG11=AG13,INDIRECT("O"&amp;4+6*(FIND(Z11,"ABCDEFGH")-1)),0)</f>
        <v>66</v>
      </c>
      <c r="AM11" s="33" t="n">
        <f aca="true">IF(AG11=AG14,INDIRECT("O"&amp;5+6*(FIND(Z11,"ABCDEFGH")-1)),0)</f>
        <v>0</v>
      </c>
      <c r="AN11" s="87" t="n">
        <f aca="true">IF(AG11=AG12,INDIRECT("Q"&amp;3+6*(FIND(Z11,"ABCDEFGH")-1)),0)</f>
        <v>49</v>
      </c>
      <c r="AO11" s="87" t="n">
        <f aca="true">IF(AG11=AG13,INDIRECT("Q"&amp;4+6*(FIND(Z11,"ABCDEFGH")-1)),0)</f>
        <v>-29</v>
      </c>
      <c r="AP11" s="87" t="n">
        <f aca="true">IF(AG11=AG14,INDIRECT("Q"&amp;5+6*(FIND(Z11,"ABCDEFGH")-1)),0)</f>
        <v>0</v>
      </c>
      <c r="AQ11" s="92" t="n">
        <f aca="false">AG11+(500+AN11+AO11+AP11)*10^-3+(AK11+AL11+AM11)*10^-6+(500+AJ11)*10^-9+AH11*10^-12</f>
        <v>5.520166535223</v>
      </c>
    </row>
    <row r="12" customFormat="false" ht="12.8" hidden="false" customHeight="false" outlineLevel="0" collapsed="false">
      <c r="A12" s="31" t="n">
        <v>38</v>
      </c>
      <c r="B12" s="33" t="s">
        <v>9</v>
      </c>
      <c r="C12" s="33" t="s">
        <v>34</v>
      </c>
      <c r="D12" s="33" t="s">
        <v>135</v>
      </c>
      <c r="E12" s="33" t="s">
        <v>136</v>
      </c>
      <c r="F12" s="85" t="str">
        <f aca="false">IF(B12="Girone",VLOOKUP(D12,A_SQUADRE_PER_CODICE,2),"ERRORE!")</f>
        <v>Puma</v>
      </c>
      <c r="G12" s="85" t="str">
        <f aca="false">IF(B12="Girone",VLOOKUP(E12,A_SQUADRE_PER_CODICE,2),"ERRORE!")</f>
        <v>Linci</v>
      </c>
      <c r="H12" s="33" t="n">
        <f aca="false">VLOOKUP(A12,A_4_INPUT_DATE_E_RISULTATI_GIRONI,6,0)</f>
        <v>97</v>
      </c>
      <c r="I12" s="33" t="n">
        <f aca="false">VLOOKUP(A12,A_4_INPUT_DATE_E_RISULTATI_GIRONI,7,0)</f>
        <v>72</v>
      </c>
      <c r="J12" s="85" t="str">
        <f aca="false">IF(H12&gt;I12,F12,G12)</f>
        <v>Puma</v>
      </c>
      <c r="K12" s="85" t="str">
        <f aca="false">IF(H12&lt;I12,F12,G12)</f>
        <v>Linci</v>
      </c>
      <c r="L12" s="33" t="n">
        <f aca="false">1*(H12&gt;I12)</f>
        <v>1</v>
      </c>
      <c r="M12" s="86" t="n">
        <f aca="false">1*(H12&lt;I12)*NOT(AND(H12=0,I12=20))</f>
        <v>0</v>
      </c>
      <c r="N12" s="86" t="n">
        <f aca="false">1*AND(H12=0,I12=20)</f>
        <v>0</v>
      </c>
      <c r="O12" s="33" t="n">
        <f aca="false">H12</f>
        <v>97</v>
      </c>
      <c r="P12" s="33" t="n">
        <f aca="false">I12</f>
        <v>72</v>
      </c>
      <c r="Q12" s="87" t="n">
        <f aca="false">O12-P12</f>
        <v>25</v>
      </c>
      <c r="R12" s="33" t="n">
        <f aca="false">1*(I12&gt;H12)</f>
        <v>0</v>
      </c>
      <c r="S12" s="33" t="n">
        <f aca="false">1*(I12&lt;H12)*NOT(AND(H12=20,I12=0))</f>
        <v>1</v>
      </c>
      <c r="T12" s="33" t="n">
        <f aca="false">1*AND(H12=20,I12=0)</f>
        <v>0</v>
      </c>
      <c r="U12" s="33" t="n">
        <f aca="false">I12</f>
        <v>72</v>
      </c>
      <c r="V12" s="33" t="n">
        <f aca="false">H12</f>
        <v>97</v>
      </c>
      <c r="W12" s="88" t="n">
        <f aca="false">U12-V12</f>
        <v>-25</v>
      </c>
      <c r="Y12" s="89" t="str">
        <f aca="false">COUNTIF(B_COEFF_GIRONE_C,"&gt;="&amp;AQ12)&amp;Z12</f>
        <v>2C</v>
      </c>
      <c r="Z12" s="33" t="s">
        <v>39</v>
      </c>
      <c r="AA12" s="33" t="s">
        <v>139</v>
      </c>
      <c r="AB12" s="90" t="str">
        <f aca="false">VLOOKUP(AA12,A_SQUADRE_PER_CODICE,2)</f>
        <v>Giraffe</v>
      </c>
      <c r="AC12" s="33" t="n">
        <f aca="false">AD12+AE12+AF12</f>
        <v>3</v>
      </c>
      <c r="AD12" s="33" t="n">
        <f aca="false">SUMIF(B_SQUADRA_A_GIRONI,AB12,B_VINTE_SQUADRA_A_GIRONI)+SUMIF(B_SQUADRA_B_GIRONI,AB12,B_VINTE_SQUADRA_B_GIRONI)</f>
        <v>2</v>
      </c>
      <c r="AE12" s="33" t="n">
        <f aca="false">SUMIF(B_SQUADRA_A_GIRONI,AB12,B_PERSE_SQUADRA_A_GIRONI)+SUMIF(B_SQUADRA_B_GIRONI,AB12,B_PERSE_SQUADRA_B_GIRONI)</f>
        <v>1</v>
      </c>
      <c r="AF12" s="33" t="n">
        <f aca="false">SUMIF(B_SQUADRA_A_GIRONI,AB12,B_FORFAIT_SQUADRA_A_GIRONI)+SUMIF(B_SQUADRA_B_GIRONI,AB12,B_FORFAIT_SQUADRA_B_GIRONI)</f>
        <v>0</v>
      </c>
      <c r="AG12" s="91" t="n">
        <f aca="false">2*AD12+1*AE12+0*AF12</f>
        <v>5</v>
      </c>
      <c r="AH12" s="33" t="n">
        <f aca="false">SUMIF(B_SQUADRA_A_GIRONI,AB12,B_PUNTI_FATTI_SQUADRA_A_GIRONI)+SUMIF(B_SQUADRA_B_GIRONI,AB12,B_PUNTI_FATTI_SQUADRA_B_GIRONI)</f>
        <v>209</v>
      </c>
      <c r="AI12" s="33" t="n">
        <f aca="false">SUMIF(B_SQUADRA_A_GIRONI,AB12,B_PUNTI_SUBITI_SQUADRA_A_GIRONI)+SUMIF(B_SQUADRA_B_GIRONI,AB12,B_PUNTI_SUBITI_SQUADRA_B_GIRONI)</f>
        <v>183</v>
      </c>
      <c r="AJ12" s="87" t="n">
        <f aca="false">SUMIF(B_SQUADRA_A_GIRONI,AB12,B_DIFF_CANESTRI_SQUADRA_A_GIRONI)+SUMIF(B_SQUADRA_B_GIRONI,AB12,B_DIFF_CANESTRI_SQUADRA_B_GIRONI)</f>
        <v>26</v>
      </c>
      <c r="AK12" s="33" t="n">
        <f aca="true">IF(AG12=AG13,INDIRECT("O"&amp;6+6*(FIND(Z12,"ABCDEFGH")-1)),0)</f>
        <v>98</v>
      </c>
      <c r="AL12" s="33" t="n">
        <f aca="true">IF(AG12=AG14,INDIRECT("O"&amp;7+6*(FIND(Z12,"ABCDEFGH")-1)),0)</f>
        <v>0</v>
      </c>
      <c r="AM12" s="33" t="n">
        <f aca="true">IF(AG12=AG11,INDIRECT("U"&amp;3+6*(FIND(Z12,"ABCDEFGH")-1)),0)</f>
        <v>51</v>
      </c>
      <c r="AN12" s="87" t="n">
        <f aca="true">IF(AG12=AG13,INDIRECT("Q"&amp;6+6*(FIND(Z12,"ABCDEFGH")-1)),0)</f>
        <v>49</v>
      </c>
      <c r="AO12" s="87" t="n">
        <f aca="true">IF(AG12=AG14,INDIRECT("Q"&amp;7+6*(FIND(Z12,"ABCDEFGH")-1)),0)</f>
        <v>0</v>
      </c>
      <c r="AP12" s="87" t="n">
        <f aca="true">IF(AG12=AG11,INDIRECT("W"&amp;3+6*(FIND(Z12,"ABCDEFGH")-1)),0)</f>
        <v>-49</v>
      </c>
      <c r="AQ12" s="92" t="n">
        <f aca="false">AG12+(500+AN12+AO12+AP12)*10^-3+(AK12+AL12+AM12)*10^-6+(500+AJ12)*10^-9+AH12*10^-12</f>
        <v>5.500149526209</v>
      </c>
    </row>
    <row r="13" customFormat="false" ht="12.8" hidden="false" customHeight="false" outlineLevel="0" collapsed="false">
      <c r="A13" s="31" t="n">
        <v>14</v>
      </c>
      <c r="B13" s="33" t="s">
        <v>9</v>
      </c>
      <c r="C13" s="33" t="s">
        <v>34</v>
      </c>
      <c r="D13" s="33" t="s">
        <v>135</v>
      </c>
      <c r="E13" s="33" t="s">
        <v>137</v>
      </c>
      <c r="F13" s="85" t="str">
        <f aca="false">IF(B13="Girone",VLOOKUP(D13,A_SQUADRE_PER_CODICE,2),"ERRORE!")</f>
        <v>Puma</v>
      </c>
      <c r="G13" s="85" t="str">
        <f aca="false">IF(B13="Girone",VLOOKUP(E13,A_SQUADRE_PER_CODICE,2),"ERRORE!")</f>
        <v>Serval</v>
      </c>
      <c r="H13" s="33" t="n">
        <f aca="false">VLOOKUP(A13,A_4_INPUT_DATE_E_RISULTATI_GIRONI,6,0)</f>
        <v>68</v>
      </c>
      <c r="I13" s="33" t="n">
        <f aca="false">VLOOKUP(A13,A_4_INPUT_DATE_E_RISULTATI_GIRONI,7,0)</f>
        <v>45</v>
      </c>
      <c r="J13" s="85" t="str">
        <f aca="false">IF(H13&gt;I13,F13,G13)</f>
        <v>Puma</v>
      </c>
      <c r="K13" s="85" t="str">
        <f aca="false">IF(H13&lt;I13,F13,G13)</f>
        <v>Serval</v>
      </c>
      <c r="L13" s="33" t="n">
        <f aca="false">1*(H13&gt;I13)</f>
        <v>1</v>
      </c>
      <c r="M13" s="86" t="n">
        <f aca="false">1*(H13&lt;I13)*NOT(AND(H13=0,I13=20))</f>
        <v>0</v>
      </c>
      <c r="N13" s="86" t="n">
        <f aca="false">1*AND(H13=0,I13=20)</f>
        <v>0</v>
      </c>
      <c r="O13" s="33" t="n">
        <f aca="false">H13</f>
        <v>68</v>
      </c>
      <c r="P13" s="33" t="n">
        <f aca="false">I13</f>
        <v>45</v>
      </c>
      <c r="Q13" s="87" t="n">
        <f aca="false">O13-P13</f>
        <v>23</v>
      </c>
      <c r="R13" s="33" t="n">
        <f aca="false">1*(I13&gt;H13)</f>
        <v>0</v>
      </c>
      <c r="S13" s="33" t="n">
        <f aca="false">1*(I13&lt;H13)*NOT(AND(H13=20,I13=0))</f>
        <v>1</v>
      </c>
      <c r="T13" s="33" t="n">
        <f aca="false">1*AND(H13=20,I13=0)</f>
        <v>0</v>
      </c>
      <c r="U13" s="33" t="n">
        <f aca="false">I13</f>
        <v>45</v>
      </c>
      <c r="V13" s="33" t="n">
        <f aca="false">H13</f>
        <v>68</v>
      </c>
      <c r="W13" s="88" t="n">
        <f aca="false">U13-V13</f>
        <v>-23</v>
      </c>
      <c r="Y13" s="89" t="str">
        <f aca="false">COUNTIF(B_COEFF_GIRONE_C,"&gt;="&amp;AQ13)&amp;Z13</f>
        <v>3C</v>
      </c>
      <c r="Z13" s="33" t="s">
        <v>39</v>
      </c>
      <c r="AA13" s="33" t="s">
        <v>140</v>
      </c>
      <c r="AB13" s="90" t="str">
        <f aca="false">VLOOKUP(AA13,A_SQUADRE_PER_CODICE,2)</f>
        <v>Ippopotami</v>
      </c>
      <c r="AC13" s="33" t="n">
        <f aca="false">AD13+AE13+AF13</f>
        <v>3</v>
      </c>
      <c r="AD13" s="33" t="n">
        <f aca="false">SUMIF(B_SQUADRA_A_GIRONI,AB13,B_VINTE_SQUADRA_A_GIRONI)+SUMIF(B_SQUADRA_B_GIRONI,AB13,B_VINTE_SQUADRA_B_GIRONI)</f>
        <v>2</v>
      </c>
      <c r="AE13" s="33" t="n">
        <f aca="false">SUMIF(B_SQUADRA_A_GIRONI,AB13,B_PERSE_SQUADRA_A_GIRONI)+SUMIF(B_SQUADRA_B_GIRONI,AB13,B_PERSE_SQUADRA_B_GIRONI)</f>
        <v>1</v>
      </c>
      <c r="AF13" s="33" t="n">
        <f aca="false">SUMIF(B_SQUADRA_A_GIRONI,AB13,B_FORFAIT_SQUADRA_A_GIRONI)+SUMIF(B_SQUADRA_B_GIRONI,AB13,B_FORFAIT_SQUADRA_B_GIRONI)</f>
        <v>0</v>
      </c>
      <c r="AG13" s="91" t="n">
        <f aca="false">2*AD13+1*AE13+0*AF13</f>
        <v>5</v>
      </c>
      <c r="AH13" s="33" t="n">
        <f aca="false">SUMIF(B_SQUADRA_A_GIRONI,AB13,B_PUNTI_FATTI_SQUADRA_A_GIRONI)+SUMIF(B_SQUADRA_B_GIRONI,AB13,B_PUNTI_FATTI_SQUADRA_B_GIRONI)</f>
        <v>240</v>
      </c>
      <c r="AI13" s="33" t="n">
        <f aca="false">SUMIF(B_SQUADRA_A_GIRONI,AB13,B_PUNTI_SUBITI_SQUADRA_A_GIRONI)+SUMIF(B_SQUADRA_B_GIRONI,AB13,B_PUNTI_SUBITI_SQUADRA_B_GIRONI)</f>
        <v>189</v>
      </c>
      <c r="AJ13" s="87" t="n">
        <f aca="false">SUMIF(B_SQUADRA_A_GIRONI,AB13,B_DIFF_CANESTRI_SQUADRA_A_GIRONI)+SUMIF(B_SQUADRA_B_GIRONI,AB13,B_DIFF_CANESTRI_SQUADRA_B_GIRONI)</f>
        <v>51</v>
      </c>
      <c r="AK13" s="33" t="n">
        <f aca="true">IF(AG13=AG14,INDIRECT("O"&amp;8+6*(FIND(Z13,"ABCDEFGH")-1)),0)</f>
        <v>0</v>
      </c>
      <c r="AL13" s="33" t="n">
        <f aca="true">IF(AG13=AG11,INDIRECT("U"&amp;4+6*(FIND(Z13,"ABCDEFGH")-1)),0)</f>
        <v>95</v>
      </c>
      <c r="AM13" s="33" t="n">
        <f aca="true">IF(AG13=AG12,INDIRECT("U"&amp;6+6*(FIND(Z13,"ABCDEFGH")-1)),0)</f>
        <v>49</v>
      </c>
      <c r="AN13" s="87" t="n">
        <f aca="true">IF(AG13=AG14,INDIRECT("Q"&amp;8+6*(FIND(Z13,"ABCDEFGH")-1)),0)</f>
        <v>0</v>
      </c>
      <c r="AO13" s="87" t="n">
        <f aca="true">IF(AG13=AG11,INDIRECT("W"&amp;4+6*(FIND(Z13,"ABCDEFGH")-1)),0)</f>
        <v>29</v>
      </c>
      <c r="AP13" s="87" t="n">
        <f aca="true">IF(AG13=AG12,INDIRECT("W"&amp;6+6*(FIND(Z13,"ABCDEFGH")-1)),0)</f>
        <v>-49</v>
      </c>
      <c r="AQ13" s="92" t="n">
        <f aca="false">AG13+(500+AN13+AO13+AP13)*10^-3+(AK13+AL13+AM13)*10^-6+(500+AJ13)*10^-9+AH13*10^-12</f>
        <v>5.48014455124</v>
      </c>
    </row>
    <row r="14" customFormat="false" ht="12.8" hidden="false" customHeight="false" outlineLevel="0" collapsed="false">
      <c r="A14" s="31" t="n">
        <v>6</v>
      </c>
      <c r="B14" s="33" t="s">
        <v>9</v>
      </c>
      <c r="C14" s="33" t="s">
        <v>34</v>
      </c>
      <c r="D14" s="33" t="s">
        <v>136</v>
      </c>
      <c r="E14" s="33" t="s">
        <v>137</v>
      </c>
      <c r="F14" s="85" t="str">
        <f aca="false">IF(B14="Girone",VLOOKUP(D14,A_SQUADRE_PER_CODICE,2),"ERRORE!")</f>
        <v>Linci</v>
      </c>
      <c r="G14" s="85" t="str">
        <f aca="false">IF(B14="Girone",VLOOKUP(E14,A_SQUADRE_PER_CODICE,2),"ERRORE!")</f>
        <v>Serval</v>
      </c>
      <c r="H14" s="33" t="n">
        <f aca="false">VLOOKUP(A14,A_4_INPUT_DATE_E_RISULTATI_GIRONI,6,0)</f>
        <v>62</v>
      </c>
      <c r="I14" s="33" t="n">
        <f aca="false">VLOOKUP(A14,A_4_INPUT_DATE_E_RISULTATI_GIRONI,7,0)</f>
        <v>44</v>
      </c>
      <c r="J14" s="85" t="str">
        <f aca="false">IF(H14&gt;I14,F14,G14)</f>
        <v>Linci</v>
      </c>
      <c r="K14" s="85" t="str">
        <f aca="false">IF(H14&lt;I14,F14,G14)</f>
        <v>Serval</v>
      </c>
      <c r="L14" s="33" t="n">
        <f aca="false">1*(H14&gt;I14)</f>
        <v>1</v>
      </c>
      <c r="M14" s="86" t="n">
        <f aca="false">1*(H14&lt;I14)*NOT(AND(H14=0,I14=20))</f>
        <v>0</v>
      </c>
      <c r="N14" s="86" t="n">
        <f aca="false">1*AND(H14=0,I14=20)</f>
        <v>0</v>
      </c>
      <c r="O14" s="33" t="n">
        <f aca="false">H14</f>
        <v>62</v>
      </c>
      <c r="P14" s="33" t="n">
        <f aca="false">I14</f>
        <v>44</v>
      </c>
      <c r="Q14" s="87" t="n">
        <f aca="false">O14-P14</f>
        <v>18</v>
      </c>
      <c r="R14" s="33" t="n">
        <f aca="false">1*(I14&gt;H14)</f>
        <v>0</v>
      </c>
      <c r="S14" s="33" t="n">
        <f aca="false">1*(I14&lt;H14)*NOT(AND(H14=20,I14=0))</f>
        <v>1</v>
      </c>
      <c r="T14" s="33" t="n">
        <f aca="false">1*AND(H14=20,I14=0)</f>
        <v>0</v>
      </c>
      <c r="U14" s="33" t="n">
        <f aca="false">I14</f>
        <v>44</v>
      </c>
      <c r="V14" s="33" t="n">
        <f aca="false">H14</f>
        <v>62</v>
      </c>
      <c r="W14" s="88" t="n">
        <f aca="false">U14-V14</f>
        <v>-18</v>
      </c>
      <c r="Y14" s="89" t="str">
        <f aca="false">COUNTIF(B_COEFF_GIRONE_C,"&gt;="&amp;AQ14)&amp;Z14</f>
        <v>4C</v>
      </c>
      <c r="Z14" s="33" t="s">
        <v>39</v>
      </c>
      <c r="AA14" s="33" t="s">
        <v>141</v>
      </c>
      <c r="AB14" s="90" t="str">
        <f aca="false">VLOOKUP(AA14,A_SQUADRE_PER_CODICE,2)</f>
        <v>Iguane</v>
      </c>
      <c r="AC14" s="33" t="n">
        <f aca="false">AD14+AE14+AF14</f>
        <v>3</v>
      </c>
      <c r="AD14" s="33" t="n">
        <f aca="false">SUMIF(B_SQUADRA_A_GIRONI,AB14,B_VINTE_SQUADRA_A_GIRONI)+SUMIF(B_SQUADRA_B_GIRONI,AB14,B_VINTE_SQUADRA_B_GIRONI)</f>
        <v>0</v>
      </c>
      <c r="AE14" s="33" t="n">
        <f aca="false">SUMIF(B_SQUADRA_A_GIRONI,AB14,B_PERSE_SQUADRA_A_GIRONI)+SUMIF(B_SQUADRA_B_GIRONI,AB14,B_PERSE_SQUADRA_B_GIRONI)</f>
        <v>3</v>
      </c>
      <c r="AF14" s="33" t="n">
        <f aca="false">SUMIF(B_SQUADRA_A_GIRONI,AB14,B_FORFAIT_SQUADRA_A_GIRONI)+SUMIF(B_SQUADRA_B_GIRONI,AB14,B_FORFAIT_SQUADRA_B_GIRONI)</f>
        <v>0</v>
      </c>
      <c r="AG14" s="91" t="n">
        <f aca="false">2*AD14+1*AE14+0*AF14</f>
        <v>3</v>
      </c>
      <c r="AH14" s="33" t="n">
        <f aca="false">SUMIF(B_SQUADRA_A_GIRONI,AB14,B_PUNTI_FATTI_SQUADRA_A_GIRONI)+SUMIF(B_SQUADRA_B_GIRONI,AB14,B_PUNTI_FATTI_SQUADRA_B_GIRONI)</f>
        <v>101</v>
      </c>
      <c r="AI14" s="33" t="n">
        <f aca="false">SUMIF(B_SQUADRA_A_GIRONI,AB14,B_PUNTI_SUBITI_SQUADRA_A_GIRONI)+SUMIF(B_SQUADRA_B_GIRONI,AB14,B_PUNTI_SUBITI_SQUADRA_B_GIRONI)</f>
        <v>213</v>
      </c>
      <c r="AJ14" s="87" t="n">
        <f aca="false">SUMIF(B_SQUADRA_A_GIRONI,AB14,B_DIFF_CANESTRI_SQUADRA_A_GIRONI)+SUMIF(B_SQUADRA_B_GIRONI,AB14,B_DIFF_CANESTRI_SQUADRA_B_GIRONI)</f>
        <v>-112</v>
      </c>
      <c r="AK14" s="33" t="n">
        <f aca="true">IF(AG14=AG11,INDIRECT("U"&amp;5+6*(FIND(Z14,"ABCDEFGH")-1)),0)</f>
        <v>0</v>
      </c>
      <c r="AL14" s="33" t="n">
        <f aca="true">IF(AG14=AG12,INDIRECT("U"&amp;7+6*(FIND(Z14,"ABCDEFGH")-1)),0)</f>
        <v>0</v>
      </c>
      <c r="AM14" s="33" t="n">
        <f aca="true">IF(AG14=AG13,INDIRECT("U"&amp;8+6*(FIND(Z14,"ABCDEFGH")-1)),0)</f>
        <v>0</v>
      </c>
      <c r="AN14" s="87" t="n">
        <f aca="true">IF(AG14=AG11,INDIRECT("W"&amp;5+6*(FIND(Z14,"ABCDEFGH")-1)),0)</f>
        <v>0</v>
      </c>
      <c r="AO14" s="87" t="n">
        <f aca="true">IF(AG14=AG12,INDIRECT("W"&amp;7+6*(FIND(Z14,"ABCDEFGH")-1)),0)</f>
        <v>0</v>
      </c>
      <c r="AP14" s="87" t="n">
        <f aca="true">IF(AG14=AG13,INDIRECT("W"&amp;8+6*(FIND(Z14,"ABCDEFGH")-1)),0)</f>
        <v>0</v>
      </c>
      <c r="AQ14" s="92" t="n">
        <f aca="false">AG14+(500+AN14+AO14+AP14)*10^-3+(AK14+AL14+AM14)*10^-6+(500+AJ14)*10^-9+AH14*10^-12</f>
        <v>3.500000388101</v>
      </c>
    </row>
    <row r="15" customFormat="false" ht="12.8" hidden="false" customHeight="false" outlineLevel="0" collapsed="false">
      <c r="A15" s="31" t="n">
        <v>3</v>
      </c>
      <c r="B15" s="33" t="s">
        <v>9</v>
      </c>
      <c r="C15" s="33" t="s">
        <v>39</v>
      </c>
      <c r="D15" s="33" t="s">
        <v>138</v>
      </c>
      <c r="E15" s="33" t="s">
        <v>139</v>
      </c>
      <c r="F15" s="85" t="str">
        <f aca="false">IF(B15="Girone",VLOOKUP(D15,A_SQUADRE_PER_CODICE,2),"ERRORE!")</f>
        <v>Elefanti</v>
      </c>
      <c r="G15" s="85" t="str">
        <f aca="false">IF(B15="Girone",VLOOKUP(E15,A_SQUADRE_PER_CODICE,2),"ERRORE!")</f>
        <v>Giraffe</v>
      </c>
      <c r="H15" s="33" t="n">
        <f aca="false">VLOOKUP(A15,A_4_INPUT_DATE_E_RISULTATI_GIRONI,6,0)</f>
        <v>100</v>
      </c>
      <c r="I15" s="33" t="n">
        <f aca="false">VLOOKUP(A15,A_4_INPUT_DATE_E_RISULTATI_GIRONI,7,0)</f>
        <v>51</v>
      </c>
      <c r="J15" s="85" t="str">
        <f aca="false">IF(H15&gt;I15,F15,G15)</f>
        <v>Elefanti</v>
      </c>
      <c r="K15" s="85" t="str">
        <f aca="false">IF(H15&lt;I15,F15,G15)</f>
        <v>Giraffe</v>
      </c>
      <c r="L15" s="33" t="n">
        <f aca="false">1*(H15&gt;I15)</f>
        <v>1</v>
      </c>
      <c r="M15" s="86" t="n">
        <f aca="false">1*(H15&lt;I15)*NOT(AND(H15=0,I15=20))</f>
        <v>0</v>
      </c>
      <c r="N15" s="86" t="n">
        <f aca="false">1*AND(H15=0,I15=20)</f>
        <v>0</v>
      </c>
      <c r="O15" s="33" t="n">
        <f aca="false">H15</f>
        <v>100</v>
      </c>
      <c r="P15" s="33" t="n">
        <f aca="false">I15</f>
        <v>51</v>
      </c>
      <c r="Q15" s="87" t="n">
        <f aca="false">O15-P15</f>
        <v>49</v>
      </c>
      <c r="R15" s="33" t="n">
        <f aca="false">1*(I15&gt;H15)</f>
        <v>0</v>
      </c>
      <c r="S15" s="33" t="n">
        <f aca="false">1*(I15&lt;H15)*NOT(AND(H15=20,I15=0))</f>
        <v>1</v>
      </c>
      <c r="T15" s="33" t="n">
        <f aca="false">1*AND(H15=20,I15=0)</f>
        <v>0</v>
      </c>
      <c r="U15" s="33" t="n">
        <f aca="false">I15</f>
        <v>51</v>
      </c>
      <c r="V15" s="33" t="n">
        <f aca="false">H15</f>
        <v>100</v>
      </c>
      <c r="W15" s="88" t="n">
        <f aca="false">U15-V15</f>
        <v>-49</v>
      </c>
      <c r="Y15" s="93" t="str">
        <f aca="false">COUNTIF(B_COEFF_GIRONE_D,"&gt;="&amp;AQ15)&amp;Z15</f>
        <v>1D</v>
      </c>
      <c r="Z15" s="94" t="s">
        <v>44</v>
      </c>
      <c r="AA15" s="94" t="s">
        <v>142</v>
      </c>
      <c r="AB15" s="95" t="str">
        <f aca="false">VLOOKUP(AA15,A_SQUADRE_PER_CODICE,2)</f>
        <v>Coccodrilli</v>
      </c>
      <c r="AC15" s="94" t="n">
        <f aca="false">AD15+AE15+AF15</f>
        <v>3</v>
      </c>
      <c r="AD15" s="94" t="n">
        <f aca="false">SUMIF(B_SQUADRA_A_GIRONI,AB15,B_VINTE_SQUADRA_A_GIRONI)+SUMIF(B_SQUADRA_B_GIRONI,AB15,B_VINTE_SQUADRA_B_GIRONI)</f>
        <v>2</v>
      </c>
      <c r="AE15" s="94" t="n">
        <f aca="false">SUMIF(B_SQUADRA_A_GIRONI,AB15,B_PERSE_SQUADRA_A_GIRONI)+SUMIF(B_SQUADRA_B_GIRONI,AB15,B_PERSE_SQUADRA_B_GIRONI)</f>
        <v>1</v>
      </c>
      <c r="AF15" s="94" t="n">
        <f aca="false">SUMIF(B_SQUADRA_A_GIRONI,AB15,B_FORFAIT_SQUADRA_A_GIRONI)+SUMIF(B_SQUADRA_B_GIRONI,AB15,B_FORFAIT_SQUADRA_B_GIRONI)</f>
        <v>0</v>
      </c>
      <c r="AG15" s="96" t="n">
        <f aca="false">2*AD15+1*AE15+0*AF15</f>
        <v>5</v>
      </c>
      <c r="AH15" s="94" t="n">
        <f aca="false">SUMIF(B_SQUADRA_A_GIRONI,AB15,B_PUNTI_FATTI_SQUADRA_A_GIRONI)+SUMIF(B_SQUADRA_B_GIRONI,AB15,B_PUNTI_FATTI_SQUADRA_B_GIRONI)</f>
        <v>179</v>
      </c>
      <c r="AI15" s="94" t="n">
        <f aca="false">SUMIF(B_SQUADRA_A_GIRONI,AB15,B_PUNTI_SUBITI_SQUADRA_A_GIRONI)+SUMIF(B_SQUADRA_B_GIRONI,AB15,B_PUNTI_SUBITI_SQUADRA_B_GIRONI)</f>
        <v>169</v>
      </c>
      <c r="AJ15" s="97" t="n">
        <f aca="false">SUMIF(B_SQUADRA_A_GIRONI,AB15,B_DIFF_CANESTRI_SQUADRA_A_GIRONI)+SUMIF(B_SQUADRA_B_GIRONI,AB15,B_DIFF_CANESTRI_SQUADRA_B_GIRONI)</f>
        <v>10</v>
      </c>
      <c r="AK15" s="94" t="n">
        <f aca="true">IF(AG15=AG16,INDIRECT("O"&amp;3+6*(FIND(Z15,"ABCDEFGH")-1)),0)</f>
        <v>96</v>
      </c>
      <c r="AL15" s="98" t="n">
        <f aca="true">IF(AG15=AG17,INDIRECT("O"&amp;4+6*(FIND(Z15,"ABCDEFGH")-1)),0)</f>
        <v>29</v>
      </c>
      <c r="AM15" s="94" t="n">
        <f aca="true">IF(AG15=AG18,INDIRECT("O"&amp;5+6*(FIND(Z15,"ABCDEFGH")-1)),0)</f>
        <v>0</v>
      </c>
      <c r="AN15" s="97" t="n">
        <f aca="true">IF(AG15=AG16,INDIRECT("Q"&amp;3+6*(FIND(Z15,"ABCDEFGH")-1)),0)</f>
        <v>10</v>
      </c>
      <c r="AO15" s="97" t="n">
        <f aca="true">IF(AG15=AG17,INDIRECT("Q"&amp;4+6*(FIND(Z15,"ABCDEFGH")-1)),0)</f>
        <v>-10</v>
      </c>
      <c r="AP15" s="97" t="n">
        <f aca="true">IF(AG15=AG18,INDIRECT("Q"&amp;5+6*(FIND(Z15,"ABCDEFGH")-1)),0)</f>
        <v>0</v>
      </c>
      <c r="AQ15" s="99" t="n">
        <f aca="false">AG15+(500+AN15+AO15+AP15)*10^-3+(AK15+AL15+AM15)*10^-6+(500+AJ15)*10^-9+AH15*10^-12</f>
        <v>5.500125510179</v>
      </c>
    </row>
    <row r="16" customFormat="false" ht="12.8" hidden="false" customHeight="false" outlineLevel="0" collapsed="false">
      <c r="A16" s="31" t="n">
        <v>11</v>
      </c>
      <c r="B16" s="33" t="s">
        <v>9</v>
      </c>
      <c r="C16" s="33" t="s">
        <v>39</v>
      </c>
      <c r="D16" s="33" t="s">
        <v>138</v>
      </c>
      <c r="E16" s="33" t="s">
        <v>140</v>
      </c>
      <c r="F16" s="85" t="str">
        <f aca="false">IF(B16="Girone",VLOOKUP(D16,A_SQUADRE_PER_CODICE,2),"ERRORE!")</f>
        <v>Elefanti</v>
      </c>
      <c r="G16" s="85" t="str">
        <f aca="false">IF(B16="Girone",VLOOKUP(E16,A_SQUADRE_PER_CODICE,2),"ERRORE!")</f>
        <v>Ippopotami</v>
      </c>
      <c r="H16" s="33" t="n">
        <f aca="false">VLOOKUP(A16,A_4_INPUT_DATE_E_RISULTATI_GIRONI,6,0)</f>
        <v>66</v>
      </c>
      <c r="I16" s="33" t="n">
        <f aca="false">VLOOKUP(A16,A_4_INPUT_DATE_E_RISULTATI_GIRONI,7,0)</f>
        <v>95</v>
      </c>
      <c r="J16" s="85" t="str">
        <f aca="false">IF(H16&gt;I16,F16,G16)</f>
        <v>Ippopotami</v>
      </c>
      <c r="K16" s="85" t="str">
        <f aca="false">IF(H16&lt;I16,F16,G16)</f>
        <v>Elefanti</v>
      </c>
      <c r="L16" s="33" t="n">
        <f aca="false">1*(H16&gt;I16)</f>
        <v>0</v>
      </c>
      <c r="M16" s="86" t="n">
        <f aca="false">1*(H16&lt;I16)*NOT(AND(H16=0,I16=20))</f>
        <v>1</v>
      </c>
      <c r="N16" s="86" t="n">
        <f aca="false">1*AND(H16=0,I16=20)</f>
        <v>0</v>
      </c>
      <c r="O16" s="33" t="n">
        <f aca="false">H16</f>
        <v>66</v>
      </c>
      <c r="P16" s="33" t="n">
        <f aca="false">I16</f>
        <v>95</v>
      </c>
      <c r="Q16" s="87" t="n">
        <f aca="false">O16-P16</f>
        <v>-29</v>
      </c>
      <c r="R16" s="33" t="n">
        <f aca="false">1*(I16&gt;H16)</f>
        <v>1</v>
      </c>
      <c r="S16" s="33" t="n">
        <f aca="false">1*(I16&lt;H16)*NOT(AND(H16=20,I16=0))</f>
        <v>0</v>
      </c>
      <c r="T16" s="33" t="n">
        <f aca="false">1*AND(H16=20,I16=0)</f>
        <v>0</v>
      </c>
      <c r="U16" s="33" t="n">
        <f aca="false">I16</f>
        <v>95</v>
      </c>
      <c r="V16" s="33" t="n">
        <f aca="false">H16</f>
        <v>66</v>
      </c>
      <c r="W16" s="88" t="n">
        <f aca="false">U16-V16</f>
        <v>29</v>
      </c>
      <c r="Y16" s="89" t="str">
        <f aca="false">COUNTIF(B_COEFF_GIRONE_D,"&gt;="&amp;AQ16)&amp;Z16</f>
        <v>2D</v>
      </c>
      <c r="Z16" s="33" t="s">
        <v>44</v>
      </c>
      <c r="AA16" s="33" t="s">
        <v>143</v>
      </c>
      <c r="AB16" s="90" t="str">
        <f aca="false">VLOOKUP(AA16,A_SQUADRE_PER_CODICE,2)</f>
        <v>Pitoni</v>
      </c>
      <c r="AC16" s="33" t="n">
        <f aca="false">AD16+AE16+AF16</f>
        <v>3</v>
      </c>
      <c r="AD16" s="33" t="n">
        <f aca="false">SUMIF(B_SQUADRA_A_GIRONI,AB16,B_VINTE_SQUADRA_A_GIRONI)+SUMIF(B_SQUADRA_B_GIRONI,AB16,B_VINTE_SQUADRA_B_GIRONI)</f>
        <v>2</v>
      </c>
      <c r="AE16" s="33" t="n">
        <f aca="false">SUMIF(B_SQUADRA_A_GIRONI,AB16,B_PERSE_SQUADRA_A_GIRONI)+SUMIF(B_SQUADRA_B_GIRONI,AB16,B_PERSE_SQUADRA_B_GIRONI)</f>
        <v>1</v>
      </c>
      <c r="AF16" s="33" t="n">
        <f aca="false">SUMIF(B_SQUADRA_A_GIRONI,AB16,B_FORFAIT_SQUADRA_A_GIRONI)+SUMIF(B_SQUADRA_B_GIRONI,AB16,B_FORFAIT_SQUADRA_B_GIRONI)</f>
        <v>0</v>
      </c>
      <c r="AG16" s="91" t="n">
        <f aca="false">2*AD16+1*AE16+0*AF16</f>
        <v>5</v>
      </c>
      <c r="AH16" s="33" t="n">
        <f aca="false">SUMIF(B_SQUADRA_A_GIRONI,AB16,B_PUNTI_FATTI_SQUADRA_A_GIRONI)+SUMIF(B_SQUADRA_B_GIRONI,AB16,B_PUNTI_FATTI_SQUADRA_B_GIRONI)</f>
        <v>194</v>
      </c>
      <c r="AI16" s="33" t="n">
        <f aca="false">SUMIF(B_SQUADRA_A_GIRONI,AB16,B_PUNTI_SUBITI_SQUADRA_A_GIRONI)+SUMIF(B_SQUADRA_B_GIRONI,AB16,B_PUNTI_SUBITI_SQUADRA_B_GIRONI)</f>
        <v>168</v>
      </c>
      <c r="AJ16" s="87" t="n">
        <f aca="false">SUMIF(B_SQUADRA_A_GIRONI,AB16,B_DIFF_CANESTRI_SQUADRA_A_GIRONI)+SUMIF(B_SQUADRA_B_GIRONI,AB16,B_DIFF_CANESTRI_SQUADRA_B_GIRONI)</f>
        <v>26</v>
      </c>
      <c r="AK16" s="33" t="n">
        <f aca="true">IF(AG16=AG17,INDIRECT("O"&amp;6+6*(FIND(Z16,"ABCDEFGH")-1)),0)</f>
        <v>25</v>
      </c>
      <c r="AL16" s="33" t="n">
        <f aca="true">IF(AG16=AG18,INDIRECT("O"&amp;7+6*(FIND(Z16,"ABCDEFGH")-1)),0)</f>
        <v>0</v>
      </c>
      <c r="AM16" s="33" t="n">
        <f aca="true">IF(AG16=AG15,INDIRECT("U"&amp;3+6*(FIND(Z16,"ABCDEFGH")-1)),0)</f>
        <v>86</v>
      </c>
      <c r="AN16" s="87" t="n">
        <f aca="true">IF(AG16=AG17,INDIRECT("Q"&amp;6+6*(FIND(Z16,"ABCDEFGH")-1)),0)</f>
        <v>10</v>
      </c>
      <c r="AO16" s="87" t="n">
        <f aca="true">IF(AG16=AG18,INDIRECT("Q"&amp;7+6*(FIND(Z16,"ABCDEFGH")-1)),0)</f>
        <v>0</v>
      </c>
      <c r="AP16" s="87" t="n">
        <f aca="true">IF(AG16=AG15,INDIRECT("W"&amp;3+6*(FIND(Z16,"ABCDEFGH")-1)),0)</f>
        <v>-10</v>
      </c>
      <c r="AQ16" s="92" t="n">
        <f aca="false">AG16+(500+AN16+AO16+AP16)*10^-3+(AK16+AL16+AM16)*10^-6+(500+AJ16)*10^-9+AH16*10^-12</f>
        <v>5.500111526194</v>
      </c>
    </row>
    <row r="17" customFormat="false" ht="12.8" hidden="false" customHeight="false" outlineLevel="0" collapsed="false">
      <c r="A17" s="31" t="n">
        <v>27</v>
      </c>
      <c r="B17" s="33" t="s">
        <v>9</v>
      </c>
      <c r="C17" s="33" t="s">
        <v>39</v>
      </c>
      <c r="D17" s="33" t="s">
        <v>138</v>
      </c>
      <c r="E17" s="33" t="s">
        <v>141</v>
      </c>
      <c r="F17" s="85" t="str">
        <f aca="false">IF(B17="Girone",VLOOKUP(D17,A_SQUADRE_PER_CODICE,2),"ERRORE!")</f>
        <v>Elefanti</v>
      </c>
      <c r="G17" s="85" t="str">
        <f aca="false">IF(B17="Girone",VLOOKUP(E17,A_SQUADRE_PER_CODICE,2),"ERRORE!")</f>
        <v>Iguane</v>
      </c>
      <c r="H17" s="33" t="n">
        <f aca="false">VLOOKUP(A17,A_4_INPUT_DATE_E_RISULTATI_GIRONI,6,0)</f>
        <v>57</v>
      </c>
      <c r="I17" s="33" t="n">
        <f aca="false">VLOOKUP(A17,A_4_INPUT_DATE_E_RISULTATI_GIRONI,7,0)</f>
        <v>42</v>
      </c>
      <c r="J17" s="85" t="str">
        <f aca="false">IF(H17&gt;I17,F17,G17)</f>
        <v>Elefanti</v>
      </c>
      <c r="K17" s="85" t="str">
        <f aca="false">IF(H17&lt;I17,F17,G17)</f>
        <v>Iguane</v>
      </c>
      <c r="L17" s="33" t="n">
        <f aca="false">1*(H17&gt;I17)</f>
        <v>1</v>
      </c>
      <c r="M17" s="86" t="n">
        <f aca="false">1*(H17&lt;I17)*NOT(AND(H17=0,I17=20))</f>
        <v>0</v>
      </c>
      <c r="N17" s="86" t="n">
        <f aca="false">1*AND(H17=0,I17=20)</f>
        <v>0</v>
      </c>
      <c r="O17" s="33" t="n">
        <f aca="false">H17</f>
        <v>57</v>
      </c>
      <c r="P17" s="33" t="n">
        <f aca="false">I17</f>
        <v>42</v>
      </c>
      <c r="Q17" s="87" t="n">
        <f aca="false">O17-P17</f>
        <v>15</v>
      </c>
      <c r="R17" s="33" t="n">
        <f aca="false">1*(I17&gt;H17)</f>
        <v>0</v>
      </c>
      <c r="S17" s="33" t="n">
        <f aca="false">1*(I17&lt;H17)*NOT(AND(H17=20,I17=0))</f>
        <v>1</v>
      </c>
      <c r="T17" s="33" t="n">
        <f aca="false">1*AND(H17=20,I17=0)</f>
        <v>0</v>
      </c>
      <c r="U17" s="33" t="n">
        <f aca="false">I17</f>
        <v>42</v>
      </c>
      <c r="V17" s="33" t="n">
        <f aca="false">H17</f>
        <v>57</v>
      </c>
      <c r="W17" s="88" t="n">
        <f aca="false">U17-V17</f>
        <v>-15</v>
      </c>
      <c r="Y17" s="89" t="str">
        <f aca="false">COUNTIF(B_COEFF_GIRONE_D,"&gt;="&amp;AQ17)&amp;Z17</f>
        <v>3D</v>
      </c>
      <c r="Z17" s="33" t="s">
        <v>44</v>
      </c>
      <c r="AA17" s="33" t="s">
        <v>144</v>
      </c>
      <c r="AB17" s="90" t="str">
        <f aca="false">VLOOKUP(AA17,A_SQUADRE_PER_CODICE,2)</f>
        <v>Aquile</v>
      </c>
      <c r="AC17" s="33" t="n">
        <f aca="false">AD17+AE17+AF17</f>
        <v>3</v>
      </c>
      <c r="AD17" s="33" t="n">
        <f aca="false">SUMIF(B_SQUADRA_A_GIRONI,AB17,B_VINTE_SQUADRA_A_GIRONI)+SUMIF(B_SQUADRA_B_GIRONI,AB17,B_VINTE_SQUADRA_B_GIRONI)</f>
        <v>2</v>
      </c>
      <c r="AE17" s="33" t="n">
        <f aca="false">SUMIF(B_SQUADRA_A_GIRONI,AB17,B_PERSE_SQUADRA_A_GIRONI)+SUMIF(B_SQUADRA_B_GIRONI,AB17,B_PERSE_SQUADRA_B_GIRONI)</f>
        <v>1</v>
      </c>
      <c r="AF17" s="33" t="n">
        <f aca="false">SUMIF(B_SQUADRA_A_GIRONI,AB17,B_FORFAIT_SQUADRA_A_GIRONI)+SUMIF(B_SQUADRA_B_GIRONI,AB17,B_FORFAIT_SQUADRA_B_GIRONI)</f>
        <v>0</v>
      </c>
      <c r="AG17" s="91" t="n">
        <f aca="false">2*AD17+1*AE17+0*AF17</f>
        <v>5</v>
      </c>
      <c r="AH17" s="33" t="n">
        <f aca="false">SUMIF(B_SQUADRA_A_GIRONI,AB17,B_PUNTI_FATTI_SQUADRA_A_GIRONI)+SUMIF(B_SQUADRA_B_GIRONI,AB17,B_PUNTI_FATTI_SQUADRA_B_GIRONI)</f>
        <v>126</v>
      </c>
      <c r="AI17" s="33" t="n">
        <f aca="false">SUMIF(B_SQUADRA_A_GIRONI,AB17,B_PUNTI_SUBITI_SQUADRA_A_GIRONI)+SUMIF(B_SQUADRA_B_GIRONI,AB17,B_PUNTI_SUBITI_SQUADRA_B_GIRONI)</f>
        <v>106</v>
      </c>
      <c r="AJ17" s="87" t="n">
        <f aca="false">SUMIF(B_SQUADRA_A_GIRONI,AB17,B_DIFF_CANESTRI_SQUADRA_A_GIRONI)+SUMIF(B_SQUADRA_B_GIRONI,AB17,B_DIFF_CANESTRI_SQUADRA_B_GIRONI)</f>
        <v>20</v>
      </c>
      <c r="AK17" s="33" t="n">
        <f aca="true">IF(AG17=AG18,INDIRECT("O"&amp;8+6*(FIND(Z17,"ABCDEFGH")-1)),0)</f>
        <v>0</v>
      </c>
      <c r="AL17" s="33" t="n">
        <f aca="true">IF(AG17=AG15,INDIRECT("U"&amp;4+6*(FIND(Z17,"ABCDEFGH")-1)),0)</f>
        <v>39</v>
      </c>
      <c r="AM17" s="33" t="n">
        <f aca="true">IF(AG17=AG16,INDIRECT("U"&amp;6+6*(FIND(Z17,"ABCDEFGH")-1)),0)</f>
        <v>15</v>
      </c>
      <c r="AN17" s="87" t="n">
        <f aca="true">IF(AG17=AG18,INDIRECT("Q"&amp;8+6*(FIND(Z17,"ABCDEFGH")-1)),0)</f>
        <v>0</v>
      </c>
      <c r="AO17" s="87" t="n">
        <f aca="true">IF(AG17=AG15,INDIRECT("W"&amp;4+6*(FIND(Z17,"ABCDEFGH")-1)),0)</f>
        <v>10</v>
      </c>
      <c r="AP17" s="87" t="n">
        <f aca="true">IF(AG17=AG16,INDIRECT("W"&amp;6+6*(FIND(Z17,"ABCDEFGH")-1)),0)</f>
        <v>-10</v>
      </c>
      <c r="AQ17" s="92" t="n">
        <f aca="false">AG17+(500+AN17+AO17+AP17)*10^-3+(AK17+AL17+AM17)*10^-6+(500+AJ17)*10^-9+AH17*10^-12</f>
        <v>5.500054520126</v>
      </c>
    </row>
    <row r="18" customFormat="false" ht="12.8" hidden="false" customHeight="false" outlineLevel="0" collapsed="false">
      <c r="A18" s="31" t="n">
        <v>39</v>
      </c>
      <c r="B18" s="33" t="s">
        <v>9</v>
      </c>
      <c r="C18" s="33" t="s">
        <v>39</v>
      </c>
      <c r="D18" s="33" t="s">
        <v>139</v>
      </c>
      <c r="E18" s="33" t="s">
        <v>140</v>
      </c>
      <c r="F18" s="85" t="str">
        <f aca="false">IF(B18="Girone",VLOOKUP(D18,A_SQUADRE_PER_CODICE,2),"ERRORE!")</f>
        <v>Giraffe</v>
      </c>
      <c r="G18" s="85" t="str">
        <f aca="false">IF(B18="Girone",VLOOKUP(E18,A_SQUADRE_PER_CODICE,2),"ERRORE!")</f>
        <v>Ippopotami</v>
      </c>
      <c r="H18" s="33" t="n">
        <f aca="false">VLOOKUP(A18,A_4_INPUT_DATE_E_RISULTATI_GIRONI,6,0)</f>
        <v>98</v>
      </c>
      <c r="I18" s="33" t="n">
        <f aca="false">VLOOKUP(A18,A_4_INPUT_DATE_E_RISULTATI_GIRONI,7,0)</f>
        <v>49</v>
      </c>
      <c r="J18" s="85" t="str">
        <f aca="false">IF(H18&gt;I18,F18,G18)</f>
        <v>Giraffe</v>
      </c>
      <c r="K18" s="85" t="str">
        <f aca="false">IF(H18&lt;I18,F18,G18)</f>
        <v>Ippopotami</v>
      </c>
      <c r="L18" s="33" t="n">
        <f aca="false">1*(H18&gt;I18)</f>
        <v>1</v>
      </c>
      <c r="M18" s="86" t="n">
        <f aca="false">1*(H18&lt;I18)*NOT(AND(H18=0,I18=20))</f>
        <v>0</v>
      </c>
      <c r="N18" s="86" t="n">
        <f aca="false">1*AND(H18=0,I18=20)</f>
        <v>0</v>
      </c>
      <c r="O18" s="33" t="n">
        <f aca="false">H18</f>
        <v>98</v>
      </c>
      <c r="P18" s="33" t="n">
        <f aca="false">I18</f>
        <v>49</v>
      </c>
      <c r="Q18" s="87" t="n">
        <f aca="false">O18-P18</f>
        <v>49</v>
      </c>
      <c r="R18" s="33" t="n">
        <f aca="false">1*(I18&gt;H18)</f>
        <v>0</v>
      </c>
      <c r="S18" s="33" t="n">
        <f aca="false">1*(I18&lt;H18)*NOT(AND(H18=20,I18=0))</f>
        <v>1</v>
      </c>
      <c r="T18" s="33" t="n">
        <f aca="false">1*AND(H18=20,I18=0)</f>
        <v>0</v>
      </c>
      <c r="U18" s="33" t="n">
        <f aca="false">I18</f>
        <v>49</v>
      </c>
      <c r="V18" s="33" t="n">
        <f aca="false">H18</f>
        <v>98</v>
      </c>
      <c r="W18" s="88" t="n">
        <f aca="false">U18-V18</f>
        <v>-49</v>
      </c>
      <c r="Y18" s="100" t="str">
        <f aca="false">COUNTIF(B_COEFF_GIRONE_D,"&gt;="&amp;AQ18)&amp;Z18</f>
        <v>4D</v>
      </c>
      <c r="Z18" s="101" t="s">
        <v>44</v>
      </c>
      <c r="AA18" s="101" t="s">
        <v>145</v>
      </c>
      <c r="AB18" s="102" t="str">
        <f aca="false">VLOOKUP(AA18,A_SQUADRE_PER_CODICE,2)</f>
        <v>Falchi</v>
      </c>
      <c r="AC18" s="101" t="n">
        <f aca="false">AD18+AE18+AF18</f>
        <v>3</v>
      </c>
      <c r="AD18" s="101" t="n">
        <f aca="false">SUMIF(B_SQUADRA_A_GIRONI,AB18,B_VINTE_SQUADRA_A_GIRONI)+SUMIF(B_SQUADRA_B_GIRONI,AB18,B_VINTE_SQUADRA_B_GIRONI)</f>
        <v>0</v>
      </c>
      <c r="AE18" s="101" t="n">
        <f aca="false">SUMIF(B_SQUADRA_A_GIRONI,AB18,B_PERSE_SQUADRA_A_GIRONI)+SUMIF(B_SQUADRA_B_GIRONI,AB18,B_PERSE_SQUADRA_B_GIRONI)</f>
        <v>3</v>
      </c>
      <c r="AF18" s="101" t="n">
        <f aca="false">SUMIF(B_SQUADRA_A_GIRONI,AB18,B_FORFAIT_SQUADRA_A_GIRONI)+SUMIF(B_SQUADRA_B_GIRONI,AB18,B_FORFAIT_SQUADRA_B_GIRONI)</f>
        <v>0</v>
      </c>
      <c r="AG18" s="103" t="n">
        <f aca="false">2*AD18+1*AE18+0*AF18</f>
        <v>3</v>
      </c>
      <c r="AH18" s="101" t="n">
        <f aca="false">SUMIF(B_SQUADRA_A_GIRONI,AB18,B_PUNTI_FATTI_SQUADRA_A_GIRONI)+SUMIF(B_SQUADRA_B_GIRONI,AB18,B_PUNTI_FATTI_SQUADRA_B_GIRONI)</f>
        <v>153</v>
      </c>
      <c r="AI18" s="101" t="n">
        <f aca="false">SUMIF(B_SQUADRA_A_GIRONI,AB18,B_PUNTI_SUBITI_SQUADRA_A_GIRONI)+SUMIF(B_SQUADRA_B_GIRONI,AB18,B_PUNTI_SUBITI_SQUADRA_B_GIRONI)</f>
        <v>209</v>
      </c>
      <c r="AJ18" s="104" t="n">
        <f aca="false">SUMIF(B_SQUADRA_A_GIRONI,AB18,B_DIFF_CANESTRI_SQUADRA_A_GIRONI)+SUMIF(B_SQUADRA_B_GIRONI,AB18,B_DIFF_CANESTRI_SQUADRA_B_GIRONI)</f>
        <v>-56</v>
      </c>
      <c r="AK18" s="101" t="n">
        <f aca="true">IF(AG18=AG15,INDIRECT("U"&amp;5+6*(FIND(Z18,"ABCDEFGH")-1)),0)</f>
        <v>0</v>
      </c>
      <c r="AL18" s="101" t="n">
        <f aca="true">IF(AG18=AG16,INDIRECT("U"&amp;7+6*(FIND(Z18,"ABCDEFGH")-1)),0)</f>
        <v>0</v>
      </c>
      <c r="AM18" s="101" t="n">
        <f aca="true">IF(AG18=AG17,INDIRECT("U"&amp;8+6*(FIND(Z18,"ABCDEFGH")-1)),0)</f>
        <v>0</v>
      </c>
      <c r="AN18" s="104" t="n">
        <f aca="true">IF(AG18=AG15,INDIRECT("W"&amp;5+6*(FIND(Z18,"ABCDEFGH")-1)),0)</f>
        <v>0</v>
      </c>
      <c r="AO18" s="104" t="n">
        <f aca="true">IF(AG18=AG16,INDIRECT("W"&amp;7+6*(FIND(Z18,"ABCDEFGH")-1)),0)</f>
        <v>0</v>
      </c>
      <c r="AP18" s="104" t="n">
        <f aca="true">IF(AG18=AG17,INDIRECT("W"&amp;8+6*(FIND(Z18,"ABCDEFGH")-1)),0)</f>
        <v>0</v>
      </c>
      <c r="AQ18" s="105" t="n">
        <f aca="false">AG18+(500+AN18+AO18+AP18)*10^-3+(AK18+AL18+AM18)*10^-6+(500+AJ18)*10^-9+AH18*10^-12</f>
        <v>3.500000444153</v>
      </c>
    </row>
    <row r="19" customFormat="false" ht="12.8" hidden="false" customHeight="false" outlineLevel="0" collapsed="false">
      <c r="A19" s="31" t="n">
        <v>15</v>
      </c>
      <c r="B19" s="33" t="s">
        <v>9</v>
      </c>
      <c r="C19" s="33" t="s">
        <v>39</v>
      </c>
      <c r="D19" s="33" t="s">
        <v>139</v>
      </c>
      <c r="E19" s="33" t="s">
        <v>141</v>
      </c>
      <c r="F19" s="85" t="str">
        <f aca="false">IF(B19="Girone",VLOOKUP(D19,A_SQUADRE_PER_CODICE,2),"ERRORE!")</f>
        <v>Giraffe</v>
      </c>
      <c r="G19" s="85" t="str">
        <f aca="false">IF(B19="Girone",VLOOKUP(E19,A_SQUADRE_PER_CODICE,2),"ERRORE!")</f>
        <v>Iguane</v>
      </c>
      <c r="H19" s="33" t="n">
        <f aca="false">VLOOKUP(A19,A_4_INPUT_DATE_E_RISULTATI_GIRONI,6,0)</f>
        <v>60</v>
      </c>
      <c r="I19" s="33" t="n">
        <f aca="false">VLOOKUP(A19,A_4_INPUT_DATE_E_RISULTATI_GIRONI,7,0)</f>
        <v>34</v>
      </c>
      <c r="J19" s="85" t="str">
        <f aca="false">IF(H19&gt;I19,F19,G19)</f>
        <v>Giraffe</v>
      </c>
      <c r="K19" s="85" t="str">
        <f aca="false">IF(H19&lt;I19,F19,G19)</f>
        <v>Iguane</v>
      </c>
      <c r="L19" s="33" t="n">
        <f aca="false">1*(H19&gt;I19)</f>
        <v>1</v>
      </c>
      <c r="M19" s="86" t="n">
        <f aca="false">1*(H19&lt;I19)*NOT(AND(H19=0,I19=20))</f>
        <v>0</v>
      </c>
      <c r="N19" s="86" t="n">
        <f aca="false">1*AND(H19=0,I19=20)</f>
        <v>0</v>
      </c>
      <c r="O19" s="33" t="n">
        <f aca="false">H19</f>
        <v>60</v>
      </c>
      <c r="P19" s="33" t="n">
        <f aca="false">I19</f>
        <v>34</v>
      </c>
      <c r="Q19" s="87" t="n">
        <f aca="false">O19-P19</f>
        <v>26</v>
      </c>
      <c r="R19" s="33" t="n">
        <f aca="false">1*(I19&gt;H19)</f>
        <v>0</v>
      </c>
      <c r="S19" s="33" t="n">
        <f aca="false">1*(I19&lt;H19)*NOT(AND(H19=20,I19=0))</f>
        <v>1</v>
      </c>
      <c r="T19" s="33" t="n">
        <f aca="false">1*AND(H19=20,I19=0)</f>
        <v>0</v>
      </c>
      <c r="U19" s="33" t="n">
        <f aca="false">I19</f>
        <v>34</v>
      </c>
      <c r="V19" s="33" t="n">
        <f aca="false">H19</f>
        <v>60</v>
      </c>
      <c r="W19" s="88" t="n">
        <f aca="false">U19-V19</f>
        <v>-26</v>
      </c>
      <c r="Y19" s="89" t="str">
        <f aca="false">COUNTIF(B_COEFF_GIRONE_E,"&gt;="&amp;AQ19)&amp;Z19</f>
        <v>3E</v>
      </c>
      <c r="Z19" s="33" t="s">
        <v>49</v>
      </c>
      <c r="AA19" s="33" t="s">
        <v>146</v>
      </c>
      <c r="AB19" s="90" t="str">
        <f aca="false">VLOOKUP(AA19,A_SQUADRE_PER_CODICE,2)</f>
        <v>Bisonti</v>
      </c>
      <c r="AC19" s="33" t="n">
        <f aca="false">AD19+AE19+AF19</f>
        <v>3</v>
      </c>
      <c r="AD19" s="33" t="n">
        <f aca="false">SUMIF(B_SQUADRA_A_GIRONI,AB19,B_VINTE_SQUADRA_A_GIRONI)+SUMIF(B_SQUADRA_B_GIRONI,AB19,B_VINTE_SQUADRA_B_GIRONI)</f>
        <v>1</v>
      </c>
      <c r="AE19" s="33" t="n">
        <f aca="false">SUMIF(B_SQUADRA_A_GIRONI,AB19,B_PERSE_SQUADRA_A_GIRONI)+SUMIF(B_SQUADRA_B_GIRONI,AB19,B_PERSE_SQUADRA_B_GIRONI)</f>
        <v>2</v>
      </c>
      <c r="AF19" s="33" t="n">
        <f aca="false">SUMIF(B_SQUADRA_A_GIRONI,AB19,B_FORFAIT_SQUADRA_A_GIRONI)+SUMIF(B_SQUADRA_B_GIRONI,AB19,B_FORFAIT_SQUADRA_B_GIRONI)</f>
        <v>0</v>
      </c>
      <c r="AG19" s="91" t="n">
        <f aca="false">2*AD19+1*AE19+0*AF19</f>
        <v>4</v>
      </c>
      <c r="AH19" s="33" t="n">
        <f aca="false">SUMIF(B_SQUADRA_A_GIRONI,AB19,B_PUNTI_FATTI_SQUADRA_A_GIRONI)+SUMIF(B_SQUADRA_B_GIRONI,AB19,B_PUNTI_FATTI_SQUADRA_B_GIRONI)</f>
        <v>148</v>
      </c>
      <c r="AI19" s="33" t="n">
        <f aca="false">SUMIF(B_SQUADRA_A_GIRONI,AB19,B_PUNTI_SUBITI_SQUADRA_A_GIRONI)+SUMIF(B_SQUADRA_B_GIRONI,AB19,B_PUNTI_SUBITI_SQUADRA_B_GIRONI)</f>
        <v>179</v>
      </c>
      <c r="AJ19" s="87" t="n">
        <f aca="false">SUMIF(B_SQUADRA_A_GIRONI,AB19,B_DIFF_CANESTRI_SQUADRA_A_GIRONI)+SUMIF(B_SQUADRA_B_GIRONI,AB19,B_DIFF_CANESTRI_SQUADRA_B_GIRONI)</f>
        <v>-31</v>
      </c>
      <c r="AK19" s="33" t="n">
        <f aca="true">IF(AG19=AG20,INDIRECT("O"&amp;3+6*(FIND(Z19,"ABCDEFGH")-1)),0)</f>
        <v>86</v>
      </c>
      <c r="AL19" s="86" t="n">
        <f aca="true">IF(AG19=AG21,INDIRECT("O"&amp;4+6*(FIND(Z19,"ABCDEFGH")-1)),0)</f>
        <v>0</v>
      </c>
      <c r="AM19" s="33" t="n">
        <f aca="true">IF(AG19=AG22,INDIRECT("O"&amp;5+6*(FIND(Z19,"ABCDEFGH")-1)),0)</f>
        <v>0</v>
      </c>
      <c r="AN19" s="87" t="n">
        <f aca="true">IF(AG19=AG20,INDIRECT("Q"&amp;3+6*(FIND(Z19,"ABCDEFGH")-1)),0)</f>
        <v>-11</v>
      </c>
      <c r="AO19" s="87" t="n">
        <f aca="true">IF(AG19=AG21,INDIRECT("Q"&amp;4+6*(FIND(Z19,"ABCDEFGH")-1)),0)</f>
        <v>0</v>
      </c>
      <c r="AP19" s="87" t="n">
        <f aca="true">IF(AG19=AG22,INDIRECT("Q"&amp;5+6*(FIND(Z19,"ABCDEFGH")-1)),0)</f>
        <v>0</v>
      </c>
      <c r="AQ19" s="92" t="n">
        <f aca="false">AG19+(500+AN19+AO19+AP19)*10^-3+(AK19+AL19+AM19)*10^-6+(500+AJ19)*10^-9+AH19*10^-12</f>
        <v>4.489086469148</v>
      </c>
    </row>
    <row r="20" customFormat="false" ht="12.8" hidden="false" customHeight="false" outlineLevel="0" collapsed="false">
      <c r="A20" s="31" t="n">
        <v>7</v>
      </c>
      <c r="B20" s="33" t="s">
        <v>9</v>
      </c>
      <c r="C20" s="33" t="s">
        <v>39</v>
      </c>
      <c r="D20" s="33" t="s">
        <v>140</v>
      </c>
      <c r="E20" s="33" t="s">
        <v>141</v>
      </c>
      <c r="F20" s="85" t="str">
        <f aca="false">IF(B20="Girone",VLOOKUP(D20,A_SQUADRE_PER_CODICE,2),"ERRORE!")</f>
        <v>Ippopotami</v>
      </c>
      <c r="G20" s="85" t="str">
        <f aca="false">IF(B20="Girone",VLOOKUP(E20,A_SQUADRE_PER_CODICE,2),"ERRORE!")</f>
        <v>Iguane</v>
      </c>
      <c r="H20" s="33" t="n">
        <f aca="false">VLOOKUP(A20,A_4_INPUT_DATE_E_RISULTATI_GIRONI,6,0)</f>
        <v>96</v>
      </c>
      <c r="I20" s="33" t="n">
        <f aca="false">VLOOKUP(A20,A_4_INPUT_DATE_E_RISULTATI_GIRONI,7,0)</f>
        <v>25</v>
      </c>
      <c r="J20" s="85" t="str">
        <f aca="false">IF(H20&gt;I20,F20,G20)</f>
        <v>Ippopotami</v>
      </c>
      <c r="K20" s="85" t="str">
        <f aca="false">IF(H20&lt;I20,F20,G20)</f>
        <v>Iguane</v>
      </c>
      <c r="L20" s="33" t="n">
        <f aca="false">1*(H20&gt;I20)</f>
        <v>1</v>
      </c>
      <c r="M20" s="86" t="n">
        <f aca="false">1*(H20&lt;I20)*NOT(AND(H20=0,I20=20))</f>
        <v>0</v>
      </c>
      <c r="N20" s="86" t="n">
        <f aca="false">1*AND(H20=0,I20=20)</f>
        <v>0</v>
      </c>
      <c r="O20" s="33" t="n">
        <f aca="false">H20</f>
        <v>96</v>
      </c>
      <c r="P20" s="33" t="n">
        <f aca="false">I20</f>
        <v>25</v>
      </c>
      <c r="Q20" s="87" t="n">
        <f aca="false">O20-P20</f>
        <v>71</v>
      </c>
      <c r="R20" s="33" t="n">
        <f aca="false">1*(I20&gt;H20)</f>
        <v>0</v>
      </c>
      <c r="S20" s="33" t="n">
        <f aca="false">1*(I20&lt;H20)*NOT(AND(H20=20,I20=0))</f>
        <v>1</v>
      </c>
      <c r="T20" s="33" t="n">
        <f aca="false">1*AND(H20=20,I20=0)</f>
        <v>0</v>
      </c>
      <c r="U20" s="33" t="n">
        <f aca="false">I20</f>
        <v>25</v>
      </c>
      <c r="V20" s="33" t="n">
        <f aca="false">H20</f>
        <v>96</v>
      </c>
      <c r="W20" s="88" t="n">
        <f aca="false">U20-V20</f>
        <v>-71</v>
      </c>
      <c r="Y20" s="89" t="str">
        <f aca="false">COUNTIF(B_COEFF_GIRONE_E,"&gt;="&amp;AQ20)&amp;Z20</f>
        <v>2E</v>
      </c>
      <c r="Z20" s="33" t="s">
        <v>49</v>
      </c>
      <c r="AA20" s="33" t="s">
        <v>147</v>
      </c>
      <c r="AB20" s="90" t="str">
        <f aca="false">VLOOKUP(AA20,A_SQUADRE_PER_CODICE,2)</f>
        <v>Bufali</v>
      </c>
      <c r="AC20" s="33" t="n">
        <f aca="false">AD20+AE20+AF20</f>
        <v>3</v>
      </c>
      <c r="AD20" s="33" t="n">
        <f aca="false">SUMIF(B_SQUADRA_A_GIRONI,AB20,B_VINTE_SQUADRA_A_GIRONI)+SUMIF(B_SQUADRA_B_GIRONI,AB20,B_VINTE_SQUADRA_B_GIRONI)</f>
        <v>2</v>
      </c>
      <c r="AE20" s="33" t="n">
        <f aca="false">SUMIF(B_SQUADRA_A_GIRONI,AB20,B_PERSE_SQUADRA_A_GIRONI)+SUMIF(B_SQUADRA_B_GIRONI,AB20,B_PERSE_SQUADRA_B_GIRONI)</f>
        <v>0</v>
      </c>
      <c r="AF20" s="33" t="n">
        <f aca="false">SUMIF(B_SQUADRA_A_GIRONI,AB20,B_FORFAIT_SQUADRA_A_GIRONI)+SUMIF(B_SQUADRA_B_GIRONI,AB20,B_FORFAIT_SQUADRA_B_GIRONI)</f>
        <v>1</v>
      </c>
      <c r="AG20" s="91" t="n">
        <f aca="false">2*AD20+1*AE20+0*AF20</f>
        <v>4</v>
      </c>
      <c r="AH20" s="33" t="n">
        <f aca="false">SUMIF(B_SQUADRA_A_GIRONI,AB20,B_PUNTI_FATTI_SQUADRA_A_GIRONI)+SUMIF(B_SQUADRA_B_GIRONI,AB20,B_PUNTI_FATTI_SQUADRA_B_GIRONI)</f>
        <v>163</v>
      </c>
      <c r="AI20" s="33" t="n">
        <f aca="false">SUMIF(B_SQUADRA_A_GIRONI,AB20,B_PUNTI_SUBITI_SQUADRA_A_GIRONI)+SUMIF(B_SQUADRA_B_GIRONI,AB20,B_PUNTI_SUBITI_SQUADRA_B_GIRONI)</f>
        <v>155</v>
      </c>
      <c r="AJ20" s="87" t="n">
        <f aca="false">SUMIF(B_SQUADRA_A_GIRONI,AB20,B_DIFF_CANESTRI_SQUADRA_A_GIRONI)+SUMIF(B_SQUADRA_B_GIRONI,AB20,B_DIFF_CANESTRI_SQUADRA_B_GIRONI)</f>
        <v>8</v>
      </c>
      <c r="AK20" s="33" t="n">
        <f aca="true">IF(AG20=AG21,INDIRECT("O"&amp;6+6*(FIND(Z20,"ABCDEFGH")-1)),0)</f>
        <v>0</v>
      </c>
      <c r="AL20" s="33" t="n">
        <f aca="true">IF(AG20=AG22,INDIRECT("O"&amp;7+6*(FIND(Z20,"ABCDEFGH")-1)),0)</f>
        <v>0</v>
      </c>
      <c r="AM20" s="33" t="n">
        <f aca="true">IF(AG20=AG19,INDIRECT("U"&amp;3+6*(FIND(Z20,"ABCDEFGH")-1)),0)</f>
        <v>97</v>
      </c>
      <c r="AN20" s="87" t="n">
        <f aca="true">IF(AG20=AG21,INDIRECT("Q"&amp;6+6*(FIND(Z20,"ABCDEFGH")-1)),0)</f>
        <v>0</v>
      </c>
      <c r="AO20" s="87" t="n">
        <f aca="true">IF(AG20=AG22,INDIRECT("Q"&amp;7+6*(FIND(Z20,"ABCDEFGH")-1)),0)</f>
        <v>0</v>
      </c>
      <c r="AP20" s="87" t="n">
        <f aca="true">IF(AG20=AG19,INDIRECT("W"&amp;3+6*(FIND(Z20,"ABCDEFGH")-1)),0)</f>
        <v>11</v>
      </c>
      <c r="AQ20" s="92" t="n">
        <f aca="false">AG20+(500+AN20+AO20+AP20)*10^-3+(AK20+AL20+AM20)*10^-6+(500+AJ20)*10^-9+AH20*10^-12</f>
        <v>4.511097508163</v>
      </c>
    </row>
    <row r="21" customFormat="false" ht="12.8" hidden="false" customHeight="false" outlineLevel="0" collapsed="false">
      <c r="A21" s="31" t="n">
        <v>4</v>
      </c>
      <c r="B21" s="33" t="s">
        <v>9</v>
      </c>
      <c r="C21" s="33" t="s">
        <v>44</v>
      </c>
      <c r="D21" s="33" t="s">
        <v>142</v>
      </c>
      <c r="E21" s="33" t="s">
        <v>143</v>
      </c>
      <c r="F21" s="85" t="str">
        <f aca="false">IF(B21="Girone",VLOOKUP(D21,A_SQUADRE_PER_CODICE,2),"ERRORE!")</f>
        <v>Coccodrilli</v>
      </c>
      <c r="G21" s="85" t="str">
        <f aca="false">IF(B21="Girone",VLOOKUP(E21,A_SQUADRE_PER_CODICE,2),"ERRORE!")</f>
        <v>Pitoni</v>
      </c>
      <c r="H21" s="33" t="n">
        <f aca="false">VLOOKUP(A21,A_4_INPUT_DATE_E_RISULTATI_GIRONI,6,0)</f>
        <v>96</v>
      </c>
      <c r="I21" s="33" t="n">
        <f aca="false">VLOOKUP(A21,A_4_INPUT_DATE_E_RISULTATI_GIRONI,7,0)</f>
        <v>86</v>
      </c>
      <c r="J21" s="85" t="str">
        <f aca="false">IF(H21&gt;I21,F21,G21)</f>
        <v>Coccodrilli</v>
      </c>
      <c r="K21" s="85" t="str">
        <f aca="false">IF(H21&lt;I21,F21,G21)</f>
        <v>Pitoni</v>
      </c>
      <c r="L21" s="33" t="n">
        <f aca="false">1*(H21&gt;I21)</f>
        <v>1</v>
      </c>
      <c r="M21" s="86" t="n">
        <f aca="false">1*(H21&lt;I21)*NOT(AND(H21=0,I21=20))</f>
        <v>0</v>
      </c>
      <c r="N21" s="86" t="n">
        <f aca="false">1*AND(H21=0,I21=20)</f>
        <v>0</v>
      </c>
      <c r="O21" s="33" t="n">
        <f aca="false">H21</f>
        <v>96</v>
      </c>
      <c r="P21" s="33" t="n">
        <f aca="false">I21</f>
        <v>86</v>
      </c>
      <c r="Q21" s="87" t="n">
        <f aca="false">O21-P21</f>
        <v>10</v>
      </c>
      <c r="R21" s="33" t="n">
        <f aca="false">1*(I21&gt;H21)</f>
        <v>0</v>
      </c>
      <c r="S21" s="33" t="n">
        <f aca="false">1*(I21&lt;H21)*NOT(AND(H21=20,I21=0))</f>
        <v>1</v>
      </c>
      <c r="T21" s="33" t="n">
        <f aca="false">1*AND(H21=20,I21=0)</f>
        <v>0</v>
      </c>
      <c r="U21" s="33" t="n">
        <f aca="false">I21</f>
        <v>86</v>
      </c>
      <c r="V21" s="33" t="n">
        <f aca="false">H21</f>
        <v>96</v>
      </c>
      <c r="W21" s="88" t="n">
        <f aca="false">U21-V21</f>
        <v>-10</v>
      </c>
      <c r="Y21" s="89" t="str">
        <f aca="false">COUNTIF(B_COEFF_GIRONE_E,"&gt;="&amp;AQ21)&amp;Z21</f>
        <v>4E</v>
      </c>
      <c r="Z21" s="33" t="s">
        <v>49</v>
      </c>
      <c r="AA21" s="33" t="s">
        <v>148</v>
      </c>
      <c r="AB21" s="90" t="str">
        <f aca="false">VLOOKUP(AA21,A_SQUADRE_PER_CODICE,2)</f>
        <v>Cervi</v>
      </c>
      <c r="AC21" s="33" t="n">
        <f aca="false">AD21+AE21+AF21</f>
        <v>3</v>
      </c>
      <c r="AD21" s="33" t="n">
        <f aca="false">SUMIF(B_SQUADRA_A_GIRONI,AB21,B_VINTE_SQUADRA_A_GIRONI)+SUMIF(B_SQUADRA_B_GIRONI,AB21,B_VINTE_SQUADRA_B_GIRONI)</f>
        <v>0</v>
      </c>
      <c r="AE21" s="33" t="n">
        <f aca="false">SUMIF(B_SQUADRA_A_GIRONI,AB21,B_PERSE_SQUADRA_A_GIRONI)+SUMIF(B_SQUADRA_B_GIRONI,AB21,B_PERSE_SQUADRA_B_GIRONI)</f>
        <v>1</v>
      </c>
      <c r="AF21" s="33" t="n">
        <f aca="false">SUMIF(B_SQUADRA_A_GIRONI,AB21,B_FORFAIT_SQUADRA_A_GIRONI)+SUMIF(B_SQUADRA_B_GIRONI,AB21,B_FORFAIT_SQUADRA_B_GIRONI)</f>
        <v>2</v>
      </c>
      <c r="AG21" s="91" t="n">
        <f aca="false">2*AD21+1*AE21+0*AF21</f>
        <v>1</v>
      </c>
      <c r="AH21" s="33" t="n">
        <f aca="false">SUMIF(B_SQUADRA_A_GIRONI,AB21,B_PUNTI_FATTI_SQUADRA_A_GIRONI)+SUMIF(B_SQUADRA_B_GIRONI,AB21,B_PUNTI_FATTI_SQUADRA_B_GIRONI)</f>
        <v>49</v>
      </c>
      <c r="AI21" s="33" t="n">
        <f aca="false">SUMIF(B_SQUADRA_A_GIRONI,AB21,B_PUNTI_SUBITI_SQUADRA_A_GIRONI)+SUMIF(B_SQUADRA_B_GIRONI,AB21,B_PUNTI_SUBITI_SQUADRA_B_GIRONI)</f>
        <v>106</v>
      </c>
      <c r="AJ21" s="87" t="n">
        <f aca="false">SUMIF(B_SQUADRA_A_GIRONI,AB21,B_DIFF_CANESTRI_SQUADRA_A_GIRONI)+SUMIF(B_SQUADRA_B_GIRONI,AB21,B_DIFF_CANESTRI_SQUADRA_B_GIRONI)</f>
        <v>-57</v>
      </c>
      <c r="AK21" s="33" t="n">
        <f aca="true">IF(AG21=AG22,INDIRECT("O"&amp;8+6*(FIND(Z21,"ABCDEFGH")-1)),0)</f>
        <v>0</v>
      </c>
      <c r="AL21" s="33" t="n">
        <f aca="true">IF(AG21=AG19,INDIRECT("U"&amp;4+6*(FIND(Z21,"ABCDEFGH")-1)),0)</f>
        <v>0</v>
      </c>
      <c r="AM21" s="33" t="n">
        <f aca="true">IF(AG21=AG20,INDIRECT("U"&amp;6+6*(FIND(Z21,"ABCDEFGH")-1)),0)</f>
        <v>0</v>
      </c>
      <c r="AN21" s="87" t="n">
        <f aca="true">IF(AG21=AG22,INDIRECT("Q"&amp;8+6*(FIND(Z21,"ABCDEFGH")-1)),0)</f>
        <v>0</v>
      </c>
      <c r="AO21" s="87" t="n">
        <f aca="true">IF(AG21=AG19,INDIRECT("W"&amp;4+6*(FIND(Z21,"ABCDEFGH")-1)),0)</f>
        <v>0</v>
      </c>
      <c r="AP21" s="87" t="n">
        <f aca="true">IF(AG21=AG20,INDIRECT("W"&amp;6+6*(FIND(Z21,"ABCDEFGH")-1)),0)</f>
        <v>0</v>
      </c>
      <c r="AQ21" s="92" t="n">
        <f aca="false">AG21+(500+AN21+AO21+AP21)*10^-3+(AK21+AL21+AM21)*10^-6+(500+AJ21)*10^-9+AH21*10^-12</f>
        <v>1.500000443049</v>
      </c>
    </row>
    <row r="22" customFormat="false" ht="12.8" hidden="false" customHeight="false" outlineLevel="0" collapsed="false">
      <c r="A22" s="31" t="n">
        <v>12</v>
      </c>
      <c r="B22" s="33" t="s">
        <v>9</v>
      </c>
      <c r="C22" s="33" t="s">
        <v>44</v>
      </c>
      <c r="D22" s="33" t="s">
        <v>142</v>
      </c>
      <c r="E22" s="33" t="s">
        <v>144</v>
      </c>
      <c r="F22" s="85" t="str">
        <f aca="false">IF(B22="Girone",VLOOKUP(D22,A_SQUADRE_PER_CODICE,2),"ERRORE!")</f>
        <v>Coccodrilli</v>
      </c>
      <c r="G22" s="85" t="str">
        <f aca="false">IF(B22="Girone",VLOOKUP(E22,A_SQUADRE_PER_CODICE,2),"ERRORE!")</f>
        <v>Aquile</v>
      </c>
      <c r="H22" s="33" t="n">
        <f aca="false">VLOOKUP(A22,A_4_INPUT_DATE_E_RISULTATI_GIRONI,6,0)</f>
        <v>29</v>
      </c>
      <c r="I22" s="33" t="n">
        <f aca="false">VLOOKUP(A22,A_4_INPUT_DATE_E_RISULTATI_GIRONI,7,0)</f>
        <v>39</v>
      </c>
      <c r="J22" s="85" t="str">
        <f aca="false">IF(H22&gt;I22,F22,G22)</f>
        <v>Aquile</v>
      </c>
      <c r="K22" s="85" t="str">
        <f aca="false">IF(H22&lt;I22,F22,G22)</f>
        <v>Coccodrilli</v>
      </c>
      <c r="L22" s="33" t="n">
        <f aca="false">1*(H22&gt;I22)</f>
        <v>0</v>
      </c>
      <c r="M22" s="86" t="n">
        <f aca="false">1*(H22&lt;I22)*NOT(AND(H22=0,I22=20))</f>
        <v>1</v>
      </c>
      <c r="N22" s="86" t="n">
        <f aca="false">1*AND(H22=0,I22=20)</f>
        <v>0</v>
      </c>
      <c r="O22" s="33" t="n">
        <f aca="false">H22</f>
        <v>29</v>
      </c>
      <c r="P22" s="33" t="n">
        <f aca="false">I22</f>
        <v>39</v>
      </c>
      <c r="Q22" s="87" t="n">
        <f aca="false">O22-P22</f>
        <v>-10</v>
      </c>
      <c r="R22" s="33" t="n">
        <f aca="false">1*(I22&gt;H22)</f>
        <v>1</v>
      </c>
      <c r="S22" s="33" t="n">
        <f aca="false">1*(I22&lt;H22)*NOT(AND(H22=20,I22=0))</f>
        <v>0</v>
      </c>
      <c r="T22" s="33" t="n">
        <f aca="false">1*AND(H22=20,I22=0)</f>
        <v>0</v>
      </c>
      <c r="U22" s="33" t="n">
        <f aca="false">I22</f>
        <v>39</v>
      </c>
      <c r="V22" s="33" t="n">
        <f aca="false">H22</f>
        <v>29</v>
      </c>
      <c r="W22" s="88" t="n">
        <f aca="false">U22-V22</f>
        <v>10</v>
      </c>
      <c r="Y22" s="89" t="str">
        <f aca="false">COUNTIF(B_COEFF_GIRONE_E,"&gt;="&amp;AQ22)&amp;Z22</f>
        <v>1E</v>
      </c>
      <c r="Z22" s="33" t="s">
        <v>49</v>
      </c>
      <c r="AA22" s="33" t="s">
        <v>149</v>
      </c>
      <c r="AB22" s="90" t="str">
        <f aca="false">VLOOKUP(AA22,A_SQUADRE_PER_CODICE,2)</f>
        <v>Cinghiali</v>
      </c>
      <c r="AC22" s="33" t="n">
        <f aca="false">AD22+AE22+AF22</f>
        <v>3</v>
      </c>
      <c r="AD22" s="33" t="n">
        <f aca="false">SUMIF(B_SQUADRA_A_GIRONI,AB22,B_VINTE_SQUADRA_A_GIRONI)+SUMIF(B_SQUADRA_B_GIRONI,AB22,B_VINTE_SQUADRA_B_GIRONI)</f>
        <v>3</v>
      </c>
      <c r="AE22" s="33" t="n">
        <f aca="false">SUMIF(B_SQUADRA_A_GIRONI,AB22,B_PERSE_SQUADRA_A_GIRONI)+SUMIF(B_SQUADRA_B_GIRONI,AB22,B_PERSE_SQUADRA_B_GIRONI)</f>
        <v>0</v>
      </c>
      <c r="AF22" s="33" t="n">
        <f aca="false">SUMIF(B_SQUADRA_A_GIRONI,AB22,B_FORFAIT_SQUADRA_A_GIRONI)+SUMIF(B_SQUADRA_B_GIRONI,AB22,B_FORFAIT_SQUADRA_B_GIRONI)</f>
        <v>0</v>
      </c>
      <c r="AG22" s="91" t="n">
        <f aca="false">2*AD22+1*AE22+0*AF22</f>
        <v>6</v>
      </c>
      <c r="AH22" s="33" t="n">
        <f aca="false">SUMIF(B_SQUADRA_A_GIRONI,AB22,B_PUNTI_FATTI_SQUADRA_A_GIRONI)+SUMIF(B_SQUADRA_B_GIRONI,AB22,B_PUNTI_FATTI_SQUADRA_B_GIRONI)</f>
        <v>122</v>
      </c>
      <c r="AI22" s="33" t="n">
        <f aca="false">SUMIF(B_SQUADRA_A_GIRONI,AB22,B_PUNTI_SUBITI_SQUADRA_A_GIRONI)+SUMIF(B_SQUADRA_B_GIRONI,AB22,B_PUNTI_SUBITI_SQUADRA_B_GIRONI)</f>
        <v>42</v>
      </c>
      <c r="AJ22" s="87" t="n">
        <f aca="false">SUMIF(B_SQUADRA_A_GIRONI,AB22,B_DIFF_CANESTRI_SQUADRA_A_GIRONI)+SUMIF(B_SQUADRA_B_GIRONI,AB22,B_DIFF_CANESTRI_SQUADRA_B_GIRONI)</f>
        <v>80</v>
      </c>
      <c r="AK22" s="33" t="n">
        <f aca="true">IF(AG22=AG19,INDIRECT("U"&amp;5+6*(FIND(Z22,"ABCDEFGH")-1)),0)</f>
        <v>0</v>
      </c>
      <c r="AL22" s="33" t="n">
        <f aca="true">IF(AG22=AG20,INDIRECT("U"&amp;7+6*(FIND(Z22,"ABCDEFGH")-1)),0)</f>
        <v>0</v>
      </c>
      <c r="AM22" s="33" t="n">
        <f aca="true">IF(AG22=AG21,INDIRECT("U"&amp;8+6*(FIND(Z22,"ABCDEFGH")-1)),0)</f>
        <v>0</v>
      </c>
      <c r="AN22" s="87" t="n">
        <f aca="true">IF(AG22=AG19,INDIRECT("W"&amp;5+6*(FIND(Z22,"ABCDEFGH")-1)),0)</f>
        <v>0</v>
      </c>
      <c r="AO22" s="87" t="n">
        <f aca="true">IF(AG22=AG20,INDIRECT("W"&amp;7+6*(FIND(Z22,"ABCDEFGH")-1)),0)</f>
        <v>0</v>
      </c>
      <c r="AP22" s="87" t="n">
        <f aca="true">IF(AG22=AG21,INDIRECT("W"&amp;8+6*(FIND(Z22,"ABCDEFGH")-1)),0)</f>
        <v>0</v>
      </c>
      <c r="AQ22" s="92" t="n">
        <f aca="false">AG22+(500+AN22+AO22+AP22)*10^-3+(AK22+AL22+AM22)*10^-6+(500+AJ22)*10^-9+AH22*10^-12</f>
        <v>6.500000580122</v>
      </c>
    </row>
    <row r="23" customFormat="false" ht="12.8" hidden="false" customHeight="false" outlineLevel="0" collapsed="false">
      <c r="A23" s="31" t="n">
        <v>28</v>
      </c>
      <c r="B23" s="33" t="s">
        <v>9</v>
      </c>
      <c r="C23" s="33" t="s">
        <v>44</v>
      </c>
      <c r="D23" s="33" t="s">
        <v>142</v>
      </c>
      <c r="E23" s="33" t="s">
        <v>145</v>
      </c>
      <c r="F23" s="85" t="str">
        <f aca="false">IF(B23="Girone",VLOOKUP(D23,A_SQUADRE_PER_CODICE,2),"ERRORE!")</f>
        <v>Coccodrilli</v>
      </c>
      <c r="G23" s="85" t="str">
        <f aca="false">IF(B23="Girone",VLOOKUP(E23,A_SQUADRE_PER_CODICE,2),"ERRORE!")</f>
        <v>Falchi</v>
      </c>
      <c r="H23" s="33" t="n">
        <f aca="false">VLOOKUP(A23,A_4_INPUT_DATE_E_RISULTATI_GIRONI,6,0)</f>
        <v>54</v>
      </c>
      <c r="I23" s="33" t="n">
        <f aca="false">VLOOKUP(A23,A_4_INPUT_DATE_E_RISULTATI_GIRONI,7,0)</f>
        <v>44</v>
      </c>
      <c r="J23" s="85" t="str">
        <f aca="false">IF(H23&gt;I23,F23,G23)</f>
        <v>Coccodrilli</v>
      </c>
      <c r="K23" s="85" t="str">
        <f aca="false">IF(H23&lt;I23,F23,G23)</f>
        <v>Falchi</v>
      </c>
      <c r="L23" s="33" t="n">
        <f aca="false">1*(H23&gt;I23)</f>
        <v>1</v>
      </c>
      <c r="M23" s="86" t="n">
        <f aca="false">1*(H23&lt;I23)*NOT(AND(H23=0,I23=20))</f>
        <v>0</v>
      </c>
      <c r="N23" s="86" t="n">
        <f aca="false">1*AND(H23=0,I23=20)</f>
        <v>0</v>
      </c>
      <c r="O23" s="33" t="n">
        <f aca="false">H23</f>
        <v>54</v>
      </c>
      <c r="P23" s="33" t="n">
        <f aca="false">I23</f>
        <v>44</v>
      </c>
      <c r="Q23" s="87" t="n">
        <f aca="false">O23-P23</f>
        <v>10</v>
      </c>
      <c r="R23" s="33" t="n">
        <f aca="false">1*(I23&gt;H23)</f>
        <v>0</v>
      </c>
      <c r="S23" s="33" t="n">
        <f aca="false">1*(I23&lt;H23)*NOT(AND(H23=20,I23=0))</f>
        <v>1</v>
      </c>
      <c r="T23" s="33" t="n">
        <f aca="false">1*AND(H23=20,I23=0)</f>
        <v>0</v>
      </c>
      <c r="U23" s="33" t="n">
        <f aca="false">I23</f>
        <v>44</v>
      </c>
      <c r="V23" s="33" t="n">
        <f aca="false">H23</f>
        <v>54</v>
      </c>
      <c r="W23" s="88" t="n">
        <f aca="false">U23-V23</f>
        <v>-10</v>
      </c>
      <c r="Y23" s="93" t="str">
        <f aca="false">COUNTIF(B_COEFF_GIRONE_F,"&gt;="&amp;AQ23)&amp;Z23</f>
        <v>1F</v>
      </c>
      <c r="Z23" s="94" t="s">
        <v>54</v>
      </c>
      <c r="AA23" s="94" t="s">
        <v>150</v>
      </c>
      <c r="AB23" s="95" t="str">
        <f aca="false">VLOOKUP(AA23,A_SQUADRE_PER_CODICE,2)</f>
        <v>Balene</v>
      </c>
      <c r="AC23" s="94" t="n">
        <f aca="false">AD23+AE23+AF23</f>
        <v>3</v>
      </c>
      <c r="AD23" s="94" t="n">
        <f aca="false">SUMIF(B_SQUADRA_A_GIRONI,AB23,B_VINTE_SQUADRA_A_GIRONI)+SUMIF(B_SQUADRA_B_GIRONI,AB23,B_VINTE_SQUADRA_B_GIRONI)</f>
        <v>3</v>
      </c>
      <c r="AE23" s="94" t="n">
        <f aca="false">SUMIF(B_SQUADRA_A_GIRONI,AB23,B_PERSE_SQUADRA_A_GIRONI)+SUMIF(B_SQUADRA_B_GIRONI,AB23,B_PERSE_SQUADRA_B_GIRONI)</f>
        <v>0</v>
      </c>
      <c r="AF23" s="94" t="n">
        <f aca="false">SUMIF(B_SQUADRA_A_GIRONI,AB23,B_FORFAIT_SQUADRA_A_GIRONI)+SUMIF(B_SQUADRA_B_GIRONI,AB23,B_FORFAIT_SQUADRA_B_GIRONI)</f>
        <v>0</v>
      </c>
      <c r="AG23" s="96" t="n">
        <f aca="false">2*AD23+1*AE23+0*AF23</f>
        <v>6</v>
      </c>
      <c r="AH23" s="94" t="n">
        <f aca="false">SUMIF(B_SQUADRA_A_GIRONI,AB23,B_PUNTI_FATTI_SQUADRA_A_GIRONI)+SUMIF(B_SQUADRA_B_GIRONI,AB23,B_PUNTI_FATTI_SQUADRA_B_GIRONI)</f>
        <v>149</v>
      </c>
      <c r="AI23" s="94" t="n">
        <f aca="false">SUMIF(B_SQUADRA_A_GIRONI,AB23,B_PUNTI_SUBITI_SQUADRA_A_GIRONI)+SUMIF(B_SQUADRA_B_GIRONI,AB23,B_PUNTI_SUBITI_SQUADRA_B_GIRONI)</f>
        <v>88</v>
      </c>
      <c r="AJ23" s="97" t="n">
        <f aca="false">SUMIF(B_SQUADRA_A_GIRONI,AB23,B_DIFF_CANESTRI_SQUADRA_A_GIRONI)+SUMIF(B_SQUADRA_B_GIRONI,AB23,B_DIFF_CANESTRI_SQUADRA_B_GIRONI)</f>
        <v>61</v>
      </c>
      <c r="AK23" s="94" t="n">
        <f aca="true">IF(AG23=AG24,INDIRECT("O"&amp;3+6*(FIND(Z23,"ABCDEFGH")-1)),0)</f>
        <v>0</v>
      </c>
      <c r="AL23" s="98" t="n">
        <f aca="true">IF(AG23=AG25,INDIRECT("O"&amp;4+6*(FIND(Z23,"ABCDEFGH")-1)),0)</f>
        <v>0</v>
      </c>
      <c r="AM23" s="94" t="n">
        <f aca="true">IF(AG23=AG26,INDIRECT("O"&amp;5+6*(FIND(Z23,"ABCDEFGH")-1)),0)</f>
        <v>0</v>
      </c>
      <c r="AN23" s="97" t="n">
        <f aca="true">IF(AG23=AG24,INDIRECT("Q"&amp;3+6*(FIND(Z23,"ABCDEFGH")-1)),0)</f>
        <v>0</v>
      </c>
      <c r="AO23" s="97" t="n">
        <f aca="true">IF(AG23=AG25,INDIRECT("Q"&amp;4+6*(FIND(Z23,"ABCDEFGH")-1)),0)</f>
        <v>0</v>
      </c>
      <c r="AP23" s="97" t="n">
        <f aca="true">IF(AG23=AG26,INDIRECT("Q"&amp;5+6*(FIND(Z23,"ABCDEFGH")-1)),0)</f>
        <v>0</v>
      </c>
      <c r="AQ23" s="99" t="n">
        <f aca="false">AG23+(500+AN23+AO23+AP23)*10^-3+(AK23+AL23+AM23)*10^-6+(500+AJ23)*10^-9+AH23*10^-12</f>
        <v>6.500000561149</v>
      </c>
    </row>
    <row r="24" customFormat="false" ht="12.8" hidden="false" customHeight="false" outlineLevel="0" collapsed="false">
      <c r="A24" s="31" t="n">
        <v>40</v>
      </c>
      <c r="B24" s="33" t="s">
        <v>9</v>
      </c>
      <c r="C24" s="33" t="s">
        <v>44</v>
      </c>
      <c r="D24" s="33" t="s">
        <v>143</v>
      </c>
      <c r="E24" s="33" t="s">
        <v>144</v>
      </c>
      <c r="F24" s="85" t="str">
        <f aca="false">IF(B24="Girone",VLOOKUP(D24,A_SQUADRE_PER_CODICE,2),"ERRORE!")</f>
        <v>Pitoni</v>
      </c>
      <c r="G24" s="85" t="str">
        <f aca="false">IF(B24="Girone",VLOOKUP(E24,A_SQUADRE_PER_CODICE,2),"ERRORE!")</f>
        <v>Aquile</v>
      </c>
      <c r="H24" s="33" t="n">
        <f aca="false">VLOOKUP(A24,A_4_INPUT_DATE_E_RISULTATI_GIRONI,6,0)</f>
        <v>25</v>
      </c>
      <c r="I24" s="33" t="n">
        <f aca="false">VLOOKUP(A24,A_4_INPUT_DATE_E_RISULTATI_GIRONI,7,0)</f>
        <v>15</v>
      </c>
      <c r="J24" s="85" t="str">
        <f aca="false">IF(H24&gt;I24,F24,G24)</f>
        <v>Pitoni</v>
      </c>
      <c r="K24" s="85" t="str">
        <f aca="false">IF(H24&lt;I24,F24,G24)</f>
        <v>Aquile</v>
      </c>
      <c r="L24" s="33" t="n">
        <f aca="false">1*(H24&gt;I24)</f>
        <v>1</v>
      </c>
      <c r="M24" s="86" t="n">
        <f aca="false">1*(H24&lt;I24)*NOT(AND(H24=0,I24=20))</f>
        <v>0</v>
      </c>
      <c r="N24" s="86" t="n">
        <f aca="false">1*AND(H24=0,I24=20)</f>
        <v>0</v>
      </c>
      <c r="O24" s="33" t="n">
        <f aca="false">H24</f>
        <v>25</v>
      </c>
      <c r="P24" s="33" t="n">
        <f aca="false">I24</f>
        <v>15</v>
      </c>
      <c r="Q24" s="87" t="n">
        <f aca="false">O24-P24</f>
        <v>10</v>
      </c>
      <c r="R24" s="33" t="n">
        <f aca="false">1*(I24&gt;H24)</f>
        <v>0</v>
      </c>
      <c r="S24" s="33" t="n">
        <f aca="false">1*(I24&lt;H24)*NOT(AND(H24=20,I24=0))</f>
        <v>1</v>
      </c>
      <c r="T24" s="33" t="n">
        <f aca="false">1*AND(H24=20,I24=0)</f>
        <v>0</v>
      </c>
      <c r="U24" s="33" t="n">
        <f aca="false">I24</f>
        <v>15</v>
      </c>
      <c r="V24" s="33" t="n">
        <f aca="false">H24</f>
        <v>25</v>
      </c>
      <c r="W24" s="88" t="n">
        <f aca="false">U24-V24</f>
        <v>-10</v>
      </c>
      <c r="Y24" s="89" t="str">
        <f aca="false">COUNTIF(B_COEFF_GIRONE_F,"&gt;="&amp;AQ24)&amp;Z24</f>
        <v>2F</v>
      </c>
      <c r="Z24" s="33" t="s">
        <v>54</v>
      </c>
      <c r="AA24" s="33" t="s">
        <v>151</v>
      </c>
      <c r="AB24" s="90" t="str">
        <f aca="false">VLOOKUP(AA24,A_SQUADRE_PER_CODICE,2)</f>
        <v>Gabbiani</v>
      </c>
      <c r="AC24" s="33" t="n">
        <f aca="false">AD24+AE24+AF24</f>
        <v>3</v>
      </c>
      <c r="AD24" s="33" t="n">
        <f aca="false">SUMIF(B_SQUADRA_A_GIRONI,AB24,B_VINTE_SQUADRA_A_GIRONI)+SUMIF(B_SQUADRA_B_GIRONI,AB24,B_VINTE_SQUADRA_B_GIRONI)</f>
        <v>2</v>
      </c>
      <c r="AE24" s="33" t="n">
        <f aca="false">SUMIF(B_SQUADRA_A_GIRONI,AB24,B_PERSE_SQUADRA_A_GIRONI)+SUMIF(B_SQUADRA_B_GIRONI,AB24,B_PERSE_SQUADRA_B_GIRONI)</f>
        <v>1</v>
      </c>
      <c r="AF24" s="33" t="n">
        <f aca="false">SUMIF(B_SQUADRA_A_GIRONI,AB24,B_FORFAIT_SQUADRA_A_GIRONI)+SUMIF(B_SQUADRA_B_GIRONI,AB24,B_FORFAIT_SQUADRA_B_GIRONI)</f>
        <v>0</v>
      </c>
      <c r="AG24" s="91" t="n">
        <f aca="false">2*AD24+1*AE24+0*AF24</f>
        <v>5</v>
      </c>
      <c r="AH24" s="33" t="n">
        <f aca="false">SUMIF(B_SQUADRA_A_GIRONI,AB24,B_PUNTI_FATTI_SQUADRA_A_GIRONI)+SUMIF(B_SQUADRA_B_GIRONI,AB24,B_PUNTI_FATTI_SQUADRA_B_GIRONI)</f>
        <v>176</v>
      </c>
      <c r="AI24" s="33" t="n">
        <f aca="false">SUMIF(B_SQUADRA_A_GIRONI,AB24,B_PUNTI_SUBITI_SQUADRA_A_GIRONI)+SUMIF(B_SQUADRA_B_GIRONI,AB24,B_PUNTI_SUBITI_SQUADRA_B_GIRONI)</f>
        <v>134</v>
      </c>
      <c r="AJ24" s="87" t="n">
        <f aca="false">SUMIF(B_SQUADRA_A_GIRONI,AB24,B_DIFF_CANESTRI_SQUADRA_A_GIRONI)+SUMIF(B_SQUADRA_B_GIRONI,AB24,B_DIFF_CANESTRI_SQUADRA_B_GIRONI)</f>
        <v>42</v>
      </c>
      <c r="AK24" s="33" t="n">
        <f aca="true">IF(AG24=AG25,INDIRECT("O"&amp;6+6*(FIND(Z24,"ABCDEFGH")-1)),0)</f>
        <v>0</v>
      </c>
      <c r="AL24" s="33" t="n">
        <f aca="true">IF(AG24=AG26,INDIRECT("O"&amp;7+6*(FIND(Z24,"ABCDEFGH")-1)),0)</f>
        <v>0</v>
      </c>
      <c r="AM24" s="33" t="n">
        <f aca="true">IF(AG24=AG23,INDIRECT("U"&amp;3+6*(FIND(Z24,"ABCDEFGH")-1)),0)</f>
        <v>0</v>
      </c>
      <c r="AN24" s="87" t="n">
        <f aca="true">IF(AG24=AG25,INDIRECT("Q"&amp;6+6*(FIND(Z24,"ABCDEFGH")-1)),0)</f>
        <v>0</v>
      </c>
      <c r="AO24" s="87" t="n">
        <f aca="true">IF(AG24=AG26,INDIRECT("Q"&amp;7+6*(FIND(Z24,"ABCDEFGH")-1)),0)</f>
        <v>0</v>
      </c>
      <c r="AP24" s="87" t="n">
        <f aca="true">IF(AG24=AG23,INDIRECT("W"&amp;3+6*(FIND(Z24,"ABCDEFGH")-1)),0)</f>
        <v>0</v>
      </c>
      <c r="AQ24" s="92" t="n">
        <f aca="false">AG24+(500+AN24+AO24+AP24)*10^-3+(AK24+AL24+AM24)*10^-6+(500+AJ24)*10^-9+AH24*10^-12</f>
        <v>5.500000542176</v>
      </c>
    </row>
    <row r="25" customFormat="false" ht="12.8" hidden="false" customHeight="false" outlineLevel="0" collapsed="false">
      <c r="A25" s="31" t="n">
        <v>16</v>
      </c>
      <c r="B25" s="33" t="s">
        <v>9</v>
      </c>
      <c r="C25" s="33" t="s">
        <v>44</v>
      </c>
      <c r="D25" s="33" t="s">
        <v>143</v>
      </c>
      <c r="E25" s="33" t="s">
        <v>145</v>
      </c>
      <c r="F25" s="85" t="str">
        <f aca="false">IF(B25="Girone",VLOOKUP(D25,A_SQUADRE_PER_CODICE,2),"ERRORE!")</f>
        <v>Pitoni</v>
      </c>
      <c r="G25" s="85" t="str">
        <f aca="false">IF(B25="Girone",VLOOKUP(E25,A_SQUADRE_PER_CODICE,2),"ERRORE!")</f>
        <v>Falchi</v>
      </c>
      <c r="H25" s="33" t="n">
        <f aca="false">VLOOKUP(A25,A_4_INPUT_DATE_E_RISULTATI_GIRONI,6,0)</f>
        <v>83</v>
      </c>
      <c r="I25" s="33" t="n">
        <f aca="false">VLOOKUP(A25,A_4_INPUT_DATE_E_RISULTATI_GIRONI,7,0)</f>
        <v>57</v>
      </c>
      <c r="J25" s="85" t="str">
        <f aca="false">IF(H25&gt;I25,F25,G25)</f>
        <v>Pitoni</v>
      </c>
      <c r="K25" s="85" t="str">
        <f aca="false">IF(H25&lt;I25,F25,G25)</f>
        <v>Falchi</v>
      </c>
      <c r="L25" s="33" t="n">
        <f aca="false">1*(H25&gt;I25)</f>
        <v>1</v>
      </c>
      <c r="M25" s="86" t="n">
        <f aca="false">1*(H25&lt;I25)*NOT(AND(H25=0,I25=20))</f>
        <v>0</v>
      </c>
      <c r="N25" s="86" t="n">
        <f aca="false">1*AND(H25=0,I25=20)</f>
        <v>0</v>
      </c>
      <c r="O25" s="33" t="n">
        <f aca="false">H25</f>
        <v>83</v>
      </c>
      <c r="P25" s="33" t="n">
        <f aca="false">I25</f>
        <v>57</v>
      </c>
      <c r="Q25" s="87" t="n">
        <f aca="false">O25-P25</f>
        <v>26</v>
      </c>
      <c r="R25" s="33" t="n">
        <f aca="false">1*(I25&gt;H25)</f>
        <v>0</v>
      </c>
      <c r="S25" s="33" t="n">
        <f aca="false">1*(I25&lt;H25)*NOT(AND(H25=20,I25=0))</f>
        <v>1</v>
      </c>
      <c r="T25" s="33" t="n">
        <f aca="false">1*AND(H25=20,I25=0)</f>
        <v>0</v>
      </c>
      <c r="U25" s="33" t="n">
        <f aca="false">I25</f>
        <v>57</v>
      </c>
      <c r="V25" s="33" t="n">
        <f aca="false">H25</f>
        <v>83</v>
      </c>
      <c r="W25" s="88" t="n">
        <f aca="false">U25-V25</f>
        <v>-26</v>
      </c>
      <c r="Y25" s="89" t="str">
        <f aca="false">COUNTIF(B_COEFF_GIRONE_F,"&gt;="&amp;AQ25)&amp;Z25</f>
        <v>3F</v>
      </c>
      <c r="Z25" s="33" t="s">
        <v>54</v>
      </c>
      <c r="AA25" s="33" t="s">
        <v>152</v>
      </c>
      <c r="AB25" s="90" t="str">
        <f aca="false">VLOOKUP(AA25,A_SQUADRE_PER_CODICE,2)</f>
        <v>Delfini</v>
      </c>
      <c r="AC25" s="33" t="n">
        <f aca="false">AD25+AE25+AF25</f>
        <v>3</v>
      </c>
      <c r="AD25" s="33" t="n">
        <f aca="false">SUMIF(B_SQUADRA_A_GIRONI,AB25,B_VINTE_SQUADRA_A_GIRONI)+SUMIF(B_SQUADRA_B_GIRONI,AB25,B_VINTE_SQUADRA_B_GIRONI)</f>
        <v>1</v>
      </c>
      <c r="AE25" s="33" t="n">
        <f aca="false">SUMIF(B_SQUADRA_A_GIRONI,AB25,B_PERSE_SQUADRA_A_GIRONI)+SUMIF(B_SQUADRA_B_GIRONI,AB25,B_PERSE_SQUADRA_B_GIRONI)</f>
        <v>2</v>
      </c>
      <c r="AF25" s="33" t="n">
        <f aca="false">SUMIF(B_SQUADRA_A_GIRONI,AB25,B_FORFAIT_SQUADRA_A_GIRONI)+SUMIF(B_SQUADRA_B_GIRONI,AB25,B_FORFAIT_SQUADRA_B_GIRONI)</f>
        <v>0</v>
      </c>
      <c r="AG25" s="91" t="n">
        <f aca="false">2*AD25+1*AE25+0*AF25</f>
        <v>4</v>
      </c>
      <c r="AH25" s="33" t="n">
        <f aca="false">SUMIF(B_SQUADRA_A_GIRONI,AB25,B_PUNTI_FATTI_SQUADRA_A_GIRONI)+SUMIF(B_SQUADRA_B_GIRONI,AB25,B_PUNTI_FATTI_SQUADRA_B_GIRONI)</f>
        <v>134</v>
      </c>
      <c r="AI25" s="33" t="n">
        <f aca="false">SUMIF(B_SQUADRA_A_GIRONI,AB25,B_PUNTI_SUBITI_SQUADRA_A_GIRONI)+SUMIF(B_SQUADRA_B_GIRONI,AB25,B_PUNTI_SUBITI_SQUADRA_B_GIRONI)</f>
        <v>204</v>
      </c>
      <c r="AJ25" s="87" t="n">
        <f aca="false">SUMIF(B_SQUADRA_A_GIRONI,AB25,B_DIFF_CANESTRI_SQUADRA_A_GIRONI)+SUMIF(B_SQUADRA_B_GIRONI,AB25,B_DIFF_CANESTRI_SQUADRA_B_GIRONI)</f>
        <v>-70</v>
      </c>
      <c r="AK25" s="33" t="n">
        <f aca="true">IF(AG25=AG26,INDIRECT("O"&amp;8+6*(FIND(Z25,"ABCDEFGH")-1)),0)</f>
        <v>0</v>
      </c>
      <c r="AL25" s="33" t="n">
        <f aca="true">IF(AG25=AG23,INDIRECT("U"&amp;4+6*(FIND(Z25,"ABCDEFGH")-1)),0)</f>
        <v>0</v>
      </c>
      <c r="AM25" s="33" t="n">
        <f aca="true">IF(AG25=AG24,INDIRECT("U"&amp;6+6*(FIND(Z25,"ABCDEFGH")-1)),0)</f>
        <v>0</v>
      </c>
      <c r="AN25" s="87" t="n">
        <f aca="true">IF(AG25=AG26,INDIRECT("Q"&amp;8+6*(FIND(Z25,"ABCDEFGH")-1)),0)</f>
        <v>0</v>
      </c>
      <c r="AO25" s="87" t="n">
        <f aca="true">IF(AG25=AG23,INDIRECT("W"&amp;4+6*(FIND(Z25,"ABCDEFGH")-1)),0)</f>
        <v>0</v>
      </c>
      <c r="AP25" s="87" t="n">
        <f aca="true">IF(AG25=AG24,INDIRECT("W"&amp;6+6*(FIND(Z25,"ABCDEFGH")-1)),0)</f>
        <v>0</v>
      </c>
      <c r="AQ25" s="92" t="n">
        <f aca="false">AG25+(500+AN25+AO25+AP25)*10^-3+(AK25+AL25+AM25)*10^-6+(500+AJ25)*10^-9+AH25*10^-12</f>
        <v>4.500000430134</v>
      </c>
    </row>
    <row r="26" customFormat="false" ht="12.8" hidden="false" customHeight="false" outlineLevel="0" collapsed="false">
      <c r="A26" s="31" t="n">
        <v>8</v>
      </c>
      <c r="B26" s="33" t="s">
        <v>9</v>
      </c>
      <c r="C26" s="33" t="s">
        <v>44</v>
      </c>
      <c r="D26" s="33" t="s">
        <v>144</v>
      </c>
      <c r="E26" s="33" t="s">
        <v>145</v>
      </c>
      <c r="F26" s="85" t="str">
        <f aca="false">IF(B26="Girone",VLOOKUP(D26,A_SQUADRE_PER_CODICE,2),"ERRORE!")</f>
        <v>Aquile</v>
      </c>
      <c r="G26" s="85" t="str">
        <f aca="false">IF(B26="Girone",VLOOKUP(E26,A_SQUADRE_PER_CODICE,2),"ERRORE!")</f>
        <v>Falchi</v>
      </c>
      <c r="H26" s="33" t="n">
        <f aca="false">VLOOKUP(A26,A_4_INPUT_DATE_E_RISULTATI_GIRONI,6,0)</f>
        <v>72</v>
      </c>
      <c r="I26" s="33" t="n">
        <f aca="false">VLOOKUP(A26,A_4_INPUT_DATE_E_RISULTATI_GIRONI,7,0)</f>
        <v>52</v>
      </c>
      <c r="J26" s="85" t="str">
        <f aca="false">IF(H26&gt;I26,F26,G26)</f>
        <v>Aquile</v>
      </c>
      <c r="K26" s="85" t="str">
        <f aca="false">IF(H26&lt;I26,F26,G26)</f>
        <v>Falchi</v>
      </c>
      <c r="L26" s="33" t="n">
        <f aca="false">1*(H26&gt;I26)</f>
        <v>1</v>
      </c>
      <c r="M26" s="86" t="n">
        <f aca="false">1*(H26&lt;I26)*NOT(AND(H26=0,I26=20))</f>
        <v>0</v>
      </c>
      <c r="N26" s="86" t="n">
        <f aca="false">1*AND(H26=0,I26=20)</f>
        <v>0</v>
      </c>
      <c r="O26" s="33" t="n">
        <f aca="false">H26</f>
        <v>72</v>
      </c>
      <c r="P26" s="33" t="n">
        <f aca="false">I26</f>
        <v>52</v>
      </c>
      <c r="Q26" s="87" t="n">
        <f aca="false">O26-P26</f>
        <v>20</v>
      </c>
      <c r="R26" s="33" t="n">
        <f aca="false">1*(I26&gt;H26)</f>
        <v>0</v>
      </c>
      <c r="S26" s="33" t="n">
        <f aca="false">1*(I26&lt;H26)*NOT(AND(H26=20,I26=0))</f>
        <v>1</v>
      </c>
      <c r="T26" s="33" t="n">
        <f aca="false">1*AND(H26=20,I26=0)</f>
        <v>0</v>
      </c>
      <c r="U26" s="33" t="n">
        <f aca="false">I26</f>
        <v>52</v>
      </c>
      <c r="V26" s="33" t="n">
        <f aca="false">H26</f>
        <v>72</v>
      </c>
      <c r="W26" s="88" t="n">
        <f aca="false">U26-V26</f>
        <v>-20</v>
      </c>
      <c r="Y26" s="100" t="str">
        <f aca="false">COUNTIF(B_COEFF_GIRONE_F,"&gt;="&amp;AQ26)&amp;Z26</f>
        <v>4F</v>
      </c>
      <c r="Z26" s="101" t="s">
        <v>54</v>
      </c>
      <c r="AA26" s="101" t="s">
        <v>153</v>
      </c>
      <c r="AB26" s="102" t="str">
        <f aca="false">VLOOKUP(AA26,A_SQUADRE_PER_CODICE,2)</f>
        <v>Fenicotteri</v>
      </c>
      <c r="AC26" s="101" t="n">
        <f aca="false">AD26+AE26+AF26</f>
        <v>3</v>
      </c>
      <c r="AD26" s="101" t="n">
        <f aca="false">SUMIF(B_SQUADRA_A_GIRONI,AB26,B_VINTE_SQUADRA_A_GIRONI)+SUMIF(B_SQUADRA_B_GIRONI,AB26,B_VINTE_SQUADRA_B_GIRONI)</f>
        <v>0</v>
      </c>
      <c r="AE26" s="101" t="n">
        <f aca="false">SUMIF(B_SQUADRA_A_GIRONI,AB26,B_PERSE_SQUADRA_A_GIRONI)+SUMIF(B_SQUADRA_B_GIRONI,AB26,B_PERSE_SQUADRA_B_GIRONI)</f>
        <v>3</v>
      </c>
      <c r="AF26" s="101" t="n">
        <f aca="false">SUMIF(B_SQUADRA_A_GIRONI,AB26,B_FORFAIT_SQUADRA_A_GIRONI)+SUMIF(B_SQUADRA_B_GIRONI,AB26,B_FORFAIT_SQUADRA_B_GIRONI)</f>
        <v>0</v>
      </c>
      <c r="AG26" s="103" t="n">
        <f aca="false">2*AD26+1*AE26+0*AF26</f>
        <v>3</v>
      </c>
      <c r="AH26" s="101" t="n">
        <f aca="false">SUMIF(B_SQUADRA_A_GIRONI,AB26,B_PUNTI_FATTI_SQUADRA_A_GIRONI)+SUMIF(B_SQUADRA_B_GIRONI,AB26,B_PUNTI_FATTI_SQUADRA_B_GIRONI)</f>
        <v>104</v>
      </c>
      <c r="AI26" s="101" t="n">
        <f aca="false">SUMIF(B_SQUADRA_A_GIRONI,AB26,B_PUNTI_SUBITI_SQUADRA_A_GIRONI)+SUMIF(B_SQUADRA_B_GIRONI,AB26,B_PUNTI_SUBITI_SQUADRA_B_GIRONI)</f>
        <v>137</v>
      </c>
      <c r="AJ26" s="104" t="n">
        <f aca="false">SUMIF(B_SQUADRA_A_GIRONI,AB26,B_DIFF_CANESTRI_SQUADRA_A_GIRONI)+SUMIF(B_SQUADRA_B_GIRONI,AB26,B_DIFF_CANESTRI_SQUADRA_B_GIRONI)</f>
        <v>-33</v>
      </c>
      <c r="AK26" s="101" t="n">
        <f aca="true">IF(AG26=AG23,INDIRECT("U"&amp;5+6*(FIND(Z26,"ABCDEFGH")-1)),0)</f>
        <v>0</v>
      </c>
      <c r="AL26" s="101" t="n">
        <f aca="true">IF(AG26=AG24,INDIRECT("U"&amp;7+6*(FIND(Z26,"ABCDEFGH")-1)),0)</f>
        <v>0</v>
      </c>
      <c r="AM26" s="101" t="n">
        <f aca="true">IF(AG26=AG25,INDIRECT("U"&amp;8+6*(FIND(Z26,"ABCDEFGH")-1)),0)</f>
        <v>0</v>
      </c>
      <c r="AN26" s="104" t="n">
        <f aca="true">IF(AG26=AG23,INDIRECT("W"&amp;5+6*(FIND(Z26,"ABCDEFGH")-1)),0)</f>
        <v>0</v>
      </c>
      <c r="AO26" s="104" t="n">
        <f aca="true">IF(AG26=AG24,INDIRECT("W"&amp;7+6*(FIND(Z26,"ABCDEFGH")-1)),0)</f>
        <v>0</v>
      </c>
      <c r="AP26" s="104" t="n">
        <f aca="true">IF(AG26=AG25,INDIRECT("W"&amp;8+6*(FIND(Z26,"ABCDEFGH")-1)),0)</f>
        <v>0</v>
      </c>
      <c r="AQ26" s="105" t="n">
        <f aca="false">AG26+(500+AN26+AO26+AP26)*10^-3+(AK26+AL26+AM26)*10^-6+(500+AJ26)*10^-9+AH26*10^-12</f>
        <v>3.500000467104</v>
      </c>
    </row>
    <row r="27" customFormat="false" ht="12.8" hidden="false" customHeight="false" outlineLevel="0" collapsed="false">
      <c r="A27" s="31" t="n">
        <v>17</v>
      </c>
      <c r="B27" s="33" t="s">
        <v>9</v>
      </c>
      <c r="C27" s="33" t="s">
        <v>49</v>
      </c>
      <c r="D27" s="33" t="s">
        <v>146</v>
      </c>
      <c r="E27" s="33" t="s">
        <v>147</v>
      </c>
      <c r="F27" s="85" t="str">
        <f aca="false">IF(B27="Girone",VLOOKUP(D27,A_SQUADRE_PER_CODICE,2),"ERRORE!")</f>
        <v>Bisonti</v>
      </c>
      <c r="G27" s="85" t="str">
        <f aca="false">IF(B27="Girone",VLOOKUP(E27,A_SQUADRE_PER_CODICE,2),"ERRORE!")</f>
        <v>Bufali</v>
      </c>
      <c r="H27" s="33" t="n">
        <f aca="false">VLOOKUP(A27,A_4_INPUT_DATE_E_RISULTATI_GIRONI,6,0)</f>
        <v>86</v>
      </c>
      <c r="I27" s="33" t="n">
        <f aca="false">VLOOKUP(A27,A_4_INPUT_DATE_E_RISULTATI_GIRONI,7,0)</f>
        <v>97</v>
      </c>
      <c r="J27" s="85" t="str">
        <f aca="false">IF(H27&gt;I27,F27,G27)</f>
        <v>Bufali</v>
      </c>
      <c r="K27" s="85" t="str">
        <f aca="false">IF(H27&lt;I27,F27,G27)</f>
        <v>Bisonti</v>
      </c>
      <c r="L27" s="33" t="n">
        <f aca="false">1*(H27&gt;I27)</f>
        <v>0</v>
      </c>
      <c r="M27" s="86" t="n">
        <f aca="false">1*(H27&lt;I27)*NOT(AND(H27=0,I27=20))</f>
        <v>1</v>
      </c>
      <c r="N27" s="86" t="n">
        <f aca="false">1*AND(H27=0,I27=20)</f>
        <v>0</v>
      </c>
      <c r="O27" s="33" t="n">
        <f aca="false">H27</f>
        <v>86</v>
      </c>
      <c r="P27" s="33" t="n">
        <f aca="false">I27</f>
        <v>97</v>
      </c>
      <c r="Q27" s="87" t="n">
        <f aca="false">O27-P27</f>
        <v>-11</v>
      </c>
      <c r="R27" s="33" t="n">
        <f aca="false">1*(I27&gt;H27)</f>
        <v>1</v>
      </c>
      <c r="S27" s="33" t="n">
        <f aca="false">1*(I27&lt;H27)*NOT(AND(H27=20,I27=0))</f>
        <v>0</v>
      </c>
      <c r="T27" s="33" t="n">
        <f aca="false">1*AND(H27=20,I27=0)</f>
        <v>0</v>
      </c>
      <c r="U27" s="33" t="n">
        <f aca="false">I27</f>
        <v>97</v>
      </c>
      <c r="V27" s="33" t="n">
        <f aca="false">H27</f>
        <v>86</v>
      </c>
      <c r="W27" s="88" t="n">
        <f aca="false">U27-V27</f>
        <v>11</v>
      </c>
      <c r="Y27" s="89" t="str">
        <f aca="false">COUNTIF(B_COEFF_GIRONE_G,"&gt;="&amp;AQ27)&amp;Z27</f>
        <v>1G</v>
      </c>
      <c r="Z27" s="33" t="s">
        <v>59</v>
      </c>
      <c r="AA27" s="33" t="s">
        <v>154</v>
      </c>
      <c r="AB27" s="90" t="str">
        <f aca="false">VLOOKUP(AA27,A_SQUADRE_PER_CODICE,2)</f>
        <v>Istrici</v>
      </c>
      <c r="AC27" s="33" t="n">
        <f aca="false">AD27+AE27+AF27</f>
        <v>3</v>
      </c>
      <c r="AD27" s="33" t="n">
        <f aca="false">SUMIF(B_SQUADRA_A_GIRONI,AB27,B_VINTE_SQUADRA_A_GIRONI)+SUMIF(B_SQUADRA_B_GIRONI,AB27,B_VINTE_SQUADRA_B_GIRONI)</f>
        <v>3</v>
      </c>
      <c r="AE27" s="33" t="n">
        <f aca="false">SUMIF(B_SQUADRA_A_GIRONI,AB27,B_PERSE_SQUADRA_A_GIRONI)+SUMIF(B_SQUADRA_B_GIRONI,AB27,B_PERSE_SQUADRA_B_GIRONI)</f>
        <v>0</v>
      </c>
      <c r="AF27" s="33" t="n">
        <f aca="false">SUMIF(B_SQUADRA_A_GIRONI,AB27,B_FORFAIT_SQUADRA_A_GIRONI)+SUMIF(B_SQUADRA_B_GIRONI,AB27,B_FORFAIT_SQUADRA_B_GIRONI)</f>
        <v>0</v>
      </c>
      <c r="AG27" s="91" t="n">
        <f aca="false">2*AD27+1*AE27+0*AF27</f>
        <v>6</v>
      </c>
      <c r="AH27" s="33" t="n">
        <f aca="false">SUMIF(B_SQUADRA_A_GIRONI,AB27,B_PUNTI_FATTI_SQUADRA_A_GIRONI)+SUMIF(B_SQUADRA_B_GIRONI,AB27,B_PUNTI_FATTI_SQUADRA_B_GIRONI)</f>
        <v>137</v>
      </c>
      <c r="AI27" s="33" t="n">
        <f aca="false">SUMIF(B_SQUADRA_A_GIRONI,AB27,B_PUNTI_SUBITI_SQUADRA_A_GIRONI)+SUMIF(B_SQUADRA_B_GIRONI,AB27,B_PUNTI_SUBITI_SQUADRA_B_GIRONI)</f>
        <v>122</v>
      </c>
      <c r="AJ27" s="87" t="n">
        <f aca="false">SUMIF(B_SQUADRA_A_GIRONI,AB27,B_DIFF_CANESTRI_SQUADRA_A_GIRONI)+SUMIF(B_SQUADRA_B_GIRONI,AB27,B_DIFF_CANESTRI_SQUADRA_B_GIRONI)</f>
        <v>15</v>
      </c>
      <c r="AK27" s="33" t="n">
        <f aca="true">IF(AG27=AG28,INDIRECT("O"&amp;3+6*(FIND(Z27,"ABCDEFGH")-1)),0)</f>
        <v>0</v>
      </c>
      <c r="AL27" s="86" t="n">
        <f aca="true">IF(AG27=AG29,INDIRECT("O"&amp;4+6*(FIND(Z27,"ABCDEFGH")-1)),0)</f>
        <v>0</v>
      </c>
      <c r="AM27" s="33" t="n">
        <f aca="true">IF(AG27=AG30,INDIRECT("O"&amp;5+6*(FIND(Z27,"ABCDEFGH")-1)),0)</f>
        <v>0</v>
      </c>
      <c r="AN27" s="87" t="n">
        <f aca="true">IF(AG27=AG28,INDIRECT("Q"&amp;3+6*(FIND(Z27,"ABCDEFGH")-1)),0)</f>
        <v>0</v>
      </c>
      <c r="AO27" s="87" t="n">
        <f aca="true">IF(AG27=AG29,INDIRECT("Q"&amp;4+6*(FIND(Z27,"ABCDEFGH")-1)),0)</f>
        <v>0</v>
      </c>
      <c r="AP27" s="87" t="n">
        <f aca="true">IF(AG27=AG30,INDIRECT("Q"&amp;5+6*(FIND(Z27,"ABCDEFGH")-1)),0)</f>
        <v>0</v>
      </c>
      <c r="AQ27" s="92" t="n">
        <f aca="false">AG27+(500+AN27+AO27+AP27)*10^-3+(AK27+AL27+AM27)*10^-6+(500+AJ27)*10^-9+AH27*10^-12</f>
        <v>6.500000515137</v>
      </c>
    </row>
    <row r="28" customFormat="false" ht="12.8" hidden="false" customHeight="false" outlineLevel="0" collapsed="false">
      <c r="A28" s="31" t="n">
        <v>29</v>
      </c>
      <c r="B28" s="33" t="s">
        <v>9</v>
      </c>
      <c r="C28" s="33" t="s">
        <v>49</v>
      </c>
      <c r="D28" s="33" t="s">
        <v>146</v>
      </c>
      <c r="E28" s="33" t="s">
        <v>148</v>
      </c>
      <c r="F28" s="85" t="str">
        <f aca="false">IF(B28="Girone",VLOOKUP(D28,A_SQUADRE_PER_CODICE,2),"ERRORE!")</f>
        <v>Bisonti</v>
      </c>
      <c r="G28" s="85" t="str">
        <f aca="false">IF(B28="Girone",VLOOKUP(E28,A_SQUADRE_PER_CODICE,2),"ERRORE!")</f>
        <v>Cervi</v>
      </c>
      <c r="H28" s="33" t="n">
        <f aca="false">VLOOKUP(A28,A_4_INPUT_DATE_E_RISULTATI_GIRONI,6,0)</f>
        <v>20</v>
      </c>
      <c r="I28" s="33" t="n">
        <f aca="false">VLOOKUP(A28,A_4_INPUT_DATE_E_RISULTATI_GIRONI,7,0)</f>
        <v>0</v>
      </c>
      <c r="J28" s="85" t="str">
        <f aca="false">IF(H28&gt;I28,F28,G28)</f>
        <v>Bisonti</v>
      </c>
      <c r="K28" s="85" t="str">
        <f aca="false">IF(H28&lt;I28,F28,G28)</f>
        <v>Cervi</v>
      </c>
      <c r="L28" s="33" t="n">
        <f aca="false">1*(H28&gt;I28)</f>
        <v>1</v>
      </c>
      <c r="M28" s="86" t="n">
        <f aca="false">1*(H28&lt;I28)*NOT(AND(H28=0,I28=20))</f>
        <v>0</v>
      </c>
      <c r="N28" s="86" t="n">
        <f aca="false">1*AND(H28=0,I28=20)</f>
        <v>0</v>
      </c>
      <c r="O28" s="33" t="n">
        <f aca="false">H28</f>
        <v>20</v>
      </c>
      <c r="P28" s="33" t="n">
        <f aca="false">I28</f>
        <v>0</v>
      </c>
      <c r="Q28" s="87" t="n">
        <f aca="false">O28-P28</f>
        <v>20</v>
      </c>
      <c r="R28" s="33" t="n">
        <f aca="false">1*(I28&gt;H28)</f>
        <v>0</v>
      </c>
      <c r="S28" s="33" t="n">
        <f aca="false">1*(I28&lt;H28)*NOT(AND(H28=20,I28=0))</f>
        <v>0</v>
      </c>
      <c r="T28" s="33" t="n">
        <f aca="false">1*AND(H28=20,I28=0)</f>
        <v>1</v>
      </c>
      <c r="U28" s="33" t="n">
        <f aca="false">I28</f>
        <v>0</v>
      </c>
      <c r="V28" s="33" t="n">
        <f aca="false">H28</f>
        <v>20</v>
      </c>
      <c r="W28" s="88" t="n">
        <f aca="false">U28-V28</f>
        <v>-20</v>
      </c>
      <c r="Y28" s="89" t="str">
        <f aca="false">COUNTIF(B_COEFF_GIRONE_G,"&gt;="&amp;AQ28)&amp;Z28</f>
        <v>4G</v>
      </c>
      <c r="Z28" s="33" t="s">
        <v>59</v>
      </c>
      <c r="AA28" s="33" t="s">
        <v>155</v>
      </c>
      <c r="AB28" s="90" t="str">
        <f aca="false">VLOOKUP(AA28,A_SQUADRE_PER_CODICE,2)</f>
        <v>Gorilla</v>
      </c>
      <c r="AC28" s="33" t="n">
        <f aca="false">AD28+AE28+AF28</f>
        <v>3</v>
      </c>
      <c r="AD28" s="33" t="n">
        <f aca="false">SUMIF(B_SQUADRA_A_GIRONI,AB28,B_VINTE_SQUADRA_A_GIRONI)+SUMIF(B_SQUADRA_B_GIRONI,AB28,B_VINTE_SQUADRA_B_GIRONI)</f>
        <v>0</v>
      </c>
      <c r="AE28" s="33" t="n">
        <f aca="false">SUMIF(B_SQUADRA_A_GIRONI,AB28,B_PERSE_SQUADRA_A_GIRONI)+SUMIF(B_SQUADRA_B_GIRONI,AB28,B_PERSE_SQUADRA_B_GIRONI)</f>
        <v>3</v>
      </c>
      <c r="AF28" s="33" t="n">
        <f aca="false">SUMIF(B_SQUADRA_A_GIRONI,AB28,B_FORFAIT_SQUADRA_A_GIRONI)+SUMIF(B_SQUADRA_B_GIRONI,AB28,B_FORFAIT_SQUADRA_B_GIRONI)</f>
        <v>0</v>
      </c>
      <c r="AG28" s="91" t="n">
        <f aca="false">2*AD28+1*AE28+0*AF28</f>
        <v>3</v>
      </c>
      <c r="AH28" s="33" t="n">
        <f aca="false">SUMIF(B_SQUADRA_A_GIRONI,AB28,B_PUNTI_FATTI_SQUADRA_A_GIRONI)+SUMIF(B_SQUADRA_B_GIRONI,AB28,B_PUNTI_FATTI_SQUADRA_B_GIRONI)</f>
        <v>161</v>
      </c>
      <c r="AI28" s="33" t="n">
        <f aca="false">SUMIF(B_SQUADRA_A_GIRONI,AB28,B_PUNTI_SUBITI_SQUADRA_A_GIRONI)+SUMIF(B_SQUADRA_B_GIRONI,AB28,B_PUNTI_SUBITI_SQUADRA_B_GIRONI)</f>
        <v>179</v>
      </c>
      <c r="AJ28" s="87" t="n">
        <f aca="false">SUMIF(B_SQUADRA_A_GIRONI,AB28,B_DIFF_CANESTRI_SQUADRA_A_GIRONI)+SUMIF(B_SQUADRA_B_GIRONI,AB28,B_DIFF_CANESTRI_SQUADRA_B_GIRONI)</f>
        <v>-18</v>
      </c>
      <c r="AK28" s="33" t="n">
        <f aca="true">IF(AG28=AG29,INDIRECT("O"&amp;6+6*(FIND(Z28,"ABCDEFGH")-1)),0)</f>
        <v>0</v>
      </c>
      <c r="AL28" s="33" t="n">
        <f aca="true">IF(AG28=AG30,INDIRECT("O"&amp;7+6*(FIND(Z28,"ABCDEFGH")-1)),0)</f>
        <v>0</v>
      </c>
      <c r="AM28" s="33" t="n">
        <f aca="true">IF(AG28=AG27,INDIRECT("U"&amp;3+6*(FIND(Z28,"ABCDEFGH")-1)),0)</f>
        <v>0</v>
      </c>
      <c r="AN28" s="87" t="n">
        <f aca="true">IF(AG28=AG29,INDIRECT("Q"&amp;6+6*(FIND(Z28,"ABCDEFGH")-1)),0)</f>
        <v>0</v>
      </c>
      <c r="AO28" s="87" t="n">
        <f aca="true">IF(AG28=AG30,INDIRECT("Q"&amp;7+6*(FIND(Z28,"ABCDEFGH")-1)),0)</f>
        <v>0</v>
      </c>
      <c r="AP28" s="87" t="n">
        <f aca="true">IF(AG28=AG27,INDIRECT("W"&amp;3+6*(FIND(Z28,"ABCDEFGH")-1)),0)</f>
        <v>0</v>
      </c>
      <c r="AQ28" s="92" t="n">
        <f aca="false">AG28+(500+AN28+AO28+AP28)*10^-3+(AK28+AL28+AM28)*10^-6+(500+AJ28)*10^-9+AH28*10^-12</f>
        <v>3.500000482161</v>
      </c>
    </row>
    <row r="29" customFormat="false" ht="12.8" hidden="false" customHeight="false" outlineLevel="0" collapsed="false">
      <c r="A29" s="31" t="n">
        <v>41</v>
      </c>
      <c r="B29" s="33" t="s">
        <v>9</v>
      </c>
      <c r="C29" s="33" t="s">
        <v>49</v>
      </c>
      <c r="D29" s="33" t="s">
        <v>146</v>
      </c>
      <c r="E29" s="33" t="s">
        <v>149</v>
      </c>
      <c r="F29" s="85" t="str">
        <f aca="false">IF(B29="Girone",VLOOKUP(D29,A_SQUADRE_PER_CODICE,2),"ERRORE!")</f>
        <v>Bisonti</v>
      </c>
      <c r="G29" s="85" t="str">
        <f aca="false">IF(B29="Girone",VLOOKUP(E29,A_SQUADRE_PER_CODICE,2),"ERRORE!")</f>
        <v>Cinghiali</v>
      </c>
      <c r="H29" s="33" t="n">
        <f aca="false">VLOOKUP(A29,A_4_INPUT_DATE_E_RISULTATI_GIRONI,6,0)</f>
        <v>42</v>
      </c>
      <c r="I29" s="33" t="n">
        <f aca="false">VLOOKUP(A29,A_4_INPUT_DATE_E_RISULTATI_GIRONI,7,0)</f>
        <v>82</v>
      </c>
      <c r="J29" s="85" t="str">
        <f aca="false">IF(H29&gt;I29,F29,G29)</f>
        <v>Cinghiali</v>
      </c>
      <c r="K29" s="85" t="str">
        <f aca="false">IF(H29&lt;I29,F29,G29)</f>
        <v>Bisonti</v>
      </c>
      <c r="L29" s="33" t="n">
        <f aca="false">1*(H29&gt;I29)</f>
        <v>0</v>
      </c>
      <c r="M29" s="86" t="n">
        <f aca="false">1*(H29&lt;I29)*NOT(AND(H29=0,I29=20))</f>
        <v>1</v>
      </c>
      <c r="N29" s="86" t="n">
        <f aca="false">1*AND(H29=0,I29=20)</f>
        <v>0</v>
      </c>
      <c r="O29" s="33" t="n">
        <f aca="false">H29</f>
        <v>42</v>
      </c>
      <c r="P29" s="33" t="n">
        <f aca="false">I29</f>
        <v>82</v>
      </c>
      <c r="Q29" s="87" t="n">
        <f aca="false">O29-P29</f>
        <v>-40</v>
      </c>
      <c r="R29" s="33" t="n">
        <f aca="false">1*(I29&gt;H29)</f>
        <v>1</v>
      </c>
      <c r="S29" s="33" t="n">
        <f aca="false">1*(I29&lt;H29)*NOT(AND(H29=20,I29=0))</f>
        <v>0</v>
      </c>
      <c r="T29" s="33" t="n">
        <f aca="false">1*AND(H29=20,I29=0)</f>
        <v>0</v>
      </c>
      <c r="U29" s="33" t="n">
        <f aca="false">I29</f>
        <v>82</v>
      </c>
      <c r="V29" s="33" t="n">
        <f aca="false">H29</f>
        <v>42</v>
      </c>
      <c r="W29" s="88" t="n">
        <f aca="false">U29-V29</f>
        <v>40</v>
      </c>
      <c r="Y29" s="89" t="str">
        <f aca="false">COUNTIF(B_COEFF_GIRONE_G,"&gt;="&amp;AQ29)&amp;Z29</f>
        <v>3G</v>
      </c>
      <c r="Z29" s="33" t="s">
        <v>59</v>
      </c>
      <c r="AA29" s="33" t="s">
        <v>156</v>
      </c>
      <c r="AB29" s="90" t="str">
        <f aca="false">VLOOKUP(AA29,A_SQUADRE_PER_CODICE,2)</f>
        <v>Muli</v>
      </c>
      <c r="AC29" s="33" t="n">
        <f aca="false">AD29+AE29+AF29</f>
        <v>3</v>
      </c>
      <c r="AD29" s="33" t="n">
        <f aca="false">SUMIF(B_SQUADRA_A_GIRONI,AB29,B_VINTE_SQUADRA_A_GIRONI)+SUMIF(B_SQUADRA_B_GIRONI,AB29,B_VINTE_SQUADRA_B_GIRONI)</f>
        <v>1</v>
      </c>
      <c r="AE29" s="33" t="n">
        <f aca="false">SUMIF(B_SQUADRA_A_GIRONI,AB29,B_PERSE_SQUADRA_A_GIRONI)+SUMIF(B_SQUADRA_B_GIRONI,AB29,B_PERSE_SQUADRA_B_GIRONI)</f>
        <v>2</v>
      </c>
      <c r="AF29" s="33" t="n">
        <f aca="false">SUMIF(B_SQUADRA_A_GIRONI,AB29,B_FORFAIT_SQUADRA_A_GIRONI)+SUMIF(B_SQUADRA_B_GIRONI,AB29,B_FORFAIT_SQUADRA_B_GIRONI)</f>
        <v>0</v>
      </c>
      <c r="AG29" s="91" t="n">
        <f aca="false">2*AD29+1*AE29+0*AF29</f>
        <v>4</v>
      </c>
      <c r="AH29" s="33" t="n">
        <f aca="false">SUMIF(B_SQUADRA_A_GIRONI,AB29,B_PUNTI_FATTI_SQUADRA_A_GIRONI)+SUMIF(B_SQUADRA_B_GIRONI,AB29,B_PUNTI_FATTI_SQUADRA_B_GIRONI)</f>
        <v>143</v>
      </c>
      <c r="AI29" s="33" t="n">
        <f aca="false">SUMIF(B_SQUADRA_A_GIRONI,AB29,B_PUNTI_SUBITI_SQUADRA_A_GIRONI)+SUMIF(B_SQUADRA_B_GIRONI,AB29,B_PUNTI_SUBITI_SQUADRA_B_GIRONI)</f>
        <v>192</v>
      </c>
      <c r="AJ29" s="87" t="n">
        <f aca="false">SUMIF(B_SQUADRA_A_GIRONI,AB29,B_DIFF_CANESTRI_SQUADRA_A_GIRONI)+SUMIF(B_SQUADRA_B_GIRONI,AB29,B_DIFF_CANESTRI_SQUADRA_B_GIRONI)</f>
        <v>-49</v>
      </c>
      <c r="AK29" s="33" t="n">
        <f aca="true">IF(AG29=AG30,INDIRECT("O"&amp;8+6*(FIND(Z29,"ABCDEFGH")-1)),0)</f>
        <v>0</v>
      </c>
      <c r="AL29" s="33" t="n">
        <f aca="true">IF(AG29=AG27,INDIRECT("U"&amp;4+6*(FIND(Z29,"ABCDEFGH")-1)),0)</f>
        <v>0</v>
      </c>
      <c r="AM29" s="33" t="n">
        <f aca="true">IF(AG29=AG28,INDIRECT("U"&amp;6+6*(FIND(Z29,"ABCDEFGH")-1)),0)</f>
        <v>0</v>
      </c>
      <c r="AN29" s="87" t="n">
        <f aca="true">IF(AG29=AG30,INDIRECT("Q"&amp;8+6*(FIND(Z29,"ABCDEFGH")-1)),0)</f>
        <v>0</v>
      </c>
      <c r="AO29" s="87" t="n">
        <f aca="true">IF(AG29=AG27,INDIRECT("W"&amp;4+6*(FIND(Z29,"ABCDEFGH")-1)),0)</f>
        <v>0</v>
      </c>
      <c r="AP29" s="87" t="n">
        <f aca="true">IF(AG29=AG28,INDIRECT("W"&amp;6+6*(FIND(Z29,"ABCDEFGH")-1)),0)</f>
        <v>0</v>
      </c>
      <c r="AQ29" s="92" t="n">
        <f aca="false">AG29+(500+AN29+AO29+AP29)*10^-3+(AK29+AL29+AM29)*10^-6+(500+AJ29)*10^-9+AH29*10^-12</f>
        <v>4.500000451143</v>
      </c>
    </row>
    <row r="30" customFormat="false" ht="12.8" hidden="false" customHeight="false" outlineLevel="0" collapsed="false">
      <c r="A30" s="31" t="n">
        <v>45</v>
      </c>
      <c r="B30" s="33" t="s">
        <v>9</v>
      </c>
      <c r="C30" s="33" t="s">
        <v>49</v>
      </c>
      <c r="D30" s="33" t="s">
        <v>147</v>
      </c>
      <c r="E30" s="33" t="s">
        <v>148</v>
      </c>
      <c r="F30" s="85" t="str">
        <f aca="false">IF(B30="Girone",VLOOKUP(D30,A_SQUADRE_PER_CODICE,2),"ERRORE!")</f>
        <v>Bufali</v>
      </c>
      <c r="G30" s="85" t="str">
        <f aca="false">IF(B30="Girone",VLOOKUP(E30,A_SQUADRE_PER_CODICE,2),"ERRORE!")</f>
        <v>Cervi</v>
      </c>
      <c r="H30" s="33" t="n">
        <f aca="false">VLOOKUP(A30,A_4_INPUT_DATE_E_RISULTATI_GIRONI,6,0)</f>
        <v>66</v>
      </c>
      <c r="I30" s="33" t="n">
        <f aca="false">VLOOKUP(A30,A_4_INPUT_DATE_E_RISULTATI_GIRONI,7,0)</f>
        <v>49</v>
      </c>
      <c r="J30" s="85" t="str">
        <f aca="false">IF(H30&gt;I30,F30,G30)</f>
        <v>Bufali</v>
      </c>
      <c r="K30" s="85" t="str">
        <f aca="false">IF(H30&lt;I30,F30,G30)</f>
        <v>Cervi</v>
      </c>
      <c r="L30" s="33" t="n">
        <f aca="false">1*(H30&gt;I30)</f>
        <v>1</v>
      </c>
      <c r="M30" s="86" t="n">
        <f aca="false">1*(H30&lt;I30)*NOT(AND(H30=0,I30=20))</f>
        <v>0</v>
      </c>
      <c r="N30" s="86" t="n">
        <f aca="false">1*AND(H30=0,I30=20)</f>
        <v>0</v>
      </c>
      <c r="O30" s="33" t="n">
        <f aca="false">H30</f>
        <v>66</v>
      </c>
      <c r="P30" s="33" t="n">
        <f aca="false">I30</f>
        <v>49</v>
      </c>
      <c r="Q30" s="87" t="n">
        <f aca="false">O30-P30</f>
        <v>17</v>
      </c>
      <c r="R30" s="33" t="n">
        <f aca="false">1*(I30&gt;H30)</f>
        <v>0</v>
      </c>
      <c r="S30" s="33" t="n">
        <f aca="false">1*(I30&lt;H30)*NOT(AND(H30=20,I30=0))</f>
        <v>1</v>
      </c>
      <c r="T30" s="33" t="n">
        <f aca="false">1*AND(H30=20,I30=0)</f>
        <v>0</v>
      </c>
      <c r="U30" s="33" t="n">
        <f aca="false">I30</f>
        <v>49</v>
      </c>
      <c r="V30" s="33" t="n">
        <f aca="false">H30</f>
        <v>66</v>
      </c>
      <c r="W30" s="88" t="n">
        <f aca="false">U30-V30</f>
        <v>-17</v>
      </c>
      <c r="Y30" s="89" t="str">
        <f aca="false">COUNTIF(B_COEFF_GIRONE_G,"&gt;="&amp;AQ30)&amp;Z30</f>
        <v>2G</v>
      </c>
      <c r="Z30" s="33" t="s">
        <v>59</v>
      </c>
      <c r="AA30" s="33" t="s">
        <v>157</v>
      </c>
      <c r="AB30" s="90" t="str">
        <f aca="false">VLOOKUP(AA30,A_SQUADRE_PER_CODICE,2)</f>
        <v>Orche</v>
      </c>
      <c r="AC30" s="33" t="n">
        <f aca="false">AD30+AE30+AF30</f>
        <v>3</v>
      </c>
      <c r="AD30" s="33" t="n">
        <f aca="false">SUMIF(B_SQUADRA_A_GIRONI,AB30,B_VINTE_SQUADRA_A_GIRONI)+SUMIF(B_SQUADRA_B_GIRONI,AB30,B_VINTE_SQUADRA_B_GIRONI)</f>
        <v>2</v>
      </c>
      <c r="AE30" s="33" t="n">
        <f aca="false">SUMIF(B_SQUADRA_A_GIRONI,AB30,B_PERSE_SQUADRA_A_GIRONI)+SUMIF(B_SQUADRA_B_GIRONI,AB30,B_PERSE_SQUADRA_B_GIRONI)</f>
        <v>1</v>
      </c>
      <c r="AF30" s="33" t="n">
        <f aca="false">SUMIF(B_SQUADRA_A_GIRONI,AB30,B_FORFAIT_SQUADRA_A_GIRONI)+SUMIF(B_SQUADRA_B_GIRONI,AB30,B_FORFAIT_SQUADRA_B_GIRONI)</f>
        <v>0</v>
      </c>
      <c r="AG30" s="91" t="n">
        <f aca="false">2*AD30+1*AE30+0*AF30</f>
        <v>5</v>
      </c>
      <c r="AH30" s="33" t="n">
        <f aca="false">SUMIF(B_SQUADRA_A_GIRONI,AB30,B_PUNTI_FATTI_SQUADRA_A_GIRONI)+SUMIF(B_SQUADRA_B_GIRONI,AB30,B_PUNTI_FATTI_SQUADRA_B_GIRONI)</f>
        <v>183</v>
      </c>
      <c r="AI30" s="33" t="n">
        <f aca="false">SUMIF(B_SQUADRA_A_GIRONI,AB30,B_PUNTI_SUBITI_SQUADRA_A_GIRONI)+SUMIF(B_SQUADRA_B_GIRONI,AB30,B_PUNTI_SUBITI_SQUADRA_B_GIRONI)</f>
        <v>131</v>
      </c>
      <c r="AJ30" s="87" t="n">
        <f aca="false">SUMIF(B_SQUADRA_A_GIRONI,AB30,B_DIFF_CANESTRI_SQUADRA_A_GIRONI)+SUMIF(B_SQUADRA_B_GIRONI,AB30,B_DIFF_CANESTRI_SQUADRA_B_GIRONI)</f>
        <v>52</v>
      </c>
      <c r="AK30" s="33" t="n">
        <f aca="true">IF(AG30=AG27,INDIRECT("U"&amp;5+6*(FIND(Z30,"ABCDEFGH")-1)),0)</f>
        <v>0</v>
      </c>
      <c r="AL30" s="33" t="n">
        <f aca="true">IF(AG30=AG28,INDIRECT("U"&amp;7+6*(FIND(Z30,"ABCDEFGH")-1)),0)</f>
        <v>0</v>
      </c>
      <c r="AM30" s="33" t="n">
        <f aca="true">IF(AG30=AG29,INDIRECT("U"&amp;8+6*(FIND(Z30,"ABCDEFGH")-1)),0)</f>
        <v>0</v>
      </c>
      <c r="AN30" s="87" t="n">
        <f aca="true">IF(AG30=AG27,INDIRECT("W"&amp;5+6*(FIND(Z30,"ABCDEFGH")-1)),0)</f>
        <v>0</v>
      </c>
      <c r="AO30" s="87" t="n">
        <f aca="true">IF(AG30=AG28,INDIRECT("W"&amp;7+6*(FIND(Z30,"ABCDEFGH")-1)),0)</f>
        <v>0</v>
      </c>
      <c r="AP30" s="87" t="n">
        <f aca="true">IF(AG30=AG29,INDIRECT("W"&amp;8+6*(FIND(Z30,"ABCDEFGH")-1)),0)</f>
        <v>0</v>
      </c>
      <c r="AQ30" s="92" t="n">
        <f aca="false">AG30+(500+AN30+AO30+AP30)*10^-3+(AK30+AL30+AM30)*10^-6+(500+AJ30)*10^-9+AH30*10^-12</f>
        <v>5.500000552183</v>
      </c>
    </row>
    <row r="31" customFormat="false" ht="12.8" hidden="false" customHeight="false" outlineLevel="0" collapsed="false">
      <c r="A31" s="31" t="n">
        <v>33</v>
      </c>
      <c r="B31" s="33" t="s">
        <v>9</v>
      </c>
      <c r="C31" s="33" t="s">
        <v>49</v>
      </c>
      <c r="D31" s="33" t="s">
        <v>147</v>
      </c>
      <c r="E31" s="33" t="s">
        <v>149</v>
      </c>
      <c r="F31" s="85" t="str">
        <f aca="false">IF(B31="Girone",VLOOKUP(D31,A_SQUADRE_PER_CODICE,2),"ERRORE!")</f>
        <v>Bufali</v>
      </c>
      <c r="G31" s="85" t="str">
        <f aca="false">IF(B31="Girone",VLOOKUP(E31,A_SQUADRE_PER_CODICE,2),"ERRORE!")</f>
        <v>Cinghiali</v>
      </c>
      <c r="H31" s="33" t="n">
        <f aca="false">VLOOKUP(A31,A_4_INPUT_DATE_E_RISULTATI_GIRONI,6,0)</f>
        <v>0</v>
      </c>
      <c r="I31" s="33" t="n">
        <f aca="false">VLOOKUP(A31,A_4_INPUT_DATE_E_RISULTATI_GIRONI,7,0)</f>
        <v>20</v>
      </c>
      <c r="J31" s="85" t="str">
        <f aca="false">IF(H31&gt;I31,F31,G31)</f>
        <v>Cinghiali</v>
      </c>
      <c r="K31" s="85" t="str">
        <f aca="false">IF(H31&lt;I31,F31,G31)</f>
        <v>Bufali</v>
      </c>
      <c r="L31" s="33" t="n">
        <f aca="false">1*(H31&gt;I31)</f>
        <v>0</v>
      </c>
      <c r="M31" s="86" t="n">
        <f aca="false">1*(H31&lt;I31)*NOT(AND(H31=0,I31=20))</f>
        <v>0</v>
      </c>
      <c r="N31" s="86" t="n">
        <f aca="false">1*AND(H31=0,I31=20)</f>
        <v>1</v>
      </c>
      <c r="O31" s="33" t="n">
        <f aca="false">H31</f>
        <v>0</v>
      </c>
      <c r="P31" s="33" t="n">
        <f aca="false">I31</f>
        <v>20</v>
      </c>
      <c r="Q31" s="87" t="n">
        <f aca="false">O31-P31</f>
        <v>-20</v>
      </c>
      <c r="R31" s="33" t="n">
        <f aca="false">1*(I31&gt;H31)</f>
        <v>1</v>
      </c>
      <c r="S31" s="33" t="n">
        <f aca="false">1*(I31&lt;H31)*NOT(AND(H31=20,I31=0))</f>
        <v>0</v>
      </c>
      <c r="T31" s="33" t="n">
        <f aca="false">1*AND(H31=20,I31=0)</f>
        <v>0</v>
      </c>
      <c r="U31" s="33" t="n">
        <f aca="false">I31</f>
        <v>20</v>
      </c>
      <c r="V31" s="33" t="n">
        <f aca="false">H31</f>
        <v>0</v>
      </c>
      <c r="W31" s="88" t="n">
        <f aca="false">U31-V31</f>
        <v>20</v>
      </c>
      <c r="Y31" s="93" t="str">
        <f aca="false">COUNTIF(B_COEFF_GIRONE_H,"&gt;="&amp;AQ31)&amp;Z31</f>
        <v>2H</v>
      </c>
      <c r="Z31" s="94" t="s">
        <v>64</v>
      </c>
      <c r="AA31" s="94" t="s">
        <v>158</v>
      </c>
      <c r="AB31" s="95" t="str">
        <f aca="false">VLOOKUP(AA31,A_SQUADRE_PER_CODICE,2)</f>
        <v>Piranha</v>
      </c>
      <c r="AC31" s="94" t="n">
        <f aca="false">AD31+AE31+AF31</f>
        <v>3</v>
      </c>
      <c r="AD31" s="94" t="n">
        <f aca="false">SUMIF(B_SQUADRA_A_GIRONI,AB31,B_VINTE_SQUADRA_A_GIRONI)+SUMIF(B_SQUADRA_B_GIRONI,AB31,B_VINTE_SQUADRA_B_GIRONI)</f>
        <v>2</v>
      </c>
      <c r="AE31" s="94" t="n">
        <f aca="false">SUMIF(B_SQUADRA_A_GIRONI,AB31,B_PERSE_SQUADRA_A_GIRONI)+SUMIF(B_SQUADRA_B_GIRONI,AB31,B_PERSE_SQUADRA_B_GIRONI)</f>
        <v>1</v>
      </c>
      <c r="AF31" s="94" t="n">
        <f aca="false">SUMIF(B_SQUADRA_A_GIRONI,AB31,B_FORFAIT_SQUADRA_A_GIRONI)+SUMIF(B_SQUADRA_B_GIRONI,AB31,B_FORFAIT_SQUADRA_B_GIRONI)</f>
        <v>0</v>
      </c>
      <c r="AG31" s="96" t="n">
        <f aca="false">2*AD31+1*AE31+0*AF31</f>
        <v>5</v>
      </c>
      <c r="AH31" s="94" t="n">
        <f aca="false">SUMIF(B_SQUADRA_A_GIRONI,AB31,B_PUNTI_FATTI_SQUADRA_A_GIRONI)+SUMIF(B_SQUADRA_B_GIRONI,AB31,B_PUNTI_FATTI_SQUADRA_B_GIRONI)</f>
        <v>189</v>
      </c>
      <c r="AI31" s="94" t="n">
        <f aca="false">SUMIF(B_SQUADRA_A_GIRONI,AB31,B_PUNTI_SUBITI_SQUADRA_A_GIRONI)+SUMIF(B_SQUADRA_B_GIRONI,AB31,B_PUNTI_SUBITI_SQUADRA_B_GIRONI)</f>
        <v>215</v>
      </c>
      <c r="AJ31" s="97" t="n">
        <f aca="false">SUMIF(B_SQUADRA_A_GIRONI,AB31,B_DIFF_CANESTRI_SQUADRA_A_GIRONI)+SUMIF(B_SQUADRA_B_GIRONI,AB31,B_DIFF_CANESTRI_SQUADRA_B_GIRONI)</f>
        <v>-26</v>
      </c>
      <c r="AK31" s="94" t="n">
        <f aca="true">IF(AG31=AG32,INDIRECT("O"&amp;3+6*(FIND(Z31,"ABCDEFGH")-1)),0)</f>
        <v>28</v>
      </c>
      <c r="AL31" s="98" t="n">
        <f aca="true">IF(AG31=AG33,INDIRECT("O"&amp;4+6*(FIND(Z31,"ABCDEFGH")-1)),0)</f>
        <v>0</v>
      </c>
      <c r="AM31" s="94" t="n">
        <f aca="true">IF(AG31=AG34,INDIRECT("O"&amp;5+6*(FIND(Z31,"ABCDEFGH")-1)),0)</f>
        <v>0</v>
      </c>
      <c r="AN31" s="97" t="n">
        <f aca="true">IF(AG31=AG32,INDIRECT("Q"&amp;3+6*(FIND(Z31,"ABCDEFGH")-1)),0)</f>
        <v>-65</v>
      </c>
      <c r="AO31" s="97" t="n">
        <f aca="true">IF(AG31=AG33,INDIRECT("Q"&amp;4+6*(FIND(Z31,"ABCDEFGH")-1)),0)</f>
        <v>0</v>
      </c>
      <c r="AP31" s="97" t="n">
        <f aca="true">IF(AG31=AG34,INDIRECT("Q"&amp;5+6*(FIND(Z31,"ABCDEFGH")-1)),0)</f>
        <v>0</v>
      </c>
      <c r="AQ31" s="99" t="n">
        <f aca="false">AG31+(500+AN31+AO31+AP31)*10^-3+(AK31+AL31+AM31)*10^-6+(500+AJ31)*10^-9+AH31*10^-12</f>
        <v>5.435028474189</v>
      </c>
    </row>
    <row r="32" customFormat="false" ht="12.8" hidden="false" customHeight="false" outlineLevel="0" collapsed="false">
      <c r="A32" s="31" t="n">
        <v>21</v>
      </c>
      <c r="B32" s="33" t="s">
        <v>9</v>
      </c>
      <c r="C32" s="33" t="s">
        <v>49</v>
      </c>
      <c r="D32" s="33" t="s">
        <v>148</v>
      </c>
      <c r="E32" s="33" t="s">
        <v>149</v>
      </c>
      <c r="F32" s="85" t="str">
        <f aca="false">IF(B32="Girone",VLOOKUP(D32,A_SQUADRE_PER_CODICE,2),"ERRORE!")</f>
        <v>Cervi</v>
      </c>
      <c r="G32" s="85" t="str">
        <f aca="false">IF(B32="Girone",VLOOKUP(E32,A_SQUADRE_PER_CODICE,2),"ERRORE!")</f>
        <v>Cinghiali</v>
      </c>
      <c r="H32" s="33" t="n">
        <f aca="false">VLOOKUP(A32,A_4_INPUT_DATE_E_RISULTATI_GIRONI,6,0)</f>
        <v>0</v>
      </c>
      <c r="I32" s="33" t="n">
        <f aca="false">VLOOKUP(A32,A_4_INPUT_DATE_E_RISULTATI_GIRONI,7,0)</f>
        <v>20</v>
      </c>
      <c r="J32" s="85" t="str">
        <f aca="false">IF(H32&gt;I32,F32,G32)</f>
        <v>Cinghiali</v>
      </c>
      <c r="K32" s="85" t="str">
        <f aca="false">IF(H32&lt;I32,F32,G32)</f>
        <v>Cervi</v>
      </c>
      <c r="L32" s="33" t="n">
        <f aca="false">1*(H32&gt;I32)</f>
        <v>0</v>
      </c>
      <c r="M32" s="86" t="n">
        <f aca="false">1*(H32&lt;I32)*NOT(AND(H32=0,I32=20))</f>
        <v>0</v>
      </c>
      <c r="N32" s="86" t="n">
        <f aca="false">1*AND(H32=0,I32=20)</f>
        <v>1</v>
      </c>
      <c r="O32" s="33" t="n">
        <f aca="false">H32</f>
        <v>0</v>
      </c>
      <c r="P32" s="33" t="n">
        <f aca="false">I32</f>
        <v>20</v>
      </c>
      <c r="Q32" s="87" t="n">
        <f aca="false">O32-P32</f>
        <v>-20</v>
      </c>
      <c r="R32" s="33" t="n">
        <f aca="false">1*(I32&gt;H32)</f>
        <v>1</v>
      </c>
      <c r="S32" s="33" t="n">
        <f aca="false">1*(I32&lt;H32)*NOT(AND(H32=20,I32=0))</f>
        <v>0</v>
      </c>
      <c r="T32" s="33" t="n">
        <f aca="false">1*AND(H32=20,I32=0)</f>
        <v>0</v>
      </c>
      <c r="U32" s="33" t="n">
        <f aca="false">I32</f>
        <v>20</v>
      </c>
      <c r="V32" s="33" t="n">
        <f aca="false">H32</f>
        <v>0</v>
      </c>
      <c r="W32" s="88" t="n">
        <f aca="false">U32-V32</f>
        <v>20</v>
      </c>
      <c r="Y32" s="89" t="str">
        <f aca="false">COUNTIF(B_COEFF_GIRONE_H,"&gt;="&amp;AQ32)&amp;Z32</f>
        <v>1H</v>
      </c>
      <c r="Z32" s="33" t="s">
        <v>64</v>
      </c>
      <c r="AA32" s="33" t="s">
        <v>159</v>
      </c>
      <c r="AB32" s="90" t="str">
        <f aca="false">VLOOKUP(AA32,A_SQUADRE_PER_CODICE,2)</f>
        <v>Scorpioni</v>
      </c>
      <c r="AC32" s="33" t="n">
        <f aca="false">AD32+AE32+AF32</f>
        <v>3</v>
      </c>
      <c r="AD32" s="33" t="n">
        <f aca="false">SUMIF(B_SQUADRA_A_GIRONI,AB32,B_VINTE_SQUADRA_A_GIRONI)+SUMIF(B_SQUADRA_B_GIRONI,AB32,B_VINTE_SQUADRA_B_GIRONI)</f>
        <v>2</v>
      </c>
      <c r="AE32" s="33" t="n">
        <f aca="false">SUMIF(B_SQUADRA_A_GIRONI,AB32,B_PERSE_SQUADRA_A_GIRONI)+SUMIF(B_SQUADRA_B_GIRONI,AB32,B_PERSE_SQUADRA_B_GIRONI)</f>
        <v>1</v>
      </c>
      <c r="AF32" s="33" t="n">
        <f aca="false">SUMIF(B_SQUADRA_A_GIRONI,AB32,B_FORFAIT_SQUADRA_A_GIRONI)+SUMIF(B_SQUADRA_B_GIRONI,AB32,B_FORFAIT_SQUADRA_B_GIRONI)</f>
        <v>0</v>
      </c>
      <c r="AG32" s="91" t="n">
        <f aca="false">2*AD32+1*AE32+0*AF32</f>
        <v>5</v>
      </c>
      <c r="AH32" s="33" t="n">
        <f aca="false">SUMIF(B_SQUADRA_A_GIRONI,AB32,B_PUNTI_FATTI_SQUADRA_A_GIRONI)+SUMIF(B_SQUADRA_B_GIRONI,AB32,B_PUNTI_FATTI_SQUADRA_B_GIRONI)</f>
        <v>214</v>
      </c>
      <c r="AI32" s="33" t="n">
        <f aca="false">SUMIF(B_SQUADRA_A_GIRONI,AB32,B_PUNTI_SUBITI_SQUADRA_A_GIRONI)+SUMIF(B_SQUADRA_B_GIRONI,AB32,B_PUNTI_SUBITI_SQUADRA_B_GIRONI)</f>
        <v>183</v>
      </c>
      <c r="AJ32" s="87" t="n">
        <f aca="false">SUMIF(B_SQUADRA_A_GIRONI,AB32,B_DIFF_CANESTRI_SQUADRA_A_GIRONI)+SUMIF(B_SQUADRA_B_GIRONI,AB32,B_DIFF_CANESTRI_SQUADRA_B_GIRONI)</f>
        <v>31</v>
      </c>
      <c r="AK32" s="33" t="n">
        <f aca="true">IF(AG32=AG33,INDIRECT("O"&amp;6+6*(FIND(Z32,"ABCDEFGH")-1)),0)</f>
        <v>0</v>
      </c>
      <c r="AL32" s="33" t="n">
        <f aca="true">IF(AG32=AG34,INDIRECT("O"&amp;7+6*(FIND(Z32,"ABCDEFGH")-1)),0)</f>
        <v>0</v>
      </c>
      <c r="AM32" s="33" t="n">
        <f aca="true">IF(AG32=AG31,INDIRECT("U"&amp;3+6*(FIND(Z32,"ABCDEFGH")-1)),0)</f>
        <v>93</v>
      </c>
      <c r="AN32" s="87" t="n">
        <f aca="true">IF(AG32=AG33,INDIRECT("Q"&amp;6+6*(FIND(Z32,"ABCDEFGH")-1)),0)</f>
        <v>0</v>
      </c>
      <c r="AO32" s="87" t="n">
        <f aca="true">IF(AG32=AG34,INDIRECT("Q"&amp;7+6*(FIND(Z32,"ABCDEFGH")-1)),0)</f>
        <v>0</v>
      </c>
      <c r="AP32" s="87" t="n">
        <f aca="true">IF(AG32=AG31,INDIRECT("W"&amp;3+6*(FIND(Z32,"ABCDEFGH")-1)),0)</f>
        <v>65</v>
      </c>
      <c r="AQ32" s="92" t="n">
        <f aca="false">AG32+(500+AN32+AO32+AP32)*10^-3+(AK32+AL32+AM32)*10^-6+(500+AJ32)*10^-9+AH32*10^-12</f>
        <v>5.565093531214</v>
      </c>
    </row>
    <row r="33" customFormat="false" ht="12.8" hidden="false" customHeight="false" outlineLevel="0" collapsed="false">
      <c r="A33" s="31" t="n">
        <v>18</v>
      </c>
      <c r="B33" s="33" t="s">
        <v>9</v>
      </c>
      <c r="C33" s="33" t="s">
        <v>54</v>
      </c>
      <c r="D33" s="33" t="s">
        <v>150</v>
      </c>
      <c r="E33" s="33" t="s">
        <v>151</v>
      </c>
      <c r="F33" s="85" t="str">
        <f aca="false">IF(B33="Girone",VLOOKUP(D33,A_SQUADRE_PER_CODICE,2),"ERRORE!")</f>
        <v>Balene</v>
      </c>
      <c r="G33" s="85" t="str">
        <f aca="false">IF(B33="Girone",VLOOKUP(E33,A_SQUADRE_PER_CODICE,2),"ERRORE!")</f>
        <v>Gabbiani</v>
      </c>
      <c r="H33" s="33" t="n">
        <f aca="false">VLOOKUP(A33,A_4_INPUT_DATE_E_RISULTATI_GIRONI,6,0)</f>
        <v>61</v>
      </c>
      <c r="I33" s="33" t="n">
        <f aca="false">VLOOKUP(A33,A_4_INPUT_DATE_E_RISULTATI_GIRONI,7,0)</f>
        <v>41</v>
      </c>
      <c r="J33" s="85" t="str">
        <f aca="false">IF(H33&gt;I33,F33,G33)</f>
        <v>Balene</v>
      </c>
      <c r="K33" s="85" t="str">
        <f aca="false">IF(H33&lt;I33,F33,G33)</f>
        <v>Gabbiani</v>
      </c>
      <c r="L33" s="33" t="n">
        <f aca="false">1*(H33&gt;I33)</f>
        <v>1</v>
      </c>
      <c r="M33" s="86" t="n">
        <f aca="false">1*(H33&lt;I33)*NOT(AND(H33=0,I33=20))</f>
        <v>0</v>
      </c>
      <c r="N33" s="86" t="n">
        <f aca="false">1*AND(H33=0,I33=20)</f>
        <v>0</v>
      </c>
      <c r="O33" s="33" t="n">
        <f aca="false">H33</f>
        <v>61</v>
      </c>
      <c r="P33" s="33" t="n">
        <f aca="false">I33</f>
        <v>41</v>
      </c>
      <c r="Q33" s="87" t="n">
        <f aca="false">O33-P33</f>
        <v>20</v>
      </c>
      <c r="R33" s="33" t="n">
        <f aca="false">1*(I33&gt;H33)</f>
        <v>0</v>
      </c>
      <c r="S33" s="33" t="n">
        <f aca="false">1*(I33&lt;H33)*NOT(AND(H33=20,I33=0))</f>
        <v>1</v>
      </c>
      <c r="T33" s="33" t="n">
        <f aca="false">1*AND(H33=20,I33=0)</f>
        <v>0</v>
      </c>
      <c r="U33" s="33" t="n">
        <f aca="false">I33</f>
        <v>41</v>
      </c>
      <c r="V33" s="33" t="n">
        <f aca="false">H33</f>
        <v>61</v>
      </c>
      <c r="W33" s="88" t="n">
        <f aca="false">U33-V33</f>
        <v>-20</v>
      </c>
      <c r="Y33" s="89" t="str">
        <f aca="false">COUNTIF(B_COEFF_GIRONE_H,"&gt;="&amp;AQ33)&amp;Z33</f>
        <v>4H</v>
      </c>
      <c r="Z33" s="33" t="s">
        <v>64</v>
      </c>
      <c r="AA33" s="33" t="s">
        <v>160</v>
      </c>
      <c r="AB33" s="90" t="str">
        <f aca="false">VLOOKUP(AA33,A_SQUADRE_PER_CODICE,2)</f>
        <v>Tonni</v>
      </c>
      <c r="AC33" s="33" t="n">
        <f aca="false">AD33+AE33+AF33</f>
        <v>3</v>
      </c>
      <c r="AD33" s="33" t="n">
        <f aca="false">SUMIF(B_SQUADRA_A_GIRONI,AB33,B_VINTE_SQUADRA_A_GIRONI)+SUMIF(B_SQUADRA_B_GIRONI,AB33,B_VINTE_SQUADRA_B_GIRONI)</f>
        <v>1</v>
      </c>
      <c r="AE33" s="33" t="n">
        <f aca="false">SUMIF(B_SQUADRA_A_GIRONI,AB33,B_PERSE_SQUADRA_A_GIRONI)+SUMIF(B_SQUADRA_B_GIRONI,AB33,B_PERSE_SQUADRA_B_GIRONI)</f>
        <v>2</v>
      </c>
      <c r="AF33" s="33" t="n">
        <f aca="false">SUMIF(B_SQUADRA_A_GIRONI,AB33,B_FORFAIT_SQUADRA_A_GIRONI)+SUMIF(B_SQUADRA_B_GIRONI,AB33,B_FORFAIT_SQUADRA_B_GIRONI)</f>
        <v>0</v>
      </c>
      <c r="AG33" s="91" t="n">
        <f aca="false">2*AD33+1*AE33+0*AF33</f>
        <v>4</v>
      </c>
      <c r="AH33" s="33" t="n">
        <f aca="false">SUMIF(B_SQUADRA_A_GIRONI,AB33,B_PUNTI_FATTI_SQUADRA_A_GIRONI)+SUMIF(B_SQUADRA_B_GIRONI,AB33,B_PUNTI_FATTI_SQUADRA_B_GIRONI)</f>
        <v>185</v>
      </c>
      <c r="AI33" s="33" t="n">
        <f aca="false">SUMIF(B_SQUADRA_A_GIRONI,AB33,B_PUNTI_SUBITI_SQUADRA_A_GIRONI)+SUMIF(B_SQUADRA_B_GIRONI,AB33,B_PUNTI_SUBITI_SQUADRA_B_GIRONI)</f>
        <v>183</v>
      </c>
      <c r="AJ33" s="87" t="n">
        <f aca="false">SUMIF(B_SQUADRA_A_GIRONI,AB33,B_DIFF_CANESTRI_SQUADRA_A_GIRONI)+SUMIF(B_SQUADRA_B_GIRONI,AB33,B_DIFF_CANESTRI_SQUADRA_B_GIRONI)</f>
        <v>2</v>
      </c>
      <c r="AK33" s="33" t="n">
        <f aca="true">IF(AG33=AG34,INDIRECT("O"&amp;8+6*(FIND(Z33,"ABCDEFGH")-1)),0)</f>
        <v>55</v>
      </c>
      <c r="AL33" s="33" t="n">
        <f aca="true">IF(AG33=AG31,INDIRECT("U"&amp;4+6*(FIND(Z33,"ABCDEFGH")-1)),0)</f>
        <v>0</v>
      </c>
      <c r="AM33" s="33" t="n">
        <f aca="true">IF(AG33=AG32,INDIRECT("U"&amp;6+6*(FIND(Z33,"ABCDEFGH")-1)),0)</f>
        <v>0</v>
      </c>
      <c r="AN33" s="87" t="n">
        <f aca="true">IF(AG33=AG34,INDIRECT("Q"&amp;8+6*(FIND(Z33,"ABCDEFGH")-1)),0)</f>
        <v>-14</v>
      </c>
      <c r="AO33" s="87" t="n">
        <f aca="true">IF(AG33=AG31,INDIRECT("W"&amp;4+6*(FIND(Z33,"ABCDEFGH")-1)),0)</f>
        <v>0</v>
      </c>
      <c r="AP33" s="87" t="n">
        <f aca="true">IF(AG33=AG32,INDIRECT("W"&amp;6+6*(FIND(Z33,"ABCDEFGH")-1)),0)</f>
        <v>0</v>
      </c>
      <c r="AQ33" s="92" t="n">
        <f aca="false">AG33+(500+AN33+AO33+AP33)*10^-3+(AK33+AL33+AM33)*10^-6+(500+AJ33)*10^-9+AH33*10^-12</f>
        <v>4.486055502185</v>
      </c>
    </row>
    <row r="34" customFormat="false" ht="12.8" hidden="false" customHeight="false" outlineLevel="0" collapsed="false">
      <c r="A34" s="31" t="n">
        <v>30</v>
      </c>
      <c r="B34" s="33" t="s">
        <v>9</v>
      </c>
      <c r="C34" s="33" t="s">
        <v>54</v>
      </c>
      <c r="D34" s="33" t="s">
        <v>150</v>
      </c>
      <c r="E34" s="33" t="s">
        <v>152</v>
      </c>
      <c r="F34" s="85" t="str">
        <f aca="false">IF(B34="Girone",VLOOKUP(D34,A_SQUADRE_PER_CODICE,2),"ERRORE!")</f>
        <v>Balene</v>
      </c>
      <c r="G34" s="85" t="str">
        <f aca="false">IF(B34="Girone",VLOOKUP(E34,A_SQUADRE_PER_CODICE,2),"ERRORE!")</f>
        <v>Delfini</v>
      </c>
      <c r="H34" s="33" t="n">
        <f aca="false">VLOOKUP(A34,A_4_INPUT_DATE_E_RISULTATI_GIRONI,6,0)</f>
        <v>64</v>
      </c>
      <c r="I34" s="33" t="n">
        <f aca="false">VLOOKUP(A34,A_4_INPUT_DATE_E_RISULTATI_GIRONI,7,0)</f>
        <v>24</v>
      </c>
      <c r="J34" s="85" t="str">
        <f aca="false">IF(H34&gt;I34,F34,G34)</f>
        <v>Balene</v>
      </c>
      <c r="K34" s="85" t="str">
        <f aca="false">IF(H34&lt;I34,F34,G34)</f>
        <v>Delfini</v>
      </c>
      <c r="L34" s="33" t="n">
        <f aca="false">1*(H34&gt;I34)</f>
        <v>1</v>
      </c>
      <c r="M34" s="86" t="n">
        <f aca="false">1*(H34&lt;I34)*NOT(AND(H34=0,I34=20))</f>
        <v>0</v>
      </c>
      <c r="N34" s="86" t="n">
        <f aca="false">1*AND(H34=0,I34=20)</f>
        <v>0</v>
      </c>
      <c r="O34" s="33" t="n">
        <f aca="false">H34</f>
        <v>64</v>
      </c>
      <c r="P34" s="33" t="n">
        <f aca="false">I34</f>
        <v>24</v>
      </c>
      <c r="Q34" s="87" t="n">
        <f aca="false">O34-P34</f>
        <v>40</v>
      </c>
      <c r="R34" s="33" t="n">
        <f aca="false">1*(I34&gt;H34)</f>
        <v>0</v>
      </c>
      <c r="S34" s="33" t="n">
        <f aca="false">1*(I34&lt;H34)*NOT(AND(H34=20,I34=0))</f>
        <v>1</v>
      </c>
      <c r="T34" s="33" t="n">
        <f aca="false">1*AND(H34=20,I34=0)</f>
        <v>0</v>
      </c>
      <c r="U34" s="33" t="n">
        <f aca="false">I34</f>
        <v>24</v>
      </c>
      <c r="V34" s="33" t="n">
        <f aca="false">H34</f>
        <v>64</v>
      </c>
      <c r="W34" s="88" t="n">
        <f aca="false">U34-V34</f>
        <v>-40</v>
      </c>
      <c r="Y34" s="106" t="str">
        <f aca="false">COUNTIF(B_COEFF_GIRONE_H,"&gt;="&amp;AQ34)&amp;Z34</f>
        <v>3H</v>
      </c>
      <c r="Z34" s="45" t="s">
        <v>64</v>
      </c>
      <c r="AA34" s="45" t="s">
        <v>161</v>
      </c>
      <c r="AB34" s="107" t="str">
        <f aca="false">VLOOKUP(AA34,A_SQUADRE_PER_CODICE,2)</f>
        <v>Zebre</v>
      </c>
      <c r="AC34" s="45" t="n">
        <f aca="false">AD34+AE34+AF34</f>
        <v>3</v>
      </c>
      <c r="AD34" s="45" t="n">
        <f aca="false">SUMIF(B_SQUADRA_A_GIRONI,AB34,B_VINTE_SQUADRA_A_GIRONI)+SUMIF(B_SQUADRA_B_GIRONI,AB34,B_VINTE_SQUADRA_B_GIRONI)</f>
        <v>1</v>
      </c>
      <c r="AE34" s="45" t="n">
        <f aca="false">SUMIF(B_SQUADRA_A_GIRONI,AB34,B_PERSE_SQUADRA_A_GIRONI)+SUMIF(B_SQUADRA_B_GIRONI,AB34,B_PERSE_SQUADRA_B_GIRONI)</f>
        <v>2</v>
      </c>
      <c r="AF34" s="45" t="n">
        <f aca="false">SUMIF(B_SQUADRA_A_GIRONI,AB34,B_FORFAIT_SQUADRA_A_GIRONI)+SUMIF(B_SQUADRA_B_GIRONI,AB34,B_FORFAIT_SQUADRA_B_GIRONI)</f>
        <v>0</v>
      </c>
      <c r="AG34" s="108" t="n">
        <f aca="false">2*AD34+1*AE34+0*AF34</f>
        <v>4</v>
      </c>
      <c r="AH34" s="45" t="n">
        <f aca="false">SUMIF(B_SQUADRA_A_GIRONI,AB34,B_PUNTI_FATTI_SQUADRA_A_GIRONI)+SUMIF(B_SQUADRA_B_GIRONI,AB34,B_PUNTI_FATTI_SQUADRA_B_GIRONI)</f>
        <v>216</v>
      </c>
      <c r="AI34" s="45" t="n">
        <f aca="false">SUMIF(B_SQUADRA_A_GIRONI,AB34,B_PUNTI_SUBITI_SQUADRA_A_GIRONI)+SUMIF(B_SQUADRA_B_GIRONI,AB34,B_PUNTI_SUBITI_SQUADRA_B_GIRONI)</f>
        <v>223</v>
      </c>
      <c r="AJ34" s="109" t="n">
        <f aca="false">SUMIF(B_SQUADRA_A_GIRONI,AB34,B_DIFF_CANESTRI_SQUADRA_A_GIRONI)+SUMIF(B_SQUADRA_B_GIRONI,AB34,B_DIFF_CANESTRI_SQUADRA_B_GIRONI)</f>
        <v>-7</v>
      </c>
      <c r="AK34" s="45" t="n">
        <f aca="true">IF(AG34=AG31,INDIRECT("U"&amp;5+6*(FIND(Z34,"ABCDEFGH")-1)),0)</f>
        <v>0</v>
      </c>
      <c r="AL34" s="45" t="n">
        <f aca="true">IF(AG34=AG32,INDIRECT("U"&amp;7+6*(FIND(Z34,"ABCDEFGH")-1)),0)</f>
        <v>0</v>
      </c>
      <c r="AM34" s="45" t="n">
        <f aca="true">IF(AG34=AG33,INDIRECT("U"&amp;8+6*(FIND(Z34,"ABCDEFGH")-1)),0)</f>
        <v>69</v>
      </c>
      <c r="AN34" s="109" t="n">
        <f aca="true">IF(AG34=AG31,INDIRECT("W"&amp;5+6*(FIND(Z34,"ABCDEFGH")-1)),0)</f>
        <v>0</v>
      </c>
      <c r="AO34" s="109" t="n">
        <f aca="true">IF(AG34=AG32,INDIRECT("W"&amp;7+6*(FIND(Z34,"ABCDEFGH")-1)),0)</f>
        <v>0</v>
      </c>
      <c r="AP34" s="109" t="n">
        <f aca="true">IF(AG34=AG33,INDIRECT("W"&amp;8+6*(FIND(Z34,"ABCDEFGH")-1)),0)</f>
        <v>14</v>
      </c>
      <c r="AQ34" s="110" t="n">
        <f aca="false">AG34+(500+AN34+AO34+AP34)*10^-3+(AK34+AL34+AM34)*10^-6+(500+AJ34)*10^-9+AH34*10^-12</f>
        <v>4.514069493216</v>
      </c>
    </row>
    <row r="35" customFormat="false" ht="12.8" hidden="false" customHeight="false" outlineLevel="0" collapsed="false">
      <c r="A35" s="31" t="n">
        <v>42</v>
      </c>
      <c r="B35" s="33" t="s">
        <v>9</v>
      </c>
      <c r="C35" s="33" t="s">
        <v>54</v>
      </c>
      <c r="D35" s="33" t="s">
        <v>150</v>
      </c>
      <c r="E35" s="33" t="s">
        <v>153</v>
      </c>
      <c r="F35" s="85" t="str">
        <f aca="false">IF(B35="Girone",VLOOKUP(D35,A_SQUADRE_PER_CODICE,2),"ERRORE!")</f>
        <v>Balene</v>
      </c>
      <c r="G35" s="85" t="str">
        <f aca="false">IF(B35="Girone",VLOOKUP(E35,A_SQUADRE_PER_CODICE,2),"ERRORE!")</f>
        <v>Fenicotteri</v>
      </c>
      <c r="H35" s="33" t="n">
        <f aca="false">VLOOKUP(A35,A_4_INPUT_DATE_E_RISULTATI_GIRONI,6,0)</f>
        <v>24</v>
      </c>
      <c r="I35" s="33" t="n">
        <f aca="false">VLOOKUP(A35,A_4_INPUT_DATE_E_RISULTATI_GIRONI,7,0)</f>
        <v>23</v>
      </c>
      <c r="J35" s="85" t="str">
        <f aca="false">IF(H35&gt;I35,F35,G35)</f>
        <v>Balene</v>
      </c>
      <c r="K35" s="85" t="str">
        <f aca="false">IF(H35&lt;I35,F35,G35)</f>
        <v>Fenicotteri</v>
      </c>
      <c r="L35" s="33" t="n">
        <f aca="false">1*(H35&gt;I35)</f>
        <v>1</v>
      </c>
      <c r="M35" s="86" t="n">
        <f aca="false">1*(H35&lt;I35)*NOT(AND(H35=0,I35=20))</f>
        <v>0</v>
      </c>
      <c r="N35" s="86" t="n">
        <f aca="false">1*AND(H35=0,I35=20)</f>
        <v>0</v>
      </c>
      <c r="O35" s="33" t="n">
        <f aca="false">H35</f>
        <v>24</v>
      </c>
      <c r="P35" s="33" t="n">
        <f aca="false">I35</f>
        <v>23</v>
      </c>
      <c r="Q35" s="87" t="n">
        <f aca="false">O35-P35</f>
        <v>1</v>
      </c>
      <c r="R35" s="33" t="n">
        <f aca="false">1*(I35&gt;H35)</f>
        <v>0</v>
      </c>
      <c r="S35" s="33" t="n">
        <f aca="false">1*(I35&lt;H35)*NOT(AND(H35=20,I35=0))</f>
        <v>1</v>
      </c>
      <c r="T35" s="33" t="n">
        <f aca="false">1*AND(H35=20,I35=0)</f>
        <v>0</v>
      </c>
      <c r="U35" s="33" t="n">
        <f aca="false">I35</f>
        <v>23</v>
      </c>
      <c r="V35" s="33" t="n">
        <f aca="false">H35</f>
        <v>24</v>
      </c>
      <c r="W35" s="88" t="n">
        <f aca="false">U35-V35</f>
        <v>-1</v>
      </c>
    </row>
    <row r="36" customFormat="false" ht="12.8" hidden="false" customHeight="false" outlineLevel="0" collapsed="false">
      <c r="A36" s="31" t="n">
        <v>46</v>
      </c>
      <c r="B36" s="33" t="s">
        <v>9</v>
      </c>
      <c r="C36" s="33" t="s">
        <v>54</v>
      </c>
      <c r="D36" s="33" t="s">
        <v>151</v>
      </c>
      <c r="E36" s="33" t="s">
        <v>152</v>
      </c>
      <c r="F36" s="85" t="str">
        <f aca="false">IF(B36="Girone",VLOOKUP(D36,A_SQUADRE_PER_CODICE,2),"ERRORE!")</f>
        <v>Gabbiani</v>
      </c>
      <c r="G36" s="85" t="str">
        <f aca="false">IF(B36="Girone",VLOOKUP(E36,A_SQUADRE_PER_CODICE,2),"ERRORE!")</f>
        <v>Delfini</v>
      </c>
      <c r="H36" s="33" t="n">
        <f aca="false">VLOOKUP(A36,A_4_INPUT_DATE_E_RISULTATI_GIRONI,6,0)</f>
        <v>94</v>
      </c>
      <c r="I36" s="33" t="n">
        <f aca="false">VLOOKUP(A36,A_4_INPUT_DATE_E_RISULTATI_GIRONI,7,0)</f>
        <v>38</v>
      </c>
      <c r="J36" s="85" t="str">
        <f aca="false">IF(H36&gt;I36,F36,G36)</f>
        <v>Gabbiani</v>
      </c>
      <c r="K36" s="85" t="str">
        <f aca="false">IF(H36&lt;I36,F36,G36)</f>
        <v>Delfini</v>
      </c>
      <c r="L36" s="33" t="n">
        <f aca="false">1*(H36&gt;I36)</f>
        <v>1</v>
      </c>
      <c r="M36" s="86" t="n">
        <f aca="false">1*(H36&lt;I36)*NOT(AND(H36=0,I36=20))</f>
        <v>0</v>
      </c>
      <c r="N36" s="86" t="n">
        <f aca="false">1*AND(H36=0,I36=20)</f>
        <v>0</v>
      </c>
      <c r="O36" s="33" t="n">
        <f aca="false">H36</f>
        <v>94</v>
      </c>
      <c r="P36" s="33" t="n">
        <f aca="false">I36</f>
        <v>38</v>
      </c>
      <c r="Q36" s="87" t="n">
        <f aca="false">O36-P36</f>
        <v>56</v>
      </c>
      <c r="R36" s="33" t="n">
        <f aca="false">1*(I36&gt;H36)</f>
        <v>0</v>
      </c>
      <c r="S36" s="33" t="n">
        <f aca="false">1*(I36&lt;H36)*NOT(AND(H36=20,I36=0))</f>
        <v>1</v>
      </c>
      <c r="T36" s="33" t="n">
        <f aca="false">1*AND(H36=20,I36=0)</f>
        <v>0</v>
      </c>
      <c r="U36" s="33" t="n">
        <f aca="false">I36</f>
        <v>38</v>
      </c>
      <c r="V36" s="33" t="n">
        <f aca="false">H36</f>
        <v>94</v>
      </c>
      <c r="W36" s="88" t="n">
        <f aca="false">U36-V36</f>
        <v>-56</v>
      </c>
    </row>
    <row r="37" customFormat="false" ht="12.8" hidden="false" customHeight="false" outlineLevel="0" collapsed="false">
      <c r="A37" s="31" t="n">
        <v>34</v>
      </c>
      <c r="B37" s="33" t="s">
        <v>9</v>
      </c>
      <c r="C37" s="33" t="s">
        <v>54</v>
      </c>
      <c r="D37" s="33" t="s">
        <v>151</v>
      </c>
      <c r="E37" s="33" t="s">
        <v>153</v>
      </c>
      <c r="F37" s="85" t="str">
        <f aca="false">IF(B37="Girone",VLOOKUP(D37,A_SQUADRE_PER_CODICE,2),"ERRORE!")</f>
        <v>Gabbiani</v>
      </c>
      <c r="G37" s="85" t="str">
        <f aca="false">IF(B37="Girone",VLOOKUP(E37,A_SQUADRE_PER_CODICE,2),"ERRORE!")</f>
        <v>Fenicotteri</v>
      </c>
      <c r="H37" s="33" t="n">
        <f aca="false">VLOOKUP(A37,A_4_INPUT_DATE_E_RISULTATI_GIRONI,6,0)</f>
        <v>41</v>
      </c>
      <c r="I37" s="33" t="n">
        <f aca="false">VLOOKUP(A37,A_4_INPUT_DATE_E_RISULTATI_GIRONI,7,0)</f>
        <v>35</v>
      </c>
      <c r="J37" s="85" t="str">
        <f aca="false">IF(H37&gt;I37,F37,G37)</f>
        <v>Gabbiani</v>
      </c>
      <c r="K37" s="85" t="str">
        <f aca="false">IF(H37&lt;I37,F37,G37)</f>
        <v>Fenicotteri</v>
      </c>
      <c r="L37" s="33" t="n">
        <f aca="false">1*(H37&gt;I37)</f>
        <v>1</v>
      </c>
      <c r="M37" s="86" t="n">
        <f aca="false">1*(H37&lt;I37)*NOT(AND(H37=0,I37=20))</f>
        <v>0</v>
      </c>
      <c r="N37" s="86" t="n">
        <f aca="false">1*AND(H37=0,I37=20)</f>
        <v>0</v>
      </c>
      <c r="O37" s="33" t="n">
        <f aca="false">H37</f>
        <v>41</v>
      </c>
      <c r="P37" s="33" t="n">
        <f aca="false">I37</f>
        <v>35</v>
      </c>
      <c r="Q37" s="87" t="n">
        <f aca="false">O37-P37</f>
        <v>6</v>
      </c>
      <c r="R37" s="33" t="n">
        <f aca="false">1*(I37&gt;H37)</f>
        <v>0</v>
      </c>
      <c r="S37" s="33" t="n">
        <f aca="false">1*(I37&lt;H37)*NOT(AND(H37=20,I37=0))</f>
        <v>1</v>
      </c>
      <c r="T37" s="33" t="n">
        <f aca="false">1*AND(H37=20,I37=0)</f>
        <v>0</v>
      </c>
      <c r="U37" s="33" t="n">
        <f aca="false">I37</f>
        <v>35</v>
      </c>
      <c r="V37" s="33" t="n">
        <f aca="false">H37</f>
        <v>41</v>
      </c>
      <c r="W37" s="88" t="n">
        <f aca="false">U37-V37</f>
        <v>-6</v>
      </c>
    </row>
    <row r="38" customFormat="false" ht="12.8" hidden="false" customHeight="false" outlineLevel="0" collapsed="false">
      <c r="A38" s="31" t="n">
        <v>22</v>
      </c>
      <c r="B38" s="33" t="s">
        <v>9</v>
      </c>
      <c r="C38" s="33" t="s">
        <v>54</v>
      </c>
      <c r="D38" s="33" t="s">
        <v>152</v>
      </c>
      <c r="E38" s="33" t="s">
        <v>153</v>
      </c>
      <c r="F38" s="85" t="str">
        <f aca="false">IF(B38="Girone",VLOOKUP(D38,A_SQUADRE_PER_CODICE,2),"ERRORE!")</f>
        <v>Delfini</v>
      </c>
      <c r="G38" s="85" t="str">
        <f aca="false">IF(B38="Girone",VLOOKUP(E38,A_SQUADRE_PER_CODICE,2),"ERRORE!")</f>
        <v>Fenicotteri</v>
      </c>
      <c r="H38" s="33" t="n">
        <f aca="false">VLOOKUP(A38,A_4_INPUT_DATE_E_RISULTATI_GIRONI,6,0)</f>
        <v>72</v>
      </c>
      <c r="I38" s="33" t="n">
        <f aca="false">VLOOKUP(A38,A_4_INPUT_DATE_E_RISULTATI_GIRONI,7,0)</f>
        <v>46</v>
      </c>
      <c r="J38" s="85" t="str">
        <f aca="false">IF(H38&gt;I38,F38,G38)</f>
        <v>Delfini</v>
      </c>
      <c r="K38" s="85" t="str">
        <f aca="false">IF(H38&lt;I38,F38,G38)</f>
        <v>Fenicotteri</v>
      </c>
      <c r="L38" s="33" t="n">
        <f aca="false">1*(H38&gt;I38)</f>
        <v>1</v>
      </c>
      <c r="M38" s="86" t="n">
        <f aca="false">1*(H38&lt;I38)*NOT(AND(H38=0,I38=20))</f>
        <v>0</v>
      </c>
      <c r="N38" s="86" t="n">
        <f aca="false">1*AND(H38=0,I38=20)</f>
        <v>0</v>
      </c>
      <c r="O38" s="33" t="n">
        <f aca="false">H38</f>
        <v>72</v>
      </c>
      <c r="P38" s="33" t="n">
        <f aca="false">I38</f>
        <v>46</v>
      </c>
      <c r="Q38" s="87" t="n">
        <f aca="false">O38-P38</f>
        <v>26</v>
      </c>
      <c r="R38" s="33" t="n">
        <f aca="false">1*(I38&gt;H38)</f>
        <v>0</v>
      </c>
      <c r="S38" s="33" t="n">
        <f aca="false">1*(I38&lt;H38)*NOT(AND(H38=20,I38=0))</f>
        <v>1</v>
      </c>
      <c r="T38" s="33" t="n">
        <f aca="false">1*AND(H38=20,I38=0)</f>
        <v>0</v>
      </c>
      <c r="U38" s="33" t="n">
        <f aca="false">I38</f>
        <v>46</v>
      </c>
      <c r="V38" s="33" t="n">
        <f aca="false">H38</f>
        <v>72</v>
      </c>
      <c r="W38" s="88" t="n">
        <f aca="false">U38-V38</f>
        <v>-26</v>
      </c>
    </row>
    <row r="39" customFormat="false" ht="12.8" hidden="false" customHeight="false" outlineLevel="0" collapsed="false">
      <c r="A39" s="31" t="n">
        <v>19</v>
      </c>
      <c r="B39" s="33" t="s">
        <v>9</v>
      </c>
      <c r="C39" s="33" t="s">
        <v>59</v>
      </c>
      <c r="D39" s="33" t="s">
        <v>154</v>
      </c>
      <c r="E39" s="33" t="s">
        <v>155</v>
      </c>
      <c r="F39" s="85" t="str">
        <f aca="false">IF(B39="Girone",VLOOKUP(D39,A_SQUADRE_PER_CODICE,2),"ERRORE!")</f>
        <v>Istrici</v>
      </c>
      <c r="G39" s="85" t="str">
        <f aca="false">IF(B39="Girone",VLOOKUP(E39,A_SQUADRE_PER_CODICE,2),"ERRORE!")</f>
        <v>Gorilla</v>
      </c>
      <c r="H39" s="33" t="n">
        <f aca="false">VLOOKUP(A39,A_4_INPUT_DATE_E_RISULTATI_GIRONI,6,0)</f>
        <v>57</v>
      </c>
      <c r="I39" s="33" t="n">
        <f aca="false">VLOOKUP(A39,A_4_INPUT_DATE_E_RISULTATI_GIRONI,7,0)</f>
        <v>55</v>
      </c>
      <c r="J39" s="85" t="str">
        <f aca="false">IF(H39&gt;I39,F39,G39)</f>
        <v>Istrici</v>
      </c>
      <c r="K39" s="85" t="str">
        <f aca="false">IF(H39&lt;I39,F39,G39)</f>
        <v>Gorilla</v>
      </c>
      <c r="L39" s="33" t="n">
        <f aca="false">1*(H39&gt;I39)</f>
        <v>1</v>
      </c>
      <c r="M39" s="86" t="n">
        <f aca="false">1*(H39&lt;I39)*NOT(AND(H39=0,I39=20))</f>
        <v>0</v>
      </c>
      <c r="N39" s="86" t="n">
        <f aca="false">1*AND(H39=0,I39=20)</f>
        <v>0</v>
      </c>
      <c r="O39" s="33" t="n">
        <f aca="false">H39</f>
        <v>57</v>
      </c>
      <c r="P39" s="33" t="n">
        <f aca="false">I39</f>
        <v>55</v>
      </c>
      <c r="Q39" s="87" t="n">
        <f aca="false">O39-P39</f>
        <v>2</v>
      </c>
      <c r="R39" s="33" t="n">
        <f aca="false">1*(I39&gt;H39)</f>
        <v>0</v>
      </c>
      <c r="S39" s="33" t="n">
        <f aca="false">1*(I39&lt;H39)*NOT(AND(H39=20,I39=0))</f>
        <v>1</v>
      </c>
      <c r="T39" s="33" t="n">
        <f aca="false">1*AND(H39=20,I39=0)</f>
        <v>0</v>
      </c>
      <c r="U39" s="33" t="n">
        <f aca="false">I39</f>
        <v>55</v>
      </c>
      <c r="V39" s="33" t="n">
        <f aca="false">H39</f>
        <v>57</v>
      </c>
      <c r="W39" s="88" t="n">
        <f aca="false">U39-V39</f>
        <v>-2</v>
      </c>
    </row>
    <row r="40" customFormat="false" ht="12.8" hidden="false" customHeight="false" outlineLevel="0" collapsed="false">
      <c r="A40" s="31" t="n">
        <v>31</v>
      </c>
      <c r="B40" s="33" t="s">
        <v>9</v>
      </c>
      <c r="C40" s="33" t="s">
        <v>59</v>
      </c>
      <c r="D40" s="33" t="s">
        <v>154</v>
      </c>
      <c r="E40" s="33" t="s">
        <v>156</v>
      </c>
      <c r="F40" s="85" t="str">
        <f aca="false">IF(B40="Girone",VLOOKUP(D40,A_SQUADRE_PER_CODICE,2),"ERRORE!")</f>
        <v>Istrici</v>
      </c>
      <c r="G40" s="85" t="str">
        <f aca="false">IF(B40="Girone",VLOOKUP(E40,A_SQUADRE_PER_CODICE,2),"ERRORE!")</f>
        <v>Muli</v>
      </c>
      <c r="H40" s="33" t="n">
        <f aca="false">VLOOKUP(A40,A_4_INPUT_DATE_E_RISULTATI_GIRONI,6,0)</f>
        <v>48</v>
      </c>
      <c r="I40" s="33" t="n">
        <f aca="false">VLOOKUP(A40,A_4_INPUT_DATE_E_RISULTATI_GIRONI,7,0)</f>
        <v>36</v>
      </c>
      <c r="J40" s="85" t="str">
        <f aca="false">IF(H40&gt;I40,F40,G40)</f>
        <v>Istrici</v>
      </c>
      <c r="K40" s="85" t="str">
        <f aca="false">IF(H40&lt;I40,F40,G40)</f>
        <v>Muli</v>
      </c>
      <c r="L40" s="33" t="n">
        <f aca="false">1*(H40&gt;I40)</f>
        <v>1</v>
      </c>
      <c r="M40" s="86" t="n">
        <f aca="false">1*(H40&lt;I40)*NOT(AND(H40=0,I40=20))</f>
        <v>0</v>
      </c>
      <c r="N40" s="86" t="n">
        <f aca="false">1*AND(H40=0,I40=20)</f>
        <v>0</v>
      </c>
      <c r="O40" s="33" t="n">
        <f aca="false">H40</f>
        <v>48</v>
      </c>
      <c r="P40" s="33" t="n">
        <f aca="false">I40</f>
        <v>36</v>
      </c>
      <c r="Q40" s="87" t="n">
        <f aca="false">O40-P40</f>
        <v>12</v>
      </c>
      <c r="R40" s="33" t="n">
        <f aca="false">1*(I40&gt;H40)</f>
        <v>0</v>
      </c>
      <c r="S40" s="33" t="n">
        <f aca="false">1*(I40&lt;H40)*NOT(AND(H40=20,I40=0))</f>
        <v>1</v>
      </c>
      <c r="T40" s="33" t="n">
        <f aca="false">1*AND(H40=20,I40=0)</f>
        <v>0</v>
      </c>
      <c r="U40" s="33" t="n">
        <f aca="false">I40</f>
        <v>36</v>
      </c>
      <c r="V40" s="33" t="n">
        <f aca="false">H40</f>
        <v>48</v>
      </c>
      <c r="W40" s="88" t="n">
        <f aca="false">U40-V40</f>
        <v>-12</v>
      </c>
    </row>
    <row r="41" customFormat="false" ht="12.8" hidden="false" customHeight="false" outlineLevel="0" collapsed="false">
      <c r="A41" s="31" t="n">
        <v>43</v>
      </c>
      <c r="B41" s="33" t="s">
        <v>9</v>
      </c>
      <c r="C41" s="33" t="s">
        <v>59</v>
      </c>
      <c r="D41" s="33" t="s">
        <v>154</v>
      </c>
      <c r="E41" s="33" t="s">
        <v>157</v>
      </c>
      <c r="F41" s="85" t="str">
        <f aca="false">IF(B41="Girone",VLOOKUP(D41,A_SQUADRE_PER_CODICE,2),"ERRORE!")</f>
        <v>Istrici</v>
      </c>
      <c r="G41" s="85" t="str">
        <f aca="false">IF(B41="Girone",VLOOKUP(E41,A_SQUADRE_PER_CODICE,2),"ERRORE!")</f>
        <v>Orche</v>
      </c>
      <c r="H41" s="33" t="n">
        <f aca="false">VLOOKUP(A41,A_4_INPUT_DATE_E_RISULTATI_GIRONI,6,0)</f>
        <v>32</v>
      </c>
      <c r="I41" s="33" t="n">
        <f aca="false">VLOOKUP(A41,A_4_INPUT_DATE_E_RISULTATI_GIRONI,7,0)</f>
        <v>31</v>
      </c>
      <c r="J41" s="85" t="str">
        <f aca="false">IF(H41&gt;I41,F41,G41)</f>
        <v>Istrici</v>
      </c>
      <c r="K41" s="85" t="str">
        <f aca="false">IF(H41&lt;I41,F41,G41)</f>
        <v>Orche</v>
      </c>
      <c r="L41" s="33" t="n">
        <f aca="false">1*(H41&gt;I41)</f>
        <v>1</v>
      </c>
      <c r="M41" s="86" t="n">
        <f aca="false">1*(H41&lt;I41)*NOT(AND(H41=0,I41=20))</f>
        <v>0</v>
      </c>
      <c r="N41" s="86" t="n">
        <f aca="false">1*AND(H41=0,I41=20)</f>
        <v>0</v>
      </c>
      <c r="O41" s="33" t="n">
        <f aca="false">H41</f>
        <v>32</v>
      </c>
      <c r="P41" s="33" t="n">
        <f aca="false">I41</f>
        <v>31</v>
      </c>
      <c r="Q41" s="87" t="n">
        <f aca="false">O41-P41</f>
        <v>1</v>
      </c>
      <c r="R41" s="33" t="n">
        <f aca="false">1*(I41&gt;H41)</f>
        <v>0</v>
      </c>
      <c r="S41" s="33" t="n">
        <f aca="false">1*(I41&lt;H41)*NOT(AND(H41=20,I41=0))</f>
        <v>1</v>
      </c>
      <c r="T41" s="33" t="n">
        <f aca="false">1*AND(H41=20,I41=0)</f>
        <v>0</v>
      </c>
      <c r="U41" s="33" t="n">
        <f aca="false">I41</f>
        <v>31</v>
      </c>
      <c r="V41" s="33" t="n">
        <f aca="false">H41</f>
        <v>32</v>
      </c>
      <c r="W41" s="88" t="n">
        <f aca="false">U41-V41</f>
        <v>-1</v>
      </c>
    </row>
    <row r="42" customFormat="false" ht="12.8" hidden="false" customHeight="false" outlineLevel="0" collapsed="false">
      <c r="A42" s="31" t="n">
        <v>47</v>
      </c>
      <c r="B42" s="33" t="s">
        <v>9</v>
      </c>
      <c r="C42" s="33" t="s">
        <v>59</v>
      </c>
      <c r="D42" s="33" t="s">
        <v>155</v>
      </c>
      <c r="E42" s="33" t="s">
        <v>156</v>
      </c>
      <c r="F42" s="85" t="str">
        <f aca="false">IF(B42="Girone",VLOOKUP(D42,A_SQUADRE_PER_CODICE,2),"ERRORE!")</f>
        <v>Gorilla</v>
      </c>
      <c r="G42" s="85" t="str">
        <f aca="false">IF(B42="Girone",VLOOKUP(E42,A_SQUADRE_PER_CODICE,2),"ERRORE!")</f>
        <v>Muli</v>
      </c>
      <c r="H42" s="33" t="n">
        <f aca="false">VLOOKUP(A42,A_4_INPUT_DATE_E_RISULTATI_GIRONI,6,0)</f>
        <v>56</v>
      </c>
      <c r="I42" s="33" t="n">
        <f aca="false">VLOOKUP(A42,A_4_INPUT_DATE_E_RISULTATI_GIRONI,7,0)</f>
        <v>58</v>
      </c>
      <c r="J42" s="85" t="str">
        <f aca="false">IF(H42&gt;I42,F42,G42)</f>
        <v>Muli</v>
      </c>
      <c r="K42" s="85" t="str">
        <f aca="false">IF(H42&lt;I42,F42,G42)</f>
        <v>Gorilla</v>
      </c>
      <c r="L42" s="33" t="n">
        <f aca="false">1*(H42&gt;I42)</f>
        <v>0</v>
      </c>
      <c r="M42" s="86" t="n">
        <f aca="false">1*(H42&lt;I42)*NOT(AND(H42=0,I42=20))</f>
        <v>1</v>
      </c>
      <c r="N42" s="86" t="n">
        <f aca="false">1*AND(H42=0,I42=20)</f>
        <v>0</v>
      </c>
      <c r="O42" s="33" t="n">
        <f aca="false">H42</f>
        <v>56</v>
      </c>
      <c r="P42" s="33" t="n">
        <f aca="false">I42</f>
        <v>58</v>
      </c>
      <c r="Q42" s="87" t="n">
        <f aca="false">O42-P42</f>
        <v>-2</v>
      </c>
      <c r="R42" s="33" t="n">
        <f aca="false">1*(I42&gt;H42)</f>
        <v>1</v>
      </c>
      <c r="S42" s="33" t="n">
        <f aca="false">1*(I42&lt;H42)*NOT(AND(H42=20,I42=0))</f>
        <v>0</v>
      </c>
      <c r="T42" s="33" t="n">
        <f aca="false">1*AND(H42=20,I42=0)</f>
        <v>0</v>
      </c>
      <c r="U42" s="33" t="n">
        <f aca="false">I42</f>
        <v>58</v>
      </c>
      <c r="V42" s="33" t="n">
        <f aca="false">H42</f>
        <v>56</v>
      </c>
      <c r="W42" s="88" t="n">
        <f aca="false">U42-V42</f>
        <v>2</v>
      </c>
    </row>
    <row r="43" customFormat="false" ht="12.8" hidden="false" customHeight="false" outlineLevel="0" collapsed="false">
      <c r="A43" s="31" t="n">
        <v>35</v>
      </c>
      <c r="B43" s="33" t="s">
        <v>9</v>
      </c>
      <c r="C43" s="33" t="s">
        <v>59</v>
      </c>
      <c r="D43" s="33" t="s">
        <v>155</v>
      </c>
      <c r="E43" s="33" t="s">
        <v>157</v>
      </c>
      <c r="F43" s="85" t="str">
        <f aca="false">IF(B43="Girone",VLOOKUP(D43,A_SQUADRE_PER_CODICE,2),"ERRORE!")</f>
        <v>Gorilla</v>
      </c>
      <c r="G43" s="85" t="str">
        <f aca="false">IF(B43="Girone",VLOOKUP(E43,A_SQUADRE_PER_CODICE,2),"ERRORE!")</f>
        <v>Orche</v>
      </c>
      <c r="H43" s="33" t="n">
        <f aca="false">VLOOKUP(A43,A_4_INPUT_DATE_E_RISULTATI_GIRONI,6,0)</f>
        <v>50</v>
      </c>
      <c r="I43" s="33" t="n">
        <f aca="false">VLOOKUP(A43,A_4_INPUT_DATE_E_RISULTATI_GIRONI,7,0)</f>
        <v>64</v>
      </c>
      <c r="J43" s="85" t="str">
        <f aca="false">IF(H43&gt;I43,F43,G43)</f>
        <v>Orche</v>
      </c>
      <c r="K43" s="85" t="str">
        <f aca="false">IF(H43&lt;I43,F43,G43)</f>
        <v>Gorilla</v>
      </c>
      <c r="L43" s="33" t="n">
        <f aca="false">1*(H43&gt;I43)</f>
        <v>0</v>
      </c>
      <c r="M43" s="86" t="n">
        <f aca="false">1*(H43&lt;I43)*NOT(AND(H43=0,I43=20))</f>
        <v>1</v>
      </c>
      <c r="N43" s="86" t="n">
        <f aca="false">1*AND(H43=0,I43=20)</f>
        <v>0</v>
      </c>
      <c r="O43" s="33" t="n">
        <f aca="false">H43</f>
        <v>50</v>
      </c>
      <c r="P43" s="33" t="n">
        <f aca="false">I43</f>
        <v>64</v>
      </c>
      <c r="Q43" s="87" t="n">
        <f aca="false">O43-P43</f>
        <v>-14</v>
      </c>
      <c r="R43" s="33" t="n">
        <f aca="false">1*(I43&gt;H43)</f>
        <v>1</v>
      </c>
      <c r="S43" s="33" t="n">
        <f aca="false">1*(I43&lt;H43)*NOT(AND(H43=20,I43=0))</f>
        <v>0</v>
      </c>
      <c r="T43" s="33" t="n">
        <f aca="false">1*AND(H43=20,I43=0)</f>
        <v>0</v>
      </c>
      <c r="U43" s="33" t="n">
        <f aca="false">I43</f>
        <v>64</v>
      </c>
      <c r="V43" s="33" t="n">
        <f aca="false">H43</f>
        <v>50</v>
      </c>
      <c r="W43" s="88" t="n">
        <f aca="false">U43-V43</f>
        <v>14</v>
      </c>
    </row>
    <row r="44" customFormat="false" ht="12.8" hidden="false" customHeight="false" outlineLevel="0" collapsed="false">
      <c r="A44" s="31" t="n">
        <v>23</v>
      </c>
      <c r="B44" s="33" t="s">
        <v>9</v>
      </c>
      <c r="C44" s="33" t="s">
        <v>59</v>
      </c>
      <c r="D44" s="33" t="s">
        <v>156</v>
      </c>
      <c r="E44" s="33" t="s">
        <v>157</v>
      </c>
      <c r="F44" s="85" t="str">
        <f aca="false">IF(B44="Girone",VLOOKUP(D44,A_SQUADRE_PER_CODICE,2),"ERRORE!")</f>
        <v>Muli</v>
      </c>
      <c r="G44" s="85" t="str">
        <f aca="false">IF(B44="Girone",VLOOKUP(E44,A_SQUADRE_PER_CODICE,2),"ERRORE!")</f>
        <v>Orche</v>
      </c>
      <c r="H44" s="33" t="n">
        <f aca="false">VLOOKUP(A44,A_4_INPUT_DATE_E_RISULTATI_GIRONI,6,0)</f>
        <v>49</v>
      </c>
      <c r="I44" s="33" t="n">
        <f aca="false">VLOOKUP(A44,A_4_INPUT_DATE_E_RISULTATI_GIRONI,7,0)</f>
        <v>88</v>
      </c>
      <c r="J44" s="85" t="str">
        <f aca="false">IF(H44&gt;I44,F44,G44)</f>
        <v>Orche</v>
      </c>
      <c r="K44" s="85" t="str">
        <f aca="false">IF(H44&lt;I44,F44,G44)</f>
        <v>Muli</v>
      </c>
      <c r="L44" s="33" t="n">
        <f aca="false">1*(H44&gt;I44)</f>
        <v>0</v>
      </c>
      <c r="M44" s="86" t="n">
        <f aca="false">1*(H44&lt;I44)*NOT(AND(H44=0,I44=20))</f>
        <v>1</v>
      </c>
      <c r="N44" s="86" t="n">
        <f aca="false">1*AND(H44=0,I44=20)</f>
        <v>0</v>
      </c>
      <c r="O44" s="33" t="n">
        <f aca="false">H44</f>
        <v>49</v>
      </c>
      <c r="P44" s="33" t="n">
        <f aca="false">I44</f>
        <v>88</v>
      </c>
      <c r="Q44" s="87" t="n">
        <f aca="false">O44-P44</f>
        <v>-39</v>
      </c>
      <c r="R44" s="33" t="n">
        <f aca="false">1*(I44&gt;H44)</f>
        <v>1</v>
      </c>
      <c r="S44" s="33" t="n">
        <f aca="false">1*(I44&lt;H44)*NOT(AND(H44=20,I44=0))</f>
        <v>0</v>
      </c>
      <c r="T44" s="33" t="n">
        <f aca="false">1*AND(H44=20,I44=0)</f>
        <v>0</v>
      </c>
      <c r="U44" s="33" t="n">
        <f aca="false">I44</f>
        <v>88</v>
      </c>
      <c r="V44" s="33" t="n">
        <f aca="false">H44</f>
        <v>49</v>
      </c>
      <c r="W44" s="88" t="n">
        <f aca="false">U44-V44</f>
        <v>39</v>
      </c>
    </row>
    <row r="45" customFormat="false" ht="12.8" hidden="false" customHeight="false" outlineLevel="0" collapsed="false">
      <c r="A45" s="31" t="n">
        <v>20</v>
      </c>
      <c r="B45" s="33" t="s">
        <v>9</v>
      </c>
      <c r="C45" s="33" t="s">
        <v>64</v>
      </c>
      <c r="D45" s="33" t="s">
        <v>158</v>
      </c>
      <c r="E45" s="33" t="s">
        <v>159</v>
      </c>
      <c r="F45" s="85" t="str">
        <f aca="false">IF(B45="Girone",VLOOKUP(D45,A_SQUADRE_PER_CODICE,2),"ERRORE!")</f>
        <v>Piranha</v>
      </c>
      <c r="G45" s="85" t="str">
        <f aca="false">IF(B45="Girone",VLOOKUP(E45,A_SQUADRE_PER_CODICE,2),"ERRORE!")</f>
        <v>Scorpioni</v>
      </c>
      <c r="H45" s="33" t="n">
        <f aca="false">VLOOKUP(A45,A_4_INPUT_DATE_E_RISULTATI_GIRONI,6,0)</f>
        <v>28</v>
      </c>
      <c r="I45" s="33" t="n">
        <f aca="false">VLOOKUP(A45,A_4_INPUT_DATE_E_RISULTATI_GIRONI,7,0)</f>
        <v>93</v>
      </c>
      <c r="J45" s="85" t="str">
        <f aca="false">IF(H45&gt;I45,F45,G45)</f>
        <v>Scorpioni</v>
      </c>
      <c r="K45" s="85" t="str">
        <f aca="false">IF(H45&lt;I45,F45,G45)</f>
        <v>Piranha</v>
      </c>
      <c r="L45" s="33" t="n">
        <f aca="false">1*(H45&gt;I45)</f>
        <v>0</v>
      </c>
      <c r="M45" s="86" t="n">
        <f aca="false">1*(H45&lt;I45)*NOT(AND(H45=0,I45=20))</f>
        <v>1</v>
      </c>
      <c r="N45" s="86" t="n">
        <f aca="false">1*AND(H45=0,I45=20)</f>
        <v>0</v>
      </c>
      <c r="O45" s="33" t="n">
        <f aca="false">H45</f>
        <v>28</v>
      </c>
      <c r="P45" s="33" t="n">
        <f aca="false">I45</f>
        <v>93</v>
      </c>
      <c r="Q45" s="87" t="n">
        <f aca="false">O45-P45</f>
        <v>-65</v>
      </c>
      <c r="R45" s="33" t="n">
        <f aca="false">1*(I45&gt;H45)</f>
        <v>1</v>
      </c>
      <c r="S45" s="33" t="n">
        <f aca="false">1*(I45&lt;H45)*NOT(AND(H45=20,I45=0))</f>
        <v>0</v>
      </c>
      <c r="T45" s="33" t="n">
        <f aca="false">1*AND(H45=20,I45=0)</f>
        <v>0</v>
      </c>
      <c r="U45" s="33" t="n">
        <f aca="false">I45</f>
        <v>93</v>
      </c>
      <c r="V45" s="33" t="n">
        <f aca="false">H45</f>
        <v>28</v>
      </c>
      <c r="W45" s="88" t="n">
        <f aca="false">U45-V45</f>
        <v>65</v>
      </c>
    </row>
    <row r="46" customFormat="false" ht="12.8" hidden="false" customHeight="false" outlineLevel="0" collapsed="false">
      <c r="A46" s="31" t="n">
        <v>32</v>
      </c>
      <c r="B46" s="33" t="s">
        <v>9</v>
      </c>
      <c r="C46" s="33" t="s">
        <v>64</v>
      </c>
      <c r="D46" s="33" t="s">
        <v>158</v>
      </c>
      <c r="E46" s="33" t="s">
        <v>160</v>
      </c>
      <c r="F46" s="85" t="str">
        <f aca="false">IF(B46="Girone",VLOOKUP(D46,A_SQUADRE_PER_CODICE,2),"ERRORE!")</f>
        <v>Piranha</v>
      </c>
      <c r="G46" s="85" t="str">
        <f aca="false">IF(B46="Girone",VLOOKUP(E46,A_SQUADRE_PER_CODICE,2),"ERRORE!")</f>
        <v>Tonni</v>
      </c>
      <c r="H46" s="33" t="n">
        <f aca="false">VLOOKUP(A46,A_4_INPUT_DATE_E_RISULTATI_GIRONI,6,0)</f>
        <v>75</v>
      </c>
      <c r="I46" s="33" t="n">
        <f aca="false">VLOOKUP(A46,A_4_INPUT_DATE_E_RISULTATI_GIRONI,7,0)</f>
        <v>49</v>
      </c>
      <c r="J46" s="85" t="str">
        <f aca="false">IF(H46&gt;I46,F46,G46)</f>
        <v>Piranha</v>
      </c>
      <c r="K46" s="85" t="str">
        <f aca="false">IF(H46&lt;I46,F46,G46)</f>
        <v>Tonni</v>
      </c>
      <c r="L46" s="33" t="n">
        <f aca="false">1*(H46&gt;I46)</f>
        <v>1</v>
      </c>
      <c r="M46" s="86" t="n">
        <f aca="false">1*(H46&lt;I46)*NOT(AND(H46=0,I46=20))</f>
        <v>0</v>
      </c>
      <c r="N46" s="86" t="n">
        <f aca="false">1*AND(H46=0,I46=20)</f>
        <v>0</v>
      </c>
      <c r="O46" s="33" t="n">
        <f aca="false">H46</f>
        <v>75</v>
      </c>
      <c r="P46" s="33" t="n">
        <f aca="false">I46</f>
        <v>49</v>
      </c>
      <c r="Q46" s="87" t="n">
        <f aca="false">O46-P46</f>
        <v>26</v>
      </c>
      <c r="R46" s="33" t="n">
        <f aca="false">1*(I46&gt;H46)</f>
        <v>0</v>
      </c>
      <c r="S46" s="33" t="n">
        <f aca="false">1*(I46&lt;H46)*NOT(AND(H46=20,I46=0))</f>
        <v>1</v>
      </c>
      <c r="T46" s="33" t="n">
        <f aca="false">1*AND(H46=20,I46=0)</f>
        <v>0</v>
      </c>
      <c r="U46" s="33" t="n">
        <f aca="false">I46</f>
        <v>49</v>
      </c>
      <c r="V46" s="33" t="n">
        <f aca="false">H46</f>
        <v>75</v>
      </c>
      <c r="W46" s="88" t="n">
        <f aca="false">U46-V46</f>
        <v>-26</v>
      </c>
    </row>
    <row r="47" customFormat="false" ht="12.8" hidden="false" customHeight="false" outlineLevel="0" collapsed="false">
      <c r="A47" s="31" t="n">
        <v>44</v>
      </c>
      <c r="B47" s="33" t="s">
        <v>9</v>
      </c>
      <c r="C47" s="33" t="s">
        <v>64</v>
      </c>
      <c r="D47" s="33" t="s">
        <v>158</v>
      </c>
      <c r="E47" s="33" t="s">
        <v>161</v>
      </c>
      <c r="F47" s="85" t="str">
        <f aca="false">IF(B47="Girone",VLOOKUP(D47,A_SQUADRE_PER_CODICE,2),"ERRORE!")</f>
        <v>Piranha</v>
      </c>
      <c r="G47" s="85" t="str">
        <f aca="false">IF(B47="Girone",VLOOKUP(E47,A_SQUADRE_PER_CODICE,2),"ERRORE!")</f>
        <v>Zebre</v>
      </c>
      <c r="H47" s="33" t="n">
        <f aca="false">VLOOKUP(A47,A_4_INPUT_DATE_E_RISULTATI_GIRONI,6,0)</f>
        <v>86</v>
      </c>
      <c r="I47" s="33" t="n">
        <f aca="false">VLOOKUP(A47,A_4_INPUT_DATE_E_RISULTATI_GIRONI,7,0)</f>
        <v>73</v>
      </c>
      <c r="J47" s="85" t="str">
        <f aca="false">IF(H47&gt;I47,F47,G47)</f>
        <v>Piranha</v>
      </c>
      <c r="K47" s="85" t="str">
        <f aca="false">IF(H47&lt;I47,F47,G47)</f>
        <v>Zebre</v>
      </c>
      <c r="L47" s="33" t="n">
        <f aca="false">1*(H47&gt;I47)</f>
        <v>1</v>
      </c>
      <c r="M47" s="86" t="n">
        <f aca="false">1*(H47&lt;I47)*NOT(AND(H47=0,I47=20))</f>
        <v>0</v>
      </c>
      <c r="N47" s="86" t="n">
        <f aca="false">1*AND(H47=0,I47=20)</f>
        <v>0</v>
      </c>
      <c r="O47" s="33" t="n">
        <f aca="false">H47</f>
        <v>86</v>
      </c>
      <c r="P47" s="33" t="n">
        <f aca="false">I47</f>
        <v>73</v>
      </c>
      <c r="Q47" s="87" t="n">
        <f aca="false">O47-P47</f>
        <v>13</v>
      </c>
      <c r="R47" s="33" t="n">
        <f aca="false">1*(I47&gt;H47)</f>
        <v>0</v>
      </c>
      <c r="S47" s="33" t="n">
        <f aca="false">1*(I47&lt;H47)*NOT(AND(H47=20,I47=0))</f>
        <v>1</v>
      </c>
      <c r="T47" s="33" t="n">
        <f aca="false">1*AND(H47=20,I47=0)</f>
        <v>0</v>
      </c>
      <c r="U47" s="33" t="n">
        <f aca="false">I47</f>
        <v>73</v>
      </c>
      <c r="V47" s="33" t="n">
        <f aca="false">H47</f>
        <v>86</v>
      </c>
      <c r="W47" s="88" t="n">
        <f aca="false">U47-V47</f>
        <v>-13</v>
      </c>
    </row>
    <row r="48" customFormat="false" ht="12.8" hidden="false" customHeight="false" outlineLevel="0" collapsed="false">
      <c r="A48" s="31" t="n">
        <v>48</v>
      </c>
      <c r="B48" s="33" t="s">
        <v>9</v>
      </c>
      <c r="C48" s="33" t="s">
        <v>64</v>
      </c>
      <c r="D48" s="33" t="s">
        <v>159</v>
      </c>
      <c r="E48" s="33" t="s">
        <v>160</v>
      </c>
      <c r="F48" s="85" t="str">
        <f aca="false">IF(B48="Girone",VLOOKUP(D48,A_SQUADRE_PER_CODICE,2),"ERRORE!")</f>
        <v>Scorpioni</v>
      </c>
      <c r="G48" s="85" t="str">
        <f aca="false">IF(B48="Girone",VLOOKUP(E48,A_SQUADRE_PER_CODICE,2),"ERRORE!")</f>
        <v>Tonni</v>
      </c>
      <c r="H48" s="33" t="n">
        <f aca="false">VLOOKUP(A48,A_4_INPUT_DATE_E_RISULTATI_GIRONI,6,0)</f>
        <v>39</v>
      </c>
      <c r="I48" s="33" t="n">
        <f aca="false">VLOOKUP(A48,A_4_INPUT_DATE_E_RISULTATI_GIRONI,7,0)</f>
        <v>81</v>
      </c>
      <c r="J48" s="85" t="str">
        <f aca="false">IF(H48&gt;I48,F48,G48)</f>
        <v>Tonni</v>
      </c>
      <c r="K48" s="85" t="str">
        <f aca="false">IF(H48&lt;I48,F48,G48)</f>
        <v>Scorpioni</v>
      </c>
      <c r="L48" s="33" t="n">
        <f aca="false">1*(H48&gt;I48)</f>
        <v>0</v>
      </c>
      <c r="M48" s="86" t="n">
        <f aca="false">1*(H48&lt;I48)*NOT(AND(H48=0,I48=20))</f>
        <v>1</v>
      </c>
      <c r="N48" s="86" t="n">
        <f aca="false">1*AND(H48=0,I48=20)</f>
        <v>0</v>
      </c>
      <c r="O48" s="33" t="n">
        <f aca="false">H48</f>
        <v>39</v>
      </c>
      <c r="P48" s="33" t="n">
        <f aca="false">I48</f>
        <v>81</v>
      </c>
      <c r="Q48" s="87" t="n">
        <f aca="false">O48-P48</f>
        <v>-42</v>
      </c>
      <c r="R48" s="33" t="n">
        <f aca="false">1*(I48&gt;H48)</f>
        <v>1</v>
      </c>
      <c r="S48" s="33" t="n">
        <f aca="false">1*(I48&lt;H48)*NOT(AND(H48=20,I48=0))</f>
        <v>0</v>
      </c>
      <c r="T48" s="33" t="n">
        <f aca="false">1*AND(H48=20,I48=0)</f>
        <v>0</v>
      </c>
      <c r="U48" s="33" t="n">
        <f aca="false">I48</f>
        <v>81</v>
      </c>
      <c r="V48" s="33" t="n">
        <f aca="false">H48</f>
        <v>39</v>
      </c>
      <c r="W48" s="88" t="n">
        <f aca="false">U48-V48</f>
        <v>42</v>
      </c>
    </row>
    <row r="49" customFormat="false" ht="12.8" hidden="false" customHeight="false" outlineLevel="0" collapsed="false">
      <c r="A49" s="31" t="n">
        <v>36</v>
      </c>
      <c r="B49" s="33" t="s">
        <v>9</v>
      </c>
      <c r="C49" s="33" t="s">
        <v>64</v>
      </c>
      <c r="D49" s="33" t="s">
        <v>159</v>
      </c>
      <c r="E49" s="33" t="s">
        <v>161</v>
      </c>
      <c r="F49" s="85" t="str">
        <f aca="false">IF(B49="Girone",VLOOKUP(D49,A_SQUADRE_PER_CODICE,2),"ERRORE!")</f>
        <v>Scorpioni</v>
      </c>
      <c r="G49" s="85" t="str">
        <f aca="false">IF(B49="Girone",VLOOKUP(E49,A_SQUADRE_PER_CODICE,2),"ERRORE!")</f>
        <v>Zebre</v>
      </c>
      <c r="H49" s="33" t="n">
        <f aca="false">VLOOKUP(A49,A_4_INPUT_DATE_E_RISULTATI_GIRONI,6,0)</f>
        <v>82</v>
      </c>
      <c r="I49" s="33" t="n">
        <f aca="false">VLOOKUP(A49,A_4_INPUT_DATE_E_RISULTATI_GIRONI,7,0)</f>
        <v>74</v>
      </c>
      <c r="J49" s="85" t="str">
        <f aca="false">IF(H49&gt;I49,F49,G49)</f>
        <v>Scorpioni</v>
      </c>
      <c r="K49" s="85" t="str">
        <f aca="false">IF(H49&lt;I49,F49,G49)</f>
        <v>Zebre</v>
      </c>
      <c r="L49" s="33" t="n">
        <f aca="false">1*(H49&gt;I49)</f>
        <v>1</v>
      </c>
      <c r="M49" s="86" t="n">
        <f aca="false">1*(H49&lt;I49)*NOT(AND(H49=0,I49=20))</f>
        <v>0</v>
      </c>
      <c r="N49" s="86" t="n">
        <f aca="false">1*AND(H49=0,I49=20)</f>
        <v>0</v>
      </c>
      <c r="O49" s="33" t="n">
        <f aca="false">H49</f>
        <v>82</v>
      </c>
      <c r="P49" s="33" t="n">
        <f aca="false">I49</f>
        <v>74</v>
      </c>
      <c r="Q49" s="87" t="n">
        <f aca="false">O49-P49</f>
        <v>8</v>
      </c>
      <c r="R49" s="33" t="n">
        <f aca="false">1*(I49&gt;H49)</f>
        <v>0</v>
      </c>
      <c r="S49" s="33" t="n">
        <f aca="false">1*(I49&lt;H49)*NOT(AND(H49=20,I49=0))</f>
        <v>1</v>
      </c>
      <c r="T49" s="33" t="n">
        <f aca="false">1*AND(H49=20,I49=0)</f>
        <v>0</v>
      </c>
      <c r="U49" s="33" t="n">
        <f aca="false">I49</f>
        <v>74</v>
      </c>
      <c r="V49" s="33" t="n">
        <f aca="false">H49</f>
        <v>82</v>
      </c>
      <c r="W49" s="88" t="n">
        <f aca="false">U49-V49</f>
        <v>-8</v>
      </c>
    </row>
    <row r="50" customFormat="false" ht="12.8" hidden="false" customHeight="false" outlineLevel="0" collapsed="false">
      <c r="A50" s="43" t="n">
        <v>24</v>
      </c>
      <c r="B50" s="45" t="s">
        <v>9</v>
      </c>
      <c r="C50" s="45" t="s">
        <v>64</v>
      </c>
      <c r="D50" s="45" t="s">
        <v>160</v>
      </c>
      <c r="E50" s="45" t="s">
        <v>161</v>
      </c>
      <c r="F50" s="111" t="str">
        <f aca="false">IF(B50="Girone",VLOOKUP(D50,A_SQUADRE_PER_CODICE,2),"ERRORE!")</f>
        <v>Tonni</v>
      </c>
      <c r="G50" s="111" t="str">
        <f aca="false">IF(B50="Girone",VLOOKUP(E50,A_SQUADRE_PER_CODICE,2),"ERRORE!")</f>
        <v>Zebre</v>
      </c>
      <c r="H50" s="45" t="n">
        <f aca="false">VLOOKUP(A50,A_4_INPUT_DATE_E_RISULTATI_GIRONI,6,0)</f>
        <v>55</v>
      </c>
      <c r="I50" s="45" t="n">
        <f aca="false">VLOOKUP(A50,A_4_INPUT_DATE_E_RISULTATI_GIRONI,7,0)</f>
        <v>69</v>
      </c>
      <c r="J50" s="111" t="str">
        <f aca="false">IF(H50&gt;I50,F50,G50)</f>
        <v>Zebre</v>
      </c>
      <c r="K50" s="111" t="str">
        <f aca="false">IF(H50&lt;I50,F50,G50)</f>
        <v>Tonni</v>
      </c>
      <c r="L50" s="45" t="n">
        <f aca="false">1*(H50&gt;I50)</f>
        <v>0</v>
      </c>
      <c r="M50" s="112" t="n">
        <f aca="false">1*(H50&lt;I50)*NOT(AND(H50=0,I50=20))</f>
        <v>1</v>
      </c>
      <c r="N50" s="112" t="n">
        <f aca="false">1*AND(H50=0,I50=20)</f>
        <v>0</v>
      </c>
      <c r="O50" s="45" t="n">
        <f aca="false">H50</f>
        <v>55</v>
      </c>
      <c r="P50" s="45" t="n">
        <f aca="false">I50</f>
        <v>69</v>
      </c>
      <c r="Q50" s="109" t="n">
        <f aca="false">O50-P50</f>
        <v>-14</v>
      </c>
      <c r="R50" s="45" t="n">
        <f aca="false">1*(I50&gt;H50)</f>
        <v>1</v>
      </c>
      <c r="S50" s="45" t="n">
        <f aca="false">1*(I50&lt;H50)*NOT(AND(H50=20,I50=0))</f>
        <v>0</v>
      </c>
      <c r="T50" s="45" t="n">
        <f aca="false">1*AND(H50=20,I50=0)</f>
        <v>0</v>
      </c>
      <c r="U50" s="45" t="n">
        <f aca="false">I50</f>
        <v>69</v>
      </c>
      <c r="V50" s="45" t="n">
        <f aca="false">H50</f>
        <v>55</v>
      </c>
      <c r="W50" s="113" t="n">
        <f aca="false">U50-V50</f>
        <v>14</v>
      </c>
    </row>
  </sheetData>
  <mergeCells count="1">
    <mergeCell ref="A1:W1"/>
  </mergeCells>
  <conditionalFormatting sqref="C3:C50 Z3:Z34">
    <cfRule type="cellIs" priority="2" operator="equal" aboveAverage="0" equalAverage="0" bottom="0" percent="0" rank="0" text="" dxfId="0">
      <formula>"A"</formula>
    </cfRule>
  </conditionalFormatting>
  <conditionalFormatting sqref="C3:C50 Z3:Z34">
    <cfRule type="cellIs" priority="3" operator="equal" aboveAverage="0" equalAverage="0" bottom="0" percent="0" rank="0" text="" dxfId="1">
      <formula>"B"</formula>
    </cfRule>
  </conditionalFormatting>
  <conditionalFormatting sqref="C3:C50 Z3:Z34">
    <cfRule type="cellIs" priority="4" operator="equal" aboveAverage="0" equalAverage="0" bottom="0" percent="0" rank="0" text="" dxfId="2">
      <formula>"C"</formula>
    </cfRule>
  </conditionalFormatting>
  <conditionalFormatting sqref="C3:C50 Z3:Z34">
    <cfRule type="cellIs" priority="5" operator="equal" aboveAverage="0" equalAverage="0" bottom="0" percent="0" rank="0" text="" dxfId="3">
      <formula>"D"</formula>
    </cfRule>
  </conditionalFormatting>
  <conditionalFormatting sqref="C3:C50 Z3:Z34">
    <cfRule type="cellIs" priority="6" operator="equal" aboveAverage="0" equalAverage="0" bottom="0" percent="0" rank="0" text="" dxfId="4">
      <formula>"E"</formula>
    </cfRule>
  </conditionalFormatting>
  <conditionalFormatting sqref="C3:C50 Z3:Z34">
    <cfRule type="cellIs" priority="7" operator="equal" aboveAverage="0" equalAverage="0" bottom="0" percent="0" rank="0" text="" dxfId="5">
      <formula>"F"</formula>
    </cfRule>
  </conditionalFormatting>
  <conditionalFormatting sqref="C3:C50 Z3:Z34">
    <cfRule type="cellIs" priority="8" operator="equal" aboveAverage="0" equalAverage="0" bottom="0" percent="0" rank="0" text="" dxfId="6">
      <formula>"G"</formula>
    </cfRule>
  </conditionalFormatting>
  <conditionalFormatting sqref="C3:C50 Z3:Z34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2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true" outlineLevel="0" max="1" min="1" style="67" width="5.53"/>
    <col collapsed="false" customWidth="true" hidden="false" outlineLevel="0" max="2" min="2" style="0" width="9.12"/>
    <col collapsed="false" customWidth="true" hidden="false" outlineLevel="0" max="3" min="3" style="0" width="6.11"/>
    <col collapsed="false" customWidth="true" hidden="false" outlineLevel="0" max="4" min="4" style="0" width="14.21"/>
    <col collapsed="false" customWidth="true" hidden="false" outlineLevel="0" max="6" min="5" style="0" width="4.6"/>
    <col collapsed="false" customWidth="true" hidden="false" outlineLevel="0" max="7" min="7" style="0" width="14.21"/>
    <col collapsed="false" customWidth="true" hidden="false" outlineLevel="0" max="8" min="8" style="0" width="4.02"/>
    <col collapsed="false" customWidth="true" hidden="false" outlineLevel="0" max="9" min="9" style="0" width="14.56"/>
    <col collapsed="false" customWidth="true" hidden="false" outlineLevel="0" max="11" min="11" style="0" width="11.43"/>
    <col collapsed="false" customWidth="true" hidden="false" outlineLevel="0" max="12" min="12" style="0" width="2.86"/>
    <col collapsed="false" customWidth="true" hidden="false" outlineLevel="0" max="14" min="13" style="0" width="2.74"/>
    <col collapsed="false" customWidth="true" hidden="false" outlineLevel="0" max="15" min="15" style="0" width="2.64"/>
    <col collapsed="false" customWidth="true" hidden="false" outlineLevel="0" max="16" min="16" style="0" width="4.14"/>
    <col collapsed="false" customWidth="true" hidden="false" outlineLevel="0" max="17" min="17" style="0" width="5.3"/>
    <col collapsed="false" customWidth="true" hidden="false" outlineLevel="0" max="18" min="18" style="0" width="5.41"/>
    <col collapsed="false" customWidth="true" hidden="false" outlineLevel="0" max="20" min="20" style="0" width="11.9"/>
    <col collapsed="false" customWidth="true" hidden="false" outlineLevel="0" max="21" min="21" style="0" width="7.61"/>
    <col collapsed="false" customWidth="true" hidden="false" outlineLevel="0" max="23" min="23" style="0" width="3.91"/>
    <col collapsed="false" customWidth="true" hidden="false" outlineLevel="0" max="25" min="25" style="0" width="12.13"/>
    <col collapsed="false" customWidth="true" hidden="false" outlineLevel="0" max="26" min="26" style="0" width="11.66"/>
    <col collapsed="false" customWidth="true" hidden="false" outlineLevel="0" max="30" min="30" style="0" width="12.13"/>
    <col collapsed="false" customWidth="true" hidden="false" outlineLevel="0" max="31" min="31" style="0" width="11.66"/>
    <col collapsed="false" customWidth="true" hidden="false" outlineLevel="0" max="35" min="35" style="0" width="12.13"/>
    <col collapsed="false" customWidth="true" hidden="false" outlineLevel="0" max="36" min="36" style="0" width="11.66"/>
    <col collapsed="false" customWidth="true" hidden="false" outlineLevel="0" max="100" min="100" style="0" width="13.4"/>
    <col collapsed="false" customWidth="true" hidden="false" outlineLevel="0" max="101" min="101" style="0" width="2.86"/>
    <col collapsed="false" customWidth="true" hidden="false" outlineLevel="0" max="102" min="102" style="0" width="2.74"/>
    <col collapsed="false" customWidth="true" hidden="false" outlineLevel="0" max="103" min="103" style="0" width="2.86"/>
    <col collapsed="false" customWidth="true" hidden="false" outlineLevel="0" max="104" min="104" style="0" width="2.74"/>
    <col collapsed="false" customWidth="true" hidden="false" outlineLevel="0" max="105" min="105" style="0" width="4.02"/>
    <col collapsed="false" customWidth="true" hidden="false" outlineLevel="0" max="106" min="106" style="0" width="4.14"/>
    <col collapsed="false" customWidth="true" hidden="false" outlineLevel="0" max="107" min="107" style="0" width="4.26"/>
    <col collapsed="false" customWidth="true" hidden="false" outlineLevel="0" max="108" min="108" style="0" width="7.73"/>
    <col collapsed="false" customWidth="true" hidden="false" outlineLevel="0" max="110" min="110" style="0" width="6.69"/>
    <col collapsed="false" customWidth="true" hidden="false" outlineLevel="0" max="111" min="111" style="0" width="2.52"/>
  </cols>
  <sheetData>
    <row r="1" customFormat="false" ht="19.7" hidden="false" customHeight="false" outlineLevel="0" collapsed="false">
      <c r="A1" s="114"/>
      <c r="B1" s="115" t="str">
        <f aca="false">VLOOKUP("NOME_TORNEO",A_1_INPUT_DATI_TORNEO,2,0)</f>
        <v>Torneo dell’Estate</v>
      </c>
      <c r="C1" s="115"/>
      <c r="D1" s="115"/>
      <c r="E1" s="115"/>
      <c r="F1" s="115"/>
      <c r="G1" s="115"/>
      <c r="H1" s="115"/>
      <c r="I1" s="115"/>
      <c r="K1" s="115" t="str">
        <f aca="false">VLOOKUP("NOME_TORNEO",A_1_INPUT_DATI_TORNEO,2,0)</f>
        <v>Torneo dell’Estate</v>
      </c>
      <c r="L1" s="115"/>
      <c r="M1" s="115"/>
      <c r="N1" s="115"/>
      <c r="O1" s="115"/>
      <c r="P1" s="115"/>
      <c r="Q1" s="115"/>
      <c r="R1" s="115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7"/>
      <c r="AF1" s="117"/>
      <c r="AG1" s="117"/>
      <c r="AH1" s="117"/>
      <c r="AI1" s="117"/>
      <c r="AJ1" s="117"/>
      <c r="AK1" s="117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8"/>
      <c r="CW1" s="118"/>
      <c r="CX1" s="118"/>
      <c r="CY1" s="118"/>
      <c r="CZ1" s="118"/>
      <c r="DA1" s="118"/>
      <c r="DB1" s="118"/>
      <c r="DC1" s="118"/>
      <c r="DD1" s="118"/>
      <c r="DE1" s="118"/>
      <c r="DF1" s="119"/>
      <c r="DG1" s="119"/>
    </row>
    <row r="2" customFormat="false" ht="15.75" hidden="false" customHeight="true" outlineLevel="0" collapsed="false">
      <c r="A2" s="114"/>
      <c r="B2" s="120" t="s">
        <v>162</v>
      </c>
      <c r="C2" s="120"/>
      <c r="D2" s="120"/>
      <c r="E2" s="120"/>
      <c r="F2" s="120"/>
      <c r="G2" s="120"/>
      <c r="H2" s="120"/>
      <c r="I2" s="120"/>
      <c r="K2" s="120" t="s">
        <v>163</v>
      </c>
      <c r="L2" s="120"/>
      <c r="M2" s="120"/>
      <c r="N2" s="120"/>
      <c r="O2" s="120"/>
      <c r="P2" s="120"/>
      <c r="Q2" s="120"/>
      <c r="R2" s="120"/>
      <c r="T2" s="121" t="s">
        <v>164</v>
      </c>
      <c r="U2" s="121"/>
      <c r="V2" s="121"/>
      <c r="W2" s="118"/>
      <c r="X2" s="119"/>
      <c r="Y2" s="121" t="s">
        <v>165</v>
      </c>
      <c r="Z2" s="121"/>
      <c r="AA2" s="121"/>
      <c r="AB2" s="119"/>
      <c r="AC2" s="119"/>
      <c r="AD2" s="121" t="s">
        <v>166</v>
      </c>
      <c r="AE2" s="121"/>
      <c r="AF2" s="121"/>
      <c r="AG2" s="119"/>
      <c r="AH2" s="119"/>
      <c r="AI2" s="121" t="s">
        <v>167</v>
      </c>
      <c r="AJ2" s="121"/>
      <c r="AK2" s="121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</row>
    <row r="3" customFormat="false" ht="15.95" hidden="false" customHeight="true" outlineLevel="0" collapsed="false">
      <c r="A3" s="114"/>
      <c r="B3" s="122" t="s">
        <v>17</v>
      </c>
      <c r="C3" s="122" t="s">
        <v>18</v>
      </c>
      <c r="D3" s="122" t="s">
        <v>96</v>
      </c>
      <c r="E3" s="122" t="s">
        <v>168</v>
      </c>
      <c r="F3" s="122"/>
      <c r="G3" s="122" t="s">
        <v>97</v>
      </c>
      <c r="H3" s="122" t="s">
        <v>169</v>
      </c>
      <c r="I3" s="122" t="s">
        <v>170</v>
      </c>
      <c r="K3" s="123" t="s">
        <v>171</v>
      </c>
      <c r="L3" s="124" t="s">
        <v>59</v>
      </c>
      <c r="M3" s="124" t="s">
        <v>172</v>
      </c>
      <c r="N3" s="124" t="s">
        <v>173</v>
      </c>
      <c r="O3" s="124" t="s">
        <v>54</v>
      </c>
      <c r="P3" s="124" t="s">
        <v>174</v>
      </c>
      <c r="Q3" s="124" t="s">
        <v>175</v>
      </c>
      <c r="R3" s="125" t="s">
        <v>176</v>
      </c>
      <c r="T3" s="121"/>
      <c r="U3" s="121"/>
      <c r="V3" s="121"/>
      <c r="W3" s="118"/>
      <c r="X3" s="119"/>
      <c r="Y3" s="121"/>
      <c r="Z3" s="121"/>
      <c r="AA3" s="121"/>
      <c r="AB3" s="119"/>
      <c r="AC3" s="119"/>
      <c r="AD3" s="121"/>
      <c r="AE3" s="121"/>
      <c r="AF3" s="121"/>
      <c r="AG3" s="119"/>
      <c r="AH3" s="119"/>
      <c r="AI3" s="121"/>
      <c r="AJ3" s="121"/>
      <c r="AK3" s="121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26" t="s">
        <v>177</v>
      </c>
      <c r="CW3" s="126" t="s">
        <v>59</v>
      </c>
      <c r="CX3" s="126" t="s">
        <v>172</v>
      </c>
      <c r="CY3" s="126" t="s">
        <v>178</v>
      </c>
      <c r="CZ3" s="126" t="s">
        <v>173</v>
      </c>
      <c r="DA3" s="126" t="s">
        <v>179</v>
      </c>
      <c r="DB3" s="126" t="s">
        <v>180</v>
      </c>
      <c r="DC3" s="126" t="s">
        <v>181</v>
      </c>
      <c r="DD3" s="126" t="s">
        <v>182</v>
      </c>
      <c r="DE3" s="126"/>
      <c r="DF3" s="126" t="s">
        <v>183</v>
      </c>
      <c r="DG3" s="119"/>
    </row>
    <row r="4" customFormat="false" ht="15.95" hidden="false" customHeight="true" outlineLevel="0" collapsed="false">
      <c r="A4" s="127" t="n">
        <v>1</v>
      </c>
      <c r="B4" s="128" t="n">
        <f aca="false">VLOOKUP(A4,A_4_INPUT_DATE_E_RISULTATI_GIRONI,8,0)</f>
        <v>44354</v>
      </c>
      <c r="C4" s="129" t="n">
        <f aca="false">VLOOKUP(A4,A_4_INPUT_DATE_E_RISULTATI_GIRONI,9,0)</f>
        <v>0.666666666666667</v>
      </c>
      <c r="D4" s="130" t="str">
        <f aca="false">VLOOKUP(A4,A_4_INPUT_DATE_E_RISULTATI_GIRONI,4,0)</f>
        <v>Leoni</v>
      </c>
      <c r="E4" s="131"/>
      <c r="F4" s="131"/>
      <c r="G4" s="132" t="str">
        <f aca="false">VLOOKUP(A4,A_4_INPUT_DATE_E_RISULTATI_GIRONI,5,0)</f>
        <v>Pantere</v>
      </c>
      <c r="H4" s="133" t="str">
        <f aca="false">VLOOKUP(A4,A_4_INPUT_DATE_E_RISULTATI_GIRONI,3,0)</f>
        <v>A</v>
      </c>
      <c r="I4" s="134" t="str">
        <f aca="false">VLOOKUP(A4,A_4_INPUT_DATE_E_RISULTATI_GIRONI,11,0)</f>
        <v>Cristo Re 1</v>
      </c>
      <c r="K4" s="135" t="str">
        <f aca="false">VLOOKUP(ROW()-3&amp;RIGHT(K$3,1),B_CLASSIFICA_GIRONE_A,4,0)</f>
        <v>Leoni</v>
      </c>
      <c r="L4" s="136" t="n">
        <f aca="false">VLOOKUP(ROW()-3&amp;RIGHT(K$3,1),B_CLASSIFICA_GIRONE_A,5,0)</f>
        <v>3</v>
      </c>
      <c r="M4" s="136" t="n">
        <f aca="false">VLOOKUP(ROW()-3&amp;RIGHT(K$3,1),B_CLASSIFICA_GIRONE_A,6,0)</f>
        <v>3</v>
      </c>
      <c r="N4" s="136" t="n">
        <f aca="false">VLOOKUP(ROW()-3&amp;RIGHT(K$3,1),B_CLASSIFICA_GIRONE_A,7,0)</f>
        <v>0</v>
      </c>
      <c r="O4" s="136" t="n">
        <f aca="false">VLOOKUP(ROW()-3&amp;RIGHT(K$3,1),B_CLASSIFICA_GIRONE_A,8,0)</f>
        <v>0</v>
      </c>
      <c r="P4" s="136" t="n">
        <f aca="false">VLOOKUP(ROW()-3&amp;RIGHT(K$3,1),B_CLASSIFICA_GIRONE_A,9,0)</f>
        <v>6</v>
      </c>
      <c r="Q4" s="136" t="n">
        <f aca="false">VLOOKUP(ROW()-3&amp;RIGHT(K$3,1),B_CLASSIFICA_GIRONE_A,10,0)</f>
        <v>244</v>
      </c>
      <c r="R4" s="137" t="n">
        <f aca="false">VLOOKUP(ROW()-3&amp;RIGHT(K$3,1),B_CLASSIFICA_GIRONE_A,11,0)</f>
        <v>96</v>
      </c>
      <c r="T4" s="138"/>
      <c r="U4" s="139"/>
      <c r="V4" s="119"/>
      <c r="W4" s="118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40" t="s">
        <v>184</v>
      </c>
      <c r="CW4" s="141" t="n">
        <v>3</v>
      </c>
      <c r="CX4" s="141" t="n">
        <v>2</v>
      </c>
      <c r="CY4" s="141" t="n">
        <v>1</v>
      </c>
      <c r="CZ4" s="141" t="n">
        <v>0</v>
      </c>
      <c r="DA4" s="141" t="n">
        <v>4</v>
      </c>
      <c r="DB4" s="141" t="n">
        <v>1</v>
      </c>
      <c r="DC4" s="141" t="n">
        <v>3</v>
      </c>
      <c r="DD4" s="141" t="n">
        <v>7.0003</v>
      </c>
      <c r="DE4" s="141"/>
      <c r="DF4" s="142" t="n">
        <v>70307</v>
      </c>
      <c r="DG4" s="119" t="n">
        <v>1</v>
      </c>
    </row>
    <row r="5" customFormat="false" ht="15.95" hidden="false" customHeight="true" outlineLevel="0" collapsed="false">
      <c r="A5" s="127" t="n">
        <v>2</v>
      </c>
      <c r="B5" s="128" t="n">
        <f aca="false">VLOOKUP(A5,A_4_INPUT_DATE_E_RISULTATI_GIRONI,8,0)</f>
        <v>44354</v>
      </c>
      <c r="C5" s="129" t="n">
        <f aca="false">VLOOKUP(A5,A_4_INPUT_DATE_E_RISULTATI_GIRONI,9,0)</f>
        <v>0.666666666666667</v>
      </c>
      <c r="D5" s="143" t="str">
        <f aca="false">VLOOKUP(A5,A_4_INPUT_DATE_E_RISULTATI_GIRONI,4,0)</f>
        <v>Giaguari</v>
      </c>
      <c r="E5" s="131"/>
      <c r="F5" s="131"/>
      <c r="G5" s="132" t="str">
        <f aca="false">VLOOKUP(A5,A_4_INPUT_DATE_E_RISULTATI_GIRONI,5,0)</f>
        <v>Puma</v>
      </c>
      <c r="H5" s="134" t="str">
        <f aca="false">VLOOKUP(A5,A_4_INPUT_DATE_E_RISULTATI_GIRONI,3,0)</f>
        <v>B</v>
      </c>
      <c r="I5" s="134" t="str">
        <f aca="false">VLOOKUP(A5,A_4_INPUT_DATE_E_RISULTATI_GIRONI,11,0)</f>
        <v>Cristo Re 2</v>
      </c>
      <c r="K5" s="144" t="str">
        <f aca="false">VLOOKUP(ROW()-3&amp;RIGHT(K$3,1),B_CLASSIFICA_GIRONE_A,4,0)</f>
        <v>Pantere</v>
      </c>
      <c r="L5" s="145" t="n">
        <f aca="false">VLOOKUP(ROW()-3&amp;RIGHT(K$3,1),B_CLASSIFICA_GIRONE_A,5,0)</f>
        <v>3</v>
      </c>
      <c r="M5" s="145" t="n">
        <f aca="false">VLOOKUP(ROW()-3&amp;RIGHT(K$3,1),B_CLASSIFICA_GIRONE_A,6,0)</f>
        <v>2</v>
      </c>
      <c r="N5" s="145" t="n">
        <f aca="false">VLOOKUP(ROW()-3&amp;RIGHT(K$3,1),B_CLASSIFICA_GIRONE_A,7,0)</f>
        <v>1</v>
      </c>
      <c r="O5" s="145" t="n">
        <f aca="false">VLOOKUP(ROW()-3&amp;RIGHT(K$3,1),B_CLASSIFICA_GIRONE_A,8,0)</f>
        <v>0</v>
      </c>
      <c r="P5" s="145" t="n">
        <f aca="false">VLOOKUP(ROW()-3&amp;RIGHT(K$3,1),B_CLASSIFICA_GIRONE_A,9,0)</f>
        <v>5</v>
      </c>
      <c r="Q5" s="145" t="n">
        <f aca="false">VLOOKUP(ROW()-3&amp;RIGHT(K$3,1),B_CLASSIFICA_GIRONE_A,10,0)</f>
        <v>199</v>
      </c>
      <c r="R5" s="146" t="n">
        <f aca="false">VLOOKUP(ROW()-3&amp;RIGHT(K$3,1),B_CLASSIFICA_GIRONE_A,11,0)</f>
        <v>123</v>
      </c>
      <c r="T5" s="147" t="s">
        <v>185</v>
      </c>
      <c r="U5" s="147"/>
      <c r="V5" s="147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40" t="s">
        <v>186</v>
      </c>
      <c r="CW5" s="141" t="n">
        <v>3</v>
      </c>
      <c r="CX5" s="141" t="n">
        <v>1</v>
      </c>
      <c r="CY5" s="141" t="n">
        <v>0</v>
      </c>
      <c r="CZ5" s="141" t="n">
        <v>2</v>
      </c>
      <c r="DA5" s="141" t="n">
        <v>1</v>
      </c>
      <c r="DB5" s="141" t="n">
        <v>3</v>
      </c>
      <c r="DC5" s="141" t="n">
        <v>-2</v>
      </c>
      <c r="DD5" s="141" t="n">
        <v>2.9998</v>
      </c>
      <c r="DE5" s="141"/>
      <c r="DF5" s="142" t="n">
        <v>29799</v>
      </c>
      <c r="DG5" s="119" t="n">
        <v>2</v>
      </c>
    </row>
    <row r="6" customFormat="false" ht="15.95" hidden="false" customHeight="true" outlineLevel="0" collapsed="false">
      <c r="A6" s="127" t="n">
        <v>3</v>
      </c>
      <c r="B6" s="128" t="n">
        <f aca="false">VLOOKUP(A6,A_4_INPUT_DATE_E_RISULTATI_GIRONI,8,0)</f>
        <v>44354</v>
      </c>
      <c r="C6" s="129" t="n">
        <f aca="false">VLOOKUP(A6,A_4_INPUT_DATE_E_RISULTATI_GIRONI,9,0)</f>
        <v>0.666666666666667</v>
      </c>
      <c r="D6" s="143" t="str">
        <f aca="false">VLOOKUP(A6,A_4_INPUT_DATE_E_RISULTATI_GIRONI,4,0)</f>
        <v>Elefanti</v>
      </c>
      <c r="E6" s="131"/>
      <c r="F6" s="131"/>
      <c r="G6" s="132" t="str">
        <f aca="false">VLOOKUP(A6,A_4_INPUT_DATE_E_RISULTATI_GIRONI,5,0)</f>
        <v>Giraffe</v>
      </c>
      <c r="H6" s="134" t="str">
        <f aca="false">VLOOKUP(A6,A_4_INPUT_DATE_E_RISULTATI_GIRONI,3,0)</f>
        <v>C</v>
      </c>
      <c r="I6" s="134" t="str">
        <f aca="false">VLOOKUP(A6,A_4_INPUT_DATE_E_RISULTATI_GIRONI,11,0)</f>
        <v>Basket Giovane</v>
      </c>
      <c r="K6" s="148" t="str">
        <f aca="false">VLOOKUP(ROW()-3&amp;RIGHT(K$3,1),B_CLASSIFICA_GIRONE_A,4,0)</f>
        <v>Tigri</v>
      </c>
      <c r="L6" s="149" t="n">
        <f aca="false">VLOOKUP(ROW()-3&amp;RIGHT(K$3,1),B_CLASSIFICA_GIRONE_A,5,0)</f>
        <v>3</v>
      </c>
      <c r="M6" s="149" t="n">
        <f aca="false">VLOOKUP(ROW()-3&amp;RIGHT(K$3,1),B_CLASSIFICA_GIRONE_A,6,0)</f>
        <v>1</v>
      </c>
      <c r="N6" s="149" t="n">
        <f aca="false">VLOOKUP(ROW()-3&amp;RIGHT(K$3,1),B_CLASSIFICA_GIRONE_A,7,0)</f>
        <v>2</v>
      </c>
      <c r="O6" s="149" t="n">
        <f aca="false">VLOOKUP(ROW()-3&amp;RIGHT(K$3,1),B_CLASSIFICA_GIRONE_A,8,0)</f>
        <v>0</v>
      </c>
      <c r="P6" s="149" t="n">
        <f aca="false">VLOOKUP(ROW()-3&amp;RIGHT(K$3,1),B_CLASSIFICA_GIRONE_A,9,0)</f>
        <v>4</v>
      </c>
      <c r="Q6" s="149" t="n">
        <f aca="false">VLOOKUP(ROW()-3&amp;RIGHT(K$3,1),B_CLASSIFICA_GIRONE_A,10,0)</f>
        <v>131</v>
      </c>
      <c r="R6" s="150" t="n">
        <f aca="false">VLOOKUP(ROW()-3&amp;RIGHT(K$3,1),B_CLASSIFICA_GIRONE_A,11,0)</f>
        <v>231</v>
      </c>
      <c r="T6" s="151" t="n">
        <v>49</v>
      </c>
      <c r="U6" s="152" t="str">
        <f aca="false">K4</f>
        <v>Leoni</v>
      </c>
      <c r="V6" s="153"/>
      <c r="W6" s="154" t="s">
        <v>187</v>
      </c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40" t="s">
        <v>188</v>
      </c>
      <c r="CW6" s="141" t="n">
        <v>3</v>
      </c>
      <c r="CX6" s="155" t="n">
        <v>1</v>
      </c>
      <c r="CY6" s="155" t="n">
        <v>2</v>
      </c>
      <c r="CZ6" s="155" t="n">
        <v>0</v>
      </c>
      <c r="DA6" s="155" t="n">
        <v>2</v>
      </c>
      <c r="DB6" s="155" t="n">
        <v>1</v>
      </c>
      <c r="DC6" s="141" t="n">
        <v>1</v>
      </c>
      <c r="DD6" s="155" t="n">
        <v>5.0001</v>
      </c>
      <c r="DE6" s="155"/>
      <c r="DF6" s="142" t="n">
        <v>50103</v>
      </c>
      <c r="DG6" s="119" t="n">
        <v>2</v>
      </c>
    </row>
    <row r="7" customFormat="false" ht="15.95" hidden="false" customHeight="true" outlineLevel="0" collapsed="false">
      <c r="A7" s="127" t="n">
        <v>4</v>
      </c>
      <c r="B7" s="128" t="n">
        <f aca="false">VLOOKUP(A7,A_4_INPUT_DATE_E_RISULTATI_GIRONI,8,0)</f>
        <v>44354</v>
      </c>
      <c r="C7" s="129" t="n">
        <f aca="false">VLOOKUP(A7,A_4_INPUT_DATE_E_RISULTATI_GIRONI,9,0)</f>
        <v>0.666666666666667</v>
      </c>
      <c r="D7" s="143" t="str">
        <f aca="false">VLOOKUP(A7,A_4_INPUT_DATE_E_RISULTATI_GIRONI,4,0)</f>
        <v>Coccodrilli</v>
      </c>
      <c r="E7" s="131"/>
      <c r="F7" s="131"/>
      <c r="G7" s="132" t="str">
        <f aca="false">VLOOKUP(A7,A_4_INPUT_DATE_E_RISULTATI_GIRONI,5,0)</f>
        <v>Pitoni</v>
      </c>
      <c r="H7" s="134" t="str">
        <f aca="false">VLOOKUP(A7,A_4_INPUT_DATE_E_RISULTATI_GIRONI,3,0)</f>
        <v>D</v>
      </c>
      <c r="I7" s="134" t="str">
        <f aca="false">VLOOKUP(A7,A_4_INPUT_DATE_E_RISULTATI_GIRONI,11,0)</f>
        <v>Nuova Scuola</v>
      </c>
      <c r="K7" s="156" t="str">
        <f aca="false">VLOOKUP(ROW()-3&amp;RIGHT(K$3,1),B_CLASSIFICA_GIRONE_A,4,0)</f>
        <v>Ghepardi</v>
      </c>
      <c r="L7" s="157" t="n">
        <f aca="false">VLOOKUP(ROW()-3&amp;RIGHT(K$3,1),B_CLASSIFICA_GIRONE_A,5,0)</f>
        <v>3</v>
      </c>
      <c r="M7" s="157" t="n">
        <f aca="false">VLOOKUP(ROW()-3&amp;RIGHT(K$3,1),B_CLASSIFICA_GIRONE_A,6,0)</f>
        <v>0</v>
      </c>
      <c r="N7" s="157" t="n">
        <f aca="false">VLOOKUP(ROW()-3&amp;RIGHT(K$3,1),B_CLASSIFICA_GIRONE_A,7,0)</f>
        <v>3</v>
      </c>
      <c r="O7" s="157" t="n">
        <f aca="false">VLOOKUP(ROW()-3&amp;RIGHT(K$3,1),B_CLASSIFICA_GIRONE_A,8,0)</f>
        <v>0</v>
      </c>
      <c r="P7" s="157" t="n">
        <f aca="false">VLOOKUP(ROW()-3&amp;RIGHT(K$3,1),B_CLASSIFICA_GIRONE_A,9,0)</f>
        <v>3</v>
      </c>
      <c r="Q7" s="157" t="n">
        <f aca="false">VLOOKUP(ROW()-3&amp;RIGHT(K$3,1),B_CLASSIFICA_GIRONE_A,10,0)</f>
        <v>94</v>
      </c>
      <c r="R7" s="158" t="n">
        <f aca="false">VLOOKUP(ROW()-3&amp;RIGHT(K$3,1),B_CLASSIFICA_GIRONE_A,11,0)</f>
        <v>218</v>
      </c>
      <c r="T7" s="151"/>
      <c r="U7" s="159" t="str">
        <f aca="false">K15</f>
        <v>Giraffe</v>
      </c>
      <c r="V7" s="160"/>
      <c r="W7" s="161" t="s">
        <v>189</v>
      </c>
      <c r="X7" s="119"/>
      <c r="Y7" s="162" t="s">
        <v>190</v>
      </c>
      <c r="Z7" s="119"/>
      <c r="AA7" s="163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40" t="s">
        <v>191</v>
      </c>
      <c r="CW7" s="141" t="n">
        <v>3</v>
      </c>
      <c r="CX7" s="141" t="n">
        <v>0</v>
      </c>
      <c r="CY7" s="141" t="n">
        <v>1</v>
      </c>
      <c r="CZ7" s="141" t="n">
        <v>2</v>
      </c>
      <c r="DA7" s="141" t="n">
        <v>2</v>
      </c>
      <c r="DB7" s="141" t="n">
        <v>4</v>
      </c>
      <c r="DC7" s="141" t="n">
        <v>-2</v>
      </c>
      <c r="DD7" s="141" t="n">
        <v>0.9998</v>
      </c>
      <c r="DE7" s="141"/>
      <c r="DF7" s="142" t="n">
        <v>9800</v>
      </c>
      <c r="DG7" s="119" t="n">
        <v>3</v>
      </c>
    </row>
    <row r="8" customFormat="false" ht="15.95" hidden="false" customHeight="true" outlineLevel="0" collapsed="false">
      <c r="A8" s="127" t="n">
        <v>5</v>
      </c>
      <c r="B8" s="128" t="n">
        <f aca="false">VLOOKUP(A8,A_4_INPUT_DATE_E_RISULTATI_GIRONI,8,0)</f>
        <v>44354</v>
      </c>
      <c r="C8" s="129" t="n">
        <f aca="false">VLOOKUP(A8,A_4_INPUT_DATE_E_RISULTATI_GIRONI,9,0)</f>
        <v>0.75</v>
      </c>
      <c r="D8" s="143" t="str">
        <f aca="false">VLOOKUP(A8,A_4_INPUT_DATE_E_RISULTATI_GIRONI,4,0)</f>
        <v>Tigri</v>
      </c>
      <c r="E8" s="131"/>
      <c r="F8" s="131"/>
      <c r="G8" s="132" t="str">
        <f aca="false">VLOOKUP(A8,A_4_INPUT_DATE_E_RISULTATI_GIRONI,5,0)</f>
        <v>Ghepardi</v>
      </c>
      <c r="H8" s="134" t="str">
        <f aca="false">VLOOKUP(A8,A_4_INPUT_DATE_E_RISULTATI_GIRONI,3,0)</f>
        <v>A</v>
      </c>
      <c r="I8" s="134" t="str">
        <f aca="false">VLOOKUP(A8,A_4_INPUT_DATE_E_RISULTATI_GIRONI,11,0)</f>
        <v>Cristo Re 1</v>
      </c>
      <c r="K8" s="164" t="s">
        <v>192</v>
      </c>
      <c r="L8" s="165" t="s">
        <v>59</v>
      </c>
      <c r="M8" s="165" t="s">
        <v>172</v>
      </c>
      <c r="N8" s="165" t="s">
        <v>173</v>
      </c>
      <c r="O8" s="165" t="s">
        <v>54</v>
      </c>
      <c r="P8" s="165" t="s">
        <v>174</v>
      </c>
      <c r="Q8" s="165" t="s">
        <v>175</v>
      </c>
      <c r="R8" s="166" t="s">
        <v>176</v>
      </c>
      <c r="T8" s="138"/>
      <c r="U8" s="139"/>
      <c r="V8" s="167"/>
      <c r="W8" s="168"/>
      <c r="X8" s="119"/>
      <c r="Y8" s="169" t="n">
        <f aca="false">T34+1</f>
        <v>57</v>
      </c>
      <c r="Z8" s="152" t="str">
        <f aca="false">IF(V6&amp;V7="","Vincente "&amp;T6,IF(V6&gt;V7,U6,U7))</f>
        <v>Vincente 49</v>
      </c>
      <c r="AA8" s="153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70" t="s">
        <v>193</v>
      </c>
      <c r="CW8" s="170" t="s">
        <v>59</v>
      </c>
      <c r="CX8" s="170" t="s">
        <v>172</v>
      </c>
      <c r="CY8" s="170" t="s">
        <v>178</v>
      </c>
      <c r="CZ8" s="170" t="s">
        <v>173</v>
      </c>
      <c r="DA8" s="170" t="s">
        <v>179</v>
      </c>
      <c r="DB8" s="170" t="s">
        <v>180</v>
      </c>
      <c r="DC8" s="170"/>
      <c r="DD8" s="170" t="s">
        <v>182</v>
      </c>
      <c r="DE8" s="170"/>
      <c r="DF8" s="142"/>
      <c r="DG8" s="119"/>
    </row>
    <row r="9" customFormat="false" ht="15.95" hidden="false" customHeight="true" outlineLevel="0" collapsed="false">
      <c r="A9" s="127" t="n">
        <v>6</v>
      </c>
      <c r="B9" s="128" t="n">
        <f aca="false">VLOOKUP(A9,A_4_INPUT_DATE_E_RISULTATI_GIRONI,8,0)</f>
        <v>44354</v>
      </c>
      <c r="C9" s="129" t="n">
        <f aca="false">VLOOKUP(A9,A_4_INPUT_DATE_E_RISULTATI_GIRONI,9,0)</f>
        <v>0.75</v>
      </c>
      <c r="D9" s="143" t="str">
        <f aca="false">VLOOKUP(A9,A_4_INPUT_DATE_E_RISULTATI_GIRONI,4,0)</f>
        <v>Linci</v>
      </c>
      <c r="E9" s="131"/>
      <c r="F9" s="131"/>
      <c r="G9" s="132" t="str">
        <f aca="false">VLOOKUP(A9,A_4_INPUT_DATE_E_RISULTATI_GIRONI,5,0)</f>
        <v>Serval</v>
      </c>
      <c r="H9" s="134" t="str">
        <f aca="false">VLOOKUP(A9,A_4_INPUT_DATE_E_RISULTATI_GIRONI,3,0)</f>
        <v>B</v>
      </c>
      <c r="I9" s="134" t="str">
        <f aca="false">VLOOKUP(A9,A_4_INPUT_DATE_E_RISULTATI_GIRONI,11,0)</f>
        <v>Cristo Re 2</v>
      </c>
      <c r="K9" s="135" t="str">
        <f aca="false">VLOOKUP(ROW()-8&amp;RIGHT(K$8,1),B_CLASSIFICA_GIRONE_B,4,0)</f>
        <v>Giaguari</v>
      </c>
      <c r="L9" s="136" t="n">
        <f aca="false">VLOOKUP(ROW()-8&amp;RIGHT(K$8,1),B_CLASSIFICA_GIRONE_B,5,0)</f>
        <v>3</v>
      </c>
      <c r="M9" s="136" t="n">
        <f aca="false">VLOOKUP(ROW()-8&amp;RIGHT(K$8,1),B_CLASSIFICA_GIRONE_B,6,0)</f>
        <v>2</v>
      </c>
      <c r="N9" s="136" t="n">
        <f aca="false">VLOOKUP(ROW()-8&amp;RIGHT(K$8,1),B_CLASSIFICA_GIRONE_B,7,0)</f>
        <v>1</v>
      </c>
      <c r="O9" s="136" t="n">
        <f aca="false">VLOOKUP(ROW()-8&amp;RIGHT(K$8,1),B_CLASSIFICA_GIRONE_B,8,0)</f>
        <v>0</v>
      </c>
      <c r="P9" s="136" t="n">
        <f aca="false">VLOOKUP(ROW()-8&amp;RIGHT(K$8,1),B_CLASSIFICA_GIRONE_B,9,0)</f>
        <v>5</v>
      </c>
      <c r="Q9" s="136" t="n">
        <f aca="false">VLOOKUP(ROW()-8&amp;RIGHT(K$8,1),B_CLASSIFICA_GIRONE_B,10,0)</f>
        <v>199</v>
      </c>
      <c r="R9" s="137" t="n">
        <f aca="false">VLOOKUP(ROW()-8&amp;RIGHT(K$8,1),B_CLASSIFICA_GIRONE_B,11,0)</f>
        <v>192</v>
      </c>
      <c r="T9" s="147" t="s">
        <v>194</v>
      </c>
      <c r="U9" s="147"/>
      <c r="V9" s="147"/>
      <c r="W9" s="168"/>
      <c r="X9" s="171"/>
      <c r="Y9" s="169"/>
      <c r="Z9" s="159" t="str">
        <f aca="false">IF(V10&amp;V11="","Vincente "&amp;T10,IF(V10&gt;V11,U10,U11))</f>
        <v>Vincente 50</v>
      </c>
      <c r="AA9" s="160"/>
      <c r="AB9" s="172"/>
      <c r="AC9" s="119"/>
      <c r="AD9" s="119"/>
      <c r="AE9" s="119"/>
      <c r="AF9" s="119"/>
      <c r="AG9" s="119"/>
      <c r="AH9" s="119"/>
      <c r="AI9" s="119"/>
      <c r="AJ9" s="119"/>
      <c r="AK9" s="119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40" t="s">
        <v>195</v>
      </c>
      <c r="CW9" s="141" t="n">
        <v>3</v>
      </c>
      <c r="CX9" s="141" t="n">
        <v>1</v>
      </c>
      <c r="CY9" s="141" t="n">
        <v>2</v>
      </c>
      <c r="CZ9" s="141" t="n">
        <v>0</v>
      </c>
      <c r="DA9" s="141" t="n">
        <v>3</v>
      </c>
      <c r="DB9" s="141" t="n">
        <v>2</v>
      </c>
      <c r="DC9" s="141"/>
      <c r="DD9" s="141" t="n">
        <v>5.0001</v>
      </c>
      <c r="DE9" s="141"/>
      <c r="DF9" s="142" t="n">
        <v>50104</v>
      </c>
      <c r="DG9" s="119"/>
    </row>
    <row r="10" customFormat="false" ht="15.95" hidden="false" customHeight="true" outlineLevel="0" collapsed="false">
      <c r="A10" s="127" t="n">
        <v>7</v>
      </c>
      <c r="B10" s="128" t="n">
        <f aca="false">VLOOKUP(A10,A_4_INPUT_DATE_E_RISULTATI_GIRONI,8,0)</f>
        <v>44354</v>
      </c>
      <c r="C10" s="129" t="n">
        <f aca="false">VLOOKUP(A10,A_4_INPUT_DATE_E_RISULTATI_GIRONI,9,0)</f>
        <v>0.75</v>
      </c>
      <c r="D10" s="143" t="str">
        <f aca="false">VLOOKUP(A10,A_4_INPUT_DATE_E_RISULTATI_GIRONI,4,0)</f>
        <v>Ippopotami</v>
      </c>
      <c r="E10" s="131"/>
      <c r="F10" s="131"/>
      <c r="G10" s="132" t="str">
        <f aca="false">VLOOKUP(A10,A_4_INPUT_DATE_E_RISULTATI_GIRONI,5,0)</f>
        <v>Iguane</v>
      </c>
      <c r="H10" s="134" t="str">
        <f aca="false">VLOOKUP(A10,A_4_INPUT_DATE_E_RISULTATI_GIRONI,3,0)</f>
        <v>C</v>
      </c>
      <c r="I10" s="134" t="str">
        <f aca="false">VLOOKUP(A10,A_4_INPUT_DATE_E_RISULTATI_GIRONI,11,0)</f>
        <v>Basket Giovane</v>
      </c>
      <c r="K10" s="144" t="str">
        <f aca="false">VLOOKUP(ROW()-8&amp;RIGHT(K$8,1),B_CLASSIFICA_GIRONE_B,4,0)</f>
        <v>Puma</v>
      </c>
      <c r="L10" s="145" t="n">
        <f aca="false">VLOOKUP(ROW()-8&amp;RIGHT(K$8,1),B_CLASSIFICA_GIRONE_B,5,0)</f>
        <v>3</v>
      </c>
      <c r="M10" s="145" t="n">
        <f aca="false">VLOOKUP(ROW()-8&amp;RIGHT(K$8,1),B_CLASSIFICA_GIRONE_B,6,0)</f>
        <v>2</v>
      </c>
      <c r="N10" s="145" t="n">
        <f aca="false">VLOOKUP(ROW()-8&amp;RIGHT(K$8,1),B_CLASSIFICA_GIRONE_B,7,0)</f>
        <v>1</v>
      </c>
      <c r="O10" s="145" t="n">
        <f aca="false">VLOOKUP(ROW()-8&amp;RIGHT(K$8,1),B_CLASSIFICA_GIRONE_B,8,0)</f>
        <v>0</v>
      </c>
      <c r="P10" s="145" t="n">
        <f aca="false">VLOOKUP(ROW()-8&amp;RIGHT(K$8,1),B_CLASSIFICA_GIRONE_B,9,0)</f>
        <v>5</v>
      </c>
      <c r="Q10" s="145" t="n">
        <f aca="false">VLOOKUP(ROW()-8&amp;RIGHT(K$8,1),B_CLASSIFICA_GIRONE_B,10,0)</f>
        <v>216</v>
      </c>
      <c r="R10" s="146" t="n">
        <f aca="false">VLOOKUP(ROW()-8&amp;RIGHT(K$8,1),B_CLASSIFICA_GIRONE_B,11,0)</f>
        <v>184</v>
      </c>
      <c r="T10" s="151" t="n">
        <f aca="false">T6+1</f>
        <v>50</v>
      </c>
      <c r="U10" s="173" t="str">
        <f aca="false">K9</f>
        <v>Giaguari</v>
      </c>
      <c r="V10" s="153"/>
      <c r="W10" s="174" t="s">
        <v>196</v>
      </c>
      <c r="X10" s="119"/>
      <c r="Y10" s="119"/>
      <c r="Z10" s="119"/>
      <c r="AA10" s="167"/>
      <c r="AB10" s="168"/>
      <c r="AC10" s="119"/>
      <c r="AD10" s="119"/>
      <c r="AE10" s="119"/>
      <c r="AF10" s="119"/>
      <c r="AG10" s="119"/>
      <c r="AH10" s="119"/>
      <c r="AI10" s="119"/>
      <c r="AJ10" s="119"/>
      <c r="AK10" s="119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40" t="s">
        <v>197</v>
      </c>
      <c r="CW10" s="141" t="n">
        <v>3</v>
      </c>
      <c r="CX10" s="141" t="n">
        <v>2</v>
      </c>
      <c r="CY10" s="141" t="n">
        <v>0</v>
      </c>
      <c r="CZ10" s="141" t="n">
        <v>1</v>
      </c>
      <c r="DA10" s="141" t="n">
        <v>6</v>
      </c>
      <c r="DB10" s="141" t="n">
        <v>3</v>
      </c>
      <c r="DC10" s="141"/>
      <c r="DD10" s="141" t="n">
        <v>6.0003</v>
      </c>
      <c r="DE10" s="141"/>
      <c r="DF10" s="142" t="n">
        <v>60309</v>
      </c>
      <c r="DG10" s="119"/>
    </row>
    <row r="11" customFormat="false" ht="15.95" hidden="false" customHeight="true" outlineLevel="0" collapsed="false">
      <c r="A11" s="127" t="n">
        <v>8</v>
      </c>
      <c r="B11" s="128" t="n">
        <f aca="false">VLOOKUP(A11,A_4_INPUT_DATE_E_RISULTATI_GIRONI,8,0)</f>
        <v>44354</v>
      </c>
      <c r="C11" s="129" t="n">
        <f aca="false">VLOOKUP(A11,A_4_INPUT_DATE_E_RISULTATI_GIRONI,9,0)</f>
        <v>0.75</v>
      </c>
      <c r="D11" s="143" t="str">
        <f aca="false">VLOOKUP(A11,A_4_INPUT_DATE_E_RISULTATI_GIRONI,4,0)</f>
        <v>Aquile</v>
      </c>
      <c r="E11" s="131"/>
      <c r="F11" s="131"/>
      <c r="G11" s="132" t="str">
        <f aca="false">VLOOKUP(A11,A_4_INPUT_DATE_E_RISULTATI_GIRONI,5,0)</f>
        <v>Falchi</v>
      </c>
      <c r="H11" s="134" t="str">
        <f aca="false">VLOOKUP(A11,A_4_INPUT_DATE_E_RISULTATI_GIRONI,3,0)</f>
        <v>D</v>
      </c>
      <c r="I11" s="134" t="str">
        <f aca="false">VLOOKUP(A11,A_4_INPUT_DATE_E_RISULTATI_GIRONI,11,0)</f>
        <v>Nuova Scuola</v>
      </c>
      <c r="K11" s="148" t="str">
        <f aca="false">VLOOKUP(ROW()-8&amp;RIGHT(K$8,1),B_CLASSIFICA_GIRONE_B,4,0)</f>
        <v>Linci</v>
      </c>
      <c r="L11" s="149" t="n">
        <f aca="false">VLOOKUP(ROW()-8&amp;RIGHT(K$8,1),B_CLASSIFICA_GIRONE_B,5,0)</f>
        <v>3</v>
      </c>
      <c r="M11" s="149" t="n">
        <f aca="false">VLOOKUP(ROW()-8&amp;RIGHT(K$8,1),B_CLASSIFICA_GIRONE_B,6,0)</f>
        <v>1</v>
      </c>
      <c r="N11" s="149" t="n">
        <f aca="false">VLOOKUP(ROW()-8&amp;RIGHT(K$8,1),B_CLASSIFICA_GIRONE_B,7,0)</f>
        <v>2</v>
      </c>
      <c r="O11" s="149" t="n">
        <f aca="false">VLOOKUP(ROW()-8&amp;RIGHT(K$8,1),B_CLASSIFICA_GIRONE_B,8,0)</f>
        <v>0</v>
      </c>
      <c r="P11" s="149" t="n">
        <f aca="false">VLOOKUP(ROW()-8&amp;RIGHT(K$8,1),B_CLASSIFICA_GIRONE_B,9,0)</f>
        <v>4</v>
      </c>
      <c r="Q11" s="149" t="n">
        <f aca="false">VLOOKUP(ROW()-8&amp;RIGHT(K$8,1),B_CLASSIFICA_GIRONE_B,10,0)</f>
        <v>181</v>
      </c>
      <c r="R11" s="150" t="n">
        <f aca="false">VLOOKUP(ROW()-8&amp;RIGHT(K$8,1),B_CLASSIFICA_GIRONE_B,11,0)</f>
        <v>197</v>
      </c>
      <c r="T11" s="151"/>
      <c r="U11" s="175" t="str">
        <f aca="false">K20</f>
        <v>Pitoni</v>
      </c>
      <c r="V11" s="160"/>
      <c r="W11" s="154" t="s">
        <v>198</v>
      </c>
      <c r="X11" s="119"/>
      <c r="Y11" s="119"/>
      <c r="Z11" s="119"/>
      <c r="AA11" s="167"/>
      <c r="AB11" s="168"/>
      <c r="AC11" s="119"/>
      <c r="AD11" s="162" t="s">
        <v>199</v>
      </c>
      <c r="AE11" s="119"/>
      <c r="AF11" s="119"/>
      <c r="AG11" s="119"/>
      <c r="AH11" s="119"/>
      <c r="AI11" s="119"/>
      <c r="AJ11" s="119"/>
      <c r="AK11" s="119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40" t="s">
        <v>200</v>
      </c>
      <c r="CW11" s="141" t="n">
        <v>3</v>
      </c>
      <c r="CX11" s="155" t="n">
        <v>1</v>
      </c>
      <c r="CY11" s="155" t="n">
        <v>1</v>
      </c>
      <c r="CZ11" s="155" t="n">
        <v>1</v>
      </c>
      <c r="DA11" s="155" t="n">
        <v>3</v>
      </c>
      <c r="DB11" s="155" t="n">
        <v>3</v>
      </c>
      <c r="DC11" s="155"/>
      <c r="DD11" s="155" t="n">
        <v>4</v>
      </c>
      <c r="DE11" s="155"/>
      <c r="DF11" s="142" t="n">
        <v>40003</v>
      </c>
      <c r="DG11" s="119"/>
    </row>
    <row r="12" customFormat="false" ht="15.95" hidden="false" customHeight="true" outlineLevel="0" collapsed="false">
      <c r="A12" s="127"/>
      <c r="B12" s="128"/>
      <c r="C12" s="129"/>
      <c r="D12" s="143"/>
      <c r="E12" s="131"/>
      <c r="F12" s="131"/>
      <c r="G12" s="132"/>
      <c r="H12" s="134"/>
      <c r="I12" s="134"/>
      <c r="K12" s="156" t="str">
        <f aca="false">VLOOKUP(ROW()-8&amp;RIGHT(K$8,1),B_CLASSIFICA_GIRONE_B,4,0)</f>
        <v>Serval</v>
      </c>
      <c r="L12" s="157" t="n">
        <f aca="false">VLOOKUP(ROW()-8&amp;RIGHT(K$8,1),B_CLASSIFICA_GIRONE_B,5,0)</f>
        <v>3</v>
      </c>
      <c r="M12" s="157" t="n">
        <f aca="false">VLOOKUP(ROW()-8&amp;RIGHT(K$8,1),B_CLASSIFICA_GIRONE_B,6,0)</f>
        <v>1</v>
      </c>
      <c r="N12" s="157" t="n">
        <f aca="false">VLOOKUP(ROW()-8&amp;RIGHT(K$8,1),B_CLASSIFICA_GIRONE_B,7,0)</f>
        <v>2</v>
      </c>
      <c r="O12" s="157" t="n">
        <f aca="false">VLOOKUP(ROW()-8&amp;RIGHT(K$8,1),B_CLASSIFICA_GIRONE_B,8,0)</f>
        <v>0</v>
      </c>
      <c r="P12" s="157" t="n">
        <f aca="false">VLOOKUP(ROW()-8&amp;RIGHT(K$8,1),B_CLASSIFICA_GIRONE_B,9,0)</f>
        <v>4</v>
      </c>
      <c r="Q12" s="157" t="n">
        <f aca="false">VLOOKUP(ROW()-8&amp;RIGHT(K$8,1),B_CLASSIFICA_GIRONE_B,10,0)</f>
        <v>183</v>
      </c>
      <c r="R12" s="158" t="n">
        <f aca="false">VLOOKUP(ROW()-8&amp;RIGHT(K$8,1),B_CLASSIFICA_GIRONE_B,11,0)</f>
        <v>206</v>
      </c>
      <c r="T12" s="138"/>
      <c r="U12" s="139"/>
      <c r="V12" s="167"/>
      <c r="W12" s="119"/>
      <c r="X12" s="119"/>
      <c r="Y12" s="119"/>
      <c r="Z12" s="119"/>
      <c r="AA12" s="167"/>
      <c r="AB12" s="168"/>
      <c r="AC12" s="119"/>
      <c r="AD12" s="176" t="n">
        <f aca="false">Y32+1</f>
        <v>61</v>
      </c>
      <c r="AE12" s="152" t="str">
        <f aca="false">IF(AA8&amp;AA9="","Vincente "&amp;Y8,IF(AA8&gt;AA9,Z8,Z9))</f>
        <v>Vincente 57</v>
      </c>
      <c r="AF12" s="153"/>
      <c r="AG12" s="119"/>
      <c r="AH12" s="177"/>
      <c r="AI12" s="119"/>
      <c r="AJ12" s="119"/>
      <c r="AK12" s="119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40" t="s">
        <v>201</v>
      </c>
      <c r="CW12" s="141" t="n">
        <v>3</v>
      </c>
      <c r="CX12" s="141" t="n">
        <v>0</v>
      </c>
      <c r="CY12" s="141" t="n">
        <v>1</v>
      </c>
      <c r="CZ12" s="141" t="n">
        <v>2</v>
      </c>
      <c r="DA12" s="141" t="n">
        <v>2</v>
      </c>
      <c r="DB12" s="141" t="n">
        <v>6</v>
      </c>
      <c r="DC12" s="141"/>
      <c r="DD12" s="141" t="n">
        <v>0.9996</v>
      </c>
      <c r="DE12" s="141"/>
      <c r="DF12" s="142" t="n">
        <v>9598</v>
      </c>
      <c r="DG12" s="119"/>
    </row>
    <row r="13" customFormat="false" ht="15.95" hidden="false" customHeight="true" outlineLevel="0" collapsed="false">
      <c r="A13" s="127" t="n">
        <v>9</v>
      </c>
      <c r="B13" s="128" t="n">
        <f aca="false">VLOOKUP(A13,A_4_INPUT_DATE_E_RISULTATI_GIRONI,8,0)</f>
        <v>44355</v>
      </c>
      <c r="C13" s="129" t="n">
        <f aca="false">VLOOKUP(A13,A_4_INPUT_DATE_E_RISULTATI_GIRONI,9,0)</f>
        <v>0.375</v>
      </c>
      <c r="D13" s="143" t="str">
        <f aca="false">VLOOKUP(A13,A_4_INPUT_DATE_E_RISULTATI_GIRONI,4,0)</f>
        <v>Leoni</v>
      </c>
      <c r="E13" s="131"/>
      <c r="F13" s="131"/>
      <c r="G13" s="132" t="str">
        <f aca="false">VLOOKUP(A13,A_4_INPUT_DATE_E_RISULTATI_GIRONI,5,0)</f>
        <v>Tigri</v>
      </c>
      <c r="H13" s="134" t="str">
        <f aca="false">VLOOKUP(A13,A_4_INPUT_DATE_E_RISULTATI_GIRONI,3,0)</f>
        <v>A</v>
      </c>
      <c r="I13" s="134" t="str">
        <f aca="false">VLOOKUP(A13,A_4_INPUT_DATE_E_RISULTATI_GIRONI,11,0)</f>
        <v>Cristo Re 1</v>
      </c>
      <c r="K13" s="178" t="s">
        <v>202</v>
      </c>
      <c r="L13" s="179" t="s">
        <v>59</v>
      </c>
      <c r="M13" s="179" t="s">
        <v>172</v>
      </c>
      <c r="N13" s="179" t="s">
        <v>173</v>
      </c>
      <c r="O13" s="179" t="s">
        <v>54</v>
      </c>
      <c r="P13" s="179" t="s">
        <v>174</v>
      </c>
      <c r="Q13" s="179" t="s">
        <v>175</v>
      </c>
      <c r="R13" s="180" t="s">
        <v>176</v>
      </c>
      <c r="T13" s="162" t="s">
        <v>203</v>
      </c>
      <c r="U13" s="139"/>
      <c r="V13" s="181"/>
      <c r="W13" s="119"/>
      <c r="X13" s="119"/>
      <c r="Y13" s="119"/>
      <c r="Z13" s="119"/>
      <c r="AA13" s="181"/>
      <c r="AB13" s="168"/>
      <c r="AC13" s="171"/>
      <c r="AD13" s="176"/>
      <c r="AE13" s="159" t="str">
        <f aca="false">IF(AA16&amp;AA17="","Vincente "&amp;Y16,IF(AA16&gt;AA17,Z16,Z17))</f>
        <v>Vincente 58</v>
      </c>
      <c r="AF13" s="160"/>
      <c r="AG13" s="172"/>
      <c r="AH13" s="182"/>
      <c r="AI13" s="119"/>
      <c r="AJ13" s="119"/>
      <c r="AK13" s="119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83" t="s">
        <v>204</v>
      </c>
      <c r="CW13" s="183" t="s">
        <v>59</v>
      </c>
      <c r="CX13" s="183" t="s">
        <v>172</v>
      </c>
      <c r="CY13" s="183" t="s">
        <v>178</v>
      </c>
      <c r="CZ13" s="183" t="s">
        <v>173</v>
      </c>
      <c r="DA13" s="183" t="s">
        <v>179</v>
      </c>
      <c r="DB13" s="183" t="s">
        <v>180</v>
      </c>
      <c r="DC13" s="183"/>
      <c r="DD13" s="183" t="s">
        <v>182</v>
      </c>
      <c r="DE13" s="183"/>
      <c r="DF13" s="142"/>
      <c r="DG13" s="119"/>
    </row>
    <row r="14" customFormat="false" ht="15.95" hidden="false" customHeight="true" outlineLevel="0" collapsed="false">
      <c r="A14" s="127" t="n">
        <v>10</v>
      </c>
      <c r="B14" s="128" t="n">
        <f aca="false">VLOOKUP(A14,A_4_INPUT_DATE_E_RISULTATI_GIRONI,8,0)</f>
        <v>44355</v>
      </c>
      <c r="C14" s="129" t="n">
        <f aca="false">VLOOKUP(A14,A_4_INPUT_DATE_E_RISULTATI_GIRONI,9,0)</f>
        <v>0.375</v>
      </c>
      <c r="D14" s="143" t="str">
        <f aca="false">VLOOKUP(A14,A_4_INPUT_DATE_E_RISULTATI_GIRONI,4,0)</f>
        <v>Giaguari</v>
      </c>
      <c r="E14" s="131"/>
      <c r="F14" s="131"/>
      <c r="G14" s="132" t="str">
        <f aca="false">VLOOKUP(A14,A_4_INPUT_DATE_E_RISULTATI_GIRONI,5,0)</f>
        <v>Linci</v>
      </c>
      <c r="H14" s="134" t="str">
        <f aca="false">VLOOKUP(A14,A_4_INPUT_DATE_E_RISULTATI_GIRONI,3,0)</f>
        <v>B</v>
      </c>
      <c r="I14" s="134" t="str">
        <f aca="false">VLOOKUP(A14,A_4_INPUT_DATE_E_RISULTATI_GIRONI,11,0)</f>
        <v>Cristo Re 2</v>
      </c>
      <c r="K14" s="135" t="str">
        <f aca="false">VLOOKUP(ROW()-13&amp;RIGHT(K$13,1),B_CLASSIFICA_GIRONE_C,4,0)</f>
        <v>Elefanti</v>
      </c>
      <c r="L14" s="136" t="n">
        <f aca="false">VLOOKUP(ROW()-13&amp;RIGHT(K$13,1),B_CLASSIFICA_GIRONE_C,5,0)</f>
        <v>3</v>
      </c>
      <c r="M14" s="136" t="n">
        <f aca="false">VLOOKUP(ROW()-13&amp;RIGHT(K$13,1),B_CLASSIFICA_GIRONE_C,6,0)</f>
        <v>2</v>
      </c>
      <c r="N14" s="136" t="n">
        <f aca="false">VLOOKUP(ROW()-13&amp;RIGHT(K$13,1),B_CLASSIFICA_GIRONE_C,7,0)</f>
        <v>1</v>
      </c>
      <c r="O14" s="136" t="n">
        <f aca="false">VLOOKUP(ROW()-13&amp;RIGHT(K$13,1),B_CLASSIFICA_GIRONE_C,8,0)</f>
        <v>0</v>
      </c>
      <c r="P14" s="136" t="n">
        <f aca="false">VLOOKUP(ROW()-13&amp;RIGHT(K$13,1),B_CLASSIFICA_GIRONE_C,9,0)</f>
        <v>5</v>
      </c>
      <c r="Q14" s="136" t="n">
        <f aca="false">VLOOKUP(ROW()-13&amp;RIGHT(K$13,1),B_CLASSIFICA_GIRONE_C,10,0)</f>
        <v>223</v>
      </c>
      <c r="R14" s="137" t="n">
        <f aca="false">VLOOKUP(ROW()-13&amp;RIGHT(K$13,1),B_CLASSIFICA_GIRONE_C,11,0)</f>
        <v>188</v>
      </c>
      <c r="T14" s="151" t="n">
        <f aca="false">T10+1</f>
        <v>51</v>
      </c>
      <c r="U14" s="173" t="str">
        <f aca="false">K24</f>
        <v>Cinghiali</v>
      </c>
      <c r="V14" s="153"/>
      <c r="W14" s="154" t="s">
        <v>205</v>
      </c>
      <c r="X14" s="119"/>
      <c r="Y14" s="119"/>
      <c r="Z14" s="119"/>
      <c r="AA14" s="181"/>
      <c r="AB14" s="168"/>
      <c r="AC14" s="119"/>
      <c r="AD14" s="119"/>
      <c r="AE14" s="119"/>
      <c r="AF14" s="167"/>
      <c r="AG14" s="168"/>
      <c r="AH14" s="119"/>
      <c r="AI14" s="119"/>
      <c r="AJ14" s="119"/>
      <c r="AK14" s="119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40" t="s">
        <v>206</v>
      </c>
      <c r="CW14" s="141" t="n">
        <v>3</v>
      </c>
      <c r="CX14" s="141" t="n">
        <v>1</v>
      </c>
      <c r="CY14" s="141" t="n">
        <v>0</v>
      </c>
      <c r="CZ14" s="141" t="n">
        <v>2</v>
      </c>
      <c r="DA14" s="141" t="n">
        <v>2</v>
      </c>
      <c r="DB14" s="141" t="n">
        <v>2</v>
      </c>
      <c r="DC14" s="141"/>
      <c r="DD14" s="141" t="n">
        <v>3</v>
      </c>
      <c r="DE14" s="141"/>
      <c r="DF14" s="142"/>
      <c r="DG14" s="119"/>
    </row>
    <row r="15" customFormat="false" ht="15.95" hidden="false" customHeight="true" outlineLevel="0" collapsed="false">
      <c r="A15" s="127" t="n">
        <v>11</v>
      </c>
      <c r="B15" s="128" t="n">
        <f aca="false">VLOOKUP(A15,A_4_INPUT_DATE_E_RISULTATI_GIRONI,8,0)</f>
        <v>44355</v>
      </c>
      <c r="C15" s="129" t="n">
        <f aca="false">VLOOKUP(A15,A_4_INPUT_DATE_E_RISULTATI_GIRONI,9,0)</f>
        <v>0.375</v>
      </c>
      <c r="D15" s="143" t="str">
        <f aca="false">VLOOKUP(A15,A_4_INPUT_DATE_E_RISULTATI_GIRONI,4,0)</f>
        <v>Elefanti</v>
      </c>
      <c r="E15" s="131"/>
      <c r="F15" s="131"/>
      <c r="G15" s="132" t="str">
        <f aca="false">VLOOKUP(A15,A_4_INPUT_DATE_E_RISULTATI_GIRONI,5,0)</f>
        <v>Ippopotami</v>
      </c>
      <c r="H15" s="134" t="str">
        <f aca="false">VLOOKUP(A15,A_4_INPUT_DATE_E_RISULTATI_GIRONI,3,0)</f>
        <v>C</v>
      </c>
      <c r="I15" s="134" t="str">
        <f aca="false">VLOOKUP(A15,A_4_INPUT_DATE_E_RISULTATI_GIRONI,11,0)</f>
        <v>Basket Giovane</v>
      </c>
      <c r="K15" s="144" t="str">
        <f aca="false">VLOOKUP(ROW()-13&amp;RIGHT(K$13,1),B_CLASSIFICA_GIRONE_C,4,0)</f>
        <v>Giraffe</v>
      </c>
      <c r="L15" s="145" t="n">
        <f aca="false">VLOOKUP(ROW()-13&amp;RIGHT(K$13,1),B_CLASSIFICA_GIRONE_C,5,0)</f>
        <v>3</v>
      </c>
      <c r="M15" s="145" t="n">
        <f aca="false">VLOOKUP(ROW()-13&amp;RIGHT(K$13,1),B_CLASSIFICA_GIRONE_C,6,0)</f>
        <v>2</v>
      </c>
      <c r="N15" s="145" t="n">
        <f aca="false">VLOOKUP(ROW()-13&amp;RIGHT(K$13,1),B_CLASSIFICA_GIRONE_C,7,0)</f>
        <v>1</v>
      </c>
      <c r="O15" s="145" t="n">
        <f aca="false">VLOOKUP(ROW()-13&amp;RIGHT(K$13,1),B_CLASSIFICA_GIRONE_C,8,0)</f>
        <v>0</v>
      </c>
      <c r="P15" s="145" t="n">
        <f aca="false">VLOOKUP(ROW()-13&amp;RIGHT(K$13,1),B_CLASSIFICA_GIRONE_C,9,0)</f>
        <v>5</v>
      </c>
      <c r="Q15" s="145" t="n">
        <f aca="false">VLOOKUP(ROW()-13&amp;RIGHT(K$13,1),B_CLASSIFICA_GIRONE_C,10,0)</f>
        <v>209</v>
      </c>
      <c r="R15" s="146" t="n">
        <f aca="false">VLOOKUP(ROW()-13&amp;RIGHT(K$13,1),B_CLASSIFICA_GIRONE_C,11,0)</f>
        <v>183</v>
      </c>
      <c r="T15" s="151"/>
      <c r="U15" s="175" t="str">
        <f aca="false">K35</f>
        <v>Orche</v>
      </c>
      <c r="V15" s="160"/>
      <c r="W15" s="161" t="s">
        <v>207</v>
      </c>
      <c r="X15" s="119"/>
      <c r="Y15" s="162" t="s">
        <v>208</v>
      </c>
      <c r="Z15" s="119"/>
      <c r="AA15" s="181"/>
      <c r="AB15" s="168"/>
      <c r="AC15" s="119"/>
      <c r="AD15" s="119"/>
      <c r="AE15" s="119"/>
      <c r="AF15" s="167"/>
      <c r="AG15" s="168"/>
      <c r="AH15" s="119"/>
      <c r="AI15" s="119"/>
      <c r="AJ15" s="119"/>
      <c r="AK15" s="119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40" t="s">
        <v>209</v>
      </c>
      <c r="CW15" s="141" t="n">
        <v>3</v>
      </c>
      <c r="CX15" s="141" t="n">
        <v>2</v>
      </c>
      <c r="CY15" s="141" t="n">
        <v>1</v>
      </c>
      <c r="CZ15" s="141" t="n">
        <v>0</v>
      </c>
      <c r="DA15" s="141" t="n">
        <v>3</v>
      </c>
      <c r="DB15" s="141" t="n">
        <v>0</v>
      </c>
      <c r="DC15" s="141"/>
      <c r="DD15" s="141" t="n">
        <v>7.0003</v>
      </c>
      <c r="DE15" s="141"/>
      <c r="DF15" s="142"/>
      <c r="DG15" s="119"/>
    </row>
    <row r="16" customFormat="false" ht="15.95" hidden="false" customHeight="true" outlineLevel="0" collapsed="false">
      <c r="A16" s="127" t="n">
        <v>12</v>
      </c>
      <c r="B16" s="128" t="n">
        <f aca="false">VLOOKUP(A16,A_4_INPUT_DATE_E_RISULTATI_GIRONI,8,0)</f>
        <v>44355</v>
      </c>
      <c r="C16" s="129" t="n">
        <f aca="false">VLOOKUP(A16,A_4_INPUT_DATE_E_RISULTATI_GIRONI,9,0)</f>
        <v>0.375</v>
      </c>
      <c r="D16" s="143" t="str">
        <f aca="false">VLOOKUP(A16,A_4_INPUT_DATE_E_RISULTATI_GIRONI,4,0)</f>
        <v>Coccodrilli</v>
      </c>
      <c r="E16" s="131"/>
      <c r="F16" s="131"/>
      <c r="G16" s="132" t="str">
        <f aca="false">VLOOKUP(A16,A_4_INPUT_DATE_E_RISULTATI_GIRONI,5,0)</f>
        <v>Aquile</v>
      </c>
      <c r="H16" s="134" t="str">
        <f aca="false">VLOOKUP(A16,A_4_INPUT_DATE_E_RISULTATI_GIRONI,3,0)</f>
        <v>D</v>
      </c>
      <c r="I16" s="134" t="str">
        <f aca="false">VLOOKUP(A16,A_4_INPUT_DATE_E_RISULTATI_GIRONI,11,0)</f>
        <v>Nuova Scuola</v>
      </c>
      <c r="K16" s="148" t="str">
        <f aca="false">VLOOKUP(ROW()-13&amp;RIGHT(K$13,1),B_CLASSIFICA_GIRONE_C,4,0)</f>
        <v>Ippopotami</v>
      </c>
      <c r="L16" s="149" t="n">
        <f aca="false">VLOOKUP(ROW()-13&amp;RIGHT(K$13,1),B_CLASSIFICA_GIRONE_C,5,0)</f>
        <v>3</v>
      </c>
      <c r="M16" s="149" t="n">
        <f aca="false">VLOOKUP(ROW()-13&amp;RIGHT(K$13,1),B_CLASSIFICA_GIRONE_C,6,0)</f>
        <v>2</v>
      </c>
      <c r="N16" s="149" t="n">
        <f aca="false">VLOOKUP(ROW()-13&amp;RIGHT(K$13,1),B_CLASSIFICA_GIRONE_C,7,0)</f>
        <v>1</v>
      </c>
      <c r="O16" s="149" t="n">
        <f aca="false">VLOOKUP(ROW()-13&amp;RIGHT(K$13,1),B_CLASSIFICA_GIRONE_C,8,0)</f>
        <v>0</v>
      </c>
      <c r="P16" s="149" t="n">
        <f aca="false">VLOOKUP(ROW()-13&amp;RIGHT(K$13,1),B_CLASSIFICA_GIRONE_C,9,0)</f>
        <v>5</v>
      </c>
      <c r="Q16" s="149" t="n">
        <f aca="false">VLOOKUP(ROW()-13&amp;RIGHT(K$13,1),B_CLASSIFICA_GIRONE_C,10,0)</f>
        <v>240</v>
      </c>
      <c r="R16" s="150" t="n">
        <f aca="false">VLOOKUP(ROW()-13&amp;RIGHT(K$13,1),B_CLASSIFICA_GIRONE_C,11,0)</f>
        <v>189</v>
      </c>
      <c r="T16" s="138"/>
      <c r="U16" s="139"/>
      <c r="V16" s="167"/>
      <c r="W16" s="184"/>
      <c r="X16" s="119"/>
      <c r="Y16" s="169" t="n">
        <f aca="false">Y8+1</f>
        <v>58</v>
      </c>
      <c r="Z16" s="152" t="str">
        <f aca="false">IF(V14&amp;V15="","Vincente "&amp;T14,IF(V14&gt;V15,U14,U15))</f>
        <v>Vincente 51</v>
      </c>
      <c r="AA16" s="153"/>
      <c r="AB16" s="185"/>
      <c r="AC16" s="119"/>
      <c r="AD16" s="119"/>
      <c r="AE16" s="119"/>
      <c r="AF16" s="167"/>
      <c r="AG16" s="168"/>
      <c r="AH16" s="119"/>
      <c r="AI16" s="119"/>
      <c r="AJ16" s="119"/>
      <c r="AK16" s="119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40" t="s">
        <v>210</v>
      </c>
      <c r="CW16" s="141" t="n">
        <v>3</v>
      </c>
      <c r="CX16" s="155" t="n">
        <v>2</v>
      </c>
      <c r="CY16" s="155" t="n">
        <v>1</v>
      </c>
      <c r="CZ16" s="155" t="n">
        <v>0</v>
      </c>
      <c r="DA16" s="155" t="n">
        <v>2</v>
      </c>
      <c r="DB16" s="155" t="n">
        <v>0</v>
      </c>
      <c r="DC16" s="155"/>
      <c r="DD16" s="155" t="n">
        <v>7.0002</v>
      </c>
      <c r="DE16" s="155"/>
      <c r="DF16" s="142"/>
      <c r="DG16" s="119"/>
    </row>
    <row r="17" customFormat="false" ht="15.95" hidden="false" customHeight="true" outlineLevel="0" collapsed="false">
      <c r="A17" s="127" t="n">
        <v>13</v>
      </c>
      <c r="B17" s="128" t="n">
        <f aca="false">VLOOKUP(A17,A_4_INPUT_DATE_E_RISULTATI_GIRONI,8,0)</f>
        <v>44355</v>
      </c>
      <c r="C17" s="129" t="n">
        <f aca="false">VLOOKUP(A17,A_4_INPUT_DATE_E_RISULTATI_GIRONI,9,0)</f>
        <v>0.458333333333333</v>
      </c>
      <c r="D17" s="143" t="str">
        <f aca="false">VLOOKUP(A17,A_4_INPUT_DATE_E_RISULTATI_GIRONI,4,0)</f>
        <v>Pantere</v>
      </c>
      <c r="E17" s="131"/>
      <c r="F17" s="131"/>
      <c r="G17" s="132" t="str">
        <f aca="false">VLOOKUP(A17,A_4_INPUT_DATE_E_RISULTATI_GIRONI,5,0)</f>
        <v>Ghepardi</v>
      </c>
      <c r="H17" s="134" t="str">
        <f aca="false">VLOOKUP(A17,A_4_INPUT_DATE_E_RISULTATI_GIRONI,3,0)</f>
        <v>A</v>
      </c>
      <c r="I17" s="134" t="str">
        <f aca="false">VLOOKUP(A17,A_4_INPUT_DATE_E_RISULTATI_GIRONI,11,0)</f>
        <v>Cristo Re 1</v>
      </c>
      <c r="K17" s="156" t="str">
        <f aca="false">VLOOKUP(ROW()-13&amp;RIGHT(K$13,1),B_CLASSIFICA_GIRONE_C,4,0)</f>
        <v>Iguane</v>
      </c>
      <c r="L17" s="157" t="n">
        <f aca="false">VLOOKUP(ROW()-13&amp;RIGHT(K$13,1),B_CLASSIFICA_GIRONE_C,5,0)</f>
        <v>3</v>
      </c>
      <c r="M17" s="157" t="n">
        <f aca="false">VLOOKUP(ROW()-13&amp;RIGHT(K$13,1),B_CLASSIFICA_GIRONE_C,6,0)</f>
        <v>0</v>
      </c>
      <c r="N17" s="157" t="n">
        <f aca="false">VLOOKUP(ROW()-13&amp;RIGHT(K$13,1),B_CLASSIFICA_GIRONE_C,7,0)</f>
        <v>3</v>
      </c>
      <c r="O17" s="157" t="n">
        <f aca="false">VLOOKUP(ROW()-13&amp;RIGHT(K$13,1),B_CLASSIFICA_GIRONE_C,8,0)</f>
        <v>0</v>
      </c>
      <c r="P17" s="157" t="n">
        <f aca="false">VLOOKUP(ROW()-13&amp;RIGHT(K$13,1),B_CLASSIFICA_GIRONE_C,9,0)</f>
        <v>3</v>
      </c>
      <c r="Q17" s="157" t="n">
        <f aca="false">VLOOKUP(ROW()-13&amp;RIGHT(K$13,1),B_CLASSIFICA_GIRONE_C,10,0)</f>
        <v>101</v>
      </c>
      <c r="R17" s="158" t="n">
        <f aca="false">VLOOKUP(ROW()-13&amp;RIGHT(K$13,1),B_CLASSIFICA_GIRONE_C,11,0)</f>
        <v>213</v>
      </c>
      <c r="T17" s="162" t="s">
        <v>211</v>
      </c>
      <c r="U17" s="139"/>
      <c r="V17" s="181"/>
      <c r="W17" s="184"/>
      <c r="X17" s="171"/>
      <c r="Y17" s="169"/>
      <c r="Z17" s="159" t="str">
        <f aca="false">IF(V18&amp;V19="","Vincente "&amp;T18,IF(V18&gt;V19,U18,U19))</f>
        <v>Vincente 52</v>
      </c>
      <c r="AA17" s="160"/>
      <c r="AB17" s="119"/>
      <c r="AC17" s="119"/>
      <c r="AD17" s="119"/>
      <c r="AE17" s="119"/>
      <c r="AF17" s="167"/>
      <c r="AG17" s="168"/>
      <c r="AH17" s="119"/>
      <c r="AI17" s="119"/>
      <c r="AJ17" s="119"/>
      <c r="AK17" s="119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40" t="s">
        <v>212</v>
      </c>
      <c r="CW17" s="141" t="n">
        <v>3</v>
      </c>
      <c r="CX17" s="141" t="n">
        <v>0</v>
      </c>
      <c r="CY17" s="141" t="n">
        <v>0</v>
      </c>
      <c r="CZ17" s="141" t="n">
        <v>3</v>
      </c>
      <c r="DA17" s="141" t="n">
        <v>0</v>
      </c>
      <c r="DB17" s="141" t="n">
        <v>5</v>
      </c>
      <c r="DC17" s="141"/>
      <c r="DD17" s="141" t="n">
        <v>-0.0005</v>
      </c>
      <c r="DE17" s="141"/>
      <c r="DF17" s="142"/>
      <c r="DG17" s="119"/>
    </row>
    <row r="18" customFormat="false" ht="15.95" hidden="false" customHeight="true" outlineLevel="0" collapsed="false">
      <c r="A18" s="127" t="n">
        <v>14</v>
      </c>
      <c r="B18" s="128" t="n">
        <f aca="false">VLOOKUP(A18,A_4_INPUT_DATE_E_RISULTATI_GIRONI,8,0)</f>
        <v>44355</v>
      </c>
      <c r="C18" s="129" t="n">
        <f aca="false">VLOOKUP(A18,A_4_INPUT_DATE_E_RISULTATI_GIRONI,9,0)</f>
        <v>0.458333333333333</v>
      </c>
      <c r="D18" s="143" t="str">
        <f aca="false">VLOOKUP(A18,A_4_INPUT_DATE_E_RISULTATI_GIRONI,4,0)</f>
        <v>Puma</v>
      </c>
      <c r="E18" s="131"/>
      <c r="F18" s="131"/>
      <c r="G18" s="132" t="str">
        <f aca="false">VLOOKUP(A18,A_4_INPUT_DATE_E_RISULTATI_GIRONI,5,0)</f>
        <v>Serval</v>
      </c>
      <c r="H18" s="134" t="str">
        <f aca="false">VLOOKUP(A18,A_4_INPUT_DATE_E_RISULTATI_GIRONI,3,0)</f>
        <v>B</v>
      </c>
      <c r="I18" s="134" t="str">
        <f aca="false">VLOOKUP(A18,A_4_INPUT_DATE_E_RISULTATI_GIRONI,11,0)</f>
        <v>Cristo Re 2</v>
      </c>
      <c r="K18" s="186" t="s">
        <v>213</v>
      </c>
      <c r="L18" s="187" t="s">
        <v>59</v>
      </c>
      <c r="M18" s="187" t="s">
        <v>172</v>
      </c>
      <c r="N18" s="187" t="s">
        <v>173</v>
      </c>
      <c r="O18" s="187" t="s">
        <v>54</v>
      </c>
      <c r="P18" s="187" t="s">
        <v>174</v>
      </c>
      <c r="Q18" s="187" t="s">
        <v>175</v>
      </c>
      <c r="R18" s="188" t="s">
        <v>176</v>
      </c>
      <c r="T18" s="151" t="n">
        <f aca="false">T14+1</f>
        <v>52</v>
      </c>
      <c r="U18" s="173" t="str">
        <f aca="false">K29</f>
        <v>Balene</v>
      </c>
      <c r="V18" s="153"/>
      <c r="W18" s="174" t="s">
        <v>214</v>
      </c>
      <c r="X18" s="119"/>
      <c r="Y18" s="119"/>
      <c r="Z18" s="119"/>
      <c r="AA18" s="167"/>
      <c r="AB18" s="119"/>
      <c r="AC18" s="119"/>
      <c r="AD18" s="119"/>
      <c r="AE18" s="119"/>
      <c r="AF18" s="167"/>
      <c r="AG18" s="168"/>
      <c r="AH18" s="119"/>
      <c r="AI18" s="162" t="s">
        <v>215</v>
      </c>
      <c r="AJ18" s="119"/>
      <c r="AK18" s="119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89" t="s">
        <v>216</v>
      </c>
      <c r="CW18" s="189" t="s">
        <v>59</v>
      </c>
      <c r="CX18" s="189" t="s">
        <v>172</v>
      </c>
      <c r="CY18" s="189" t="s">
        <v>178</v>
      </c>
      <c r="CZ18" s="189" t="s">
        <v>173</v>
      </c>
      <c r="DA18" s="189" t="s">
        <v>179</v>
      </c>
      <c r="DB18" s="189" t="s">
        <v>180</v>
      </c>
      <c r="DC18" s="189"/>
      <c r="DD18" s="189" t="s">
        <v>182</v>
      </c>
      <c r="DE18" s="189"/>
      <c r="DF18" s="142"/>
      <c r="DG18" s="119"/>
    </row>
    <row r="19" customFormat="false" ht="15.95" hidden="false" customHeight="true" outlineLevel="0" collapsed="false">
      <c r="A19" s="127" t="n">
        <v>15</v>
      </c>
      <c r="B19" s="128" t="n">
        <f aca="false">VLOOKUP(A19,A_4_INPUT_DATE_E_RISULTATI_GIRONI,8,0)</f>
        <v>44355</v>
      </c>
      <c r="C19" s="129" t="n">
        <f aca="false">VLOOKUP(A19,A_4_INPUT_DATE_E_RISULTATI_GIRONI,9,0)</f>
        <v>0.458333333333333</v>
      </c>
      <c r="D19" s="143" t="str">
        <f aca="false">VLOOKUP(A19,A_4_INPUT_DATE_E_RISULTATI_GIRONI,4,0)</f>
        <v>Giraffe</v>
      </c>
      <c r="E19" s="131"/>
      <c r="F19" s="131"/>
      <c r="G19" s="132" t="str">
        <f aca="false">VLOOKUP(A19,A_4_INPUT_DATE_E_RISULTATI_GIRONI,5,0)</f>
        <v>Iguane</v>
      </c>
      <c r="H19" s="134" t="str">
        <f aca="false">VLOOKUP(A19,A_4_INPUT_DATE_E_RISULTATI_GIRONI,3,0)</f>
        <v>C</v>
      </c>
      <c r="I19" s="134" t="str">
        <f aca="false">VLOOKUP(A19,A_4_INPUT_DATE_E_RISULTATI_GIRONI,11,0)</f>
        <v>Basket Giovane</v>
      </c>
      <c r="K19" s="135" t="str">
        <f aca="false">VLOOKUP(ROW()-18&amp;RIGHT(K$18,1),B_CLASSIFICA_GIRONE_D,4,0)</f>
        <v>Coccodrilli</v>
      </c>
      <c r="L19" s="136" t="n">
        <f aca="false">VLOOKUP(ROW()-18&amp;RIGHT(K$18,1),B_CLASSIFICA_GIRONE_D,5,0)</f>
        <v>3</v>
      </c>
      <c r="M19" s="136" t="n">
        <f aca="false">VLOOKUP(ROW()-18&amp;RIGHT(K$18,1),B_CLASSIFICA_GIRONE_D,6,0)</f>
        <v>2</v>
      </c>
      <c r="N19" s="136" t="n">
        <f aca="false">VLOOKUP(ROW()-18&amp;RIGHT(K$18,1),B_CLASSIFICA_GIRONE_D,7,0)</f>
        <v>1</v>
      </c>
      <c r="O19" s="136" t="n">
        <f aca="false">VLOOKUP(ROW()-18&amp;RIGHT(K$18,1),B_CLASSIFICA_GIRONE_D,8,0)</f>
        <v>0</v>
      </c>
      <c r="P19" s="136" t="n">
        <f aca="false">VLOOKUP(ROW()-18&amp;RIGHT(K$18,1),B_CLASSIFICA_GIRONE_D,9,0)</f>
        <v>5</v>
      </c>
      <c r="Q19" s="136" t="n">
        <f aca="false">VLOOKUP(ROW()-18&amp;RIGHT(K$18,1),B_CLASSIFICA_GIRONE_D,10,0)</f>
        <v>179</v>
      </c>
      <c r="R19" s="137" t="n">
        <f aca="false">VLOOKUP(ROW()-18&amp;RIGHT(K$18,1),B_CLASSIFICA_GIRONE_D,11,0)</f>
        <v>169</v>
      </c>
      <c r="T19" s="151"/>
      <c r="U19" s="175" t="str">
        <f aca="false">K40</f>
        <v>Piranha</v>
      </c>
      <c r="V19" s="160"/>
      <c r="W19" s="154" t="s">
        <v>217</v>
      </c>
      <c r="X19" s="119"/>
      <c r="Y19" s="119"/>
      <c r="Z19" s="119"/>
      <c r="AA19" s="167"/>
      <c r="AB19" s="119"/>
      <c r="AC19" s="119"/>
      <c r="AD19" s="119"/>
      <c r="AE19" s="119"/>
      <c r="AF19" s="167"/>
      <c r="AG19" s="168"/>
      <c r="AH19" s="119"/>
      <c r="AI19" s="190" t="n">
        <f aca="false">AD28+1</f>
        <v>63</v>
      </c>
      <c r="AJ19" s="152" t="str">
        <f aca="false">IF(AF12&amp;AF13="","Vincente "&amp;AD12,IF(AF12&gt;AF13,AE12,AE13))</f>
        <v>Vincente 61</v>
      </c>
      <c r="AK19" s="153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40" t="s">
        <v>218</v>
      </c>
      <c r="CW19" s="141" t="n">
        <v>3</v>
      </c>
      <c r="CX19" s="141" t="n">
        <v>1</v>
      </c>
      <c r="CY19" s="141" t="n">
        <v>0</v>
      </c>
      <c r="CZ19" s="141" t="n">
        <v>2</v>
      </c>
      <c r="DA19" s="141" t="n">
        <v>2</v>
      </c>
      <c r="DB19" s="141" t="n">
        <v>4</v>
      </c>
      <c r="DC19" s="141"/>
      <c r="DD19" s="141" t="n">
        <v>2.9998</v>
      </c>
      <c r="DE19" s="141"/>
      <c r="DF19" s="142"/>
      <c r="DG19" s="119"/>
    </row>
    <row r="20" customFormat="false" ht="15.95" hidden="false" customHeight="true" outlineLevel="0" collapsed="false">
      <c r="A20" s="127" t="n">
        <v>16</v>
      </c>
      <c r="B20" s="128" t="n">
        <f aca="false">VLOOKUP(A20,A_4_INPUT_DATE_E_RISULTATI_GIRONI,8,0)</f>
        <v>44355</v>
      </c>
      <c r="C20" s="129" t="n">
        <f aca="false">VLOOKUP(A20,A_4_INPUT_DATE_E_RISULTATI_GIRONI,9,0)</f>
        <v>0.458333333333333</v>
      </c>
      <c r="D20" s="143" t="str">
        <f aca="false">VLOOKUP(A20,A_4_INPUT_DATE_E_RISULTATI_GIRONI,4,0)</f>
        <v>Pitoni</v>
      </c>
      <c r="E20" s="131"/>
      <c r="F20" s="131"/>
      <c r="G20" s="132" t="str">
        <f aca="false">VLOOKUP(A20,A_4_INPUT_DATE_E_RISULTATI_GIRONI,5,0)</f>
        <v>Falchi</v>
      </c>
      <c r="H20" s="134" t="str">
        <f aca="false">VLOOKUP(A20,A_4_INPUT_DATE_E_RISULTATI_GIRONI,3,0)</f>
        <v>D</v>
      </c>
      <c r="I20" s="134" t="str">
        <f aca="false">VLOOKUP(A20,A_4_INPUT_DATE_E_RISULTATI_GIRONI,11,0)</f>
        <v>Nuova Scuola</v>
      </c>
      <c r="K20" s="144" t="str">
        <f aca="false">VLOOKUP(ROW()-18&amp;RIGHT(K$18,1),B_CLASSIFICA_GIRONE_D,4,0)</f>
        <v>Pitoni</v>
      </c>
      <c r="L20" s="145" t="n">
        <f aca="false">VLOOKUP(ROW()-18&amp;RIGHT(K$18,1),B_CLASSIFICA_GIRONE_D,5,0)</f>
        <v>3</v>
      </c>
      <c r="M20" s="145" t="n">
        <f aca="false">VLOOKUP(ROW()-18&amp;RIGHT(K$18,1),B_CLASSIFICA_GIRONE_D,6,0)</f>
        <v>2</v>
      </c>
      <c r="N20" s="145" t="n">
        <f aca="false">VLOOKUP(ROW()-18&amp;RIGHT(K$18,1),B_CLASSIFICA_GIRONE_D,7,0)</f>
        <v>1</v>
      </c>
      <c r="O20" s="145" t="n">
        <f aca="false">VLOOKUP(ROW()-18&amp;RIGHT(K$18,1),B_CLASSIFICA_GIRONE_D,8,0)</f>
        <v>0</v>
      </c>
      <c r="P20" s="145" t="n">
        <f aca="false">VLOOKUP(ROW()-18&amp;RIGHT(K$18,1),B_CLASSIFICA_GIRONE_D,9,0)</f>
        <v>5</v>
      </c>
      <c r="Q20" s="145" t="n">
        <f aca="false">VLOOKUP(ROW()-18&amp;RIGHT(K$18,1),B_CLASSIFICA_GIRONE_D,10,0)</f>
        <v>194</v>
      </c>
      <c r="R20" s="146" t="n">
        <f aca="false">VLOOKUP(ROW()-18&amp;RIGHT(K$18,1),B_CLASSIFICA_GIRONE_D,11,0)</f>
        <v>168</v>
      </c>
      <c r="T20" s="138"/>
      <c r="U20" s="139"/>
      <c r="V20" s="167"/>
      <c r="W20" s="154"/>
      <c r="X20" s="119"/>
      <c r="Y20" s="119"/>
      <c r="Z20" s="119"/>
      <c r="AA20" s="167"/>
      <c r="AB20" s="119"/>
      <c r="AC20" s="119"/>
      <c r="AD20" s="119"/>
      <c r="AE20" s="119"/>
      <c r="AF20" s="167"/>
      <c r="AG20" s="168"/>
      <c r="AH20" s="171"/>
      <c r="AI20" s="190"/>
      <c r="AJ20" s="159" t="str">
        <f aca="false">IF(AF28&amp;AF29="","Vincente "&amp;AD28,IF(AF28&gt;AF29,AE28,AE29))</f>
        <v>Vincente 62</v>
      </c>
      <c r="AK20" s="160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40" t="s">
        <v>219</v>
      </c>
      <c r="CW20" s="141" t="n">
        <v>3</v>
      </c>
      <c r="CX20" s="141" t="n">
        <v>2</v>
      </c>
      <c r="CY20" s="141" t="n">
        <v>1</v>
      </c>
      <c r="CZ20" s="141" t="n">
        <v>0</v>
      </c>
      <c r="DA20" s="141" t="n">
        <v>5</v>
      </c>
      <c r="DB20" s="141" t="n">
        <v>3</v>
      </c>
      <c r="DC20" s="141"/>
      <c r="DD20" s="141" t="n">
        <v>7.0002</v>
      </c>
      <c r="DE20" s="141"/>
      <c r="DF20" s="142"/>
      <c r="DG20" s="119"/>
    </row>
    <row r="21" customFormat="false" ht="15.95" hidden="false" customHeight="true" outlineLevel="0" collapsed="false">
      <c r="A21" s="127" t="n">
        <v>17</v>
      </c>
      <c r="B21" s="128" t="n">
        <f aca="false">VLOOKUP(A21,A_4_INPUT_DATE_E_RISULTATI_GIRONI,8,0)</f>
        <v>44355</v>
      </c>
      <c r="C21" s="129" t="n">
        <f aca="false">VLOOKUP(A21,A_4_INPUT_DATE_E_RISULTATI_GIRONI,9,0)</f>
        <v>0.645833333333333</v>
      </c>
      <c r="D21" s="143" t="str">
        <f aca="false">VLOOKUP(A21,A_4_INPUT_DATE_E_RISULTATI_GIRONI,4,0)</f>
        <v>Bisonti</v>
      </c>
      <c r="E21" s="131"/>
      <c r="F21" s="131"/>
      <c r="G21" s="132" t="str">
        <f aca="false">VLOOKUP(A21,A_4_INPUT_DATE_E_RISULTATI_GIRONI,5,0)</f>
        <v>Bufali</v>
      </c>
      <c r="H21" s="134" t="str">
        <f aca="false">VLOOKUP(A21,A_4_INPUT_DATE_E_RISULTATI_GIRONI,3,0)</f>
        <v>E</v>
      </c>
      <c r="I21" s="134" t="str">
        <f aca="false">VLOOKUP(A21,A_4_INPUT_DATE_E_RISULTATI_GIRONI,11,0)</f>
        <v>Cristo Re 1</v>
      </c>
      <c r="K21" s="148" t="str">
        <f aca="false">VLOOKUP(ROW()-18&amp;RIGHT(K$18,1),B_CLASSIFICA_GIRONE_D,4,0)</f>
        <v>Aquile</v>
      </c>
      <c r="L21" s="149" t="n">
        <f aca="false">VLOOKUP(ROW()-18&amp;RIGHT(K$18,1),B_CLASSIFICA_GIRONE_D,5,0)</f>
        <v>3</v>
      </c>
      <c r="M21" s="149" t="n">
        <f aca="false">VLOOKUP(ROW()-18&amp;RIGHT(K$18,1),B_CLASSIFICA_GIRONE_D,6,0)</f>
        <v>2</v>
      </c>
      <c r="N21" s="149" t="n">
        <f aca="false">VLOOKUP(ROW()-18&amp;RIGHT(K$18,1),B_CLASSIFICA_GIRONE_D,7,0)</f>
        <v>1</v>
      </c>
      <c r="O21" s="149" t="n">
        <f aca="false">VLOOKUP(ROW()-18&amp;RIGHT(K$18,1),B_CLASSIFICA_GIRONE_D,8,0)</f>
        <v>0</v>
      </c>
      <c r="P21" s="149" t="n">
        <f aca="false">VLOOKUP(ROW()-18&amp;RIGHT(K$18,1),B_CLASSIFICA_GIRONE_D,9,0)</f>
        <v>5</v>
      </c>
      <c r="Q21" s="149" t="n">
        <f aca="false">VLOOKUP(ROW()-18&amp;RIGHT(K$18,1),B_CLASSIFICA_GIRONE_D,10,0)</f>
        <v>126</v>
      </c>
      <c r="R21" s="150" t="n">
        <f aca="false">VLOOKUP(ROW()-18&amp;RIGHT(K$18,1),B_CLASSIFICA_GIRONE_D,11,0)</f>
        <v>106</v>
      </c>
      <c r="T21" s="162" t="s">
        <v>220</v>
      </c>
      <c r="U21" s="139"/>
      <c r="V21" s="191"/>
      <c r="W21" s="154"/>
      <c r="X21" s="119"/>
      <c r="Y21" s="119"/>
      <c r="Z21" s="119"/>
      <c r="AA21" s="167"/>
      <c r="AB21" s="119"/>
      <c r="AC21" s="119"/>
      <c r="AD21" s="119"/>
      <c r="AE21" s="119"/>
      <c r="AF21" s="167"/>
      <c r="AG21" s="168"/>
      <c r="AH21" s="119"/>
      <c r="AI21" s="119"/>
      <c r="AJ21" s="119"/>
      <c r="AK21" s="119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40" t="s">
        <v>221</v>
      </c>
      <c r="CW21" s="141" t="n">
        <v>3</v>
      </c>
      <c r="CX21" s="155" t="n">
        <v>2</v>
      </c>
      <c r="CY21" s="155" t="n">
        <v>0</v>
      </c>
      <c r="CZ21" s="155" t="n">
        <v>1</v>
      </c>
      <c r="DA21" s="155" t="n">
        <v>5</v>
      </c>
      <c r="DB21" s="155" t="n">
        <v>2</v>
      </c>
      <c r="DC21" s="155"/>
      <c r="DD21" s="155" t="n">
        <v>6.0003</v>
      </c>
      <c r="DE21" s="155"/>
      <c r="DF21" s="142"/>
      <c r="DG21" s="119"/>
    </row>
    <row r="22" customFormat="false" ht="15.95" hidden="false" customHeight="true" outlineLevel="0" collapsed="false">
      <c r="A22" s="127" t="n">
        <v>18</v>
      </c>
      <c r="B22" s="128" t="n">
        <f aca="false">VLOOKUP(A22,A_4_INPUT_DATE_E_RISULTATI_GIRONI,8,0)</f>
        <v>44355</v>
      </c>
      <c r="C22" s="129" t="n">
        <f aca="false">VLOOKUP(A22,A_4_INPUT_DATE_E_RISULTATI_GIRONI,9,0)</f>
        <v>0.645833333333333</v>
      </c>
      <c r="D22" s="143" t="str">
        <f aca="false">VLOOKUP(A22,A_4_INPUT_DATE_E_RISULTATI_GIRONI,4,0)</f>
        <v>Balene</v>
      </c>
      <c r="E22" s="131"/>
      <c r="F22" s="131"/>
      <c r="G22" s="132" t="str">
        <f aca="false">VLOOKUP(A22,A_4_INPUT_DATE_E_RISULTATI_GIRONI,5,0)</f>
        <v>Gabbiani</v>
      </c>
      <c r="H22" s="134" t="str">
        <f aca="false">VLOOKUP(A22,A_4_INPUT_DATE_E_RISULTATI_GIRONI,3,0)</f>
        <v>F</v>
      </c>
      <c r="I22" s="134" t="str">
        <f aca="false">VLOOKUP(A22,A_4_INPUT_DATE_E_RISULTATI_GIRONI,11,0)</f>
        <v>Cristo Re 2</v>
      </c>
      <c r="K22" s="156" t="str">
        <f aca="false">VLOOKUP(ROW()-18&amp;RIGHT(K$18,1),B_CLASSIFICA_GIRONE_D,4,0)</f>
        <v>Falchi</v>
      </c>
      <c r="L22" s="157" t="n">
        <f aca="false">VLOOKUP(ROW()-18&amp;RIGHT(K$18,1),B_CLASSIFICA_GIRONE_D,5,0)</f>
        <v>3</v>
      </c>
      <c r="M22" s="157" t="n">
        <f aca="false">VLOOKUP(ROW()-18&amp;RIGHT(K$18,1),B_CLASSIFICA_GIRONE_D,6,0)</f>
        <v>0</v>
      </c>
      <c r="N22" s="157" t="n">
        <f aca="false">VLOOKUP(ROW()-18&amp;RIGHT(K$18,1),B_CLASSIFICA_GIRONE_D,7,0)</f>
        <v>3</v>
      </c>
      <c r="O22" s="157" t="n">
        <f aca="false">VLOOKUP(ROW()-18&amp;RIGHT(K$18,1),B_CLASSIFICA_GIRONE_D,8,0)</f>
        <v>0</v>
      </c>
      <c r="P22" s="157" t="n">
        <f aca="false">VLOOKUP(ROW()-18&amp;RIGHT(K$18,1),B_CLASSIFICA_GIRONE_D,9,0)</f>
        <v>3</v>
      </c>
      <c r="Q22" s="157" t="n">
        <f aca="false">VLOOKUP(ROW()-18&amp;RIGHT(K$18,1),B_CLASSIFICA_GIRONE_D,10,0)</f>
        <v>153</v>
      </c>
      <c r="R22" s="158" t="n">
        <f aca="false">VLOOKUP(ROW()-18&amp;RIGHT(K$18,1),B_CLASSIFICA_GIRONE_D,11,0)</f>
        <v>209</v>
      </c>
      <c r="T22" s="151" t="n">
        <f aca="false">T18+1</f>
        <v>53</v>
      </c>
      <c r="U22" s="173" t="str">
        <f aca="false">K39</f>
        <v>Scorpioni</v>
      </c>
      <c r="V22" s="153"/>
      <c r="W22" s="154" t="s">
        <v>222</v>
      </c>
      <c r="X22" s="119"/>
      <c r="Y22" s="119"/>
      <c r="Z22" s="119"/>
      <c r="AA22" s="167"/>
      <c r="AB22" s="119"/>
      <c r="AC22" s="119"/>
      <c r="AD22" s="119"/>
      <c r="AE22" s="119"/>
      <c r="AF22" s="167"/>
      <c r="AG22" s="168"/>
      <c r="AH22" s="119"/>
      <c r="AI22" s="119"/>
      <c r="AJ22" s="119"/>
      <c r="AK22" s="119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40" t="s">
        <v>223</v>
      </c>
      <c r="CW22" s="141" t="n">
        <v>3</v>
      </c>
      <c r="CX22" s="141" t="n">
        <v>0</v>
      </c>
      <c r="CY22" s="141" t="n">
        <v>1</v>
      </c>
      <c r="CZ22" s="141" t="n">
        <v>2</v>
      </c>
      <c r="DA22" s="141" t="n">
        <v>2</v>
      </c>
      <c r="DB22" s="141" t="n">
        <v>5</v>
      </c>
      <c r="DC22" s="141"/>
      <c r="DD22" s="141" t="n">
        <v>0.9997</v>
      </c>
      <c r="DE22" s="141"/>
      <c r="DF22" s="142"/>
      <c r="DG22" s="119"/>
    </row>
    <row r="23" customFormat="false" ht="15.95" hidden="false" customHeight="true" outlineLevel="0" collapsed="false">
      <c r="A23" s="127" t="n">
        <v>19</v>
      </c>
      <c r="B23" s="128" t="n">
        <f aca="false">VLOOKUP(A23,A_4_INPUT_DATE_E_RISULTATI_GIRONI,8,0)</f>
        <v>44355</v>
      </c>
      <c r="C23" s="129" t="n">
        <f aca="false">VLOOKUP(A23,A_4_INPUT_DATE_E_RISULTATI_GIRONI,9,0)</f>
        <v>0.645833333333333</v>
      </c>
      <c r="D23" s="143" t="str">
        <f aca="false">VLOOKUP(A23,A_4_INPUT_DATE_E_RISULTATI_GIRONI,4,0)</f>
        <v>Istrici</v>
      </c>
      <c r="E23" s="131"/>
      <c r="F23" s="131"/>
      <c r="G23" s="132" t="str">
        <f aca="false">VLOOKUP(A23,A_4_INPUT_DATE_E_RISULTATI_GIRONI,5,0)</f>
        <v>Gorilla</v>
      </c>
      <c r="H23" s="134" t="str">
        <f aca="false">VLOOKUP(A23,A_4_INPUT_DATE_E_RISULTATI_GIRONI,3,0)</f>
        <v>G</v>
      </c>
      <c r="I23" s="134" t="str">
        <f aca="false">VLOOKUP(A23,A_4_INPUT_DATE_E_RISULTATI_GIRONI,11,0)</f>
        <v>Basket Giovane</v>
      </c>
      <c r="K23" s="192" t="s">
        <v>224</v>
      </c>
      <c r="L23" s="193" t="s">
        <v>59</v>
      </c>
      <c r="M23" s="193" t="s">
        <v>172</v>
      </c>
      <c r="N23" s="193" t="s">
        <v>173</v>
      </c>
      <c r="O23" s="193" t="s">
        <v>54</v>
      </c>
      <c r="P23" s="193" t="s">
        <v>174</v>
      </c>
      <c r="Q23" s="193" t="s">
        <v>175</v>
      </c>
      <c r="R23" s="194" t="s">
        <v>176</v>
      </c>
      <c r="T23" s="151"/>
      <c r="U23" s="175" t="str">
        <f aca="false">K30</f>
        <v>Gabbiani</v>
      </c>
      <c r="V23" s="160"/>
      <c r="W23" s="161" t="s">
        <v>225</v>
      </c>
      <c r="X23" s="119"/>
      <c r="Y23" s="162" t="s">
        <v>226</v>
      </c>
      <c r="Z23" s="119"/>
      <c r="AA23" s="167"/>
      <c r="AB23" s="119"/>
      <c r="AC23" s="119"/>
      <c r="AD23" s="119"/>
      <c r="AE23" s="119"/>
      <c r="AF23" s="167"/>
      <c r="AG23" s="168"/>
      <c r="AH23" s="119"/>
      <c r="AI23" s="119"/>
      <c r="AJ23" s="119"/>
      <c r="AK23" s="119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95" t="s">
        <v>227</v>
      </c>
      <c r="CW23" s="195" t="s">
        <v>59</v>
      </c>
      <c r="CX23" s="195" t="s">
        <v>172</v>
      </c>
      <c r="CY23" s="195" t="s">
        <v>178</v>
      </c>
      <c r="CZ23" s="195" t="s">
        <v>173</v>
      </c>
      <c r="DA23" s="195" t="s">
        <v>179</v>
      </c>
      <c r="DB23" s="195" t="s">
        <v>180</v>
      </c>
      <c r="DC23" s="195"/>
      <c r="DD23" s="195" t="s">
        <v>182</v>
      </c>
      <c r="DE23" s="195"/>
      <c r="DF23" s="142"/>
      <c r="DG23" s="119"/>
    </row>
    <row r="24" customFormat="false" ht="15.95" hidden="false" customHeight="true" outlineLevel="0" collapsed="false">
      <c r="A24" s="127" t="n">
        <v>20</v>
      </c>
      <c r="B24" s="128" t="n">
        <f aca="false">VLOOKUP(A24,A_4_INPUT_DATE_E_RISULTATI_GIRONI,8,0)</f>
        <v>44355</v>
      </c>
      <c r="C24" s="129" t="n">
        <f aca="false">VLOOKUP(A24,A_4_INPUT_DATE_E_RISULTATI_GIRONI,9,0)</f>
        <v>0.645833333333333</v>
      </c>
      <c r="D24" s="143" t="str">
        <f aca="false">VLOOKUP(A24,A_4_INPUT_DATE_E_RISULTATI_GIRONI,4,0)</f>
        <v>Piranha</v>
      </c>
      <c r="E24" s="131"/>
      <c r="F24" s="131"/>
      <c r="G24" s="132" t="str">
        <f aca="false">VLOOKUP(A24,A_4_INPUT_DATE_E_RISULTATI_GIRONI,5,0)</f>
        <v>Scorpioni</v>
      </c>
      <c r="H24" s="134" t="str">
        <f aca="false">VLOOKUP(A24,A_4_INPUT_DATE_E_RISULTATI_GIRONI,3,0)</f>
        <v>H</v>
      </c>
      <c r="I24" s="134" t="str">
        <f aca="false">VLOOKUP(A24,A_4_INPUT_DATE_E_RISULTATI_GIRONI,11,0)</f>
        <v>Nuova Scuola</v>
      </c>
      <c r="K24" s="135" t="str">
        <f aca="false">VLOOKUP(ROW()-23&amp;RIGHT(K$23,1),B_CLASSIFICA_GIRONE_E,4,0)</f>
        <v>Cinghiali</v>
      </c>
      <c r="L24" s="136" t="n">
        <f aca="false">VLOOKUP(ROW()-23&amp;RIGHT(K$23,1),B_CLASSIFICA_GIRONE_E,5,0)</f>
        <v>3</v>
      </c>
      <c r="M24" s="136" t="n">
        <f aca="false">VLOOKUP(ROW()-23&amp;RIGHT(K$23,1),B_CLASSIFICA_GIRONE_E,6,0)</f>
        <v>3</v>
      </c>
      <c r="N24" s="136" t="n">
        <f aca="false">VLOOKUP(ROW()-23&amp;RIGHT(K$23,1),B_CLASSIFICA_GIRONE_E,7,0)</f>
        <v>0</v>
      </c>
      <c r="O24" s="136" t="n">
        <f aca="false">VLOOKUP(ROW()-23&amp;RIGHT(K$23,1),B_CLASSIFICA_GIRONE_E,8,0)</f>
        <v>0</v>
      </c>
      <c r="P24" s="136" t="n">
        <f aca="false">VLOOKUP(ROW()-23&amp;RIGHT(K$23,1),B_CLASSIFICA_GIRONE_E,9,0)</f>
        <v>6</v>
      </c>
      <c r="Q24" s="136" t="n">
        <f aca="false">VLOOKUP(ROW()-23&amp;RIGHT(K$23,1),B_CLASSIFICA_GIRONE_E,10,0)</f>
        <v>122</v>
      </c>
      <c r="R24" s="137" t="n">
        <f aca="false">VLOOKUP(ROW()-23&amp;RIGHT(K$23,1),B_CLASSIFICA_GIRONE_E,11,0)</f>
        <v>42</v>
      </c>
      <c r="T24" s="138"/>
      <c r="U24" s="139"/>
      <c r="V24" s="167"/>
      <c r="W24" s="184"/>
      <c r="X24" s="119"/>
      <c r="Y24" s="169" t="n">
        <f aca="false">Y16+1</f>
        <v>59</v>
      </c>
      <c r="Z24" s="152" t="str">
        <f aca="false">IF(V22&amp;V23="","Vincente "&amp;T22,IF(V22&gt;V23,U22,U23))</f>
        <v>Vincente 53</v>
      </c>
      <c r="AA24" s="153"/>
      <c r="AB24" s="119"/>
      <c r="AC24" s="119"/>
      <c r="AD24" s="119"/>
      <c r="AE24" s="119"/>
      <c r="AF24" s="167"/>
      <c r="AG24" s="168"/>
      <c r="AH24" s="119"/>
      <c r="AI24" s="119"/>
      <c r="AJ24" s="119"/>
      <c r="AK24" s="119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40" t="s">
        <v>228</v>
      </c>
      <c r="CW24" s="141" t="n">
        <v>3</v>
      </c>
      <c r="CX24" s="141" t="n">
        <v>2</v>
      </c>
      <c r="CY24" s="141" t="n">
        <v>0</v>
      </c>
      <c r="CZ24" s="141" t="n">
        <v>1</v>
      </c>
      <c r="DA24" s="141" t="n">
        <v>3</v>
      </c>
      <c r="DB24" s="141" t="n">
        <v>1</v>
      </c>
      <c r="DC24" s="141"/>
      <c r="DD24" s="141" t="n">
        <v>6.0002</v>
      </c>
      <c r="DE24" s="141"/>
      <c r="DF24" s="142"/>
      <c r="DG24" s="119"/>
    </row>
    <row r="25" customFormat="false" ht="15.95" hidden="false" customHeight="true" outlineLevel="0" collapsed="false">
      <c r="A25" s="127" t="n">
        <v>21</v>
      </c>
      <c r="B25" s="128" t="n">
        <f aca="false">VLOOKUP(A25,A_4_INPUT_DATE_E_RISULTATI_GIRONI,8,0)</f>
        <v>44355</v>
      </c>
      <c r="C25" s="129" t="n">
        <f aca="false">VLOOKUP(A25,A_4_INPUT_DATE_E_RISULTATI_GIRONI,9,0)</f>
        <v>0.708333333333333</v>
      </c>
      <c r="D25" s="143" t="str">
        <f aca="false">VLOOKUP(A25,A_4_INPUT_DATE_E_RISULTATI_GIRONI,4,0)</f>
        <v>Cervi</v>
      </c>
      <c r="E25" s="131"/>
      <c r="F25" s="131"/>
      <c r="G25" s="132" t="str">
        <f aca="false">VLOOKUP(A25,A_4_INPUT_DATE_E_RISULTATI_GIRONI,5,0)</f>
        <v>Cinghiali</v>
      </c>
      <c r="H25" s="134" t="str">
        <f aca="false">VLOOKUP(A25,A_4_INPUT_DATE_E_RISULTATI_GIRONI,3,0)</f>
        <v>E</v>
      </c>
      <c r="I25" s="134" t="str">
        <f aca="false">VLOOKUP(A25,A_4_INPUT_DATE_E_RISULTATI_GIRONI,11,0)</f>
        <v>Cristo Re 1</v>
      </c>
      <c r="K25" s="144" t="str">
        <f aca="false">VLOOKUP(ROW()-23&amp;RIGHT(K$23,1),B_CLASSIFICA_GIRONE_E,4,0)</f>
        <v>Bufali</v>
      </c>
      <c r="L25" s="145" t="n">
        <f aca="false">VLOOKUP(ROW()-23&amp;RIGHT(K$23,1),B_CLASSIFICA_GIRONE_E,5,0)</f>
        <v>3</v>
      </c>
      <c r="M25" s="145" t="n">
        <f aca="false">VLOOKUP(ROW()-23&amp;RIGHT(K$23,1),B_CLASSIFICA_GIRONE_E,6,0)</f>
        <v>2</v>
      </c>
      <c r="N25" s="145" t="n">
        <f aca="false">VLOOKUP(ROW()-23&amp;RIGHT(K$23,1),B_CLASSIFICA_GIRONE_E,7,0)</f>
        <v>0</v>
      </c>
      <c r="O25" s="145" t="n">
        <f aca="false">VLOOKUP(ROW()-23&amp;RIGHT(K$23,1),B_CLASSIFICA_GIRONE_E,8,0)</f>
        <v>1</v>
      </c>
      <c r="P25" s="145" t="n">
        <f aca="false">VLOOKUP(ROW()-23&amp;RIGHT(K$23,1),B_CLASSIFICA_GIRONE_E,9,0)</f>
        <v>4</v>
      </c>
      <c r="Q25" s="145" t="n">
        <f aca="false">VLOOKUP(ROW()-23&amp;RIGHT(K$23,1),B_CLASSIFICA_GIRONE_E,10,0)</f>
        <v>163</v>
      </c>
      <c r="R25" s="146" t="n">
        <f aca="false">VLOOKUP(ROW()-23&amp;RIGHT(K$23,1),B_CLASSIFICA_GIRONE_E,11,0)</f>
        <v>155</v>
      </c>
      <c r="T25" s="162" t="s">
        <v>229</v>
      </c>
      <c r="U25" s="139"/>
      <c r="V25" s="181"/>
      <c r="W25" s="184"/>
      <c r="X25" s="171"/>
      <c r="Y25" s="169"/>
      <c r="Z25" s="159" t="str">
        <f aca="false">IF(V26&amp;V27="","Vincente "&amp;T26,IF(V26&gt;V27,U26,U27))</f>
        <v>Vincente 54</v>
      </c>
      <c r="AA25" s="160"/>
      <c r="AB25" s="172"/>
      <c r="AC25" s="119"/>
      <c r="AD25" s="119"/>
      <c r="AE25" s="119"/>
      <c r="AF25" s="167"/>
      <c r="AG25" s="168"/>
      <c r="AH25" s="119"/>
      <c r="AI25" s="119"/>
      <c r="AJ25" s="119"/>
      <c r="AK25" s="119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40" t="s">
        <v>230</v>
      </c>
      <c r="CW25" s="141" t="n">
        <v>3</v>
      </c>
      <c r="CX25" s="141" t="n">
        <v>2</v>
      </c>
      <c r="CY25" s="141" t="n">
        <v>0</v>
      </c>
      <c r="CZ25" s="141" t="n">
        <v>1</v>
      </c>
      <c r="DA25" s="141" t="n">
        <v>4</v>
      </c>
      <c r="DB25" s="141" t="n">
        <v>2</v>
      </c>
      <c r="DC25" s="141"/>
      <c r="DD25" s="141" t="n">
        <v>6.0002</v>
      </c>
      <c r="DE25" s="141"/>
      <c r="DF25" s="142"/>
      <c r="DG25" s="119"/>
    </row>
    <row r="26" customFormat="false" ht="15.95" hidden="false" customHeight="true" outlineLevel="0" collapsed="false">
      <c r="A26" s="127" t="n">
        <v>22</v>
      </c>
      <c r="B26" s="128" t="n">
        <f aca="false">VLOOKUP(A26,A_4_INPUT_DATE_E_RISULTATI_GIRONI,8,0)</f>
        <v>44355</v>
      </c>
      <c r="C26" s="129" t="n">
        <f aca="false">VLOOKUP(A26,A_4_INPUT_DATE_E_RISULTATI_GIRONI,9,0)</f>
        <v>0.708333333333333</v>
      </c>
      <c r="D26" s="143" t="str">
        <f aca="false">VLOOKUP(A26,A_4_INPUT_DATE_E_RISULTATI_GIRONI,4,0)</f>
        <v>Delfini</v>
      </c>
      <c r="E26" s="131"/>
      <c r="F26" s="131"/>
      <c r="G26" s="132" t="str">
        <f aca="false">VLOOKUP(A26,A_4_INPUT_DATE_E_RISULTATI_GIRONI,5,0)</f>
        <v>Fenicotteri</v>
      </c>
      <c r="H26" s="134" t="str">
        <f aca="false">VLOOKUP(A26,A_4_INPUT_DATE_E_RISULTATI_GIRONI,3,0)</f>
        <v>F</v>
      </c>
      <c r="I26" s="134" t="str">
        <f aca="false">VLOOKUP(A26,A_4_INPUT_DATE_E_RISULTATI_GIRONI,11,0)</f>
        <v>Cristo Re 2</v>
      </c>
      <c r="K26" s="148" t="str">
        <f aca="false">VLOOKUP(ROW()-23&amp;RIGHT(K$23,1),B_CLASSIFICA_GIRONE_E,4,0)</f>
        <v>Bisonti</v>
      </c>
      <c r="L26" s="149" t="n">
        <f aca="false">VLOOKUP(ROW()-23&amp;RIGHT(K$23,1),B_CLASSIFICA_GIRONE_E,5,0)</f>
        <v>3</v>
      </c>
      <c r="M26" s="149" t="n">
        <f aca="false">VLOOKUP(ROW()-23&amp;RIGHT(K$23,1),B_CLASSIFICA_GIRONE_E,6,0)</f>
        <v>1</v>
      </c>
      <c r="N26" s="149" t="n">
        <f aca="false">VLOOKUP(ROW()-23&amp;RIGHT(K$23,1),B_CLASSIFICA_GIRONE_E,7,0)</f>
        <v>2</v>
      </c>
      <c r="O26" s="149" t="n">
        <f aca="false">VLOOKUP(ROW()-23&amp;RIGHT(K$23,1),B_CLASSIFICA_GIRONE_E,8,0)</f>
        <v>0</v>
      </c>
      <c r="P26" s="149" t="n">
        <f aca="false">VLOOKUP(ROW()-23&amp;RIGHT(K$23,1),B_CLASSIFICA_GIRONE_E,9,0)</f>
        <v>4</v>
      </c>
      <c r="Q26" s="149" t="n">
        <f aca="false">VLOOKUP(ROW()-23&amp;RIGHT(K$23,1),B_CLASSIFICA_GIRONE_E,10,0)</f>
        <v>148</v>
      </c>
      <c r="R26" s="150" t="n">
        <f aca="false">VLOOKUP(ROW()-23&amp;RIGHT(K$23,1),B_CLASSIFICA_GIRONE_E,11,0)</f>
        <v>179</v>
      </c>
      <c r="T26" s="151" t="n">
        <f aca="false">T22+1</f>
        <v>54</v>
      </c>
      <c r="U26" s="196" t="str">
        <f aca="false">K34</f>
        <v>Istrici</v>
      </c>
      <c r="V26" s="153"/>
      <c r="W26" s="174" t="s">
        <v>231</v>
      </c>
      <c r="X26" s="119"/>
      <c r="Y26" s="119"/>
      <c r="Z26" s="119"/>
      <c r="AA26" s="167"/>
      <c r="AB26" s="168"/>
      <c r="AC26" s="119"/>
      <c r="AD26" s="119"/>
      <c r="AE26" s="119"/>
      <c r="AF26" s="167"/>
      <c r="AG26" s="168"/>
      <c r="AH26" s="119"/>
      <c r="AI26" s="119"/>
      <c r="AJ26" s="119"/>
      <c r="AK26" s="119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40" t="s">
        <v>232</v>
      </c>
      <c r="CW26" s="141" t="n">
        <v>3</v>
      </c>
      <c r="CX26" s="155" t="n">
        <v>0</v>
      </c>
      <c r="CY26" s="155" t="n">
        <v>1</v>
      </c>
      <c r="CZ26" s="155" t="n">
        <v>2</v>
      </c>
      <c r="DA26" s="155" t="n">
        <v>1</v>
      </c>
      <c r="DB26" s="155" t="n">
        <v>3</v>
      </c>
      <c r="DC26" s="155"/>
      <c r="DD26" s="155" t="n">
        <v>0.9998</v>
      </c>
      <c r="DE26" s="155"/>
      <c r="DF26" s="142"/>
      <c r="DG26" s="119"/>
    </row>
    <row r="27" customFormat="false" ht="15.95" hidden="false" customHeight="true" outlineLevel="0" collapsed="false">
      <c r="A27" s="127" t="n">
        <v>23</v>
      </c>
      <c r="B27" s="128" t="n">
        <f aca="false">VLOOKUP(A27,A_4_INPUT_DATE_E_RISULTATI_GIRONI,8,0)</f>
        <v>44355</v>
      </c>
      <c r="C27" s="129" t="n">
        <f aca="false">VLOOKUP(A27,A_4_INPUT_DATE_E_RISULTATI_GIRONI,9,0)</f>
        <v>0.708333333333333</v>
      </c>
      <c r="D27" s="143" t="str">
        <f aca="false">VLOOKUP(A27,A_4_INPUT_DATE_E_RISULTATI_GIRONI,4,0)</f>
        <v>Muli</v>
      </c>
      <c r="E27" s="131"/>
      <c r="F27" s="131"/>
      <c r="G27" s="132" t="str">
        <f aca="false">VLOOKUP(A27,A_4_INPUT_DATE_E_RISULTATI_GIRONI,5,0)</f>
        <v>Orche</v>
      </c>
      <c r="H27" s="134" t="str">
        <f aca="false">VLOOKUP(A27,A_4_INPUT_DATE_E_RISULTATI_GIRONI,3,0)</f>
        <v>G</v>
      </c>
      <c r="I27" s="134" t="str">
        <f aca="false">VLOOKUP(A27,A_4_INPUT_DATE_E_RISULTATI_GIRONI,11,0)</f>
        <v>Basket Giovane</v>
      </c>
      <c r="K27" s="156" t="str">
        <f aca="false">VLOOKUP(ROW()-23&amp;RIGHT(K$23,1),B_CLASSIFICA_GIRONE_E,4,0)</f>
        <v>Cervi</v>
      </c>
      <c r="L27" s="157" t="n">
        <f aca="false">VLOOKUP(ROW()-23&amp;RIGHT(K$23,1),B_CLASSIFICA_GIRONE_E,5,0)</f>
        <v>3</v>
      </c>
      <c r="M27" s="157" t="n">
        <f aca="false">VLOOKUP(ROW()-23&amp;RIGHT(K$23,1),B_CLASSIFICA_GIRONE_E,6,0)</f>
        <v>0</v>
      </c>
      <c r="N27" s="157" t="n">
        <f aca="false">VLOOKUP(ROW()-23&amp;RIGHT(K$23,1),B_CLASSIFICA_GIRONE_E,7,0)</f>
        <v>1</v>
      </c>
      <c r="O27" s="157" t="n">
        <f aca="false">VLOOKUP(ROW()-23&amp;RIGHT(K$23,1),B_CLASSIFICA_GIRONE_E,8,0)</f>
        <v>2</v>
      </c>
      <c r="P27" s="157" t="n">
        <f aca="false">VLOOKUP(ROW()-23&amp;RIGHT(K$23,1),B_CLASSIFICA_GIRONE_E,9,0)</f>
        <v>1</v>
      </c>
      <c r="Q27" s="157" t="n">
        <f aca="false">VLOOKUP(ROW()-23&amp;RIGHT(K$23,1),B_CLASSIFICA_GIRONE_E,10,0)</f>
        <v>49</v>
      </c>
      <c r="R27" s="158" t="n">
        <f aca="false">VLOOKUP(ROW()-23&amp;RIGHT(K$23,1),B_CLASSIFICA_GIRONE_E,11,0)</f>
        <v>106</v>
      </c>
      <c r="T27" s="151"/>
      <c r="U27" s="175" t="str">
        <f aca="false">K25</f>
        <v>Bufali</v>
      </c>
      <c r="V27" s="160"/>
      <c r="W27" s="154" t="s">
        <v>233</v>
      </c>
      <c r="X27" s="119"/>
      <c r="Y27" s="119"/>
      <c r="Z27" s="119"/>
      <c r="AA27" s="167"/>
      <c r="AB27" s="168"/>
      <c r="AC27" s="119"/>
      <c r="AD27" s="162" t="s">
        <v>234</v>
      </c>
      <c r="AE27" s="119"/>
      <c r="AF27" s="167"/>
      <c r="AG27" s="168"/>
      <c r="AH27" s="177"/>
      <c r="AI27" s="119"/>
      <c r="AJ27" s="119"/>
      <c r="AK27" s="119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40" t="s">
        <v>235</v>
      </c>
      <c r="CW27" s="141" t="n">
        <v>3</v>
      </c>
      <c r="CX27" s="141" t="n">
        <v>1</v>
      </c>
      <c r="CY27" s="141" t="n">
        <v>1</v>
      </c>
      <c r="CZ27" s="141" t="n">
        <v>1</v>
      </c>
      <c r="DA27" s="141" t="n">
        <v>2</v>
      </c>
      <c r="DB27" s="141" t="n">
        <v>4</v>
      </c>
      <c r="DC27" s="141"/>
      <c r="DD27" s="141" t="n">
        <v>3.9998</v>
      </c>
      <c r="DE27" s="141"/>
      <c r="DF27" s="142"/>
      <c r="DG27" s="119"/>
    </row>
    <row r="28" customFormat="false" ht="15.95" hidden="false" customHeight="true" outlineLevel="0" collapsed="false">
      <c r="A28" s="127" t="n">
        <v>24</v>
      </c>
      <c r="B28" s="128" t="n">
        <f aca="false">VLOOKUP(A28,A_4_INPUT_DATE_E_RISULTATI_GIRONI,8,0)</f>
        <v>44355</v>
      </c>
      <c r="C28" s="129" t="n">
        <f aca="false">VLOOKUP(A28,A_4_INPUT_DATE_E_RISULTATI_GIRONI,9,0)</f>
        <v>0.708333333333333</v>
      </c>
      <c r="D28" s="143" t="str">
        <f aca="false">VLOOKUP(A28,A_4_INPUT_DATE_E_RISULTATI_GIRONI,4,0)</f>
        <v>Tonni</v>
      </c>
      <c r="E28" s="131"/>
      <c r="F28" s="131"/>
      <c r="G28" s="132" t="str">
        <f aca="false">VLOOKUP(A28,A_4_INPUT_DATE_E_RISULTATI_GIRONI,5,0)</f>
        <v>Zebre</v>
      </c>
      <c r="H28" s="134" t="str">
        <f aca="false">VLOOKUP(A28,A_4_INPUT_DATE_E_RISULTATI_GIRONI,3,0)</f>
        <v>H</v>
      </c>
      <c r="I28" s="134" t="str">
        <f aca="false">VLOOKUP(A28,A_4_INPUT_DATE_E_RISULTATI_GIRONI,11,0)</f>
        <v>Nuova Scuola</v>
      </c>
      <c r="K28" s="197" t="s">
        <v>236</v>
      </c>
      <c r="L28" s="198" t="s">
        <v>59</v>
      </c>
      <c r="M28" s="198" t="s">
        <v>172</v>
      </c>
      <c r="N28" s="198" t="s">
        <v>173</v>
      </c>
      <c r="O28" s="198" t="s">
        <v>54</v>
      </c>
      <c r="P28" s="198" t="s">
        <v>174</v>
      </c>
      <c r="Q28" s="198" t="s">
        <v>175</v>
      </c>
      <c r="R28" s="199" t="s">
        <v>176</v>
      </c>
      <c r="T28" s="138"/>
      <c r="U28" s="139"/>
      <c r="V28" s="167"/>
      <c r="W28" s="154"/>
      <c r="X28" s="119"/>
      <c r="Y28" s="119"/>
      <c r="Z28" s="119"/>
      <c r="AA28" s="167"/>
      <c r="AB28" s="168"/>
      <c r="AC28" s="119"/>
      <c r="AD28" s="176" t="n">
        <f aca="false">AD12+1</f>
        <v>62</v>
      </c>
      <c r="AE28" s="152" t="str">
        <f aca="false">IF(AA24&amp;AA25="","Vincente "&amp;Y24,IF(AA24&gt;AA25,Z24,Z25))</f>
        <v>Vincente 59</v>
      </c>
      <c r="AF28" s="153"/>
      <c r="AG28" s="185"/>
      <c r="AH28" s="177"/>
      <c r="AI28" s="119"/>
      <c r="AJ28" s="119"/>
      <c r="AK28" s="119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200" t="s">
        <v>237</v>
      </c>
      <c r="CW28" s="200" t="s">
        <v>59</v>
      </c>
      <c r="CX28" s="200" t="s">
        <v>172</v>
      </c>
      <c r="CY28" s="200" t="s">
        <v>178</v>
      </c>
      <c r="CZ28" s="200" t="s">
        <v>173</v>
      </c>
      <c r="DA28" s="200" t="s">
        <v>179</v>
      </c>
      <c r="DB28" s="200" t="s">
        <v>180</v>
      </c>
      <c r="DC28" s="200"/>
      <c r="DD28" s="200" t="s">
        <v>182</v>
      </c>
      <c r="DE28" s="200"/>
      <c r="DF28" s="142"/>
      <c r="DG28" s="119"/>
    </row>
    <row r="29" customFormat="false" ht="15.95" hidden="false" customHeight="true" outlineLevel="0" collapsed="false">
      <c r="A29" s="127" t="n">
        <v>25</v>
      </c>
      <c r="B29" s="128" t="n">
        <f aca="false">VLOOKUP(A29,A_4_INPUT_DATE_E_RISULTATI_GIRONI,8,0)</f>
        <v>44355</v>
      </c>
      <c r="C29" s="129" t="n">
        <f aca="false">VLOOKUP(A29,A_4_INPUT_DATE_E_RISULTATI_GIRONI,9,0)</f>
        <v>0.770833333333333</v>
      </c>
      <c r="D29" s="143" t="str">
        <f aca="false">VLOOKUP(A29,A_4_INPUT_DATE_E_RISULTATI_GIRONI,4,0)</f>
        <v>Leoni</v>
      </c>
      <c r="E29" s="131"/>
      <c r="F29" s="131"/>
      <c r="G29" s="132" t="str">
        <f aca="false">VLOOKUP(A29,A_4_INPUT_DATE_E_RISULTATI_GIRONI,5,0)</f>
        <v>Ghepardi</v>
      </c>
      <c r="H29" s="134" t="str">
        <f aca="false">VLOOKUP(A29,A_4_INPUT_DATE_E_RISULTATI_GIRONI,3,0)</f>
        <v>A</v>
      </c>
      <c r="I29" s="134" t="str">
        <f aca="false">VLOOKUP(A29,A_4_INPUT_DATE_E_RISULTATI_GIRONI,11,0)</f>
        <v>Cristo Re 1</v>
      </c>
      <c r="K29" s="135" t="str">
        <f aca="false">VLOOKUP(ROW()-28&amp;RIGHT(K$28,1),B_CLASSIFICA_GIRONE_F,4,0)</f>
        <v>Balene</v>
      </c>
      <c r="L29" s="136" t="n">
        <f aca="false">VLOOKUP(ROW()-28&amp;RIGHT(K$28,1),B_CLASSIFICA_GIRONE_F,5,0)</f>
        <v>3</v>
      </c>
      <c r="M29" s="136" t="n">
        <f aca="false">VLOOKUP(ROW()-28&amp;RIGHT(K$28,1),B_CLASSIFICA_GIRONE_F,6,0)</f>
        <v>3</v>
      </c>
      <c r="N29" s="136" t="n">
        <f aca="false">VLOOKUP(ROW()-28&amp;RIGHT(K$28,1),B_CLASSIFICA_GIRONE_F,7,0)</f>
        <v>0</v>
      </c>
      <c r="O29" s="136" t="n">
        <f aca="false">VLOOKUP(ROW()-28&amp;RIGHT(K$28,1),B_CLASSIFICA_GIRONE_F,8,0)</f>
        <v>0</v>
      </c>
      <c r="P29" s="136" t="n">
        <f aca="false">VLOOKUP(ROW()-28&amp;RIGHT(K$28,1),B_CLASSIFICA_GIRONE_F,9,0)</f>
        <v>6</v>
      </c>
      <c r="Q29" s="136" t="n">
        <f aca="false">VLOOKUP(ROW()-28&amp;RIGHT(K$28,1),B_CLASSIFICA_GIRONE_F,10,0)</f>
        <v>149</v>
      </c>
      <c r="R29" s="137" t="n">
        <f aca="false">VLOOKUP(ROW()-28&amp;RIGHT(K$28,1),B_CLASSIFICA_GIRONE_F,11,0)</f>
        <v>88</v>
      </c>
      <c r="T29" s="162" t="s">
        <v>238</v>
      </c>
      <c r="U29" s="139"/>
      <c r="V29" s="181"/>
      <c r="W29" s="154"/>
      <c r="X29" s="119"/>
      <c r="Y29" s="119"/>
      <c r="Z29" s="119"/>
      <c r="AA29" s="181"/>
      <c r="AB29" s="168"/>
      <c r="AC29" s="171"/>
      <c r="AD29" s="176"/>
      <c r="AE29" s="159" t="str">
        <f aca="false">IF(AA32&amp;AA33="","Vincente "&amp;Y32,IF(AA32&gt;AA33,Z32,Z33))</f>
        <v>Vincente 60</v>
      </c>
      <c r="AF29" s="160"/>
      <c r="AG29" s="177"/>
      <c r="AH29" s="177"/>
      <c r="AI29" s="119"/>
      <c r="AJ29" s="119"/>
      <c r="AK29" s="119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40" t="s">
        <v>239</v>
      </c>
      <c r="CW29" s="141" t="n">
        <v>3</v>
      </c>
      <c r="CX29" s="141" t="n">
        <v>0</v>
      </c>
      <c r="CY29" s="141" t="n">
        <v>3</v>
      </c>
      <c r="CZ29" s="141" t="n">
        <v>0</v>
      </c>
      <c r="DA29" s="141" t="n">
        <v>4</v>
      </c>
      <c r="DB29" s="141" t="n">
        <v>4</v>
      </c>
      <c r="DC29" s="141"/>
      <c r="DD29" s="141" t="n">
        <v>3</v>
      </c>
      <c r="DE29" s="141"/>
      <c r="DF29" s="142"/>
      <c r="DG29" s="119"/>
    </row>
    <row r="30" customFormat="false" ht="15.95" hidden="false" customHeight="true" outlineLevel="0" collapsed="false">
      <c r="A30" s="127" t="n">
        <v>26</v>
      </c>
      <c r="B30" s="128" t="n">
        <f aca="false">VLOOKUP(A30,A_4_INPUT_DATE_E_RISULTATI_GIRONI,8,0)</f>
        <v>44355</v>
      </c>
      <c r="C30" s="129" t="n">
        <f aca="false">VLOOKUP(A30,A_4_INPUT_DATE_E_RISULTATI_GIRONI,9,0)</f>
        <v>0.770833333333333</v>
      </c>
      <c r="D30" s="143" t="str">
        <f aca="false">VLOOKUP(A30,A_4_INPUT_DATE_E_RISULTATI_GIRONI,4,0)</f>
        <v>Giaguari</v>
      </c>
      <c r="E30" s="131"/>
      <c r="F30" s="131"/>
      <c r="G30" s="132" t="str">
        <f aca="false">VLOOKUP(A30,A_4_INPUT_DATE_E_RISULTATI_GIRONI,5,0)</f>
        <v>Serval</v>
      </c>
      <c r="H30" s="134" t="str">
        <f aca="false">VLOOKUP(A30,A_4_INPUT_DATE_E_RISULTATI_GIRONI,3,0)</f>
        <v>B</v>
      </c>
      <c r="I30" s="134" t="str">
        <f aca="false">VLOOKUP(A30,A_4_INPUT_DATE_E_RISULTATI_GIRONI,11,0)</f>
        <v>Cristo Re 2</v>
      </c>
      <c r="K30" s="144" t="str">
        <f aca="false">VLOOKUP(ROW()-28&amp;RIGHT(K$28,1),B_CLASSIFICA_GIRONE_F,4,0)</f>
        <v>Gabbiani</v>
      </c>
      <c r="L30" s="145" t="n">
        <f aca="false">VLOOKUP(ROW()-28&amp;RIGHT(K$28,1),B_CLASSIFICA_GIRONE_F,5,0)</f>
        <v>3</v>
      </c>
      <c r="M30" s="145" t="n">
        <f aca="false">VLOOKUP(ROW()-28&amp;RIGHT(K$28,1),B_CLASSIFICA_GIRONE_F,6,0)</f>
        <v>2</v>
      </c>
      <c r="N30" s="145" t="n">
        <f aca="false">VLOOKUP(ROW()-28&amp;RIGHT(K$28,1),B_CLASSIFICA_GIRONE_F,7,0)</f>
        <v>1</v>
      </c>
      <c r="O30" s="145" t="n">
        <f aca="false">VLOOKUP(ROW()-28&amp;RIGHT(K$28,1),B_CLASSIFICA_GIRONE_F,8,0)</f>
        <v>0</v>
      </c>
      <c r="P30" s="145" t="n">
        <f aca="false">VLOOKUP(ROW()-28&amp;RIGHT(K$28,1),B_CLASSIFICA_GIRONE_F,9,0)</f>
        <v>5</v>
      </c>
      <c r="Q30" s="145" t="n">
        <f aca="false">VLOOKUP(ROW()-28&amp;RIGHT(K$28,1),B_CLASSIFICA_GIRONE_F,10,0)</f>
        <v>176</v>
      </c>
      <c r="R30" s="146" t="n">
        <f aca="false">VLOOKUP(ROW()-28&amp;RIGHT(K$28,1),B_CLASSIFICA_GIRONE_F,11,0)</f>
        <v>134</v>
      </c>
      <c r="T30" s="151" t="n">
        <f aca="false">T26+1</f>
        <v>55</v>
      </c>
      <c r="U30" s="173" t="str">
        <f aca="false">K19</f>
        <v>Coccodrilli</v>
      </c>
      <c r="V30" s="153"/>
      <c r="W30" s="154" t="s">
        <v>240</v>
      </c>
      <c r="X30" s="119"/>
      <c r="Y30" s="119"/>
      <c r="Z30" s="119"/>
      <c r="AA30" s="181"/>
      <c r="AB30" s="168"/>
      <c r="AC30" s="119"/>
      <c r="AD30" s="119"/>
      <c r="AE30" s="119"/>
      <c r="AF30" s="119"/>
      <c r="AG30" s="119"/>
      <c r="AH30" s="119"/>
      <c r="AI30" s="119"/>
      <c r="AJ30" s="119"/>
      <c r="AK30" s="119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40" t="s">
        <v>241</v>
      </c>
      <c r="CW30" s="141" t="n">
        <v>3</v>
      </c>
      <c r="CX30" s="141" t="n">
        <v>0</v>
      </c>
      <c r="CY30" s="141" t="n">
        <v>1</v>
      </c>
      <c r="CZ30" s="141" t="n">
        <v>2</v>
      </c>
      <c r="DA30" s="141" t="n">
        <v>1</v>
      </c>
      <c r="DB30" s="141" t="n">
        <v>4</v>
      </c>
      <c r="DC30" s="141"/>
      <c r="DD30" s="141" t="n">
        <v>0.9997</v>
      </c>
      <c r="DE30" s="141"/>
      <c r="DF30" s="142"/>
      <c r="DG30" s="119"/>
    </row>
    <row r="31" customFormat="false" ht="15.95" hidden="false" customHeight="true" outlineLevel="0" collapsed="false">
      <c r="A31" s="127" t="n">
        <v>27</v>
      </c>
      <c r="B31" s="128" t="n">
        <f aca="false">VLOOKUP(A31,A_4_INPUT_DATE_E_RISULTATI_GIRONI,8,0)</f>
        <v>44355</v>
      </c>
      <c r="C31" s="129" t="n">
        <f aca="false">VLOOKUP(A31,A_4_INPUT_DATE_E_RISULTATI_GIRONI,9,0)</f>
        <v>0.770833333333333</v>
      </c>
      <c r="D31" s="143" t="str">
        <f aca="false">VLOOKUP(A31,A_4_INPUT_DATE_E_RISULTATI_GIRONI,4,0)</f>
        <v>Elefanti</v>
      </c>
      <c r="E31" s="131"/>
      <c r="F31" s="131"/>
      <c r="G31" s="132" t="str">
        <f aca="false">VLOOKUP(A31,A_4_INPUT_DATE_E_RISULTATI_GIRONI,5,0)</f>
        <v>Iguane</v>
      </c>
      <c r="H31" s="134" t="str">
        <f aca="false">VLOOKUP(A31,A_4_INPUT_DATE_E_RISULTATI_GIRONI,3,0)</f>
        <v>C</v>
      </c>
      <c r="I31" s="134" t="str">
        <f aca="false">VLOOKUP(A31,A_4_INPUT_DATE_E_RISULTATI_GIRONI,11,0)</f>
        <v>Basket Giovane</v>
      </c>
      <c r="K31" s="148" t="str">
        <f aca="false">VLOOKUP(ROW()-28&amp;RIGHT(K$28,1),B_CLASSIFICA_GIRONE_F,4,0)</f>
        <v>Delfini</v>
      </c>
      <c r="L31" s="149" t="n">
        <f aca="false">VLOOKUP(ROW()-28&amp;RIGHT(K$28,1),B_CLASSIFICA_GIRONE_F,5,0)</f>
        <v>3</v>
      </c>
      <c r="M31" s="149" t="n">
        <f aca="false">VLOOKUP(ROW()-28&amp;RIGHT(K$28,1),B_CLASSIFICA_GIRONE_F,6,0)</f>
        <v>1</v>
      </c>
      <c r="N31" s="149" t="n">
        <f aca="false">VLOOKUP(ROW()-28&amp;RIGHT(K$28,1),B_CLASSIFICA_GIRONE_F,7,0)</f>
        <v>2</v>
      </c>
      <c r="O31" s="149" t="n">
        <f aca="false">VLOOKUP(ROW()-28&amp;RIGHT(K$28,1),B_CLASSIFICA_GIRONE_F,8,0)</f>
        <v>0</v>
      </c>
      <c r="P31" s="149" t="n">
        <f aca="false">VLOOKUP(ROW()-28&amp;RIGHT(K$28,1),B_CLASSIFICA_GIRONE_F,9,0)</f>
        <v>4</v>
      </c>
      <c r="Q31" s="149" t="n">
        <f aca="false">VLOOKUP(ROW()-28&amp;RIGHT(K$28,1),B_CLASSIFICA_GIRONE_F,10,0)</f>
        <v>134</v>
      </c>
      <c r="R31" s="150" t="n">
        <f aca="false">VLOOKUP(ROW()-28&amp;RIGHT(K$28,1),B_CLASSIFICA_GIRONE_F,11,0)</f>
        <v>204</v>
      </c>
      <c r="T31" s="151"/>
      <c r="U31" s="175" t="str">
        <f aca="false">K10</f>
        <v>Puma</v>
      </c>
      <c r="V31" s="160"/>
      <c r="W31" s="161" t="s">
        <v>242</v>
      </c>
      <c r="X31" s="119"/>
      <c r="Y31" s="162" t="s">
        <v>243</v>
      </c>
      <c r="Z31" s="119"/>
      <c r="AA31" s="181"/>
      <c r="AB31" s="168"/>
      <c r="AC31" s="119"/>
      <c r="AD31" s="119"/>
      <c r="AE31" s="119"/>
      <c r="AF31" s="119"/>
      <c r="AG31" s="119"/>
      <c r="AH31" s="119"/>
      <c r="AI31" s="119"/>
      <c r="AJ31" s="119"/>
      <c r="AK31" s="119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40" t="s">
        <v>244</v>
      </c>
      <c r="CW31" s="141" t="n">
        <v>3</v>
      </c>
      <c r="CX31" s="155" t="n">
        <v>1</v>
      </c>
      <c r="CY31" s="155" t="n">
        <v>2</v>
      </c>
      <c r="CZ31" s="155" t="n">
        <v>0</v>
      </c>
      <c r="DA31" s="155" t="n">
        <v>6</v>
      </c>
      <c r="DB31" s="155" t="n">
        <v>4</v>
      </c>
      <c r="DC31" s="155"/>
      <c r="DD31" s="155" t="n">
        <v>5.0002</v>
      </c>
      <c r="DE31" s="155"/>
      <c r="DF31" s="142"/>
      <c r="DG31" s="119"/>
    </row>
    <row r="32" customFormat="false" ht="15.95" hidden="false" customHeight="true" outlineLevel="0" collapsed="false">
      <c r="A32" s="127" t="n">
        <v>28</v>
      </c>
      <c r="B32" s="128" t="n">
        <f aca="false">VLOOKUP(A32,A_4_INPUT_DATE_E_RISULTATI_GIRONI,8,0)</f>
        <v>44355</v>
      </c>
      <c r="C32" s="129" t="n">
        <f aca="false">VLOOKUP(A32,A_4_INPUT_DATE_E_RISULTATI_GIRONI,9,0)</f>
        <v>0.770833333333333</v>
      </c>
      <c r="D32" s="143" t="str">
        <f aca="false">VLOOKUP(A32,A_4_INPUT_DATE_E_RISULTATI_GIRONI,4,0)</f>
        <v>Coccodrilli</v>
      </c>
      <c r="E32" s="131"/>
      <c r="F32" s="131"/>
      <c r="G32" s="132" t="str">
        <f aca="false">VLOOKUP(A32,A_4_INPUT_DATE_E_RISULTATI_GIRONI,5,0)</f>
        <v>Falchi</v>
      </c>
      <c r="H32" s="134" t="str">
        <f aca="false">VLOOKUP(A32,A_4_INPUT_DATE_E_RISULTATI_GIRONI,3,0)</f>
        <v>D</v>
      </c>
      <c r="I32" s="134" t="str">
        <f aca="false">VLOOKUP(A32,A_4_INPUT_DATE_E_RISULTATI_GIRONI,11,0)</f>
        <v>Nuova Scuola</v>
      </c>
      <c r="K32" s="156" t="str">
        <f aca="false">VLOOKUP(ROW()-28&amp;RIGHT(K$28,1),B_CLASSIFICA_GIRONE_F,4,0)</f>
        <v>Fenicotteri</v>
      </c>
      <c r="L32" s="157" t="n">
        <f aca="false">VLOOKUP(ROW()-28&amp;RIGHT(K$28,1),B_CLASSIFICA_GIRONE_F,5,0)</f>
        <v>3</v>
      </c>
      <c r="M32" s="157" t="n">
        <f aca="false">VLOOKUP(ROW()-28&amp;RIGHT(K$28,1),B_CLASSIFICA_GIRONE_F,6,0)</f>
        <v>0</v>
      </c>
      <c r="N32" s="157" t="n">
        <f aca="false">VLOOKUP(ROW()-28&amp;RIGHT(K$28,1),B_CLASSIFICA_GIRONE_F,7,0)</f>
        <v>3</v>
      </c>
      <c r="O32" s="157" t="n">
        <f aca="false">VLOOKUP(ROW()-28&amp;RIGHT(K$28,1),B_CLASSIFICA_GIRONE_F,8,0)</f>
        <v>0</v>
      </c>
      <c r="P32" s="157" t="n">
        <f aca="false">VLOOKUP(ROW()-28&amp;RIGHT(K$28,1),B_CLASSIFICA_GIRONE_F,9,0)</f>
        <v>3</v>
      </c>
      <c r="Q32" s="157" t="n">
        <f aca="false">VLOOKUP(ROW()-28&amp;RIGHT(K$28,1),B_CLASSIFICA_GIRONE_F,10,0)</f>
        <v>104</v>
      </c>
      <c r="R32" s="158" t="n">
        <f aca="false">VLOOKUP(ROW()-28&amp;RIGHT(K$28,1),B_CLASSIFICA_GIRONE_F,11,0)</f>
        <v>137</v>
      </c>
      <c r="T32" s="138"/>
      <c r="U32" s="139"/>
      <c r="V32" s="167"/>
      <c r="W32" s="184"/>
      <c r="X32" s="119"/>
      <c r="Y32" s="169" t="n">
        <f aca="false">Y24+1</f>
        <v>60</v>
      </c>
      <c r="Z32" s="152" t="str">
        <f aca="false">IF(V30&amp;V31="","Vincente "&amp;T30,IF(V30&gt;V31,U30,U31))</f>
        <v>Vincente 55</v>
      </c>
      <c r="AA32" s="153"/>
      <c r="AB32" s="185"/>
      <c r="AC32" s="119"/>
      <c r="AD32" s="119"/>
      <c r="AE32" s="119"/>
      <c r="AF32" s="119"/>
      <c r="AG32" s="119"/>
      <c r="AH32" s="119"/>
      <c r="AI32" s="119"/>
      <c r="AJ32" s="119"/>
      <c r="AK32" s="119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40" t="s">
        <v>245</v>
      </c>
      <c r="CW32" s="141" t="n">
        <v>3</v>
      </c>
      <c r="CX32" s="141" t="n">
        <v>1</v>
      </c>
      <c r="CY32" s="141" t="n">
        <v>2</v>
      </c>
      <c r="CZ32" s="141" t="n">
        <v>0</v>
      </c>
      <c r="DA32" s="141" t="n">
        <v>4</v>
      </c>
      <c r="DB32" s="141" t="n">
        <v>3</v>
      </c>
      <c r="DC32" s="141"/>
      <c r="DD32" s="141" t="n">
        <v>5.0001</v>
      </c>
      <c r="DE32" s="141"/>
      <c r="DF32" s="142"/>
      <c r="DG32" s="119"/>
    </row>
    <row r="33" customFormat="false" ht="15.95" hidden="false" customHeight="true" outlineLevel="0" collapsed="false">
      <c r="A33" s="127" t="n">
        <v>29</v>
      </c>
      <c r="B33" s="128" t="n">
        <f aca="false">VLOOKUP(A33,A_4_INPUT_DATE_E_RISULTATI_GIRONI,8,0)</f>
        <v>44356</v>
      </c>
      <c r="C33" s="129" t="n">
        <f aca="false">VLOOKUP(A33,A_4_INPUT_DATE_E_RISULTATI_GIRONI,9,0)</f>
        <v>0.375</v>
      </c>
      <c r="D33" s="143" t="str">
        <f aca="false">VLOOKUP(A33,A_4_INPUT_DATE_E_RISULTATI_GIRONI,4,0)</f>
        <v>Bisonti</v>
      </c>
      <c r="E33" s="131"/>
      <c r="F33" s="131"/>
      <c r="G33" s="132" t="str">
        <f aca="false">VLOOKUP(A33,A_4_INPUT_DATE_E_RISULTATI_GIRONI,5,0)</f>
        <v>Cervi</v>
      </c>
      <c r="H33" s="134" t="str">
        <f aca="false">VLOOKUP(A33,A_4_INPUT_DATE_E_RISULTATI_GIRONI,3,0)</f>
        <v>E</v>
      </c>
      <c r="I33" s="134" t="str">
        <f aca="false">VLOOKUP(A33,A_4_INPUT_DATE_E_RISULTATI_GIRONI,11,0)</f>
        <v>Cristo Re 1</v>
      </c>
      <c r="K33" s="201" t="s">
        <v>246</v>
      </c>
      <c r="L33" s="202" t="s">
        <v>59</v>
      </c>
      <c r="M33" s="202" t="s">
        <v>172</v>
      </c>
      <c r="N33" s="202" t="s">
        <v>173</v>
      </c>
      <c r="O33" s="202" t="s">
        <v>54</v>
      </c>
      <c r="P33" s="202" t="s">
        <v>174</v>
      </c>
      <c r="Q33" s="202" t="s">
        <v>175</v>
      </c>
      <c r="R33" s="203" t="s">
        <v>176</v>
      </c>
      <c r="T33" s="162" t="s">
        <v>247</v>
      </c>
      <c r="U33" s="139"/>
      <c r="V33" s="181"/>
      <c r="W33" s="184"/>
      <c r="X33" s="171"/>
      <c r="Y33" s="169"/>
      <c r="Z33" s="159" t="str">
        <f aca="false">IF(V34&amp;V35="","Vincente "&amp;T34,IF(V34&gt;V35,U34,U35))</f>
        <v>Vincente 56</v>
      </c>
      <c r="AA33" s="160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204" t="s">
        <v>248</v>
      </c>
      <c r="CW33" s="204" t="s">
        <v>59</v>
      </c>
      <c r="CX33" s="204" t="s">
        <v>172</v>
      </c>
      <c r="CY33" s="204" t="s">
        <v>178</v>
      </c>
      <c r="CZ33" s="204" t="s">
        <v>173</v>
      </c>
      <c r="DA33" s="204" t="s">
        <v>179</v>
      </c>
      <c r="DB33" s="204" t="s">
        <v>180</v>
      </c>
      <c r="DC33" s="204"/>
      <c r="DD33" s="204" t="s">
        <v>182</v>
      </c>
      <c r="DE33" s="204"/>
      <c r="DF33" s="119"/>
      <c r="DG33" s="119"/>
    </row>
    <row r="34" customFormat="false" ht="15.95" hidden="false" customHeight="true" outlineLevel="0" collapsed="false">
      <c r="A34" s="127" t="n">
        <v>30</v>
      </c>
      <c r="B34" s="128" t="n">
        <f aca="false">VLOOKUP(A34,A_4_INPUT_DATE_E_RISULTATI_GIRONI,8,0)</f>
        <v>44356</v>
      </c>
      <c r="C34" s="129" t="n">
        <f aca="false">VLOOKUP(A34,A_4_INPUT_DATE_E_RISULTATI_GIRONI,9,0)</f>
        <v>0.375</v>
      </c>
      <c r="D34" s="143" t="str">
        <f aca="false">VLOOKUP(A34,A_4_INPUT_DATE_E_RISULTATI_GIRONI,4,0)</f>
        <v>Balene</v>
      </c>
      <c r="E34" s="131"/>
      <c r="F34" s="131"/>
      <c r="G34" s="132" t="str">
        <f aca="false">VLOOKUP(A34,A_4_INPUT_DATE_E_RISULTATI_GIRONI,5,0)</f>
        <v>Delfini</v>
      </c>
      <c r="H34" s="134" t="str">
        <f aca="false">VLOOKUP(A34,A_4_INPUT_DATE_E_RISULTATI_GIRONI,3,0)</f>
        <v>F</v>
      </c>
      <c r="I34" s="134" t="str">
        <f aca="false">VLOOKUP(A34,A_4_INPUT_DATE_E_RISULTATI_GIRONI,11,0)</f>
        <v>Cristo Re 2</v>
      </c>
      <c r="K34" s="135" t="str">
        <f aca="false">VLOOKUP(ROW()-33&amp;RIGHT(K$33,1),B_CLASSIFICA_GIRONE_G,4,0)</f>
        <v>Istrici</v>
      </c>
      <c r="L34" s="136" t="n">
        <f aca="false">VLOOKUP(ROW()-33&amp;RIGHT(K$33,1),B_CLASSIFICA_GIRONE_G,5,0)</f>
        <v>3</v>
      </c>
      <c r="M34" s="136" t="n">
        <f aca="false">VLOOKUP(ROW()-33&amp;RIGHT(K$33,1),B_CLASSIFICA_GIRONE_G,6,0)</f>
        <v>3</v>
      </c>
      <c r="N34" s="136" t="n">
        <f aca="false">VLOOKUP(ROW()-33&amp;RIGHT(K$33,1),B_CLASSIFICA_GIRONE_G,7,0)</f>
        <v>0</v>
      </c>
      <c r="O34" s="136" t="n">
        <f aca="false">VLOOKUP(ROW()-33&amp;RIGHT(K$33,1),B_CLASSIFICA_GIRONE_G,8,0)</f>
        <v>0</v>
      </c>
      <c r="P34" s="136" t="n">
        <f aca="false">VLOOKUP(ROW()-33&amp;RIGHT(K$33,1),B_CLASSIFICA_GIRONE_G,9,0)</f>
        <v>6</v>
      </c>
      <c r="Q34" s="136" t="n">
        <f aca="false">VLOOKUP(ROW()-33&amp;RIGHT(K$33,1),B_CLASSIFICA_GIRONE_G,10,0)</f>
        <v>137</v>
      </c>
      <c r="R34" s="137" t="n">
        <f aca="false">VLOOKUP(ROW()-33&amp;RIGHT(K$33,1),B_CLASSIFICA_GIRONE_G,11,0)</f>
        <v>122</v>
      </c>
      <c r="T34" s="151" t="n">
        <f aca="false">T30+1</f>
        <v>56</v>
      </c>
      <c r="U34" s="173" t="str">
        <f aca="false">K14</f>
        <v>Elefanti</v>
      </c>
      <c r="V34" s="153"/>
      <c r="W34" s="174" t="s">
        <v>249</v>
      </c>
      <c r="X34" s="119"/>
      <c r="Y34" s="119"/>
      <c r="Z34" s="119"/>
      <c r="AA34" s="118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41" t="s">
        <v>216</v>
      </c>
      <c r="CW34" s="141" t="n">
        <v>0</v>
      </c>
      <c r="CX34" s="155" t="n">
        <v>0</v>
      </c>
      <c r="CY34" s="155" t="n">
        <v>0</v>
      </c>
      <c r="CZ34" s="155" t="n">
        <v>0</v>
      </c>
      <c r="DA34" s="155" t="n">
        <v>0</v>
      </c>
      <c r="DB34" s="155" t="n">
        <v>0</v>
      </c>
      <c r="DC34" s="155"/>
      <c r="DD34" s="155" t="n">
        <v>0</v>
      </c>
      <c r="DE34" s="155"/>
      <c r="DF34" s="119"/>
      <c r="DG34" s="119"/>
    </row>
    <row r="35" customFormat="false" ht="15.95" hidden="false" customHeight="true" outlineLevel="0" collapsed="false">
      <c r="A35" s="127" t="n">
        <v>31</v>
      </c>
      <c r="B35" s="128" t="n">
        <f aca="false">VLOOKUP(A35,A_4_INPUT_DATE_E_RISULTATI_GIRONI,8,0)</f>
        <v>44356</v>
      </c>
      <c r="C35" s="129" t="n">
        <f aca="false">VLOOKUP(A35,A_4_INPUT_DATE_E_RISULTATI_GIRONI,9,0)</f>
        <v>0.375</v>
      </c>
      <c r="D35" s="143" t="str">
        <f aca="false">VLOOKUP(A35,A_4_INPUT_DATE_E_RISULTATI_GIRONI,4,0)</f>
        <v>Istrici</v>
      </c>
      <c r="E35" s="131"/>
      <c r="F35" s="131"/>
      <c r="G35" s="132" t="str">
        <f aca="false">VLOOKUP(A35,A_4_INPUT_DATE_E_RISULTATI_GIRONI,5,0)</f>
        <v>Muli</v>
      </c>
      <c r="H35" s="134" t="str">
        <f aca="false">VLOOKUP(A35,A_4_INPUT_DATE_E_RISULTATI_GIRONI,3,0)</f>
        <v>G</v>
      </c>
      <c r="I35" s="134" t="str">
        <f aca="false">VLOOKUP(A35,A_4_INPUT_DATE_E_RISULTATI_GIRONI,11,0)</f>
        <v>Basket Giovane</v>
      </c>
      <c r="K35" s="144" t="str">
        <f aca="false">VLOOKUP(ROW()-33&amp;RIGHT(K$33,1),B_CLASSIFICA_GIRONE_G,4,0)</f>
        <v>Orche</v>
      </c>
      <c r="L35" s="145" t="n">
        <f aca="false">VLOOKUP(ROW()-33&amp;RIGHT(K$33,1),B_CLASSIFICA_GIRONE_G,5,0)</f>
        <v>3</v>
      </c>
      <c r="M35" s="145" t="n">
        <f aca="false">VLOOKUP(ROW()-33&amp;RIGHT(K$33,1),B_CLASSIFICA_GIRONE_G,6,0)</f>
        <v>2</v>
      </c>
      <c r="N35" s="145" t="n">
        <f aca="false">VLOOKUP(ROW()-33&amp;RIGHT(K$33,1),B_CLASSIFICA_GIRONE_G,7,0)</f>
        <v>1</v>
      </c>
      <c r="O35" s="145" t="n">
        <f aca="false">VLOOKUP(ROW()-33&amp;RIGHT(K$33,1),B_CLASSIFICA_GIRONE_G,8,0)</f>
        <v>0</v>
      </c>
      <c r="P35" s="145" t="n">
        <f aca="false">VLOOKUP(ROW()-33&amp;RIGHT(K$33,1),B_CLASSIFICA_GIRONE_G,9,0)</f>
        <v>5</v>
      </c>
      <c r="Q35" s="145" t="n">
        <f aca="false">VLOOKUP(ROW()-33&amp;RIGHT(K$33,1),B_CLASSIFICA_GIRONE_G,10,0)</f>
        <v>183</v>
      </c>
      <c r="R35" s="146" t="n">
        <f aca="false">VLOOKUP(ROW()-33&amp;RIGHT(K$33,1),B_CLASSIFICA_GIRONE_G,11,0)</f>
        <v>131</v>
      </c>
      <c r="T35" s="151"/>
      <c r="U35" s="175" t="str">
        <f aca="false">K5</f>
        <v>Pantere</v>
      </c>
      <c r="V35" s="160"/>
      <c r="W35" s="154" t="s">
        <v>250</v>
      </c>
      <c r="X35" s="119"/>
      <c r="Y35" s="119"/>
      <c r="Z35" s="119"/>
      <c r="AA35" s="118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40" t="s">
        <v>188</v>
      </c>
      <c r="CW35" s="155" t="n">
        <v>3</v>
      </c>
      <c r="CX35" s="155" t="n">
        <v>1</v>
      </c>
      <c r="CY35" s="155" t="n">
        <v>2</v>
      </c>
      <c r="CZ35" s="155" t="n">
        <v>0</v>
      </c>
      <c r="DA35" s="155" t="n">
        <v>2</v>
      </c>
      <c r="DB35" s="155" t="n">
        <v>1</v>
      </c>
      <c r="DC35" s="155"/>
      <c r="DD35" s="155" t="n">
        <v>5.0001</v>
      </c>
      <c r="DE35" s="155"/>
      <c r="DF35" s="119"/>
      <c r="DG35" s="119"/>
    </row>
    <row r="36" customFormat="false" ht="15.95" hidden="false" customHeight="true" outlineLevel="0" collapsed="false">
      <c r="A36" s="127" t="n">
        <v>32</v>
      </c>
      <c r="B36" s="128" t="n">
        <f aca="false">VLOOKUP(A36,A_4_INPUT_DATE_E_RISULTATI_GIRONI,8,0)</f>
        <v>44356</v>
      </c>
      <c r="C36" s="129" t="n">
        <f aca="false">VLOOKUP(A36,A_4_INPUT_DATE_E_RISULTATI_GIRONI,9,0)</f>
        <v>0.375</v>
      </c>
      <c r="D36" s="143" t="str">
        <f aca="false">VLOOKUP(A36,A_4_INPUT_DATE_E_RISULTATI_GIRONI,4,0)</f>
        <v>Piranha</v>
      </c>
      <c r="E36" s="131"/>
      <c r="F36" s="131"/>
      <c r="G36" s="132" t="str">
        <f aca="false">VLOOKUP(A36,A_4_INPUT_DATE_E_RISULTATI_GIRONI,5,0)</f>
        <v>Tonni</v>
      </c>
      <c r="H36" s="134" t="str">
        <f aca="false">VLOOKUP(A36,A_4_INPUT_DATE_E_RISULTATI_GIRONI,3,0)</f>
        <v>H</v>
      </c>
      <c r="I36" s="134" t="str">
        <f aca="false">VLOOKUP(A36,A_4_INPUT_DATE_E_RISULTATI_GIRONI,11,0)</f>
        <v>Nuova Scuola</v>
      </c>
      <c r="K36" s="148" t="str">
        <f aca="false">VLOOKUP(ROW()-33&amp;RIGHT(K$33,1),B_CLASSIFICA_GIRONE_G,4,0)</f>
        <v>Muli</v>
      </c>
      <c r="L36" s="149" t="n">
        <f aca="false">VLOOKUP(ROW()-33&amp;RIGHT(K$33,1),B_CLASSIFICA_GIRONE_G,5,0)</f>
        <v>3</v>
      </c>
      <c r="M36" s="149" t="n">
        <f aca="false">VLOOKUP(ROW()-33&amp;RIGHT(K$33,1),B_CLASSIFICA_GIRONE_G,6,0)</f>
        <v>1</v>
      </c>
      <c r="N36" s="149" t="n">
        <f aca="false">VLOOKUP(ROW()-33&amp;RIGHT(K$33,1),B_CLASSIFICA_GIRONE_G,7,0)</f>
        <v>2</v>
      </c>
      <c r="O36" s="149" t="n">
        <f aca="false">VLOOKUP(ROW()-33&amp;RIGHT(K$33,1),B_CLASSIFICA_GIRONE_G,8,0)</f>
        <v>0</v>
      </c>
      <c r="P36" s="149" t="n">
        <f aca="false">VLOOKUP(ROW()-33&amp;RIGHT(K$33,1),B_CLASSIFICA_GIRONE_G,9,0)</f>
        <v>4</v>
      </c>
      <c r="Q36" s="149" t="n">
        <f aca="false">VLOOKUP(ROW()-33&amp;RIGHT(K$33,1),B_CLASSIFICA_GIRONE_G,10,0)</f>
        <v>143</v>
      </c>
      <c r="R36" s="150" t="n">
        <f aca="false">VLOOKUP(ROW()-33&amp;RIGHT(K$33,1),B_CLASSIFICA_GIRONE_G,11,0)</f>
        <v>192</v>
      </c>
      <c r="T36" s="118"/>
      <c r="U36" s="205"/>
      <c r="V36" s="118"/>
      <c r="W36" s="118"/>
      <c r="X36" s="118"/>
      <c r="Y36" s="119"/>
      <c r="Z36" s="119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40" t="s">
        <v>210</v>
      </c>
      <c r="CW36" s="155" t="n">
        <v>3</v>
      </c>
      <c r="CX36" s="155" t="n">
        <v>2</v>
      </c>
      <c r="CY36" s="155" t="n">
        <v>1</v>
      </c>
      <c r="CZ36" s="155" t="n">
        <v>0</v>
      </c>
      <c r="DA36" s="155" t="n">
        <v>2</v>
      </c>
      <c r="DB36" s="155" t="n">
        <v>0</v>
      </c>
      <c r="DC36" s="155"/>
      <c r="DD36" s="155" t="n">
        <v>7.0002</v>
      </c>
      <c r="DE36" s="155"/>
      <c r="DF36" s="119"/>
      <c r="DG36" s="119"/>
    </row>
    <row r="37" customFormat="false" ht="15.95" hidden="false" customHeight="true" outlineLevel="0" collapsed="false">
      <c r="A37" s="127" t="n">
        <v>33</v>
      </c>
      <c r="B37" s="128" t="n">
        <f aca="false">VLOOKUP(A37,A_4_INPUT_DATE_E_RISULTATI_GIRONI,8,0)</f>
        <v>44356</v>
      </c>
      <c r="C37" s="129" t="n">
        <f aca="false">VLOOKUP(A37,A_4_INPUT_DATE_E_RISULTATI_GIRONI,9,0)</f>
        <v>0.458333333333333</v>
      </c>
      <c r="D37" s="143" t="str">
        <f aca="false">VLOOKUP(A37,A_4_INPUT_DATE_E_RISULTATI_GIRONI,4,0)</f>
        <v>Bufali</v>
      </c>
      <c r="E37" s="131"/>
      <c r="F37" s="131"/>
      <c r="G37" s="132" t="str">
        <f aca="false">VLOOKUP(A37,A_4_INPUT_DATE_E_RISULTATI_GIRONI,5,0)</f>
        <v>Cinghiali</v>
      </c>
      <c r="H37" s="134" t="str">
        <f aca="false">VLOOKUP(A37,A_4_INPUT_DATE_E_RISULTATI_GIRONI,3,0)</f>
        <v>E</v>
      </c>
      <c r="I37" s="134" t="str">
        <f aca="false">VLOOKUP(A37,A_4_INPUT_DATE_E_RISULTATI_GIRONI,11,0)</f>
        <v>Cristo Re 1</v>
      </c>
      <c r="K37" s="156" t="str">
        <f aca="false">VLOOKUP(ROW()-33&amp;RIGHT(K$33,1),B_CLASSIFICA_GIRONE_G,4,0)</f>
        <v>Gorilla</v>
      </c>
      <c r="L37" s="157" t="n">
        <f aca="false">VLOOKUP(ROW()-33&amp;RIGHT(K$33,1),B_CLASSIFICA_GIRONE_G,5,0)</f>
        <v>3</v>
      </c>
      <c r="M37" s="157" t="n">
        <f aca="false">VLOOKUP(ROW()-33&amp;RIGHT(K$33,1),B_CLASSIFICA_GIRONE_G,6,0)</f>
        <v>0</v>
      </c>
      <c r="N37" s="157" t="n">
        <f aca="false">VLOOKUP(ROW()-33&amp;RIGHT(K$33,1),B_CLASSIFICA_GIRONE_G,7,0)</f>
        <v>3</v>
      </c>
      <c r="O37" s="157" t="n">
        <f aca="false">VLOOKUP(ROW()-33&amp;RIGHT(K$33,1),B_CLASSIFICA_GIRONE_G,8,0)</f>
        <v>0</v>
      </c>
      <c r="P37" s="157" t="n">
        <f aca="false">VLOOKUP(ROW()-33&amp;RIGHT(K$33,1),B_CLASSIFICA_GIRONE_G,9,0)</f>
        <v>3</v>
      </c>
      <c r="Q37" s="157" t="n">
        <f aca="false">VLOOKUP(ROW()-33&amp;RIGHT(K$33,1),B_CLASSIFICA_GIRONE_G,10,0)</f>
        <v>161</v>
      </c>
      <c r="R37" s="158" t="n">
        <f aca="false">VLOOKUP(ROW()-33&amp;RIGHT(K$33,1),B_CLASSIFICA_GIRONE_G,11,0)</f>
        <v>179</v>
      </c>
      <c r="T37" s="118"/>
      <c r="U37" s="205"/>
      <c r="V37" s="118"/>
      <c r="W37" s="118"/>
      <c r="X37" s="118"/>
      <c r="Y37" s="119"/>
      <c r="Z37" s="119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40" t="s">
        <v>230</v>
      </c>
      <c r="CW37" s="155" t="n">
        <v>3</v>
      </c>
      <c r="CX37" s="155" t="n">
        <v>2</v>
      </c>
      <c r="CY37" s="155" t="n">
        <v>0</v>
      </c>
      <c r="CZ37" s="155" t="n">
        <v>1</v>
      </c>
      <c r="DA37" s="155" t="n">
        <v>4</v>
      </c>
      <c r="DB37" s="155" t="n">
        <v>2</v>
      </c>
      <c r="DC37" s="155"/>
      <c r="DD37" s="155" t="n">
        <v>6.0002</v>
      </c>
      <c r="DE37" s="155"/>
      <c r="DF37" s="119"/>
      <c r="DG37" s="119"/>
    </row>
    <row r="38" customFormat="false" ht="15.95" hidden="false" customHeight="true" outlineLevel="0" collapsed="false">
      <c r="A38" s="127" t="n">
        <v>34</v>
      </c>
      <c r="B38" s="128" t="n">
        <f aca="false">VLOOKUP(A38,A_4_INPUT_DATE_E_RISULTATI_GIRONI,8,0)</f>
        <v>44356</v>
      </c>
      <c r="C38" s="129" t="n">
        <f aca="false">VLOOKUP(A38,A_4_INPUT_DATE_E_RISULTATI_GIRONI,9,0)</f>
        <v>0.458333333333333</v>
      </c>
      <c r="D38" s="143" t="str">
        <f aca="false">VLOOKUP(A38,A_4_INPUT_DATE_E_RISULTATI_GIRONI,4,0)</f>
        <v>Gabbiani</v>
      </c>
      <c r="E38" s="131"/>
      <c r="F38" s="131"/>
      <c r="G38" s="132" t="str">
        <f aca="false">VLOOKUP(A38,A_4_INPUT_DATE_E_RISULTATI_GIRONI,5,0)</f>
        <v>Fenicotteri</v>
      </c>
      <c r="H38" s="134" t="str">
        <f aca="false">VLOOKUP(A38,A_4_INPUT_DATE_E_RISULTATI_GIRONI,3,0)</f>
        <v>F</v>
      </c>
      <c r="I38" s="134" t="str">
        <f aca="false">VLOOKUP(A38,A_4_INPUT_DATE_E_RISULTATI_GIRONI,11,0)</f>
        <v>Cristo Re 2</v>
      </c>
      <c r="K38" s="206" t="s">
        <v>251</v>
      </c>
      <c r="L38" s="207" t="s">
        <v>59</v>
      </c>
      <c r="M38" s="207" t="s">
        <v>172</v>
      </c>
      <c r="N38" s="207" t="s">
        <v>173</v>
      </c>
      <c r="O38" s="207" t="s">
        <v>54</v>
      </c>
      <c r="P38" s="207" t="s">
        <v>174</v>
      </c>
      <c r="Q38" s="207" t="s">
        <v>175</v>
      </c>
      <c r="R38" s="208" t="s">
        <v>176</v>
      </c>
      <c r="T38" s="118"/>
      <c r="U38" s="205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40" t="s">
        <v>241</v>
      </c>
      <c r="CW38" s="155" t="n">
        <v>3</v>
      </c>
      <c r="CX38" s="155" t="n">
        <v>0</v>
      </c>
      <c r="CY38" s="155" t="n">
        <v>1</v>
      </c>
      <c r="CZ38" s="155" t="n">
        <v>2</v>
      </c>
      <c r="DA38" s="155" t="n">
        <v>1</v>
      </c>
      <c r="DB38" s="155" t="n">
        <v>4</v>
      </c>
      <c r="DC38" s="155"/>
      <c r="DD38" s="155" t="n">
        <v>0.9997</v>
      </c>
      <c r="DE38" s="155"/>
      <c r="DF38" s="119"/>
      <c r="DG38" s="119"/>
    </row>
    <row r="39" customFormat="false" ht="15.95" hidden="false" customHeight="true" outlineLevel="0" collapsed="false">
      <c r="A39" s="127" t="n">
        <v>35</v>
      </c>
      <c r="B39" s="128" t="n">
        <f aca="false">VLOOKUP(A39,A_4_INPUT_DATE_E_RISULTATI_GIRONI,8,0)</f>
        <v>44356</v>
      </c>
      <c r="C39" s="129" t="n">
        <f aca="false">VLOOKUP(A39,A_4_INPUT_DATE_E_RISULTATI_GIRONI,9,0)</f>
        <v>0.458333333333333</v>
      </c>
      <c r="D39" s="143" t="str">
        <f aca="false">VLOOKUP(A39,A_4_INPUT_DATE_E_RISULTATI_GIRONI,4,0)</f>
        <v>Gorilla</v>
      </c>
      <c r="E39" s="131"/>
      <c r="F39" s="131"/>
      <c r="G39" s="132" t="str">
        <f aca="false">VLOOKUP(A39,A_4_INPUT_DATE_E_RISULTATI_GIRONI,5,0)</f>
        <v>Orche</v>
      </c>
      <c r="H39" s="134" t="str">
        <f aca="false">VLOOKUP(A39,A_4_INPUT_DATE_E_RISULTATI_GIRONI,3,0)</f>
        <v>G</v>
      </c>
      <c r="I39" s="134" t="str">
        <f aca="false">VLOOKUP(A39,A_4_INPUT_DATE_E_RISULTATI_GIRONI,11,0)</f>
        <v>Basket Giovane</v>
      </c>
      <c r="K39" s="135" t="str">
        <f aca="false">VLOOKUP(ROW()-38&amp;RIGHT(K$38,1),B_CLASSIFICA_GIRONE_H,4,0)</f>
        <v>Scorpioni</v>
      </c>
      <c r="L39" s="136" t="n">
        <f aca="false">VLOOKUP(ROW()-38&amp;RIGHT(K$38,1),B_CLASSIFICA_GIRONE_H,5,0)</f>
        <v>3</v>
      </c>
      <c r="M39" s="136" t="n">
        <f aca="false">VLOOKUP(ROW()-38&amp;RIGHT(K$38,1),B_CLASSIFICA_GIRONE_H,6,0)</f>
        <v>2</v>
      </c>
      <c r="N39" s="136" t="n">
        <f aca="false">VLOOKUP(ROW()-38&amp;RIGHT(K$38,1),B_CLASSIFICA_GIRONE_H,7,0)</f>
        <v>1</v>
      </c>
      <c r="O39" s="136" t="n">
        <f aca="false">VLOOKUP(ROW()-38&amp;RIGHT(K$38,1),B_CLASSIFICA_GIRONE_H,8,0)</f>
        <v>0</v>
      </c>
      <c r="P39" s="136" t="n">
        <f aca="false">VLOOKUP(ROW()-38&amp;RIGHT(K$38,1),B_CLASSIFICA_GIRONE_H,9,0)</f>
        <v>5</v>
      </c>
      <c r="Q39" s="136" t="n">
        <f aca="false">VLOOKUP(ROW()-38&amp;RIGHT(K$38,1),B_CLASSIFICA_GIRONE_H,10,0)</f>
        <v>214</v>
      </c>
      <c r="R39" s="137" t="n">
        <f aca="false">VLOOKUP(ROW()-38&amp;RIGHT(K$38,1),B_CLASSIFICA_GIRONE_H,11,0)</f>
        <v>183</v>
      </c>
      <c r="T39" s="118"/>
      <c r="U39" s="205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40" t="s">
        <v>209</v>
      </c>
      <c r="CW39" s="155" t="n">
        <v>3</v>
      </c>
      <c r="CX39" s="155" t="n">
        <v>2</v>
      </c>
      <c r="CY39" s="155" t="n">
        <v>1</v>
      </c>
      <c r="CZ39" s="155" t="n">
        <v>0</v>
      </c>
      <c r="DA39" s="155" t="n">
        <v>3</v>
      </c>
      <c r="DB39" s="155" t="n">
        <v>0</v>
      </c>
      <c r="DC39" s="155"/>
      <c r="DD39" s="155" t="n">
        <v>7.0003</v>
      </c>
      <c r="DE39" s="155"/>
      <c r="DF39" s="119"/>
      <c r="DG39" s="119"/>
    </row>
    <row r="40" customFormat="false" ht="15.95" hidden="false" customHeight="true" outlineLevel="0" collapsed="false">
      <c r="A40" s="127" t="n">
        <v>36</v>
      </c>
      <c r="B40" s="128" t="n">
        <f aca="false">VLOOKUP(A40,A_4_INPUT_DATE_E_RISULTATI_GIRONI,8,0)</f>
        <v>44356</v>
      </c>
      <c r="C40" s="129" t="n">
        <f aca="false">VLOOKUP(A40,A_4_INPUT_DATE_E_RISULTATI_GIRONI,9,0)</f>
        <v>0.458333333333333</v>
      </c>
      <c r="D40" s="143" t="str">
        <f aca="false">VLOOKUP(A40,A_4_INPUT_DATE_E_RISULTATI_GIRONI,4,0)</f>
        <v>Scorpioni</v>
      </c>
      <c r="E40" s="131"/>
      <c r="F40" s="131"/>
      <c r="G40" s="132" t="str">
        <f aca="false">VLOOKUP(A40,A_4_INPUT_DATE_E_RISULTATI_GIRONI,5,0)</f>
        <v>Zebre</v>
      </c>
      <c r="H40" s="134" t="str">
        <f aca="false">VLOOKUP(A40,A_4_INPUT_DATE_E_RISULTATI_GIRONI,3,0)</f>
        <v>H</v>
      </c>
      <c r="I40" s="134" t="str">
        <f aca="false">VLOOKUP(A40,A_4_INPUT_DATE_E_RISULTATI_GIRONI,11,0)</f>
        <v>Nuova Scuola</v>
      </c>
      <c r="K40" s="144" t="str">
        <f aca="false">VLOOKUP(ROW()-38&amp;RIGHT(K$38,1),B_CLASSIFICA_GIRONE_H,4,0)</f>
        <v>Piranha</v>
      </c>
      <c r="L40" s="145" t="n">
        <f aca="false">VLOOKUP(ROW()-38&amp;RIGHT(K$38,1),B_CLASSIFICA_GIRONE_H,5,0)</f>
        <v>3</v>
      </c>
      <c r="M40" s="145" t="n">
        <f aca="false">VLOOKUP(ROW()-38&amp;RIGHT(K$38,1),B_CLASSIFICA_GIRONE_H,6,0)</f>
        <v>2</v>
      </c>
      <c r="N40" s="145" t="n">
        <f aca="false">VLOOKUP(ROW()-38&amp;RIGHT(K$38,1),B_CLASSIFICA_GIRONE_H,7,0)</f>
        <v>1</v>
      </c>
      <c r="O40" s="145" t="n">
        <f aca="false">VLOOKUP(ROW()-38&amp;RIGHT(K$38,1),B_CLASSIFICA_GIRONE_H,8,0)</f>
        <v>0</v>
      </c>
      <c r="P40" s="145" t="n">
        <f aca="false">VLOOKUP(ROW()-38&amp;RIGHT(K$38,1),B_CLASSIFICA_GIRONE_H,9,0)</f>
        <v>5</v>
      </c>
      <c r="Q40" s="145" t="n">
        <f aca="false">VLOOKUP(ROW()-38&amp;RIGHT(K$38,1),B_CLASSIFICA_GIRONE_H,10,0)</f>
        <v>189</v>
      </c>
      <c r="R40" s="146" t="n">
        <f aca="false">VLOOKUP(ROW()-38&amp;RIGHT(K$38,1),B_CLASSIFICA_GIRONE_H,11,0)</f>
        <v>215</v>
      </c>
      <c r="T40" s="118"/>
      <c r="U40" s="205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209"/>
      <c r="CW40" s="209"/>
      <c r="CX40" s="210"/>
      <c r="CY40" s="210"/>
      <c r="CZ40" s="210"/>
      <c r="DA40" s="210"/>
      <c r="DB40" s="210"/>
      <c r="DC40" s="210"/>
      <c r="DD40" s="210"/>
      <c r="DE40" s="210"/>
      <c r="DF40" s="119"/>
      <c r="DG40" s="119"/>
    </row>
    <row r="41" customFormat="false" ht="15.95" hidden="false" customHeight="true" outlineLevel="0" collapsed="false">
      <c r="A41" s="127" t="n">
        <v>37</v>
      </c>
      <c r="B41" s="128" t="n">
        <f aca="false">VLOOKUP(A41,A_4_INPUT_DATE_E_RISULTATI_GIRONI,8,0)</f>
        <v>44356</v>
      </c>
      <c r="C41" s="129" t="n">
        <f aca="false">VLOOKUP(A41,A_4_INPUT_DATE_E_RISULTATI_GIRONI,9,0)</f>
        <v>0.645833333333333</v>
      </c>
      <c r="D41" s="143" t="str">
        <f aca="false">VLOOKUP(A41,A_4_INPUT_DATE_E_RISULTATI_GIRONI,4,0)</f>
        <v>Pantere</v>
      </c>
      <c r="E41" s="131"/>
      <c r="F41" s="131"/>
      <c r="G41" s="132" t="str">
        <f aca="false">VLOOKUP(A41,A_4_INPUT_DATE_E_RISULTATI_GIRONI,5,0)</f>
        <v>Tigri</v>
      </c>
      <c r="H41" s="134" t="str">
        <f aca="false">VLOOKUP(A41,A_4_INPUT_DATE_E_RISULTATI_GIRONI,3,0)</f>
        <v>A</v>
      </c>
      <c r="I41" s="134" t="str">
        <f aca="false">VLOOKUP(A41,A_4_INPUT_DATE_E_RISULTATI_GIRONI,11,0)</f>
        <v>Cristo Re 1</v>
      </c>
      <c r="K41" s="148" t="str">
        <f aca="false">VLOOKUP(ROW()-38&amp;RIGHT(K$38,1),B_CLASSIFICA_GIRONE_H,4,0)</f>
        <v>Zebre</v>
      </c>
      <c r="L41" s="149" t="n">
        <f aca="false">VLOOKUP(ROW()-38&amp;RIGHT(K$38,1),B_CLASSIFICA_GIRONE_H,5,0)</f>
        <v>3</v>
      </c>
      <c r="M41" s="149" t="n">
        <f aca="false">VLOOKUP(ROW()-38&amp;RIGHT(K$38,1),B_CLASSIFICA_GIRONE_H,6,0)</f>
        <v>1</v>
      </c>
      <c r="N41" s="149" t="n">
        <f aca="false">VLOOKUP(ROW()-38&amp;RIGHT(K$38,1),B_CLASSIFICA_GIRONE_H,7,0)</f>
        <v>2</v>
      </c>
      <c r="O41" s="149" t="n">
        <f aca="false">VLOOKUP(ROW()-38&amp;RIGHT(K$38,1),B_CLASSIFICA_GIRONE_H,8,0)</f>
        <v>0</v>
      </c>
      <c r="P41" s="149" t="n">
        <f aca="false">VLOOKUP(ROW()-38&amp;RIGHT(K$38,1),B_CLASSIFICA_GIRONE_H,9,0)</f>
        <v>4</v>
      </c>
      <c r="Q41" s="149" t="n">
        <f aca="false">VLOOKUP(ROW()-38&amp;RIGHT(K$38,1),B_CLASSIFICA_GIRONE_H,10,0)</f>
        <v>216</v>
      </c>
      <c r="R41" s="150" t="n">
        <f aca="false">VLOOKUP(ROW()-38&amp;RIGHT(K$38,1),B_CLASSIFICA_GIRONE_H,11,0)</f>
        <v>223</v>
      </c>
      <c r="T41" s="118"/>
      <c r="U41" s="205"/>
      <c r="V41" s="118"/>
      <c r="W41" s="118"/>
      <c r="X41" s="118"/>
      <c r="Y41" s="118"/>
      <c r="Z41" s="118"/>
      <c r="AA41" s="118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209"/>
      <c r="CW41" s="119"/>
      <c r="CX41" s="139"/>
      <c r="CY41" s="139"/>
      <c r="CZ41" s="139"/>
      <c r="DA41" s="139"/>
      <c r="DB41" s="139"/>
      <c r="DC41" s="139"/>
      <c r="DD41" s="139"/>
      <c r="DE41" s="139"/>
      <c r="DF41" s="119"/>
      <c r="DG41" s="119"/>
    </row>
    <row r="42" customFormat="false" ht="15.95" hidden="false" customHeight="true" outlineLevel="0" collapsed="false">
      <c r="A42" s="127" t="n">
        <v>38</v>
      </c>
      <c r="B42" s="128" t="n">
        <f aca="false">VLOOKUP(A42,A_4_INPUT_DATE_E_RISULTATI_GIRONI,8,0)</f>
        <v>44356</v>
      </c>
      <c r="C42" s="129" t="n">
        <f aca="false">VLOOKUP(A42,A_4_INPUT_DATE_E_RISULTATI_GIRONI,9,0)</f>
        <v>0.645833333333333</v>
      </c>
      <c r="D42" s="143" t="str">
        <f aca="false">VLOOKUP(A42,A_4_INPUT_DATE_E_RISULTATI_GIRONI,4,0)</f>
        <v>Puma</v>
      </c>
      <c r="E42" s="131"/>
      <c r="F42" s="131"/>
      <c r="G42" s="132" t="str">
        <f aca="false">VLOOKUP(A42,A_4_INPUT_DATE_E_RISULTATI_GIRONI,5,0)</f>
        <v>Linci</v>
      </c>
      <c r="H42" s="134" t="str">
        <f aca="false">VLOOKUP(A42,A_4_INPUT_DATE_E_RISULTATI_GIRONI,3,0)</f>
        <v>B</v>
      </c>
      <c r="I42" s="134" t="str">
        <f aca="false">VLOOKUP(A42,A_4_INPUT_DATE_E_RISULTATI_GIRONI,11,0)</f>
        <v>Cristo Re 2</v>
      </c>
      <c r="K42" s="156" t="str">
        <f aca="false">VLOOKUP(ROW()-38&amp;RIGHT(K$38,1),B_CLASSIFICA_GIRONE_H,4,0)</f>
        <v>Tonni</v>
      </c>
      <c r="L42" s="211" t="n">
        <f aca="false">VLOOKUP(ROW()-38&amp;RIGHT(K$38,1),B_CLASSIFICA_GIRONE_H,5,0)</f>
        <v>3</v>
      </c>
      <c r="M42" s="211" t="n">
        <f aca="false">VLOOKUP(ROW()-38&amp;RIGHT(K$38,1),B_CLASSIFICA_GIRONE_H,6,0)</f>
        <v>1</v>
      </c>
      <c r="N42" s="211" t="n">
        <f aca="false">VLOOKUP(ROW()-38&amp;RIGHT(K$38,1),B_CLASSIFICA_GIRONE_H,7,0)</f>
        <v>2</v>
      </c>
      <c r="O42" s="211" t="n">
        <f aca="false">VLOOKUP(ROW()-38&amp;RIGHT(K$38,1),B_CLASSIFICA_GIRONE_H,8,0)</f>
        <v>0</v>
      </c>
      <c r="P42" s="211" t="n">
        <f aca="false">VLOOKUP(ROW()-38&amp;RIGHT(K$38,1),B_CLASSIFICA_GIRONE_H,9,0)</f>
        <v>4</v>
      </c>
      <c r="Q42" s="211" t="n">
        <f aca="false">VLOOKUP(ROW()-38&amp;RIGHT(K$38,1),B_CLASSIFICA_GIRONE_H,10,0)</f>
        <v>185</v>
      </c>
      <c r="R42" s="212" t="n">
        <f aca="false">VLOOKUP(ROW()-38&amp;RIGHT(K$38,1),B_CLASSIFICA_GIRONE_H,11,0)</f>
        <v>183</v>
      </c>
      <c r="T42" s="118"/>
      <c r="U42" s="205"/>
      <c r="V42" s="118"/>
      <c r="W42" s="118"/>
      <c r="X42" s="118"/>
      <c r="Y42" s="118"/>
      <c r="Z42" s="118"/>
      <c r="AA42" s="118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209"/>
      <c r="CW42" s="119"/>
      <c r="CX42" s="139"/>
      <c r="CY42" s="139"/>
      <c r="CZ42" s="139"/>
      <c r="DA42" s="139"/>
      <c r="DB42" s="139"/>
      <c r="DC42" s="139"/>
      <c r="DD42" s="139"/>
      <c r="DE42" s="139"/>
      <c r="DF42" s="119"/>
      <c r="DG42" s="119"/>
    </row>
    <row r="43" customFormat="false" ht="15.95" hidden="false" customHeight="true" outlineLevel="0" collapsed="false">
      <c r="A43" s="127" t="n">
        <v>39</v>
      </c>
      <c r="B43" s="128" t="n">
        <f aca="false">VLOOKUP(A43,A_4_INPUT_DATE_E_RISULTATI_GIRONI,8,0)</f>
        <v>44356</v>
      </c>
      <c r="C43" s="129" t="n">
        <f aca="false">VLOOKUP(A43,A_4_INPUT_DATE_E_RISULTATI_GIRONI,9,0)</f>
        <v>0.645833333333333</v>
      </c>
      <c r="D43" s="143" t="str">
        <f aca="false">VLOOKUP(A43,A_4_INPUT_DATE_E_RISULTATI_GIRONI,4,0)</f>
        <v>Giraffe</v>
      </c>
      <c r="E43" s="131"/>
      <c r="F43" s="131"/>
      <c r="G43" s="132" t="str">
        <f aca="false">VLOOKUP(A43,A_4_INPUT_DATE_E_RISULTATI_GIRONI,5,0)</f>
        <v>Ippopotami</v>
      </c>
      <c r="H43" s="134" t="str">
        <f aca="false">VLOOKUP(A43,A_4_INPUT_DATE_E_RISULTATI_GIRONI,3,0)</f>
        <v>C</v>
      </c>
      <c r="I43" s="134" t="str">
        <f aca="false">VLOOKUP(A43,A_4_INPUT_DATE_E_RISULTATI_GIRONI,11,0)</f>
        <v>Basket Giovane</v>
      </c>
    </row>
    <row r="44" customFormat="false" ht="15.95" hidden="false" customHeight="true" outlineLevel="0" collapsed="false">
      <c r="A44" s="127" t="n">
        <v>40</v>
      </c>
      <c r="B44" s="128" t="n">
        <f aca="false">VLOOKUP(A44,A_4_INPUT_DATE_E_RISULTATI_GIRONI,8,0)</f>
        <v>44356</v>
      </c>
      <c r="C44" s="129" t="n">
        <f aca="false">VLOOKUP(A44,A_4_INPUT_DATE_E_RISULTATI_GIRONI,9,0)</f>
        <v>0.645833333333333</v>
      </c>
      <c r="D44" s="143" t="str">
        <f aca="false">VLOOKUP(A44,A_4_INPUT_DATE_E_RISULTATI_GIRONI,4,0)</f>
        <v>Pitoni</v>
      </c>
      <c r="E44" s="131"/>
      <c r="F44" s="131"/>
      <c r="G44" s="132" t="str">
        <f aca="false">VLOOKUP(A44,A_4_INPUT_DATE_E_RISULTATI_GIRONI,5,0)</f>
        <v>Aquile</v>
      </c>
      <c r="H44" s="134" t="str">
        <f aca="false">VLOOKUP(A44,A_4_INPUT_DATE_E_RISULTATI_GIRONI,3,0)</f>
        <v>D</v>
      </c>
      <c r="I44" s="134" t="str">
        <f aca="false">VLOOKUP(A44,A_4_INPUT_DATE_E_RISULTATI_GIRONI,11,0)</f>
        <v>Nuova Scuola</v>
      </c>
    </row>
    <row r="45" customFormat="false" ht="15.95" hidden="false" customHeight="true" outlineLevel="0" collapsed="false">
      <c r="A45" s="127" t="n">
        <v>41</v>
      </c>
      <c r="B45" s="128" t="n">
        <f aca="false">VLOOKUP(A45,A_4_INPUT_DATE_E_RISULTATI_GIRONI,8,0)</f>
        <v>44356</v>
      </c>
      <c r="C45" s="129" t="n">
        <f aca="false">VLOOKUP(A45,A_4_INPUT_DATE_E_RISULTATI_GIRONI,9,0)</f>
        <v>0.708333333333333</v>
      </c>
      <c r="D45" s="143" t="str">
        <f aca="false">VLOOKUP(A45,A_4_INPUT_DATE_E_RISULTATI_GIRONI,4,0)</f>
        <v>Bisonti</v>
      </c>
      <c r="E45" s="131"/>
      <c r="F45" s="131"/>
      <c r="G45" s="132" t="str">
        <f aca="false">VLOOKUP(A45,A_4_INPUT_DATE_E_RISULTATI_GIRONI,5,0)</f>
        <v>Cinghiali</v>
      </c>
      <c r="H45" s="134" t="str">
        <f aca="false">VLOOKUP(A45,A_4_INPUT_DATE_E_RISULTATI_GIRONI,3,0)</f>
        <v>E</v>
      </c>
      <c r="I45" s="134" t="str">
        <f aca="false">VLOOKUP(A45,A_4_INPUT_DATE_E_RISULTATI_GIRONI,11,0)</f>
        <v>Cristo Re 1</v>
      </c>
    </row>
    <row r="46" customFormat="false" ht="15.95" hidden="false" customHeight="true" outlineLevel="0" collapsed="false">
      <c r="A46" s="127" t="n">
        <v>42</v>
      </c>
      <c r="B46" s="128" t="n">
        <f aca="false">VLOOKUP(A46,A_4_INPUT_DATE_E_RISULTATI_GIRONI,8,0)</f>
        <v>44356</v>
      </c>
      <c r="C46" s="129" t="n">
        <f aca="false">VLOOKUP(A46,A_4_INPUT_DATE_E_RISULTATI_GIRONI,9,0)</f>
        <v>0.708333333333333</v>
      </c>
      <c r="D46" s="143" t="str">
        <f aca="false">VLOOKUP(A46,A_4_INPUT_DATE_E_RISULTATI_GIRONI,4,0)</f>
        <v>Balene</v>
      </c>
      <c r="E46" s="131"/>
      <c r="F46" s="131"/>
      <c r="G46" s="132" t="str">
        <f aca="false">VLOOKUP(A46,A_4_INPUT_DATE_E_RISULTATI_GIRONI,5,0)</f>
        <v>Fenicotteri</v>
      </c>
      <c r="H46" s="134" t="str">
        <f aca="false">VLOOKUP(A46,A_4_INPUT_DATE_E_RISULTATI_GIRONI,3,0)</f>
        <v>F</v>
      </c>
      <c r="I46" s="134" t="str">
        <f aca="false">VLOOKUP(A46,A_4_INPUT_DATE_E_RISULTATI_GIRONI,11,0)</f>
        <v>Cristo Re 2</v>
      </c>
    </row>
    <row r="47" customFormat="false" ht="15.95" hidden="false" customHeight="true" outlineLevel="0" collapsed="false">
      <c r="A47" s="127" t="n">
        <v>43</v>
      </c>
      <c r="B47" s="128" t="n">
        <f aca="false">VLOOKUP(A47,A_4_INPUT_DATE_E_RISULTATI_GIRONI,8,0)</f>
        <v>44356</v>
      </c>
      <c r="C47" s="129" t="n">
        <f aca="false">VLOOKUP(A47,A_4_INPUT_DATE_E_RISULTATI_GIRONI,9,0)</f>
        <v>0.708333333333333</v>
      </c>
      <c r="D47" s="143" t="str">
        <f aca="false">VLOOKUP(A47,A_4_INPUT_DATE_E_RISULTATI_GIRONI,4,0)</f>
        <v>Istrici</v>
      </c>
      <c r="E47" s="131"/>
      <c r="F47" s="131"/>
      <c r="G47" s="132" t="str">
        <f aca="false">VLOOKUP(A47,A_4_INPUT_DATE_E_RISULTATI_GIRONI,5,0)</f>
        <v>Orche</v>
      </c>
      <c r="H47" s="134" t="str">
        <f aca="false">VLOOKUP(A47,A_4_INPUT_DATE_E_RISULTATI_GIRONI,3,0)</f>
        <v>G</v>
      </c>
      <c r="I47" s="134" t="str">
        <f aca="false">VLOOKUP(A47,A_4_INPUT_DATE_E_RISULTATI_GIRONI,11,0)</f>
        <v>Basket Giovane</v>
      </c>
    </row>
    <row r="48" customFormat="false" ht="15.95" hidden="false" customHeight="true" outlineLevel="0" collapsed="false">
      <c r="A48" s="127" t="n">
        <v>44</v>
      </c>
      <c r="B48" s="128" t="n">
        <f aca="false">VLOOKUP(A48,A_4_INPUT_DATE_E_RISULTATI_GIRONI,8,0)</f>
        <v>44356</v>
      </c>
      <c r="C48" s="129" t="n">
        <f aca="false">VLOOKUP(A48,A_4_INPUT_DATE_E_RISULTATI_GIRONI,9,0)</f>
        <v>0.708333333333333</v>
      </c>
      <c r="D48" s="143" t="str">
        <f aca="false">VLOOKUP(A48,A_4_INPUT_DATE_E_RISULTATI_GIRONI,4,0)</f>
        <v>Piranha</v>
      </c>
      <c r="E48" s="131"/>
      <c r="F48" s="131"/>
      <c r="G48" s="132" t="str">
        <f aca="false">VLOOKUP(A48,A_4_INPUT_DATE_E_RISULTATI_GIRONI,5,0)</f>
        <v>Zebre</v>
      </c>
      <c r="H48" s="134" t="str">
        <f aca="false">VLOOKUP(A48,A_4_INPUT_DATE_E_RISULTATI_GIRONI,3,0)</f>
        <v>H</v>
      </c>
      <c r="I48" s="134" t="str">
        <f aca="false">VLOOKUP(A48,A_4_INPUT_DATE_E_RISULTATI_GIRONI,11,0)</f>
        <v>Nuova Scuola</v>
      </c>
    </row>
    <row r="49" customFormat="false" ht="15.95" hidden="false" customHeight="true" outlineLevel="0" collapsed="false">
      <c r="A49" s="127" t="n">
        <v>45</v>
      </c>
      <c r="B49" s="128" t="n">
        <f aca="false">VLOOKUP(A49,A_4_INPUT_DATE_E_RISULTATI_GIRONI,8,0)</f>
        <v>44356</v>
      </c>
      <c r="C49" s="129" t="n">
        <f aca="false">VLOOKUP(A49,A_4_INPUT_DATE_E_RISULTATI_GIRONI,9,0)</f>
        <v>0.770833333333333</v>
      </c>
      <c r="D49" s="143" t="str">
        <f aca="false">VLOOKUP(A49,A_4_INPUT_DATE_E_RISULTATI_GIRONI,4,0)</f>
        <v>Bufali</v>
      </c>
      <c r="E49" s="131"/>
      <c r="F49" s="131"/>
      <c r="G49" s="132" t="str">
        <f aca="false">VLOOKUP(A49,A_4_INPUT_DATE_E_RISULTATI_GIRONI,5,0)</f>
        <v>Cervi</v>
      </c>
      <c r="H49" s="134" t="str">
        <f aca="false">VLOOKUP(A49,A_4_INPUT_DATE_E_RISULTATI_GIRONI,3,0)</f>
        <v>E</v>
      </c>
      <c r="I49" s="134" t="str">
        <f aca="false">VLOOKUP(A49,A_4_INPUT_DATE_E_RISULTATI_GIRONI,11,0)</f>
        <v>Cristo Re 1</v>
      </c>
    </row>
    <row r="50" customFormat="false" ht="15.95" hidden="false" customHeight="true" outlineLevel="0" collapsed="false">
      <c r="A50" s="127" t="n">
        <v>46</v>
      </c>
      <c r="B50" s="128" t="n">
        <f aca="false">VLOOKUP(A50,A_4_INPUT_DATE_E_RISULTATI_GIRONI,8,0)</f>
        <v>44356</v>
      </c>
      <c r="C50" s="129" t="n">
        <f aca="false">VLOOKUP(A50,A_4_INPUT_DATE_E_RISULTATI_GIRONI,9,0)</f>
        <v>0.770833333333333</v>
      </c>
      <c r="D50" s="143" t="str">
        <f aca="false">VLOOKUP(A50,A_4_INPUT_DATE_E_RISULTATI_GIRONI,4,0)</f>
        <v>Gabbiani</v>
      </c>
      <c r="E50" s="131"/>
      <c r="F50" s="131"/>
      <c r="G50" s="132" t="str">
        <f aca="false">VLOOKUP(A50,A_4_INPUT_DATE_E_RISULTATI_GIRONI,5,0)</f>
        <v>Delfini</v>
      </c>
      <c r="H50" s="134" t="str">
        <f aca="false">VLOOKUP(A50,A_4_INPUT_DATE_E_RISULTATI_GIRONI,3,0)</f>
        <v>F</v>
      </c>
      <c r="I50" s="134" t="str">
        <f aca="false">VLOOKUP(A50,A_4_INPUT_DATE_E_RISULTATI_GIRONI,11,0)</f>
        <v>Cristo Re 2</v>
      </c>
    </row>
    <row r="51" customFormat="false" ht="15.95" hidden="false" customHeight="true" outlineLevel="0" collapsed="false">
      <c r="A51" s="127" t="n">
        <v>47</v>
      </c>
      <c r="B51" s="128" t="n">
        <f aca="false">VLOOKUP(A51,A_4_INPUT_DATE_E_RISULTATI_GIRONI,8,0)</f>
        <v>44356</v>
      </c>
      <c r="C51" s="129" t="n">
        <f aca="false">VLOOKUP(A51,A_4_INPUT_DATE_E_RISULTATI_GIRONI,9,0)</f>
        <v>0.770833333333333</v>
      </c>
      <c r="D51" s="143" t="str">
        <f aca="false">VLOOKUP(A51,A_4_INPUT_DATE_E_RISULTATI_GIRONI,4,0)</f>
        <v>Gorilla</v>
      </c>
      <c r="E51" s="131"/>
      <c r="F51" s="131"/>
      <c r="G51" s="132" t="str">
        <f aca="false">VLOOKUP(A51,A_4_INPUT_DATE_E_RISULTATI_GIRONI,5,0)</f>
        <v>Muli</v>
      </c>
      <c r="H51" s="134" t="str">
        <f aca="false">VLOOKUP(A51,A_4_INPUT_DATE_E_RISULTATI_GIRONI,3,0)</f>
        <v>G</v>
      </c>
      <c r="I51" s="134" t="str">
        <f aca="false">VLOOKUP(A51,A_4_INPUT_DATE_E_RISULTATI_GIRONI,11,0)</f>
        <v>Basket Giovane</v>
      </c>
    </row>
    <row r="52" customFormat="false" ht="15.95" hidden="false" customHeight="true" outlineLevel="0" collapsed="false">
      <c r="A52" s="127" t="n">
        <v>48</v>
      </c>
      <c r="B52" s="128" t="n">
        <f aca="false">VLOOKUP(A52,A_4_INPUT_DATE_E_RISULTATI_GIRONI,8,0)</f>
        <v>44356</v>
      </c>
      <c r="C52" s="129" t="n">
        <f aca="false">VLOOKUP(A52,A_4_INPUT_DATE_E_RISULTATI_GIRONI,9,0)</f>
        <v>0.770833333333333</v>
      </c>
      <c r="D52" s="143" t="str">
        <f aca="false">VLOOKUP(A52,A_4_INPUT_DATE_E_RISULTATI_GIRONI,4,0)</f>
        <v>Scorpioni</v>
      </c>
      <c r="E52" s="131"/>
      <c r="F52" s="131"/>
      <c r="G52" s="132" t="str">
        <f aca="false">VLOOKUP(A52,A_4_INPUT_DATE_E_RISULTATI_GIRONI,5,0)</f>
        <v>Tonni</v>
      </c>
      <c r="H52" s="134" t="str">
        <f aca="false">VLOOKUP(A52,A_4_INPUT_DATE_E_RISULTATI_GIRONI,3,0)</f>
        <v>H</v>
      </c>
      <c r="I52" s="134" t="str">
        <f aca="false">VLOOKUP(A52,A_4_INPUT_DATE_E_RISULTATI_GIRONI,11,0)</f>
        <v>Nuova Scuola</v>
      </c>
    </row>
  </sheetData>
  <mergeCells count="26">
    <mergeCell ref="B1:I1"/>
    <mergeCell ref="K1:R1"/>
    <mergeCell ref="B2:I2"/>
    <mergeCell ref="K2:R2"/>
    <mergeCell ref="T2:V3"/>
    <mergeCell ref="Y2:AA3"/>
    <mergeCell ref="AD2:AF3"/>
    <mergeCell ref="AI2:AK3"/>
    <mergeCell ref="E3:F3"/>
    <mergeCell ref="T5:V5"/>
    <mergeCell ref="T6:T7"/>
    <mergeCell ref="Y8:Y9"/>
    <mergeCell ref="T9:V9"/>
    <mergeCell ref="T10:T11"/>
    <mergeCell ref="AD12:AD13"/>
    <mergeCell ref="T14:T15"/>
    <mergeCell ref="Y16:Y17"/>
    <mergeCell ref="T18:T19"/>
    <mergeCell ref="AI19:AI20"/>
    <mergeCell ref="T22:T23"/>
    <mergeCell ref="Y24:Y25"/>
    <mergeCell ref="T26:T27"/>
    <mergeCell ref="AD28:AD29"/>
    <mergeCell ref="T30:T31"/>
    <mergeCell ref="Y32:Y33"/>
    <mergeCell ref="T34:T35"/>
  </mergeCells>
  <conditionalFormatting sqref="AL25:AX25">
    <cfRule type="expression" priority="2" aboveAverage="0" equalAverage="0" bottom="0" percent="0" rank="0" text="" dxfId="8">
      <formula>IF(#REF!=#REF!,1,IF(#REF!=#REF!,1,0))</formula>
    </cfRule>
  </conditionalFormatting>
  <conditionalFormatting sqref="B5:D52">
    <cfRule type="expression" priority="3" aboveAverage="0" equalAverage="0" bottom="0" percent="0" rank="0" text="" dxfId="8">
      <formula>IF(#REF!=CONCATENATE($D4,"_win"),1,0)</formula>
    </cfRule>
  </conditionalFormatting>
  <conditionalFormatting sqref="G4:G52 H4 B4:D52">
    <cfRule type="expression" priority="4" aboveAverage="0" equalAverage="0" bottom="0" percent="0" rank="0" text="" dxfId="8">
      <formula>IF(#REF!=CONCATENATE($G4,"_win"),1,0)</formula>
    </cfRule>
  </conditionalFormatting>
  <conditionalFormatting sqref="K23 M23:R23">
    <cfRule type="expression" priority="5" aboveAverage="0" equalAverage="0" bottom="0" percent="0" rank="0" text="" dxfId="8">
      <formula>IF(#REF!=#REF!,1,IF(#REF!=#REF!,1,0))</formula>
    </cfRule>
  </conditionalFormatting>
  <conditionalFormatting sqref="CV40:DE40">
    <cfRule type="expression" priority="6" aboveAverage="0" equalAverage="0" bottom="0" percent="0" rank="0" text="" dxfId="8">
      <formula>IF(#REF!=#REF!,1,IF(#REF!=#REF!,1,0))</formula>
    </cfRule>
  </conditionalFormatting>
  <conditionalFormatting sqref="CV18 CX18:DE18">
    <cfRule type="expression" priority="7" aboveAverage="0" equalAverage="0" bottom="0" percent="0" rank="0" text="" dxfId="8">
      <formula>IF(#REF!=#REF!,1,IF(#REF!=#REF!,1,0))</formula>
    </cfRule>
  </conditionalFormatting>
  <conditionalFormatting sqref="CV23 CX23:DE23">
    <cfRule type="expression" priority="8" aboveAverage="0" equalAverage="0" bottom="0" percent="0" rank="0" text="" dxfId="8">
      <formula>IF(#REF!=#REF!,1,IF(#REF!=#REF!,1,0))</formula>
    </cfRule>
  </conditionalFormatting>
  <conditionalFormatting sqref="U11">
    <cfRule type="expression" priority="9" aboveAverage="0" equalAverage="0" bottom="0" percent="0" rank="0" text="" dxfId="8">
      <formula>IF($AU11=#REF!,1,0)</formula>
    </cfRule>
    <cfRule type="expression" priority="10" aboveAverage="0" equalAverage="0" bottom="0" percent="0" rank="0" text="" dxfId="8">
      <formula>IF($AU10=#REF!,1,0)</formula>
    </cfRule>
  </conditionalFormatting>
  <conditionalFormatting sqref="U31">
    <cfRule type="expression" priority="11" aboveAverage="0" equalAverage="0" bottom="0" percent="0" rank="0" text="" dxfId="8">
      <formula>IF($AU31=#REF!,1,0)</formula>
    </cfRule>
    <cfRule type="expression" priority="12" aboveAverage="0" equalAverage="0" bottom="0" percent="0" rank="0" text="" dxfId="8">
      <formula>IF($AU30=#REF!,1,0)</formula>
    </cfRule>
  </conditionalFormatting>
  <conditionalFormatting sqref="U23">
    <cfRule type="expression" priority="13" aboveAverage="0" equalAverage="0" bottom="0" percent="0" rank="0" text="" dxfId="8">
      <formula>IF($AU23=#REF!,1,0)</formula>
    </cfRule>
    <cfRule type="expression" priority="14" aboveAverage="0" equalAverage="0" bottom="0" percent="0" rank="0" text="" dxfId="8">
      <formula>IF($AU22=#REF!,1,0)</formula>
    </cfRule>
  </conditionalFormatting>
  <conditionalFormatting sqref="U14 U10 U22 U30 U26:U27 U18">
    <cfRule type="expression" priority="15" aboveAverage="0" equalAverage="0" bottom="0" percent="0" rank="0" text="" dxfId="8">
      <formula>IF($AU10=#REF!,1,0)</formula>
    </cfRule>
    <cfRule type="expression" priority="16" aboveAverage="0" equalAverage="0" bottom="0" percent="0" rank="0" text="" dxfId="8">
      <formula>IF($AU11=#REF!,1,0)</formula>
    </cfRule>
  </conditionalFormatting>
  <conditionalFormatting sqref="U15">
    <cfRule type="expression" priority="17" aboveAverage="0" equalAverage="0" bottom="0" percent="0" rank="0" text="" dxfId="8">
      <formula>IF($AU15=#REF!,1,0)</formula>
    </cfRule>
    <cfRule type="expression" priority="18" aboveAverage="0" equalAverage="0" bottom="0" percent="0" rank="0" text="" dxfId="8">
      <formula>IF($AU14=#REF!,1,0)</formula>
    </cfRule>
  </conditionalFormatting>
  <conditionalFormatting sqref="G3:I3 B3:E3">
    <cfRule type="expression" priority="19" aboveAverage="0" equalAverage="0" bottom="0" percent="0" rank="0" text="" dxfId="8">
      <formula>$P$4="Black and White"</formula>
    </cfRule>
  </conditionalFormatting>
  <conditionalFormatting sqref="K8:R8 K18:R18 K13:R13">
    <cfRule type="expression" priority="20" aboveAverage="0" equalAverage="0" bottom="0" percent="0" rank="0" text="" dxfId="8">
      <formula>$P$4="Black and White"</formula>
    </cfRule>
  </conditionalFormatting>
  <conditionalFormatting sqref="K3:R3">
    <cfRule type="expression" priority="21" aboveAverage="0" equalAverage="0" bottom="0" percent="0" rank="0" text="" dxfId="8">
      <formula>$P$4="Black and White"</formula>
    </cfRule>
  </conditionalFormatting>
  <conditionalFormatting sqref="V10 V30 V34 V22 V26 V14 V18 V6">
    <cfRule type="expression" priority="22" aboveAverage="0" equalAverage="0" bottom="0" percent="0" rank="0" text="" dxfId="8">
      <formula>IF(AND(#REF!&gt;#REF!,ISNUMBER(#REF!),ISNUMBER(#REF!)),1,0)</formula>
    </cfRule>
  </conditionalFormatting>
  <conditionalFormatting sqref="V11 V31 V35 V23 V27 V15 V19 V7">
    <cfRule type="expression" priority="23" aboveAverage="0" equalAverage="0" bottom="0" percent="0" rank="0" text="" dxfId="8">
      <formula>IF(AND(#REF!&lt;#REF!,ISNUMBER(#REF!),ISNUMBER(#REF!)),1,0)</formula>
    </cfRule>
  </conditionalFormatting>
  <conditionalFormatting sqref="U6">
    <cfRule type="expression" priority="24" aboveAverage="0" equalAverage="0" bottom="0" percent="0" rank="0" text="" dxfId="8">
      <formula>$P$4="Black and White"</formula>
    </cfRule>
  </conditionalFormatting>
  <conditionalFormatting sqref="U7">
    <cfRule type="expression" priority="25" aboveAverage="0" equalAverage="0" bottom="0" percent="0" rank="0" text="" dxfId="8">
      <formula>$P$4="Black and White"</formula>
    </cfRule>
  </conditionalFormatting>
  <conditionalFormatting sqref="U19">
    <cfRule type="expression" priority="26" aboveAverage="0" equalAverage="0" bottom="0" percent="0" rank="0" text="" dxfId="8">
      <formula>IF($AU19=#REF!,1,0)</formula>
    </cfRule>
    <cfRule type="expression" priority="27" aboveAverage="0" equalAverage="0" bottom="0" percent="0" rank="0" text="" dxfId="8">
      <formula>IF($AU18=#REF!,1,0)</formula>
    </cfRule>
  </conditionalFormatting>
  <conditionalFormatting sqref="U34">
    <cfRule type="expression" priority="28" aboveAverage="0" equalAverage="0" bottom="0" percent="0" rank="0" text="" dxfId="8">
      <formula>IF($AU34=#REF!,1,0)</formula>
    </cfRule>
    <cfRule type="expression" priority="29" aboveAverage="0" equalAverage="0" bottom="0" percent="0" rank="0" text="" dxfId="8">
      <formula>IF($AU35=#REF!,1,0)</formula>
    </cfRule>
  </conditionalFormatting>
  <conditionalFormatting sqref="U35">
    <cfRule type="expression" priority="30" aboveAverage="0" equalAverage="0" bottom="0" percent="0" rank="0" text="" dxfId="8">
      <formula>IF($AU35=#REF!,1,0)</formula>
    </cfRule>
    <cfRule type="expression" priority="31" aboveAverage="0" equalAverage="0" bottom="0" percent="0" rank="0" text="" dxfId="8">
      <formula>IF($AU34=#REF!,1,0)</formula>
    </cfRule>
  </conditionalFormatting>
  <conditionalFormatting sqref="K24:R24">
    <cfRule type="expression" priority="32" aboveAverage="0" equalAverage="0" bottom="0" percent="0" rank="0" text="" dxfId="8">
      <formula>$P$4="Black and White"</formula>
    </cfRule>
  </conditionalFormatting>
  <conditionalFormatting sqref="K33">
    <cfRule type="expression" priority="33" aboveAverage="0" equalAverage="0" bottom="0" percent="0" rank="0" text="" dxfId="8">
      <formula>$P$4="Black and White"</formula>
    </cfRule>
  </conditionalFormatting>
  <conditionalFormatting sqref="L33">
    <cfRule type="expression" priority="34" aboveAverage="0" equalAverage="0" bottom="0" percent="0" rank="0" text="" dxfId="8">
      <formula>$P$4="Black and White"</formula>
    </cfRule>
  </conditionalFormatting>
  <conditionalFormatting sqref="M33:R33">
    <cfRule type="expression" priority="35" aboveAverage="0" equalAverage="0" bottom="0" percent="0" rank="0" text="" dxfId="8">
      <formula>$P$4="Black and White"</formula>
    </cfRule>
  </conditionalFormatting>
  <conditionalFormatting sqref="K26:K27">
    <cfRule type="expression" priority="36" aboveAverage="0" equalAverage="0" bottom="0" percent="0" rank="0" text="" dxfId="8">
      <formula>$P$4="Black and White"</formula>
    </cfRule>
  </conditionalFormatting>
  <conditionalFormatting sqref="K25">
    <cfRule type="expression" priority="37" aboveAverage="0" equalAverage="0" bottom="0" percent="0" rank="0" text="" dxfId="8">
      <formula>$P$4="Black and White"</formula>
    </cfRule>
  </conditionalFormatting>
  <conditionalFormatting sqref="M26">
    <cfRule type="expression" priority="38" aboveAverage="0" equalAverage="0" bottom="0" percent="0" rank="0" text="" dxfId="8">
      <formula>$P$4="Black and White"</formula>
    </cfRule>
  </conditionalFormatting>
  <conditionalFormatting sqref="M27">
    <cfRule type="expression" priority="39" aboveAverage="0" equalAverage="0" bottom="0" percent="0" rank="0" text="" dxfId="8">
      <formula>$P$4="Black and White"</formula>
    </cfRule>
  </conditionalFormatting>
  <conditionalFormatting sqref="N26:N27">
    <cfRule type="expression" priority="40" aboveAverage="0" equalAverage="0" bottom="0" percent="0" rank="0" text="" dxfId="8">
      <formula>$P$4="Black and White"</formula>
    </cfRule>
  </conditionalFormatting>
  <conditionalFormatting sqref="O26:R27">
    <cfRule type="expression" priority="41" aboveAverage="0" equalAverage="0" bottom="0" percent="0" rank="0" text="" dxfId="8">
      <formula>$P$4="Black and White"</formula>
    </cfRule>
  </conditionalFormatting>
  <conditionalFormatting sqref="M25:R25">
    <cfRule type="expression" priority="42" aboveAverage="0" equalAverage="0" bottom="0" percent="0" rank="0" text="" dxfId="8">
      <formula>$P$4="Black and White"</formula>
    </cfRule>
  </conditionalFormatting>
  <conditionalFormatting sqref="AA8">
    <cfRule type="expression" priority="43" aboveAverage="0" equalAverage="0" bottom="0" percent="0" rank="0" text="" dxfId="8">
      <formula>IF(AND(#REF!&gt;#REF!,ISNUMBER(#REF!),ISNUMBER(#REF!)),1,0)</formula>
    </cfRule>
  </conditionalFormatting>
  <conditionalFormatting sqref="AA9">
    <cfRule type="expression" priority="44" aboveAverage="0" equalAverage="0" bottom="0" percent="0" rank="0" text="" dxfId="8">
      <formula>IF(AND(#REF!&lt;#REF!,ISNUMBER(#REF!),ISNUMBER(#REF!)),1,0)</formula>
    </cfRule>
  </conditionalFormatting>
  <conditionalFormatting sqref="AA16">
    <cfRule type="expression" priority="45" aboveAverage="0" equalAverage="0" bottom="0" percent="0" rank="0" text="" dxfId="8">
      <formula>IF(AND(#REF!&gt;#REF!,ISNUMBER(#REF!),ISNUMBER(#REF!)),1,0)</formula>
    </cfRule>
  </conditionalFormatting>
  <conditionalFormatting sqref="AA17">
    <cfRule type="expression" priority="46" aboveAverage="0" equalAverage="0" bottom="0" percent="0" rank="0" text="" dxfId="8">
      <formula>IF(AND(#REF!&lt;#REF!,ISNUMBER(#REF!),ISNUMBER(#REF!)),1,0)</formula>
    </cfRule>
  </conditionalFormatting>
  <conditionalFormatting sqref="AA24">
    <cfRule type="expression" priority="47" aboveAverage="0" equalAverage="0" bottom="0" percent="0" rank="0" text="" dxfId="8">
      <formula>IF(AND(#REF!&gt;#REF!,ISNUMBER(#REF!),ISNUMBER(#REF!)),1,0)</formula>
    </cfRule>
  </conditionalFormatting>
  <conditionalFormatting sqref="AA25">
    <cfRule type="expression" priority="48" aboveAverage="0" equalAverage="0" bottom="0" percent="0" rank="0" text="" dxfId="8">
      <formula>IF(AND(#REF!&lt;#REF!,ISNUMBER(#REF!),ISNUMBER(#REF!)),1,0)</formula>
    </cfRule>
  </conditionalFormatting>
  <conditionalFormatting sqref="AA32">
    <cfRule type="expression" priority="49" aboveAverage="0" equalAverage="0" bottom="0" percent="0" rank="0" text="" dxfId="8">
      <formula>IF(AND(#REF!&gt;#REF!,ISNUMBER(#REF!),ISNUMBER(#REF!)),1,0)</formula>
    </cfRule>
  </conditionalFormatting>
  <conditionalFormatting sqref="AA33">
    <cfRule type="expression" priority="50" aboveAverage="0" equalAverage="0" bottom="0" percent="0" rank="0" text="" dxfId="8">
      <formula>IF(AND(#REF!&lt;#REF!,ISNUMBER(#REF!),ISNUMBER(#REF!)),1,0)</formula>
    </cfRule>
  </conditionalFormatting>
  <conditionalFormatting sqref="AF12">
    <cfRule type="expression" priority="51" aboveAverage="0" equalAverage="0" bottom="0" percent="0" rank="0" text="" dxfId="8">
      <formula>IF(AND(#REF!&gt;#REF!,ISNUMBER(#REF!),ISNUMBER(#REF!)),1,0)</formula>
    </cfRule>
  </conditionalFormatting>
  <conditionalFormatting sqref="AF13">
    <cfRule type="expression" priority="52" aboveAverage="0" equalAverage="0" bottom="0" percent="0" rank="0" text="" dxfId="8">
      <formula>IF(AND(#REF!&lt;#REF!,ISNUMBER(#REF!),ISNUMBER(#REF!)),1,0)</formula>
    </cfRule>
  </conditionalFormatting>
  <conditionalFormatting sqref="AF28">
    <cfRule type="expression" priority="53" aboveAverage="0" equalAverage="0" bottom="0" percent="0" rank="0" text="" dxfId="8">
      <formula>IF(AND(#REF!&gt;#REF!,ISNUMBER(#REF!),ISNUMBER(#REF!)),1,0)</formula>
    </cfRule>
  </conditionalFormatting>
  <conditionalFormatting sqref="AF29">
    <cfRule type="expression" priority="54" aboveAverage="0" equalAverage="0" bottom="0" percent="0" rank="0" text="" dxfId="8">
      <formula>IF(AND(#REF!&lt;#REF!,ISNUMBER(#REF!),ISNUMBER(#REF!)),1,0)</formula>
    </cfRule>
  </conditionalFormatting>
  <conditionalFormatting sqref="AK19">
    <cfRule type="expression" priority="55" aboveAverage="0" equalAverage="0" bottom="0" percent="0" rank="0" text="" dxfId="8">
      <formula>IF(AND(#REF!&gt;#REF!,ISNUMBER(#REF!),ISNUMBER(#REF!)),1,0)</formula>
    </cfRule>
  </conditionalFormatting>
  <conditionalFormatting sqref="AK20">
    <cfRule type="expression" priority="56" aboveAverage="0" equalAverage="0" bottom="0" percent="0" rank="0" text="" dxfId="8">
      <formula>IF(AND(#REF!&lt;#REF!,ISNUMBER(#REF!),ISNUMBER(#REF!)),1,0)</formula>
    </cfRule>
  </conditionalFormatting>
  <conditionalFormatting sqref="Z9">
    <cfRule type="expression" priority="57" aboveAverage="0" equalAverage="0" bottom="0" percent="0" rank="0" text="" dxfId="8">
      <formula>$P$4="Black and White"</formula>
    </cfRule>
  </conditionalFormatting>
  <conditionalFormatting sqref="Z17">
    <cfRule type="expression" priority="58" aboveAverage="0" equalAverage="0" bottom="0" percent="0" rank="0" text="" dxfId="8">
      <formula>$P$4="Black and White"</formula>
    </cfRule>
  </conditionalFormatting>
  <conditionalFormatting sqref="Z25">
    <cfRule type="expression" priority="59" aboveAverage="0" equalAverage="0" bottom="0" percent="0" rank="0" text="" dxfId="8">
      <formula>$P$4="Black and White"</formula>
    </cfRule>
  </conditionalFormatting>
  <conditionalFormatting sqref="Z33">
    <cfRule type="expression" priority="60" aboveAverage="0" equalAverage="0" bottom="0" percent="0" rank="0" text="" dxfId="8">
      <formula>$P$4="Black and White"</formula>
    </cfRule>
  </conditionalFormatting>
  <conditionalFormatting sqref="AE13">
    <cfRule type="expression" priority="61" aboveAverage="0" equalAverage="0" bottom="0" percent="0" rank="0" text="" dxfId="8">
      <formula>$P$4="Black and White"</formula>
    </cfRule>
  </conditionalFormatting>
  <conditionalFormatting sqref="AE29">
    <cfRule type="expression" priority="62" aboveAverage="0" equalAverage="0" bottom="0" percent="0" rank="0" text="" dxfId="8">
      <formula>$P$4="Black and White"</formula>
    </cfRule>
  </conditionalFormatting>
  <conditionalFormatting sqref="AJ20">
    <cfRule type="expression" priority="63" aboveAverage="0" equalAverage="0" bottom="0" percent="0" rank="0" text="" dxfId="8">
      <formula>$P$4="Black and White"</formula>
    </cfRule>
  </conditionalFormatting>
  <conditionalFormatting sqref="L27">
    <cfRule type="expression" priority="64" aboveAverage="0" equalAverage="0" bottom="0" percent="0" rank="0" text="" dxfId="8">
      <formula>$P$4="Black and White"</formula>
    </cfRule>
  </conditionalFormatting>
  <conditionalFormatting sqref="L26">
    <cfRule type="expression" priority="65" aboveAverage="0" equalAverage="0" bottom="0" percent="0" rank="0" text="" dxfId="8">
      <formula>$P$4="Black and White"</formula>
    </cfRule>
  </conditionalFormatting>
  <conditionalFormatting sqref="L29:R29 L34:R34 L39:R39">
    <cfRule type="expression" priority="66" aboveAverage="0" equalAverage="0" bottom="0" percent="0" rank="0" text="" dxfId="8">
      <formula>$P$4="Black and White"</formula>
    </cfRule>
  </conditionalFormatting>
  <conditionalFormatting sqref="L32 L37">
    <cfRule type="expression" priority="67" aboveAverage="0" equalAverage="0" bottom="0" percent="0" rank="0" text="" dxfId="8">
      <formula>$P$4="Black and White"</formula>
    </cfRule>
  </conditionalFormatting>
  <conditionalFormatting sqref="L31 L36">
    <cfRule type="expression" priority="68" aboveAverage="0" equalAverage="0" bottom="0" percent="0" rank="0" text="" dxfId="8">
      <formula>$P$4="Black and White"</formula>
    </cfRule>
  </conditionalFormatting>
  <conditionalFormatting sqref="K34 K29 K39">
    <cfRule type="expression" priority="69" aboveAverage="0" equalAverage="0" bottom="0" percent="0" rank="0" text="" dxfId="8">
      <formula>$P$4="Black and White"</formula>
    </cfRule>
  </conditionalFormatting>
  <conditionalFormatting sqref="K30 K35 K40">
    <cfRule type="expression" priority="70" aboveAverage="0" equalAverage="0" bottom="0" percent="0" rank="0" text="" dxfId="8">
      <formula>$P$4="Black and White"</formula>
    </cfRule>
  </conditionalFormatting>
  <conditionalFormatting sqref="K31:K32 K36:K37">
    <cfRule type="expression" priority="71" aboveAverage="0" equalAverage="0" bottom="0" percent="0" rank="0" text="" dxfId="8">
      <formula>$P$4="Black and White"</formula>
    </cfRule>
  </conditionalFormatting>
  <conditionalFormatting sqref="K19">
    <cfRule type="expression" priority="72" aboveAverage="0" equalAverage="0" bottom="0" percent="0" rank="0" text="" dxfId="8">
      <formula>$P$4="Black and White"</formula>
    </cfRule>
  </conditionalFormatting>
  <conditionalFormatting sqref="K21:K22">
    <cfRule type="expression" priority="73" aboveAverage="0" equalAverage="0" bottom="0" percent="0" rank="0" text="" dxfId="8">
      <formula>$P$4="Black and White"</formula>
    </cfRule>
  </conditionalFormatting>
  <conditionalFormatting sqref="K20">
    <cfRule type="expression" priority="74" aboveAverage="0" equalAverage="0" bottom="0" percent="0" rank="0" text="" dxfId="8">
      <formula>$P$4="Black and White"</formula>
    </cfRule>
  </conditionalFormatting>
  <conditionalFormatting sqref="K14">
    <cfRule type="expression" priority="75" aboveAverage="0" equalAverage="0" bottom="0" percent="0" rank="0" text="" dxfId="8">
      <formula>$P$4="Black and White"</formula>
    </cfRule>
  </conditionalFormatting>
  <conditionalFormatting sqref="K16:K17">
    <cfRule type="expression" priority="76" aboveAverage="0" equalAverage="0" bottom="0" percent="0" rank="0" text="" dxfId="8">
      <formula>$P$4="Black and White"</formula>
    </cfRule>
  </conditionalFormatting>
  <conditionalFormatting sqref="K15">
    <cfRule type="expression" priority="77" aboveAverage="0" equalAverage="0" bottom="0" percent="0" rank="0" text="" dxfId="8">
      <formula>$P$4="Black and White"</formula>
    </cfRule>
  </conditionalFormatting>
  <conditionalFormatting sqref="K9">
    <cfRule type="expression" priority="78" aboveAverage="0" equalAverage="0" bottom="0" percent="0" rank="0" text="" dxfId="8">
      <formula>$P$4="Black and White"</formula>
    </cfRule>
  </conditionalFormatting>
  <conditionalFormatting sqref="K11:K12">
    <cfRule type="expression" priority="79" aboveAverage="0" equalAverage="0" bottom="0" percent="0" rank="0" text="" dxfId="8">
      <formula>$P$4="Black and White"</formula>
    </cfRule>
  </conditionalFormatting>
  <conditionalFormatting sqref="K10">
    <cfRule type="expression" priority="80" aboveAverage="0" equalAverage="0" bottom="0" percent="0" rank="0" text="" dxfId="8">
      <formula>$P$4="Black and White"</formula>
    </cfRule>
  </conditionalFormatting>
  <conditionalFormatting sqref="K4">
    <cfRule type="expression" priority="81" aboveAverage="0" equalAverage="0" bottom="0" percent="0" rank="0" text="" dxfId="8">
      <formula>$P$4="Black and White"</formula>
    </cfRule>
  </conditionalFormatting>
  <conditionalFormatting sqref="K6:K7">
    <cfRule type="expression" priority="82" aboveAverage="0" equalAverage="0" bottom="0" percent="0" rank="0" text="" dxfId="8">
      <formula>$P$4="Black and White"</formula>
    </cfRule>
  </conditionalFormatting>
  <conditionalFormatting sqref="K5">
    <cfRule type="expression" priority="83" aboveAverage="0" equalAverage="0" bottom="0" percent="0" rank="0" text="" dxfId="8">
      <formula>$P$4="Black and White"</formula>
    </cfRule>
  </conditionalFormatting>
  <conditionalFormatting sqref="L25">
    <cfRule type="expression" priority="84" aboveAverage="0" equalAverage="0" bottom="0" percent="0" rank="0" text="" dxfId="8">
      <formula>$P$4="Black and White"</formula>
    </cfRule>
  </conditionalFormatting>
  <conditionalFormatting sqref="L30:R30 L35:R35 L40:R40">
    <cfRule type="expression" priority="85" aboveAverage="0" equalAverage="0" bottom="0" percent="0" rank="0" text="" dxfId="8">
      <formula>$P$4="Black and White"</formula>
    </cfRule>
  </conditionalFormatting>
  <conditionalFormatting sqref="M31:R32 M36:R37">
    <cfRule type="expression" priority="86" aboveAverage="0" equalAverage="0" bottom="0" percent="0" rank="0" text="" dxfId="8">
      <formula>$P$4="Black and White"</formula>
    </cfRule>
  </conditionalFormatting>
  <conditionalFormatting sqref="L19:R19">
    <cfRule type="expression" priority="87" aboveAverage="0" equalAverage="0" bottom="0" percent="0" rank="0" text="" dxfId="8">
      <formula>$P$4="Black and White"</formula>
    </cfRule>
  </conditionalFormatting>
  <conditionalFormatting sqref="M21">
    <cfRule type="expression" priority="88" aboveAverage="0" equalAverage="0" bottom="0" percent="0" rank="0" text="" dxfId="8">
      <formula>$P$4="Black and White"</formula>
    </cfRule>
  </conditionalFormatting>
  <conditionalFormatting sqref="M22">
    <cfRule type="expression" priority="89" aboveAverage="0" equalAverage="0" bottom="0" percent="0" rank="0" text="" dxfId="8">
      <formula>$P$4="Black and White"</formula>
    </cfRule>
  </conditionalFormatting>
  <conditionalFormatting sqref="N21:N22">
    <cfRule type="expression" priority="90" aboveAverage="0" equalAverage="0" bottom="0" percent="0" rank="0" text="" dxfId="8">
      <formula>$P$4="Black and White"</formula>
    </cfRule>
  </conditionalFormatting>
  <conditionalFormatting sqref="O21:R22">
    <cfRule type="expression" priority="91" aboveAverage="0" equalAverage="0" bottom="0" percent="0" rank="0" text="" dxfId="8">
      <formula>$P$4="Black and White"</formula>
    </cfRule>
  </conditionalFormatting>
  <conditionalFormatting sqref="M20:R20">
    <cfRule type="expression" priority="92" aboveAverage="0" equalAverage="0" bottom="0" percent="0" rank="0" text="" dxfId="8">
      <formula>$P$4="Black and White"</formula>
    </cfRule>
  </conditionalFormatting>
  <conditionalFormatting sqref="L22">
    <cfRule type="expression" priority="93" aboveAverage="0" equalAverage="0" bottom="0" percent="0" rank="0" text="" dxfId="8">
      <formula>$P$4="Black and White"</formula>
    </cfRule>
  </conditionalFormatting>
  <conditionalFormatting sqref="L21">
    <cfRule type="expression" priority="94" aboveAverage="0" equalAverage="0" bottom="0" percent="0" rank="0" text="" dxfId="8">
      <formula>$P$4="Black and White"</formula>
    </cfRule>
  </conditionalFormatting>
  <conditionalFormatting sqref="L20">
    <cfRule type="expression" priority="95" aboveAverage="0" equalAverage="0" bottom="0" percent="0" rank="0" text="" dxfId="8">
      <formula>$P$4="Black and White"</formula>
    </cfRule>
  </conditionalFormatting>
  <conditionalFormatting sqref="L14:R14">
    <cfRule type="expression" priority="96" aboveAverage="0" equalAverage="0" bottom="0" percent="0" rank="0" text="" dxfId="8">
      <formula>$P$4="Black and White"</formula>
    </cfRule>
  </conditionalFormatting>
  <conditionalFormatting sqref="M16">
    <cfRule type="expression" priority="97" aboveAverage="0" equalAverage="0" bottom="0" percent="0" rank="0" text="" dxfId="8">
      <formula>$P$4="Black and White"</formula>
    </cfRule>
  </conditionalFormatting>
  <conditionalFormatting sqref="M17">
    <cfRule type="expression" priority="98" aboveAverage="0" equalAverage="0" bottom="0" percent="0" rank="0" text="" dxfId="8">
      <formula>$P$4="Black and White"</formula>
    </cfRule>
  </conditionalFormatting>
  <conditionalFormatting sqref="N16:N17">
    <cfRule type="expression" priority="99" aboveAverage="0" equalAverage="0" bottom="0" percent="0" rank="0" text="" dxfId="8">
      <formula>$P$4="Black and White"</formula>
    </cfRule>
  </conditionalFormatting>
  <conditionalFormatting sqref="O16:R17">
    <cfRule type="expression" priority="100" aboveAverage="0" equalAverage="0" bottom="0" percent="0" rank="0" text="" dxfId="8">
      <formula>$P$4="Black and White"</formula>
    </cfRule>
  </conditionalFormatting>
  <conditionalFormatting sqref="M15:R15">
    <cfRule type="expression" priority="101" aboveAverage="0" equalAverage="0" bottom="0" percent="0" rank="0" text="" dxfId="8">
      <formula>$P$4="Black and White"</formula>
    </cfRule>
  </conditionalFormatting>
  <conditionalFormatting sqref="L17">
    <cfRule type="expression" priority="102" aboveAverage="0" equalAverage="0" bottom="0" percent="0" rank="0" text="" dxfId="8">
      <formula>$P$4="Black and White"</formula>
    </cfRule>
  </conditionalFormatting>
  <conditionalFormatting sqref="L16">
    <cfRule type="expression" priority="103" aboveAverage="0" equalAverage="0" bottom="0" percent="0" rank="0" text="" dxfId="8">
      <formula>$P$4="Black and White"</formula>
    </cfRule>
  </conditionalFormatting>
  <conditionalFormatting sqref="L15">
    <cfRule type="expression" priority="104" aboveAverage="0" equalAverage="0" bottom="0" percent="0" rank="0" text="" dxfId="8">
      <formula>$P$4="Black and White"</formula>
    </cfRule>
  </conditionalFormatting>
  <conditionalFormatting sqref="L9:R9">
    <cfRule type="expression" priority="105" aboveAverage="0" equalAverage="0" bottom="0" percent="0" rank="0" text="" dxfId="8">
      <formula>$P$4="Black and White"</formula>
    </cfRule>
  </conditionalFormatting>
  <conditionalFormatting sqref="M11">
    <cfRule type="expression" priority="106" aboveAverage="0" equalAverage="0" bottom="0" percent="0" rank="0" text="" dxfId="8">
      <formula>$P$4="Black and White"</formula>
    </cfRule>
  </conditionalFormatting>
  <conditionalFormatting sqref="M12">
    <cfRule type="expression" priority="107" aboveAverage="0" equalAverage="0" bottom="0" percent="0" rank="0" text="" dxfId="8">
      <formula>$P$4="Black and White"</formula>
    </cfRule>
  </conditionalFormatting>
  <conditionalFormatting sqref="N11:N12">
    <cfRule type="expression" priority="108" aboveAverage="0" equalAverage="0" bottom="0" percent="0" rank="0" text="" dxfId="8">
      <formula>$P$4="Black and White"</formula>
    </cfRule>
  </conditionalFormatting>
  <conditionalFormatting sqref="O11:R12">
    <cfRule type="expression" priority="109" aboveAverage="0" equalAverage="0" bottom="0" percent="0" rank="0" text="" dxfId="8">
      <formula>$P$4="Black and White"</formula>
    </cfRule>
  </conditionalFormatting>
  <conditionalFormatting sqref="M10:R10">
    <cfRule type="expression" priority="110" aboveAverage="0" equalAverage="0" bottom="0" percent="0" rank="0" text="" dxfId="8">
      <formula>$P$4="Black and White"</formula>
    </cfRule>
  </conditionalFormatting>
  <conditionalFormatting sqref="L12">
    <cfRule type="expression" priority="111" aboveAverage="0" equalAverage="0" bottom="0" percent="0" rank="0" text="" dxfId="8">
      <formula>$P$4="Black and White"</formula>
    </cfRule>
  </conditionalFormatting>
  <conditionalFormatting sqref="L11">
    <cfRule type="expression" priority="112" aboveAverage="0" equalAverage="0" bottom="0" percent="0" rank="0" text="" dxfId="8">
      <formula>$P$4="Black and White"</formula>
    </cfRule>
  </conditionalFormatting>
  <conditionalFormatting sqref="L10">
    <cfRule type="expression" priority="113" aboveAverage="0" equalAverage="0" bottom="0" percent="0" rank="0" text="" dxfId="8">
      <formula>$P$4="Black and White"</formula>
    </cfRule>
  </conditionalFormatting>
  <conditionalFormatting sqref="L4:R4">
    <cfRule type="expression" priority="114" aboveAverage="0" equalAverage="0" bottom="0" percent="0" rank="0" text="" dxfId="8">
      <formula>$P$4="Black and White"</formula>
    </cfRule>
  </conditionalFormatting>
  <conditionalFormatting sqref="M6">
    <cfRule type="expression" priority="115" aboveAverage="0" equalAverage="0" bottom="0" percent="0" rank="0" text="" dxfId="8">
      <formula>$P$4="Black and White"</formula>
    </cfRule>
  </conditionalFormatting>
  <conditionalFormatting sqref="M7">
    <cfRule type="expression" priority="116" aboveAverage="0" equalAverage="0" bottom="0" percent="0" rank="0" text="" dxfId="8">
      <formula>$P$4="Black and White"</formula>
    </cfRule>
  </conditionalFormatting>
  <conditionalFormatting sqref="N6:N7">
    <cfRule type="expression" priority="117" aboveAverage="0" equalAverage="0" bottom="0" percent="0" rank="0" text="" dxfId="8">
      <formula>$P$4="Black and White"</formula>
    </cfRule>
  </conditionalFormatting>
  <conditionalFormatting sqref="O6:R7">
    <cfRule type="expression" priority="118" aboveAverage="0" equalAverage="0" bottom="0" percent="0" rank="0" text="" dxfId="8">
      <formula>$P$4="Black and White"</formula>
    </cfRule>
  </conditionalFormatting>
  <conditionalFormatting sqref="M5:R5">
    <cfRule type="expression" priority="119" aboveAverage="0" equalAverage="0" bottom="0" percent="0" rank="0" text="" dxfId="8">
      <formula>$P$4="Black and White"</formula>
    </cfRule>
  </conditionalFormatting>
  <conditionalFormatting sqref="L7">
    <cfRule type="expression" priority="120" aboveAverage="0" equalAverage="0" bottom="0" percent="0" rank="0" text="" dxfId="8">
      <formula>$P$4="Black and White"</formula>
    </cfRule>
  </conditionalFormatting>
  <conditionalFormatting sqref="L6">
    <cfRule type="expression" priority="121" aboveAverage="0" equalAverage="0" bottom="0" percent="0" rank="0" text="" dxfId="8">
      <formula>$P$4="Black and White"</formula>
    </cfRule>
  </conditionalFormatting>
  <conditionalFormatting sqref="L5">
    <cfRule type="expression" priority="122" aboveAverage="0" equalAverage="0" bottom="0" percent="0" rank="0" text="" dxfId="8">
      <formula>$P$4="Black and White"</formula>
    </cfRule>
  </conditionalFormatting>
  <conditionalFormatting sqref="Z8 Z16 Z24 Z32 AE12 AE28 AJ19">
    <cfRule type="expression" priority="123" aboveAverage="0" equalAverage="0" bottom="0" percent="0" rank="0" text="" dxfId="8">
      <formula>$P$4="Black and White"</formula>
    </cfRule>
  </conditionalFormatting>
  <conditionalFormatting sqref="K41">
    <cfRule type="expression" priority="124" aboveAverage="0" equalAverage="0" bottom="0" percent="0" rank="0" text="" dxfId="8">
      <formula>$P$4="Black and White"</formula>
    </cfRule>
  </conditionalFormatting>
  <conditionalFormatting sqref="K42">
    <cfRule type="expression" priority="125" aboveAverage="0" equalAverage="0" bottom="0" percent="0" rank="0" text="" dxfId="8">
      <formula>$P$4="Black and White"</formula>
    </cfRule>
  </conditionalFormatting>
  <conditionalFormatting sqref="L41">
    <cfRule type="expression" priority="126" aboveAverage="0" equalAverage="0" bottom="0" percent="0" rank="0" text="" dxfId="8">
      <formula>$P$4="Black and White"</formula>
    </cfRule>
  </conditionalFormatting>
  <conditionalFormatting sqref="L42">
    <cfRule type="expression" priority="127" aboveAverage="0" equalAverage="0" bottom="0" percent="0" rank="0" text="" dxfId="8">
      <formula>$P$4="Black and White"</formula>
    </cfRule>
  </conditionalFormatting>
  <conditionalFormatting sqref="M42:R42">
    <cfRule type="expression" priority="128" aboveAverage="0" equalAverage="0" bottom="0" percent="0" rank="0" text="" dxfId="8">
      <formula>$P$4="Black and White"</formula>
    </cfRule>
  </conditionalFormatting>
  <conditionalFormatting sqref="M41:R41">
    <cfRule type="expression" priority="129" aboveAverage="0" equalAverage="0" bottom="0" percent="0" rank="0" text="" dxfId="8">
      <formula>$P$4="Black and White"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2020-07-25T12:00:48Z</dcterms:modified>
  <cp:revision>101</cp:revision>
  <dc:subject/>
  <dc:title/>
</cp:coreProperties>
</file>